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defaultThemeVersion="124226"/>
  <bookViews>
    <workbookView xWindow="0" yWindow="0" windowWidth="25200" windowHeight="10485"/>
  </bookViews>
  <sheets>
    <sheet name="PRESUPUESTO RESUMEN" sheetId="1" r:id="rId1"/>
    <sheet name="A4-PRESUPUESTO COMPONENTES" sheetId="2" r:id="rId2"/>
    <sheet name="CRONOGRAMA" sheetId="5" state="hidden" r:id="rId3"/>
    <sheet name="2.1 PRESUPUESTO CONSTRUCCIÓN" sheetId="9" r:id="rId4"/>
    <sheet name="2.2 PRESUPUESTO INTERVENTORÍA" sheetId="8" r:id="rId5"/>
    <sheet name="firmas" sheetId="7" state="hidden" r:id="rId6"/>
    <sheet name="FORMA DE PAGO" sheetId="6" r:id="rId7"/>
  </sheets>
  <externalReferences>
    <externalReference r:id="rId8"/>
    <externalReference r:id="rId9"/>
    <externalReference r:id="rId10"/>
  </externalReferences>
  <definedNames>
    <definedName name="ALTA">3</definedName>
    <definedName name="_xlnm.Print_Area" localSheetId="3">'2.1 PRESUPUESTO CONSTRUCCIÓN'!$A$1:$G$392</definedName>
    <definedName name="_xlnm.Print_Area" localSheetId="4">'2.2 PRESUPUESTO INTERVENTORÍA'!$A$1:$H$105</definedName>
    <definedName name="_xlnm.Print_Area" localSheetId="1">'A4-PRESUPUESTO COMPONENTES'!$A$1:$H$70</definedName>
    <definedName name="_xlnm.Print_Area" localSheetId="6">'FORMA DE PAGO'!$A$1:$E$42</definedName>
    <definedName name="_xlnm.Print_Area" localSheetId="0">'PRESUPUESTO RESUMEN'!$A$1:$E$32</definedName>
    <definedName name="BAJA">1</definedName>
    <definedName name="CATASTROFICO">20</definedName>
    <definedName name="LEVE">5</definedName>
    <definedName name="MEDIA">2</definedName>
    <definedName name="MODERADO">10</definedName>
    <definedName name="_xlnm.Print_Titles" localSheetId="4">'2.2 PRESUPUESTO INTERVENTORÍA'!#REF!</definedName>
  </definedNames>
  <calcPr calcId="152511"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1" i="1" l="1"/>
  <c r="C38" i="6"/>
  <c r="C37" i="6"/>
  <c r="C15" i="1"/>
  <c r="C85" i="8"/>
  <c r="C83" i="8"/>
  <c r="E83" i="8" s="1"/>
  <c r="C82" i="8"/>
  <c r="E82" i="8" s="1"/>
  <c r="C81" i="8"/>
  <c r="E81" i="8" s="1"/>
  <c r="C79" i="8"/>
  <c r="E79" i="8" s="1"/>
  <c r="C78" i="8"/>
  <c r="E78" i="8" s="1"/>
  <c r="C77" i="8"/>
  <c r="E77" i="8" s="1"/>
  <c r="C76" i="8"/>
  <c r="E76" i="8" s="1"/>
  <c r="C75" i="8"/>
  <c r="E75" i="8" s="1"/>
  <c r="C74" i="8"/>
  <c r="E74" i="8" s="1"/>
  <c r="G61" i="8"/>
  <c r="G60" i="8"/>
  <c r="F59" i="8"/>
  <c r="G59" i="8" s="1"/>
  <c r="G58" i="8"/>
  <c r="G57" i="8"/>
  <c r="G56" i="8"/>
  <c r="G54" i="8"/>
  <c r="G53" i="8"/>
  <c r="G62" i="8" s="1"/>
  <c r="C39" i="8"/>
  <c r="C35" i="8"/>
  <c r="C33" i="8"/>
  <c r="C28" i="8"/>
  <c r="D45" i="8" s="1"/>
  <c r="D46" i="8" s="1"/>
  <c r="H20" i="8"/>
  <c r="G18" i="8"/>
  <c r="H18" i="8" s="1"/>
  <c r="H17" i="8"/>
  <c r="F17" i="8"/>
  <c r="G16" i="8"/>
  <c r="F16" i="8"/>
  <c r="H16" i="8" s="1"/>
  <c r="H15" i="8"/>
  <c r="G14" i="8"/>
  <c r="F14" i="8"/>
  <c r="H14" i="8" s="1"/>
  <c r="G13" i="8"/>
  <c r="H13" i="8" s="1"/>
  <c r="G12" i="8"/>
  <c r="H12" i="8" s="1"/>
  <c r="F12" i="8"/>
  <c r="G11" i="8"/>
  <c r="F11" i="8"/>
  <c r="H11" i="8" s="1"/>
  <c r="G10" i="8"/>
  <c r="H10" i="8" s="1"/>
  <c r="G9" i="8"/>
  <c r="H9" i="8" s="1"/>
  <c r="F9" i="8"/>
  <c r="G368" i="9"/>
  <c r="G367" i="9"/>
  <c r="G364" i="9"/>
  <c r="G365" i="9" s="1"/>
  <c r="G362" i="9"/>
  <c r="G361" i="9"/>
  <c r="G360" i="9"/>
  <c r="G359" i="9"/>
  <c r="G358" i="9"/>
  <c r="G357" i="9"/>
  <c r="G356" i="9"/>
  <c r="G353" i="9"/>
  <c r="G354" i="9" s="1"/>
  <c r="G351" i="9"/>
  <c r="G350" i="9"/>
  <c r="G347" i="9"/>
  <c r="G346" i="9"/>
  <c r="G345" i="9"/>
  <c r="G344" i="9"/>
  <c r="G343" i="9"/>
  <c r="G342" i="9"/>
  <c r="G341" i="9"/>
  <c r="G340" i="9"/>
  <c r="G339" i="9"/>
  <c r="G338" i="9"/>
  <c r="G337" i="9"/>
  <c r="G336" i="9"/>
  <c r="G335" i="9"/>
  <c r="G334" i="9"/>
  <c r="G333" i="9"/>
  <c r="G332" i="9"/>
  <c r="G331" i="9"/>
  <c r="G330" i="9"/>
  <c r="G329" i="9"/>
  <c r="G328" i="9"/>
  <c r="G327" i="9"/>
  <c r="G326" i="9"/>
  <c r="G325" i="9"/>
  <c r="G348" i="9" s="1"/>
  <c r="G322" i="9"/>
  <c r="G321" i="9"/>
  <c r="G320" i="9"/>
  <c r="G319" i="9"/>
  <c r="G318" i="9"/>
  <c r="G317" i="9"/>
  <c r="G316" i="9"/>
  <c r="G315" i="9"/>
  <c r="G314" i="9"/>
  <c r="G313" i="9"/>
  <c r="G312" i="9"/>
  <c r="G311" i="9"/>
  <c r="G310" i="9"/>
  <c r="G309" i="9"/>
  <c r="G323" i="9" s="1"/>
  <c r="G306" i="9"/>
  <c r="G305" i="9"/>
  <c r="G304" i="9"/>
  <c r="G303" i="9"/>
  <c r="G302" i="9"/>
  <c r="G301" i="9"/>
  <c r="G300" i="9"/>
  <c r="G299" i="9"/>
  <c r="G307" i="9" s="1"/>
  <c r="G296" i="9"/>
  <c r="G295" i="9"/>
  <c r="G294" i="9"/>
  <c r="G293" i="9"/>
  <c r="G292" i="9"/>
  <c r="G291" i="9"/>
  <c r="G290" i="9"/>
  <c r="G289" i="9"/>
  <c r="G288" i="9"/>
  <c r="G287" i="9"/>
  <c r="G286" i="9"/>
  <c r="G285" i="9"/>
  <c r="G284" i="9"/>
  <c r="G283" i="9"/>
  <c r="G297" i="9" s="1"/>
  <c r="G280" i="9"/>
  <c r="G279" i="9"/>
  <c r="G278" i="9"/>
  <c r="G277" i="9"/>
  <c r="G276" i="9"/>
  <c r="G275" i="9"/>
  <c r="G274" i="9"/>
  <c r="G273" i="9"/>
  <c r="G272" i="9"/>
  <c r="G271" i="9"/>
  <c r="G270" i="9"/>
  <c r="G269" i="9"/>
  <c r="G268" i="9"/>
  <c r="G267" i="9"/>
  <c r="G266" i="9"/>
  <c r="G265" i="9"/>
  <c r="G264" i="9"/>
  <c r="G263" i="9"/>
  <c r="G262" i="9"/>
  <c r="G261" i="9"/>
  <c r="G260" i="9"/>
  <c r="G259" i="9"/>
  <c r="G258" i="9"/>
  <c r="G257" i="9"/>
  <c r="G256" i="9"/>
  <c r="G255" i="9"/>
  <c r="G254" i="9"/>
  <c r="G253" i="9"/>
  <c r="G252" i="9"/>
  <c r="G281" i="9" s="1"/>
  <c r="D6" i="1"/>
  <c r="C6" i="1"/>
  <c r="B10" i="6"/>
  <c r="G249" i="9"/>
  <c r="G248" i="9"/>
  <c r="G247" i="9"/>
  <c r="G246" i="9"/>
  <c r="G245" i="9"/>
  <c r="G244" i="9"/>
  <c r="G243" i="9"/>
  <c r="G242" i="9"/>
  <c r="G241" i="9"/>
  <c r="G240" i="9"/>
  <c r="G239" i="9"/>
  <c r="G238" i="9"/>
  <c r="G237" i="9"/>
  <c r="G236" i="9"/>
  <c r="G235" i="9"/>
  <c r="G234" i="9"/>
  <c r="G233" i="9"/>
  <c r="G232" i="9"/>
  <c r="G231" i="9"/>
  <c r="G230" i="9"/>
  <c r="G229" i="9"/>
  <c r="G228" i="9"/>
  <c r="G227" i="9"/>
  <c r="G226" i="9"/>
  <c r="G225" i="9"/>
  <c r="G224" i="9"/>
  <c r="G223" i="9"/>
  <c r="G222" i="9"/>
  <c r="G221" i="9"/>
  <c r="G220" i="9"/>
  <c r="G219" i="9"/>
  <c r="G218" i="9"/>
  <c r="G217" i="9"/>
  <c r="G216" i="9"/>
  <c r="G215" i="9"/>
  <c r="G214" i="9"/>
  <c r="G213" i="9"/>
  <c r="G212" i="9"/>
  <c r="G211" i="9"/>
  <c r="G210" i="9"/>
  <c r="G209" i="9"/>
  <c r="G208" i="9"/>
  <c r="G250" i="9" s="1"/>
  <c r="G207" i="9"/>
  <c r="G204" i="9"/>
  <c r="G203" i="9"/>
  <c r="G202" i="9"/>
  <c r="G201" i="9"/>
  <c r="G200" i="9"/>
  <c r="G199" i="9"/>
  <c r="G198" i="9"/>
  <c r="G197" i="9"/>
  <c r="G196" i="9"/>
  <c r="G195" i="9"/>
  <c r="G194" i="9"/>
  <c r="G193" i="9"/>
  <c r="G192" i="9"/>
  <c r="G191" i="9"/>
  <c r="G190" i="9"/>
  <c r="G189" i="9"/>
  <c r="G188" i="9"/>
  <c r="G187" i="9"/>
  <c r="G186" i="9"/>
  <c r="G185" i="9"/>
  <c r="G184" i="9"/>
  <c r="G183" i="9"/>
  <c r="G182" i="9"/>
  <c r="G181" i="9"/>
  <c r="G180" i="9"/>
  <c r="G179" i="9"/>
  <c r="G178" i="9"/>
  <c r="G177" i="9"/>
  <c r="G176" i="9"/>
  <c r="G175" i="9"/>
  <c r="G174" i="9"/>
  <c r="G173" i="9"/>
  <c r="G172" i="9"/>
  <c r="G171" i="9"/>
  <c r="G170" i="9"/>
  <c r="G169" i="9"/>
  <c r="G168" i="9"/>
  <c r="G167" i="9"/>
  <c r="G205" i="9" s="1"/>
  <c r="G166" i="9"/>
  <c r="G163" i="9"/>
  <c r="G162" i="9"/>
  <c r="G161" i="9"/>
  <c r="G160" i="9"/>
  <c r="G159" i="9"/>
  <c r="G158" i="9"/>
  <c r="G157" i="9"/>
  <c r="G156" i="9"/>
  <c r="G155" i="9"/>
  <c r="G154" i="9"/>
  <c r="G153" i="9"/>
  <c r="G152" i="9"/>
  <c r="G151" i="9"/>
  <c r="G150" i="9"/>
  <c r="G149" i="9"/>
  <c r="G148" i="9"/>
  <c r="G147" i="9"/>
  <c r="G146" i="9"/>
  <c r="G145" i="9"/>
  <c r="G144" i="9"/>
  <c r="G143" i="9"/>
  <c r="G142" i="9"/>
  <c r="G141" i="9"/>
  <c r="G140" i="9"/>
  <c r="G139" i="9"/>
  <c r="G138" i="9"/>
  <c r="G164" i="9" s="1"/>
  <c r="G135" i="9"/>
  <c r="G134" i="9"/>
  <c r="G133" i="9"/>
  <c r="G132" i="9"/>
  <c r="G131" i="9"/>
  <c r="G130" i="9"/>
  <c r="G129" i="9"/>
  <c r="G128" i="9"/>
  <c r="G127" i="9"/>
  <c r="G126" i="9"/>
  <c r="G125" i="9"/>
  <c r="G124" i="9"/>
  <c r="G123" i="9"/>
  <c r="G122" i="9"/>
  <c r="G121" i="9"/>
  <c r="G136" i="9" s="1"/>
  <c r="G118" i="9"/>
  <c r="G117" i="9"/>
  <c r="G116" i="9"/>
  <c r="G115" i="9"/>
  <c r="G114" i="9"/>
  <c r="G113" i="9"/>
  <c r="G112" i="9"/>
  <c r="G111" i="9"/>
  <c r="G110" i="9"/>
  <c r="G109" i="9"/>
  <c r="G108" i="9"/>
  <c r="G107" i="9"/>
  <c r="G106" i="9"/>
  <c r="G105" i="9"/>
  <c r="G104" i="9"/>
  <c r="G103" i="9"/>
  <c r="G102" i="9"/>
  <c r="G101" i="9"/>
  <c r="G100" i="9"/>
  <c r="G119" i="9" s="1"/>
  <c r="G97" i="9"/>
  <c r="G96" i="9"/>
  <c r="G95" i="9"/>
  <c r="G94" i="9"/>
  <c r="G93" i="9"/>
  <c r="G92" i="9"/>
  <c r="G91" i="9"/>
  <c r="G90" i="9"/>
  <c r="G89" i="9"/>
  <c r="G88" i="9"/>
  <c r="G87" i="9"/>
  <c r="G86" i="9"/>
  <c r="G85" i="9"/>
  <c r="G84" i="9"/>
  <c r="G83" i="9"/>
  <c r="G82" i="9"/>
  <c r="G81" i="9"/>
  <c r="G80" i="9"/>
  <c r="G79" i="9"/>
  <c r="G78" i="9"/>
  <c r="G77" i="9"/>
  <c r="G76" i="9"/>
  <c r="G75" i="9"/>
  <c r="G74" i="9"/>
  <c r="G73" i="9"/>
  <c r="G98" i="9" s="1"/>
  <c r="G70" i="9"/>
  <c r="G69" i="9"/>
  <c r="G68" i="9"/>
  <c r="G67" i="9"/>
  <c r="G66" i="9"/>
  <c r="G65" i="9"/>
  <c r="G64" i="9"/>
  <c r="G63" i="9"/>
  <c r="G62" i="9"/>
  <c r="G61" i="9"/>
  <c r="G60" i="9"/>
  <c r="G59" i="9"/>
  <c r="G58" i="9"/>
  <c r="G57" i="9"/>
  <c r="G56" i="9"/>
  <c r="G55" i="9"/>
  <c r="G54" i="9"/>
  <c r="G53" i="9"/>
  <c r="G52" i="9"/>
  <c r="G71" i="9" s="1"/>
  <c r="G49" i="9"/>
  <c r="G48" i="9"/>
  <c r="G47" i="9"/>
  <c r="G46" i="9"/>
  <c r="G45" i="9"/>
  <c r="G44" i="9"/>
  <c r="G43" i="9"/>
  <c r="G42" i="9"/>
  <c r="G41" i="9"/>
  <c r="G40" i="9"/>
  <c r="G39" i="9"/>
  <c r="G38" i="9"/>
  <c r="G37" i="9"/>
  <c r="G36" i="9"/>
  <c r="G35" i="9"/>
  <c r="G34" i="9"/>
  <c r="G33" i="9"/>
  <c r="G32" i="9"/>
  <c r="G31" i="9"/>
  <c r="G30" i="9"/>
  <c r="G29" i="9"/>
  <c r="G28" i="9"/>
  <c r="G27" i="9"/>
  <c r="G26" i="9"/>
  <c r="G25" i="9"/>
  <c r="G50" i="9" s="1"/>
  <c r="G22" i="9"/>
  <c r="G21" i="9"/>
  <c r="G20" i="9"/>
  <c r="G19" i="9"/>
  <c r="G18" i="9"/>
  <c r="G17" i="9"/>
  <c r="G16" i="9"/>
  <c r="G15" i="9"/>
  <c r="G14" i="9"/>
  <c r="G13" i="9"/>
  <c r="G12" i="9"/>
  <c r="G11" i="9"/>
  <c r="G10" i="9"/>
  <c r="G9" i="9"/>
  <c r="G8" i="9"/>
  <c r="G23" i="9" s="1"/>
  <c r="C42" i="6" l="1"/>
  <c r="H19" i="8"/>
  <c r="H21" i="8" s="1"/>
  <c r="D47" i="8"/>
  <c r="C94" i="8" s="1"/>
  <c r="G64" i="8"/>
  <c r="G65" i="8"/>
  <c r="E84" i="8"/>
  <c r="G369" i="9"/>
  <c r="G371" i="9" s="1"/>
  <c r="G67" i="8" l="1"/>
  <c r="C95" i="8"/>
  <c r="C96" i="8"/>
  <c r="C72" i="8"/>
  <c r="G375" i="9"/>
  <c r="C71" i="8" l="1"/>
  <c r="D87" i="8"/>
  <c r="D88" i="8" s="1"/>
  <c r="C97" i="8" l="1"/>
  <c r="D89" i="8"/>
  <c r="C98" i="8" s="1"/>
  <c r="C99" i="8" s="1"/>
  <c r="C100" i="8" l="1"/>
  <c r="C101" i="8" s="1"/>
  <c r="D101" i="8" s="1"/>
  <c r="H45" i="2" l="1"/>
  <c r="E6" i="1" l="1"/>
  <c r="E22" i="1"/>
  <c r="H17" i="2"/>
  <c r="H9" i="2"/>
  <c r="D13" i="1" l="1"/>
  <c r="B12" i="7" l="1"/>
  <c r="B17" i="7" s="1"/>
  <c r="C2" i="5" l="1"/>
  <c r="E17" i="5"/>
  <c r="F17" i="5" s="1"/>
  <c r="E16" i="5"/>
  <c r="F16" i="5" s="1"/>
  <c r="E15" i="5"/>
  <c r="F15" i="5" s="1"/>
  <c r="E14" i="5"/>
  <c r="F14" i="5" s="1"/>
  <c r="E13" i="5"/>
  <c r="F13" i="5" s="1"/>
  <c r="E12" i="5"/>
  <c r="F12" i="5" s="1"/>
  <c r="E10" i="5"/>
  <c r="F10" i="5" s="1"/>
  <c r="E9" i="5"/>
  <c r="F9" i="5" s="1"/>
  <c r="E8" i="5"/>
  <c r="F8" i="5" s="1"/>
  <c r="E6" i="5"/>
  <c r="F6" i="5" s="1"/>
  <c r="H41" i="2"/>
  <c r="H42" i="2"/>
  <c r="H40" i="2"/>
  <c r="H33" i="2"/>
  <c r="H32" i="2"/>
  <c r="H31" i="2"/>
  <c r="H30" i="2"/>
  <c r="H29" i="2"/>
  <c r="H28" i="2"/>
  <c r="H27" i="2"/>
  <c r="C62" i="2"/>
  <c r="C60" i="2"/>
  <c r="C51" i="2"/>
  <c r="B3" i="2"/>
  <c r="H43" i="2" l="1"/>
  <c r="C68" i="2"/>
  <c r="C69" i="2" s="1"/>
  <c r="H34" i="2"/>
  <c r="H35" i="2" s="1"/>
  <c r="H36" i="2" s="1"/>
  <c r="H44" i="2" l="1"/>
  <c r="C23" i="1" s="1"/>
  <c r="H8" i="2"/>
  <c r="H10" i="2" s="1"/>
  <c r="D23" i="1" l="1"/>
  <c r="D22" i="1" s="1"/>
  <c r="C22" i="1"/>
  <c r="H11" i="2"/>
  <c r="H12" i="2" s="1"/>
  <c r="H16" i="2"/>
  <c r="H18" i="2" s="1"/>
  <c r="H19" i="2" l="1"/>
  <c r="H20" i="2" s="1"/>
  <c r="C7" i="1" s="1"/>
  <c r="D7" i="1" l="1"/>
  <c r="D24" i="1" s="1"/>
  <c r="D26" i="1" s="1"/>
  <c r="H22" i="2"/>
  <c r="D31" i="1"/>
  <c r="E15" i="1"/>
  <c r="G373" i="9"/>
  <c r="G372" i="9" s="1"/>
  <c r="G374" i="9"/>
  <c r="G376" i="9"/>
  <c r="C14" i="1"/>
  <c r="E14" i="1" s="1"/>
  <c r="E13" i="1" s="1"/>
  <c r="E24" i="1" s="1"/>
  <c r="C13" i="1" l="1"/>
  <c r="C24" i="1" s="1"/>
  <c r="C25" i="1" l="1"/>
  <c r="E25" i="1" s="1"/>
  <c r="E26" i="1" s="1"/>
  <c r="C14" i="6" l="1"/>
  <c r="E27" i="1"/>
  <c r="C26" i="1"/>
  <c r="E28" i="1" l="1"/>
  <c r="E29" i="1" s="1"/>
  <c r="C15" i="6" l="1"/>
  <c r="E31" i="1"/>
  <c r="D32" i="1" l="1"/>
  <c r="G31" i="1"/>
  <c r="C23" i="6"/>
  <c r="C24" i="6" s="1"/>
  <c r="C16" i="6"/>
</calcChain>
</file>

<file path=xl/sharedStrings.xml><?xml version="1.0" encoding="utf-8"?>
<sst xmlns="http://schemas.openxmlformats.org/spreadsheetml/2006/main" count="1417" uniqueCount="979">
  <si>
    <t xml:space="preserve">PRESUPUESTO RESUMEN PROYECTO INTEGRAL
</t>
  </si>
  <si>
    <t>OBJETO</t>
  </si>
  <si>
    <t>ITEM</t>
  </si>
  <si>
    <t>DESCRIPCION</t>
  </si>
  <si>
    <t>Valor Proyecto</t>
  </si>
  <si>
    <t>Aporte DESur</t>
  </si>
  <si>
    <t>Aporte Municipio</t>
  </si>
  <si>
    <t>COMPONENTE DIAGNOSTICO</t>
  </si>
  <si>
    <t>1.1</t>
  </si>
  <si>
    <t>1.2</t>
  </si>
  <si>
    <t>Diagnóstico contexto social</t>
  </si>
  <si>
    <t xml:space="preserve">COMPONENTE ESTUDIOS Y DISEÑOS </t>
  </si>
  <si>
    <t>COMPONENTE DE CONSTRUCCIÓN E INTERVENTORÍA</t>
  </si>
  <si>
    <t>2.1</t>
  </si>
  <si>
    <t>Construcción</t>
  </si>
  <si>
    <t>2.2</t>
  </si>
  <si>
    <t>Interventoría</t>
  </si>
  <si>
    <t>ADQUISICIÓN PREDIAL</t>
  </si>
  <si>
    <t>COMPONENTE EVALUACIÓN</t>
  </si>
  <si>
    <t>3.1</t>
  </si>
  <si>
    <t>Evaluación del proyecto</t>
  </si>
  <si>
    <t>SUBTOTAL</t>
  </si>
  <si>
    <t>COMPONENTE GERENCIA (1%)</t>
  </si>
  <si>
    <t>Total Componentes</t>
  </si>
  <si>
    <t>Honorarios</t>
  </si>
  <si>
    <t>IVA Honorarios (19%)</t>
  </si>
  <si>
    <t>Total Honorarios</t>
  </si>
  <si>
    <t>CDP</t>
  </si>
  <si>
    <t>DIFERENCIA</t>
  </si>
  <si>
    <t>VALOR APORTES</t>
  </si>
  <si>
    <t>VALOR TOTAL CONVENIO</t>
  </si>
  <si>
    <t xml:space="preserve">
PRESUPUESTO POR COMPONENTES
ANEXO N°4</t>
  </si>
  <si>
    <t>1. COMPONENTE DIAGNOSTICO</t>
  </si>
  <si>
    <t>Diagnostico contexto ambiental</t>
  </si>
  <si>
    <t>CARGO</t>
  </si>
  <si>
    <t>Cantidad</t>
  </si>
  <si>
    <t xml:space="preserve">% Utilización </t>
  </si>
  <si>
    <t>Salario Basico</t>
  </si>
  <si>
    <t>No. De meses</t>
  </si>
  <si>
    <t>Factor multiplicador</t>
  </si>
  <si>
    <t>Valor Total</t>
  </si>
  <si>
    <t xml:space="preserve">Director del Proyecto </t>
  </si>
  <si>
    <t>Ingeniero ambiental</t>
  </si>
  <si>
    <t xml:space="preserve">SUBTOTAL </t>
  </si>
  <si>
    <t>IVA 19%</t>
  </si>
  <si>
    <t xml:space="preserve">TOTAL  </t>
  </si>
  <si>
    <t>Diagnostico contexto social</t>
  </si>
  <si>
    <t>Profesional social</t>
  </si>
  <si>
    <t xml:space="preserve">TOTAL  COMPONENTE DIAGNOSTICO </t>
  </si>
  <si>
    <t>4. COMPONENTE ADQUISICIÓN PREDIAL</t>
  </si>
  <si>
    <t xml:space="preserve">Ingeniero civil </t>
  </si>
  <si>
    <t>Arquitecto</t>
  </si>
  <si>
    <t>Abogado</t>
  </si>
  <si>
    <t>Profesional Social (P.S)</t>
  </si>
  <si>
    <t>Evaluador del proyecto (P.S)</t>
  </si>
  <si>
    <t>3. COMPONENTE EVALUACIÓN</t>
  </si>
  <si>
    <t>PERSONAL REQUERIDO</t>
  </si>
  <si>
    <t xml:space="preserve"> </t>
  </si>
  <si>
    <t xml:space="preserve">3.1 </t>
  </si>
  <si>
    <t>Evaluación del Proyectos</t>
  </si>
  <si>
    <t xml:space="preserve">TOTAL COMPONENTE EVALUACIÓN </t>
  </si>
  <si>
    <t>CALCULO FACTOR MULTIPLICADOR PERSONAL</t>
  </si>
  <si>
    <t xml:space="preserve">% </t>
  </si>
  <si>
    <t>SUELDO</t>
  </si>
  <si>
    <t>PRESTACIONES SOCIALES</t>
  </si>
  <si>
    <t>PRESTACIONES LEGALES</t>
  </si>
  <si>
    <t>2.1.1</t>
  </si>
  <si>
    <t>CESANTIAS ANUALES</t>
  </si>
  <si>
    <t>2.1.2</t>
  </si>
  <si>
    <t>INTERESES SOBRE CESANTIAS</t>
  </si>
  <si>
    <t>2.1.3</t>
  </si>
  <si>
    <t>VACACIONES ANUALES (15 DIAS)</t>
  </si>
  <si>
    <t>2.1.4</t>
  </si>
  <si>
    <t>PRIMA DE VACACIONES</t>
  </si>
  <si>
    <t>2.1.5</t>
  </si>
  <si>
    <t>PRIMA ANUAL DE SERVICIOS</t>
  </si>
  <si>
    <t>2.1.6</t>
  </si>
  <si>
    <t>BONIFICACION DE SERVICIOS PRESTADOS</t>
  </si>
  <si>
    <t>2.1.7</t>
  </si>
  <si>
    <t>BONIFICACION DE RECREACION</t>
  </si>
  <si>
    <t>2.1.8</t>
  </si>
  <si>
    <t>PRIMA DE NAVIDAD</t>
  </si>
  <si>
    <t>APORTES PARAFISCALES</t>
  </si>
  <si>
    <t>2.2.1</t>
  </si>
  <si>
    <t>CAJA DE COMPENSACION</t>
  </si>
  <si>
    <t>2.3</t>
  </si>
  <si>
    <t>SEGURIDAD SOCIAL</t>
  </si>
  <si>
    <t>2.3.1</t>
  </si>
  <si>
    <t>SISTEMA DE SEGURIDAD SOCIAL : SALUD</t>
  </si>
  <si>
    <t>2.3.2</t>
  </si>
  <si>
    <t>SISTEMA DE SEGURIDAD SOCIAL : PENSIÒN</t>
  </si>
  <si>
    <t>2.3.3</t>
  </si>
  <si>
    <t>ARP PERSONAL EN OBRA</t>
  </si>
  <si>
    <t>2.3.4</t>
  </si>
  <si>
    <t>PARAFISCALES</t>
  </si>
  <si>
    <t>UTILIDAD</t>
  </si>
  <si>
    <t>FACTOR MULTIPLICADOR PERSONAL</t>
  </si>
  <si>
    <t>CRONOGRAMA DE EJECUCIÓN 
ANEXO N°1</t>
  </si>
  <si>
    <t>Item</t>
  </si>
  <si>
    <t>Descripción</t>
  </si>
  <si>
    <t>MES 1</t>
  </si>
  <si>
    <t>MES 2</t>
  </si>
  <si>
    <t>MES 3</t>
  </si>
  <si>
    <t>MES 4</t>
  </si>
  <si>
    <t>MES 5</t>
  </si>
  <si>
    <t>MES 6</t>
  </si>
  <si>
    <t>MES 7</t>
  </si>
  <si>
    <t>MES 8</t>
  </si>
  <si>
    <t>MES 9</t>
  </si>
  <si>
    <t>MES 10</t>
  </si>
  <si>
    <t>MES 11</t>
  </si>
  <si>
    <t>INICIO DEL CONTRATO ESPECIFICO</t>
  </si>
  <si>
    <t>gl</t>
  </si>
  <si>
    <t>P</t>
  </si>
  <si>
    <t>DIAGNOSTICO DE REQUERIMIENTOS TÉCNICOS Y CARACTERIZACIÓN DEL PROYECTO</t>
  </si>
  <si>
    <t xml:space="preserve">ELABORACIÓN DE PRESUPUESTO Y CRONOGRAMA DETALLADO DE DISEÑO </t>
  </si>
  <si>
    <t xml:space="preserve">DIAGNOSTICO CONTEXTO SOCIAL </t>
  </si>
  <si>
    <t>DIAGNOSTICO CONTEXTO AMBIENTAL</t>
  </si>
  <si>
    <t>PROCESO DE SELECCIÓN CONTRATISTA DISEÑADOR</t>
  </si>
  <si>
    <t>EJECUCION DE DISEÑOS</t>
  </si>
  <si>
    <t>ELABORACION DEL PMA</t>
  </si>
  <si>
    <t>ELABORACION DEL PMT</t>
  </si>
  <si>
    <t>GERENCIA</t>
  </si>
  <si>
    <t>EVALUACION</t>
  </si>
  <si>
    <t>LIQUIDACION CONTRATO DE DISEÑOS</t>
  </si>
  <si>
    <t>LIQUIDACION DEL CONTRATO ESPECIFICO</t>
  </si>
  <si>
    <t>PRESUPUESTO OFICIAL</t>
  </si>
  <si>
    <t>  </t>
  </si>
  <si>
    <t>Presupuesto Detallado</t>
  </si>
  <si>
    <t>   Subcapitulo</t>
  </si>
  <si>
    <t>Código</t>
  </si>
  <si>
    <t>UM</t>
  </si>
  <si>
    <t>Valor Unitario</t>
  </si>
  <si>
    <t>COSTOS DIRECTOS</t>
  </si>
  <si>
    <t>CAPITULO No.1 PRELIMINARES Y DEMOLICIONES</t>
  </si>
  <si>
    <t>   1.001  </t>
  </si>
  <si>
    <t>LOCALIZACIÓN, TRAZADO Y REPLANTEO. Se utilizará personal experto con equipo de precisión. Se hará con la frecuencia que lo indique la interventoría. Incluye demarcación con pintura, línea de trazado </t>
  </si>
  <si>
    <t>dia</t>
  </si>
  <si>
    <t>   1.002  </t>
  </si>
  <si>
    <t>Porteria provisional</t>
  </si>
  <si>
    <t>Glb</t>
  </si>
  <si>
    <t>   1.003  </t>
  </si>
  <si>
    <t>Derechos de servicios o conexión</t>
  </si>
  <si>
    <t>   1.004  </t>
  </si>
  <si>
    <t>Provisionales Punto de red y/o telefono (Puestos de trabajo)</t>
  </si>
  <si>
    <t>   1.005  </t>
  </si>
  <si>
    <t>Construccion bateria sanitaria (1/15 trabajadores) - Incluye desmovilizacion</t>
  </si>
  <si>
    <t>   1.006  </t>
  </si>
  <si>
    <t>Taller de figurado de acero (Burro) - Incluye desmovilizacion</t>
  </si>
  <si>
    <t>u</t>
  </si>
  <si>
    <t>   1.007 </t>
  </si>
  <si>
    <t>Suministro e instalacion CERRAMIENTO PROVISIONAL EN SUPERBOAR H=2.44 m,  por los costados del lote que dan hacia la cra 43 A y calle 38 sur, con placas de Superboard por una cara, espesor 10 mms; de acuerdo con las instrucciones dadas por la interventoría en el sitio de trabajo. Incluye 2 puertas peatonales y dos vehiculares; ademas, mantenimiento por toda la duración de la obra.</t>
  </si>
  <si>
    <t>m2</t>
  </si>
  <si>
    <t>   1.008 </t>
  </si>
  <si>
    <t>Suministro, transporte e instalación de PLÁSTICO Y/O CARPA TIPO INVERNADERO para la protección de  excavaciones y posterior proteccion de los materiales de playa destinados a preparacion de morteros y concretos. Plástico Agrolene o similar calibre 7 de ancho aprox de 22.00 mt. colocado a una altura entre 6 aprox , incluye plástico, cable súper GX de 3/16", anclajes en varilla de 5/8", tensores, grilletes, cinta, alambre. Incluye mantenimiento durante la ejecución de las excavaciones y posterior desmonte. Incluye materiales, mano de obra, equipo y demás requerimientos necesarios.</t>
  </si>
  <si>
    <t>   1.009  </t>
  </si>
  <si>
    <t>DEMOLICIONES EDIFICACIONES EXISTENTES, cargue, transporte y botada de escombros, manual o mecánicamente, de cualquier material, concretos, mamposterías, acabados y carpinterías, entre otros.</t>
  </si>
  <si>
    <t>   1.010  </t>
  </si>
  <si>
    <t>DEMOLICION CIMENTACION, CAJAS, MH Y TUBERÍAS ENTERRADAS QUE PUDIERA HABER EN LAS EDIFICACIONES EXISTENTES,  cargue, transporte y botada de escombros, manual o mecánicamente, de cualquier resistencia, estructura y/o material, o red enterrada.</t>
  </si>
  <si>
    <t>   1.011  </t>
  </si>
  <si>
    <t>RETIRO DE POSTES DE ILUMINACION EXTERIOR, en estructura metalica o de concreto, cualquier altura. Incluye cargue, transporte, botada en botaderos oficiales o recuperación de los materiales aprovechables y su transporte hasta el sitio que lo indique la interventoría.  </t>
  </si>
  <si>
    <t>   1.012  </t>
  </si>
  <si>
    <t xml:space="preserve">TRASLADO DE RED ELECTRICA EXTERIOR Y SUBTERRANIZACION O CANALIZACION DE LAS MISMA, incluye todos los materiales y equipos necesarios para su correcto ejecucion </t>
  </si>
  <si>
    <t>m</t>
  </si>
  <si>
    <t>   1.013  </t>
  </si>
  <si>
    <t>CORTE, DEMOLICIÓN PAVIMENTO ASFÁLTICO (para brecha), cargue, transporte y botada de escombros, HASTA ESPESOR DE 4"</t>
  </si>
  <si>
    <t>   1.014  </t>
  </si>
  <si>
    <t>CARGUE , TRANSPORTE Y BOTADA de material con cualquier grado de humedad proveniente de las EXPLANACIONES, EXCAVACIONES, VOLADURAS DE ROCA.</t>
  </si>
  <si>
    <t>m3</t>
  </si>
  <si>
    <t>   1.015  </t>
  </si>
  <si>
    <t>CARGUE , TRANSPORTE Y BOTADA de RDC (Residuos de construccion - de todo el proyecto)</t>
  </si>
  <si>
    <t>Total Capítulo. 1 PRELIMINARES Y DEMOLICIONES</t>
  </si>
  <si>
    <t>CAPITULO No. 2  EXCAVACIONES Y LLENOS</t>
  </si>
  <si>
    <t>   2.001  </t>
  </si>
  <si>
    <t>EXCAVACIÓN MECÁNICA de material heterogéneo, bajo cualquier grado de humedad, Incluye roca descompuesta, bolas de roca de volumen inferior a 0.35 m³. Corte, cargue y botada de material de excavacion</t>
  </si>
  <si>
    <t>   2.002  </t>
  </si>
  <si>
    <t xml:space="preserve">EXCAVACIÓN MECÁNICA O MANUAL PARA NICHOS en material heterogéneo bajo cualquier grado de humedad, Incluye roca descompuesta, bolas de roca de volumen inferior a 0.35 m³. Corte, cargue y botada de material de excavacion </t>
  </si>
  <si>
    <t>   2.003  </t>
  </si>
  <si>
    <t>EXCAVACIÓN MECÁNICA O MANUAL PARA CUÑAS SOTANO 1 en material heterogéneo bajo cualquier grado de humedad, Incluye roca descompuesta, bolas de roca de volumen inferior a 0.35 m³. Corte, cargue y botad</t>
  </si>
  <si>
    <t>   2.004  </t>
  </si>
  <si>
    <t xml:space="preserve">EXCAVACIÓN MECÁNICA O MANUAL PARA CUÑAS SOTANO 2 en material heterogéneo bajo cualquier grado de humedad, Incluye roca descompuesta, bolas de roca de volumen inferior a 0.35 m³. Corte, cargue y botada de material de excavacion </t>
  </si>
  <si>
    <t>   2.005  </t>
  </si>
  <si>
    <t>NIVELACIÓN MECÁNICA Y/O MANUAL del terreno, bajo cualquier grado de humedad con bolas de roca de hasta 0.35 m³, incluye corte de taludes, pendientes  y terraceos requeridos según planos de acuerdo a los niveles definitivos y/o definidos por la interventoria.</t>
  </si>
  <si>
    <t>   2.006  </t>
  </si>
  <si>
    <t xml:space="preserve">EXCAVACIÓN MANUAL 0-2 m PARA BRECHAS REDES Y FILTROS en material heterogéneo bajo cualquier grado de humedad, Incluye roca descompuesta, bolas de roca de volumen inferior a 0.35 m³, Icargue y botada de material de excavacion </t>
  </si>
  <si>
    <t>   2.007  </t>
  </si>
  <si>
    <t xml:space="preserve">EXCAVACIÓN MANUAL 2-4 m PARA BRECHAS Y FILTROS en material heterogéneo bajo cualquier grado de humedad, roca descompuesta, bolas de roca de volumen inferior a 0.35 m3, Incluye Repaleo en caso de ser neceario, cargue y botada de material de excavacion </t>
  </si>
  <si>
    <t>   2.008  </t>
  </si>
  <si>
    <t xml:space="preserve">EXCAVACIÓN MANUAL 0-2 m PARA CIMENTACION en material heterogéneo bajo cualquier grado de humedad, Incluye roca descompuesta, bolas de roca de volumen inferior a 0.35 m3,cargue y botada de material de excavacion </t>
  </si>
  <si>
    <t>   2.009  </t>
  </si>
  <si>
    <t>EXCAVACIÓN MANUAL 0-2 m PARA PILAS DE FUNDACION DIAMETRO FUSTE ENTRE 1.20-1.80m, En material heterogéneo bajo cualquier grado de humedad, Incluye  roca descompuesta, bolas de roca de volumen inferior a 0.5 m3,  molinete, motobomba, extracción del material de la pila y acarreo interno de materiales, cargue, transporte y botada del material proveniente de la excavación en botaderos oficiales o donde lo indique la interventoría, factor de expansión (30%) y todo lo necesario para su correcta construcción. SU MEDIDA SERA EN SITIO.   No incluye anillos de revestimiento</t>
  </si>
  <si>
    <t>   2.010  </t>
  </si>
  <si>
    <t xml:space="preserve">EXCAVACIÓN MANUAL 2-4 m PARA PILAS DE FUNDACION DIAMETRO FUSTE ENTRE 1.20-1.80m, En material heterogéneo bajo cualquier grado de humedad, Incluye  roca descompuesta, bolas de roca de volumen inferior a 0.5 m3,  molinete, motobomba, extracción del material de la pila y acarreo interno de materiales, cargue, transporte y botada del material proveniente de la excavación en botaderos oficiales o donde lo indique la interventoría, factor de expansión (30%) y todo lo necesario para su correcta construcción. SU MEDIDA SERA EN SITIO.  No incluye anillos de revestimiento </t>
  </si>
  <si>
    <t>   2.011  </t>
  </si>
  <si>
    <t xml:space="preserve">EXCAVACIÓN MANUAL 4-6 m PARA PILAS DE FUNDACION DIAMETRO FUSTE ENTRE 1.20-1.80m, En material heterogéneo bajo cualquier grado de humedad, Incluye  roca descompuesta, bolas de roca de volumen inferior a 0.5 m3, molinete, motobomba, extracción del material de la pila y acarreo interno de materiales, cargue, transporte y botada del material proveniente de la excavación en botaderos oficiales o donde lo indique la interventoría, factor de expansión (30%) y todo lo necesario para su correcta construcción. SU MEDIDA SERA EN SITIO.  No incluye anillos de revestimiento </t>
  </si>
  <si>
    <t>   2.012  </t>
  </si>
  <si>
    <t xml:space="preserve">EXCAVACIÓN MANUAL 6-8 m PARA PILAS DE FUNDACION DIAMETRO FUSTE ENTRE 1.20-1.80m, En material heterogéneo bajo cualquier grado de humedad, Incluye  roca descompuesta, bolas de roca de volumen inferior a 0.5 m3,  molinete, motobomba, extracción del material de la pila y acarreo interno de materiales, cargue, transporte y botada del material proveniente de la excavación en botaderos oficiales o donde lo indique la interventoría, factor de expansión (30%) y todo lo necesario para su correcta construcción. SU MEDIDA SERA EN SITIO. No incluye anillos de revestimiento </t>
  </si>
  <si>
    <t>   2.013  </t>
  </si>
  <si>
    <t xml:space="preserve">EXCAVACIÓN MANUAL 8-10 m PARA PILAS DE FUNDACION DIAMETRO FUSTE ENTRE 1.20-1.80m, En material heterogéneo bajo cualquier grado de humedad, Incluye  roca descompuesta, bolas de roca de volumen inferior a 0.5 m3,  molinete, motobomba, extracción del material de la pila y acarreo interno de materiales, cargue, transporte y botada del material proveniente de la excavación en botaderos oficiales o donde lo indique la interventoría, factor de expansión (30%) y todo lo necesario para su correcta construcción. SU MEDIDA SERA EN SITIO. No incluye anillos de revestimiento </t>
  </si>
  <si>
    <t>   2.014  </t>
  </si>
  <si>
    <t xml:space="preserve">EXCAVACIÓN MANUAL 10-12 m PARA PILAS DE FUNDACION DIAMETRO FUSTE ENTRE 1.20-1.80m, En material heterogéneo bajo cualquier grado de humedad, Incluye  roca descompuesta, bolas de roca de volumen inferior a 0.5 m3,  molinete, motobomba, extracción del material de la pila y acarreo interno de materiales, cargue, transporte y botada del material proveniente de la excavación en botaderos oficiales o donde lo indique la interventoría, factor de expansión (30%) y todo lo necesario para su correcta construcción. SU MEDIDA SERA EN SITIO. No incluye anillos de revestimiento </t>
  </si>
  <si>
    <t>   2.015  </t>
  </si>
  <si>
    <t xml:space="preserve">EXCAVACIÓN MANUAL 12-14 m PARA PILAS DE FUNDACION DIAMETRO FUSTE ENTRE 1.20-1.80m, En material heterogéneo bajo cualquier grado de humedad, Incluye  roca descompuesta, bolas de roca de volumen inferior a 0.5 m3,  molinete, motobomba, extracción del material de la pila y acarreo interno de materiales, cargue, transporte y botada del material proveniente de la excavación en botaderos oficiales o donde lo indique la interventoría, factor de expansión (30%) y todo lo necesario para su correcta construcción. SU MEDIDA SERA EN SITIO. No incluye anillos de revestimiento </t>
  </si>
  <si>
    <t>   2.016  </t>
  </si>
  <si>
    <t xml:space="preserve">EXCAVACIÓN MANUAL 14-16 m PARA PILAS DE FUNDACION DIAMETRO FUSTE ENTRE 1.20-1.80m, En material heterogéneo bajo cualquier grado de humedad, Incluye  roca descompuesta, bolas de roca de volumen inferior a 0.5 m3,  molinete, motobomba, extracción del material de la pila y acarreo interno de materiales, cargue, transporte y botada del material proveniente de la excavación en botaderos oficiales o donde lo indique la interventoría, factor de expansión (30%) y todo lo necesario para su correcta construcción. SU MEDIDA SERA EN SITIO. No incluye anillos de revestimiento </t>
  </si>
  <si>
    <t>   2.017  </t>
  </si>
  <si>
    <t xml:space="preserve">EXCAVACIÓN MANUAL 16-18 m  PARA PILAS DE FUNDACION DIAMETRO FUSTE ENTRE 1.20-1.80m, En material heterogéneo bajo cualquier grado de humedad, Incluye  roca descompuesta, bolas de roca de volumen inferior a 0.5 m3,  molinete, motobomba, extracción del material de la pila y acarreo interno de materiales, cargue, transporte y botada del material proveniente de la excavación en botaderos oficiales o donde lo indique la interventoría, factor de expansión (30%) y todo lo necesario para su correcta construcción. SU MEDIDA SERA EN SITIO. No incluye anillos de revestimiento </t>
  </si>
  <si>
    <t>   2.018  </t>
  </si>
  <si>
    <t xml:space="preserve">EXCAVACIÓN MANUAL 18-20 m PARA PILAS DE FUNDACION DIAMETRO FUSTE ENTRE 1.20-1.80m, En material heterogéneo bajo cualquier grado de humedad, Incluye  roca descompuesta, bolas de roca de volumen inferior a 0.5 m3,  molinete, motobomba, extracción del material de la pila y acarreo interno de materiales, cargue, transporte y botada del material proveniente de la excavación en botaderos oficiales o donde lo indique la interventoría, factor de expansión (30%) y todo lo necesario para su correcta construcción. SU MEDIDA SERA EN SITIO. No incluye anillos de revestimiento </t>
  </si>
  <si>
    <t>   2.019  </t>
  </si>
  <si>
    <t xml:space="preserve">EXCAVACIÓN MANUAL 20-22 m PARA PILAS DE FUNDACION DIAMETRO FUSTE ENTRE 1.20-1.80m, En material heterogéneo bajo cualquier grado de humedad, Incluye  roca descompuesta, bolas de roca de volumen inferior a 0.5 m3,  molinete, motobomba, extracción del material de la pila y acarreo interno de materiales, cargue, transporte y botada del material proveniente de la excavación en botaderos oficiales o donde lo indique la interventoría, factor de expansión (30%) y todo lo necesario para su correcta construcción. SU MEDIDA SERA EN SITIO. No incluye anillos de revestimiento </t>
  </si>
  <si>
    <t>   2.020  </t>
  </si>
  <si>
    <t xml:space="preserve">EXCAVACIÓN MANUAL 22-24 m PARA PILAS DE FUNDACION DIAMETRO FUSTE ENTRE 1.20-1.80m, En material heterogéneo bajo cualquier grado de humedad, Incluye  roca descompuesta, bolas de roca de volumen inferior a 0.5 m3,  molinete, motobomba, extracción del material de la pila y acarreo interno de materiales, cargue, transporte y botada del material proveniente de la excavación en botaderos oficiales o donde lo indique la interventoría, factor de expansión (30%) y todo lo necesario para su correcta construcción. SU MEDIDA SERA EN SITIO. No incluye anillos de revestimiento </t>
  </si>
  <si>
    <t>   2.021  </t>
  </si>
  <si>
    <t xml:space="preserve">EXCAVACIÓN MANUAL 24-26 m PARA PILAS DE FUNDACION DIAMETRO FUSTE ENTRE 1.20-1.80m, En material heterogéneo bajo cualquier grado de humedad, Incluye  roca descompuesta, bolas de roca de volumen inferior a 0.5 m3,  molinete, motobomba, extracción del material de la pila y acarreo interno de materiales, cargue, transporte y botada del material proveniente de la excavación en botaderos oficiales o donde lo indique la interventoría, factor de expansión (30%) y todo lo necesario para su correcta construcción. SU MEDIDA SERA EN SITIO. No incluye anillos de revestimiento </t>
  </si>
  <si>
    <t>   2.022  </t>
  </si>
  <si>
    <t>Voladura EN ROCA con CUÑA HIDRÁULICA. Incluye perforaciones con taladro neumático rotopercutor de 2" de diámetro, desmbombe, transporte, cargue y botada fuera del lote</t>
  </si>
  <si>
    <t>Plg</t>
  </si>
  <si>
    <t>   2.023  </t>
  </si>
  <si>
    <t>LLENOS EN ARENILLA, compactados mecánicamente hasta obtener una densidad del 98% de la máxima obtenida en el ensayo del Próctor modificado  </t>
  </si>
  <si>
    <t>   2.024  </t>
  </si>
  <si>
    <t>LLENOS EN MATERIAL PROVENIENTES DE LA EXCAVACIÓN, compactados mecánicamente hasta obtener una densidad del 95% de la máxima obtenida en el ensayo del próctor modificado  </t>
  </si>
  <si>
    <t>   2.025  </t>
  </si>
  <si>
    <t>Suministro, transporte y colocación de material tipo BASE GRANULAR de máximo Ø 1½", reacomodado con medios mecánicos y compactado al 100% mínimo del ensayo del proctor modificado, según normas para la</t>
  </si>
  <si>
    <t>Total Capítulo 2  EXCAVACIONES Y LLENOS</t>
  </si>
  <si>
    <t>CAPITULO No. 3 CONCRETOS SUBESTRUCTURA</t>
  </si>
  <si>
    <t>   3.001  </t>
  </si>
  <si>
    <t>Colocación en Concreto de 2500 PSI (17.5 MPa), TM1", para SOLADO, con un espesor DE 0.05 m  </t>
  </si>
  <si>
    <t>   3.002  </t>
  </si>
  <si>
    <t>Construcción de CUNETA SEMICIRCULAR en Concreto Tipo Fluido de 3000 PSI (21 MPa), TM1", con un DESARROLLO DE 0.55 m. y un ESPESOR DE 0.08 m  </t>
  </si>
  <si>
    <t>   3.003  </t>
  </si>
  <si>
    <t>Construcción de RONDAS DE CORONACION en Concreto Tipo Fluido de 3000 PSI (21 MPa), TM1", con un DESARROLLO DE 0.50 m. y un ESPESOR DE 0.075 m  </t>
  </si>
  <si>
    <t>   3.004  </t>
  </si>
  <si>
    <t>MORTERO PROTECCION DE TALUDES, Colocación de concreto de 2000 PSI (14 Mpa) mas malla electrosoldada tipo U 63 o similar en taludes, con un espesor promedio de 0.05 m . Actividad temporal que luego se retira a satisfacción de la Interventoría. Incluye el suministro y el transporte del concreto y todos los demás elementos necesarios para su correcta construcción, incluye acarreo interno.</t>
  </si>
  <si>
    <t>   3.005  </t>
  </si>
  <si>
    <t>CONSTRUCCION DE RECINTES PARA CONTENCION TEMPORAL e=0.20 EN CONCRETO LANZADO O HIDRAULICO DE 3000 PSI (21 Mpa), Este muro se debe construir por tramos según los requerimientos del Estudio de suelos, ya que es parte de la conformación de la contención y proceso ascendente-descendente que está planteado en el mismo. La actividad debe incluir suministro de materiales, elementos, herramientas, equipos, para su correcta realizacion.</t>
  </si>
  <si>
    <t>   3.006  </t>
  </si>
  <si>
    <t>CONSTRUCCION ANILLOS DE PILAS e=0.10 EN CONCRETO DE 2500 PSI (17.5 Mpa), Incluye el suministro y preparación del concreto, transportes internos, formaletería o encofrado necesario para su ejecución y colocación.</t>
  </si>
  <si>
    <t>   3.007  </t>
  </si>
  <si>
    <t>DEMOLICION ANILLOS DE PILAS Demolición de anillos en concreto luego de la nivelacion final del terreno y excavaciones para vigas de fundacion, espesor 0.10 m y diametros promedio 1.50 m. Donde lo indique la Interventoría. Incluye el equipo necesario para su demolición como taladros y martillos, cargue y botada de escombros dentro del lote.</t>
  </si>
  <si>
    <t>   3.008  </t>
  </si>
  <si>
    <t>CONSTRUCCION PILAS DE FUNDACION, concreto tipo tremie de 4000 PSI (28 Mpa), TMN 1", incluye el vaciado desde la campana hasta el nivel inferior de la losa de fundación. Incluye suministro, transporte, bombeo con autobomba y colocación del concreto, mano de obra, vibrado, anclaje canasta, protección, para estructuras de acuerdo con las diferentes dimensiones establecidas en los planos y diseños y todos los demás elementos necesarios para su correcto vaciado.</t>
  </si>
  <si>
    <t>   3.009  </t>
  </si>
  <si>
    <t>CONSTRUCCION PILAS DE FUNDACION, concreto tipo tremie de 5000 PSI (35 Mpa), TMN 1", incluye el vaciado desde la campana hasta el nivel inferior de la losa de fundación. Incluye suministro, transporte, bombeo con autobomba y colocación del concreto, mano de obra, vibrado, anclaje canasta, protección, para estructuras de acuerdo con las diferentes dimensiones establecidas en los planos y diseños y todos los demás elementos necesarios para su correcto vaciado.</t>
  </si>
  <si>
    <t>   3.010  </t>
  </si>
  <si>
    <t>CONSTRUCCION CABEZOTE PILAS DE FUNDACION, concreto de 5000 PSI (35 Mpa), TMN 1", incluye suministro, transporte, Formaleta, bombeo con autobomba y colocación del concreto, mano de obra, vibrado,  y todos los demás elementos necesarios para su correcto vaciado.</t>
  </si>
  <si>
    <t>   3.011  </t>
  </si>
  <si>
    <t>CONSTRUCCION CABEZOTE PILAS DE FUNDACION, concreto de 6000 PSI (42 Mpa), TMN 1", incluye suministro, transporte, Formaleta, bombeo con autobomba y colocación del concreto, mano de obra, vibrado,  y todos los demás elementos necesarios para su correcto vaciado.</t>
  </si>
  <si>
    <t>   3.012  </t>
  </si>
  <si>
    <t>Construcción de VIGA DE FUNDACIÓN Concreto de 4000 PSI (28 MPa) ,TMN1", ”incluye suministro, transporte, Formaleta, bombeo con autobomba y colocación del concreto, mano de obra, vibrado, y todos los demás elementos necesarios para su correcto vaciado.</t>
  </si>
  <si>
    <t>   3.013  </t>
  </si>
  <si>
    <t>CONSTRUCCION FOSO NEGATIVO ASCENSOR, Actividad en el sótano 2 de torre NORTE ; profundidad final a definifir por proveedor, secciones según planos estructurales. Incluye excavación, vaciado de placa maciza de 15 cms, muro perimetral y divisorio en concreto de 4000 PSI (28 Mpa), según plano de detalle estructural . incluye suministro y mano de obra, formaletas y equipos.</t>
  </si>
  <si>
    <t>   3.014  </t>
  </si>
  <si>
    <t>Construcción de LOSA DE CONTRAPISO Concreto DE 3000 PSI (21 Mpa), TM1", con un espesor de 0.10m. Garantizar que la losa cumpla su función de estanqueidad e incluir SELLO DE JUNTAS segun detalle y recomendacion diseño estructural entre vaciados.”incluye suministro, transporte, Formaleta, bombeo con autobomba y colocación del concreto, mano de obra, vibrado, y todos los demás elementos necesarios para su correcto vaciado.</t>
  </si>
  <si>
    <t>   3.015  </t>
  </si>
  <si>
    <t>Construcción de LOSA DE CONTRAPISO Concreto DE 4000 PSI (28 Mpa), TM1", con un espesor de 0.25m. Garantizar que la losa cumpla su función de estanqueidad e incluir SELLO DE JUNTAS segun detalle y recomendacion diseño estructural, entre vaciados y muros, adicionalmente incluir en la mezlca FIBRA Nikon e impermeabilizante integral tipo Plastocrete Dm o equivalente calidad,  ”incluye suministro, transporte, Formaleta, bombeo con autobomba y colocación del concreto, mano de obra, vibrado, y todos los demás elementos necesarios para su correcto vaciado.</t>
  </si>
  <si>
    <t>   3.016  </t>
  </si>
  <si>
    <t>Construcción de LOSA DE CONTRAPISO Para rampas en plazoleta exterior TORRE SUR y tarima de teatro, Concreto DE 3000 PSI (21 Mpa), TM1", con un espesor de 0.10m. Garantizar que la losa cumpla su función de estanqueidad e incluir SELLO DE JUNTAS segun detalle y recomendacion diseño estructural entre vaciados.”incluye suministro, transporte, Formaleta, bombeo con autobomba y colocación del concreto, mano de obra, vibrado, y todos los demás elementos necesarios para su correcto vaciado.</t>
  </si>
  <si>
    <t>   3.017  </t>
  </si>
  <si>
    <t>Construcción de MURO DE CONTENCIÓN en concreto Concreto de 4000 PSI (28 MPa) ,TM1”, con un ESPESOR DE 0,15 m, incluye suministro, transporte, Formaleta, bombeo con autobomba y colocación del concreto, mano de obra, vibrado, y todos los demás elementos necesarios para su correcto vaciado.</t>
  </si>
  <si>
    <t>   3.018  </t>
  </si>
  <si>
    <t>Construcción de MURO DE CONTENCIÓN en concreto Concreto de 4000 PSI (28 MPa) ,TM1”, con un ESPESOR DE 0,20 m, incluye suministro, transporte, Formaleta, bombeo con autobomba y colocación del concreto, mano de obra, vibrado, y todos los demás elementos necesarios para su correcto vaciado.</t>
  </si>
  <si>
    <t>   3.019  </t>
  </si>
  <si>
    <t>Construcción de MURO DE CONTENCIÓN en concreto Concreto de 4000 PSI (28 MPa) ,TM1”, con un ESPESOR DE 0,25 m, incluye suministro, transporte, Formaleta, bombeo con autobomba y colocación del concreto, mano de obra, vibrado, y todos los demás elementos necesarios para su correcto vaciado.</t>
  </si>
  <si>
    <t>Total Capítulo 3 CONCRETOS SUBESTRUCTURA</t>
  </si>
  <si>
    <t>CAPITULO No. 4 CONCRETOS ESTRUCTURA</t>
  </si>
  <si>
    <t>   4.001  </t>
  </si>
  <si>
    <t>Construcción de COLUMNAS RECTANGULARES DE seccion y altura variable. En concreto de 7000 PSI (49 Mpa) , Incluye suministro, transporte y colocación del concreto, formaleta para acabado a la vista, aristas biseladas, desmoldante, vibrado, protección, curado y todos los demás elementos necesarios para su correcta construcción según diseño.</t>
  </si>
  <si>
    <t>   4.002  </t>
  </si>
  <si>
    <t>Construcción de COLUMNAS RECTANGULARES DE seccion y altura variable TORRE NORTE. En concreto de 7000 PSI (49 Mpa) , Incluye suministro, transporte y colocación del concreto, formaleta para acabado a la vista, aristas biseladas, desmoldante, vibrado, protección, curado y todos los demás elementos necesarios para su correcta construcción según diseño.</t>
  </si>
  <si>
    <t>   4.003  </t>
  </si>
  <si>
    <t>Construcción de COLUMNASRECTANGULARES DE seccion y altura variable TORRE NORTE. En concreto de 6000 PSI (42 Mpa) , Incluye suministro, transporte y colocación del concreto, formaleta para acabado a la vista, aristas biseladas, desmoldante, vibrado, protección, curado y todos los demás elementos necesarios para su correcta construcción según diseño.</t>
  </si>
  <si>
    <t>   4.004  </t>
  </si>
  <si>
    <t>Concreto Escaleras de 4000 PSI (28 Mpa) mas Vigas descolgadas según detalles estructructurales, en zonas de plazoleta y entrepisos TORRE NORTE. Incluye suministro, transporte y colocación del concreto, formaleta de primera calidad para acabado a la vista de contrahuellas y vigas profundas, moldura chaflán en contrahuellas, vibrado, protección y curado para estructuras, de acuerdo a las diferentes dimensiones establecida en los planos y todos los demás elementos necesarios para su correcto vaciado según diseño.</t>
  </si>
  <si>
    <t>   4.005  </t>
  </si>
  <si>
    <t>CONCRETO LOSAS AEREAS ALIGERADAS e=0.70m Recubrimiento 0.12 m Concreto 4000 PSI (28 Mpa) (Losas Tipicas) + Nudos 7000 PSI (49 Mpa) S1 y P1 , Casetón Recuperable de Porón mas recubrimiento en cartonplast para cielos en concreto acabado a la vista, Incluye suministro, transporte y colocación del concreto, formaleta para acabado a la vista, aristas biseladas, desmoldante, vibrado, protección, curado y todos los demás elementos necesarios para su correcta construcción según diseño.</t>
  </si>
  <si>
    <t>   4.006  </t>
  </si>
  <si>
    <t>CONCRETO LOSAS AEREAS ALIGERADAS e=0.70m Recubrimiento 0.12 m Concreto 5000 PSI (35 Mpa) (Losas Tipicas) + Nudos 7000 PSI (49 Mpa) P1 TORRE SUR, Casetón Recuperable de Porón, mas recubrimiento en cartonplast para cielos en concreto acabado a la vista, Incluye suministro, transporte y colocación del concreto, formaleta para acabado a la vista, aristas biseladas, desmoldante, vibrado, protección, curado y todos los demás elementos necesarios para su correcta construcción según diseño.</t>
  </si>
  <si>
    <t>   4.007  </t>
  </si>
  <si>
    <t>CONCRETO LOSA DOBLE ALTURA AEREA ALIGERADA e=1.20m de vigas profundas y nervios de 0.60m Recubrimiento 0.10 m Concreto 4000 PSI (28 Mpa) + Nudos 7000 PSI (49 Mpa) TORRE NORTE PISO 3, Casetón Recuperable de Porón, mas recubrimiento en cartonplast para cielos en concreto acabado a la vista, Incluye suministro, transporte y colocación del concreto, formaleta para acabado a la vista, aristas biseladas, desmoldante, vibrado, protección, curado y todos los demás elementos necesarios para su correcta construcción según diseño.</t>
  </si>
  <si>
    <t>   4.008  </t>
  </si>
  <si>
    <t>CONCRETO LOSAS AEREAS ALIGERADAS e=0.70m Recubrimiento 0.10 m Concreto 4000 PSI (28 Mpa) (Losas Tipicas) + Nudos 7000 PSI (49 Mpa) TORRE NORTE , Casetón Recuperable de Porón, mas recubrimiento en cartonplast para cielos en concreto acabado a la vista, Incluye suministro, transporte y colocación del concreto, formaleta para acabado a la vista, aristas biseladas, desmoldante, vibrado, protección, curado y todos los demás elementos necesarios para su correcta construcción según diseño.</t>
  </si>
  <si>
    <t>   4.009  </t>
  </si>
  <si>
    <t>CONCRETO LOSAS AEREAS ALIGERADAS e=0.70m Recubrimiento 0.10 m Concreto 4000 PSI (28 Mpa) (Losas Tipicas) + Nudos 6000 PSI (42 Mpa) TORRE NORTE , Casetón Recuperable de Porón, mas recubrimiento en cartonplast para cielos en concreto acabado a la vista, Incluye suministro, transporte y colocación del concreto, formaleta para acabado a la vista, aristas biseladas, desmoldante, vibrado, protección, curado y todos los demás elementos necesarios para su correcta construcción según diseño.</t>
  </si>
  <si>
    <t>   4.010  </t>
  </si>
  <si>
    <t>CONCRETO LOSAS AEREAS ALIGERADAS e=0.60m Recubrimiento 0.10 m Concreto 4000 PSI (28 Mpa) (Losas Tipicas) CUBIERTA Y MAQUINAS TORRE NORTE , Casetón Recuperable de Porón, mas recubrimiento en cartonplast para cielos en concreto acabado a la vista, Incluye suministro, transporte y colocación del concreto, formaleta para acabado a la vista, aristas biseladas, desmoldante, vibrado, protección, curado y todos los demás elementos necesarios para su correcta construcción según diseño.</t>
  </si>
  <si>
    <t>   4.011  </t>
  </si>
  <si>
    <t>CONCRETO RAMPA ALIGERADAS SOBRE TERRENO e=0.60m Recubrimiento 0.15 m Concreto 4000 PSI (28 Mpa) TORRE NORTE , Casetón NO Recuperable de Madera o Porón,mas recubrimiento en cartonplast para cielos en concreto acabado a la vista, ranurado en espina de pescado, Incluye suministro, transporte y colocación del concreto, desmoldante, vibrado, protección, curado y todos los demás elementos necesarios para su correcta construcción según diseño.</t>
  </si>
  <si>
    <t>   4.012  </t>
  </si>
  <si>
    <t>CONCRETO RAMPA AEREAS ALIGERADAS e=0.60m Recubrimiento 0.15 m Concreto 4000 PSI (28 Mpa) (Losas Tipicas) TORRE NORTE , Casetón Recuperable de Madera o Porón, mas recubrimiento en cartonplast para cielos en concreto acabado a la vista, ranurado en espina de pescado, Incluye suministro, transporte y colocación del concreto, formaleta para acabado a la vista, aristas biseladas, desmoldante, vibrado, protección, curado y todos los demás elementos necesarios para su correcta construcción según diseño.</t>
  </si>
  <si>
    <t>   4.013  </t>
  </si>
  <si>
    <t>Construcción de VIGAS AÉREAS de 0.4 x 0.6 m. Con Concreto 4000 PSI (28 Mpa), TM1". Desde una altura de +0.00 m hasta 5,30 m (P1 a P2) y desde +5.30 m hasta 9.30 m (P2 a P3) medidos desde el nivel de apoyo de la obra falsa hasta el nivel inferior de la viga en TORRE NORTE.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t>
  </si>
  <si>
    <t>   4.014  </t>
  </si>
  <si>
    <t>Construcción de COLUMNAS RECTANGULARES DE seccion y altura variable TORRE SUR. En concreto de 7000 PSI (49 Mpa) , Incluye suministro, transporte y colocación del concreto, formaleta para acabado a la vista, aristas biseladas, desmoldante, vibrado, protección, curado y todos los demás elementos necesarios para su correcta construcción según diseño.</t>
  </si>
  <si>
    <t>   4.015  </t>
  </si>
  <si>
    <t>Construcción de COLUMNAS RECTANGULARES DE seccion y altura variable TORRE SUR. En concreto de 6000 PSI (42 Mpa) , Incluye suministro, transporte y colocación del concreto, formaleta para acabado a la vista, aristas biseladas, desmoldante, vibrado, protección, curado y todos los demás elementos necesarios para su correcta construcción según diseño.</t>
  </si>
  <si>
    <t>   4.016  </t>
  </si>
  <si>
    <t>Construcción de MUROS TANQUE en concreto Concreto de 4000 PSI (28 MPa) ,TM1”, con un ESPESOR DE 0,20 m, adicionalmente incluir en la mezlca FIBRA Nikon e impermeabilizante integral tipo Plastocrete Dm o equivalente calidad, incluye suministro, transporte, Formaleta, bombeo con autobomba y colocación del concreto, mano de obra, vibrado, y todos los demás elementos necesarios para su correcto vaciado.</t>
  </si>
  <si>
    <t>   4.017  </t>
  </si>
  <si>
    <t>Concreto Escaleras de 4000 PSI (28 Mpa) mas Vigas descolgadas según detalles estructructurales, en zonas de plazoleta y entrepisos TORRE SUR. Incluye suministro, transporte y colocación del concreto, formaleta de primera calidad para acabado a la vista de contrahuellas y vigas profundas, moldura chaflán en contrahuellas, vibrado, protección y curado para estructuras, de acuerdo a las diferentes dimensiones establecida en los planos y todos los demás elementos necesarios para su correcto vaciado según diseño.</t>
  </si>
  <si>
    <t>   4.018  </t>
  </si>
  <si>
    <t>CONCRETO LOSA AEREA ALIGERADA DOBLE ALTURA e=0.60m Recubrimiento 0.10 m Concreto 5000 PSI (35 Mpa) (Losas Tipicas) + Nudos 7000 PSI (49 Mpa) P3 TORRE SUR, Casetón Recuperable de Porón, mas recubrimiento en cartonplast para cielos en concreto acabado a la vista, Incluye suministro, transporte y colocación del concreto, formaleta para acabado a la vista, aristas biseladas, desmoldante, vibrado, protección, curado y todos los demás elementos necesarios para su correcta construcción según diseño.</t>
  </si>
  <si>
    <t>   4.019  </t>
  </si>
  <si>
    <t>CONCRETO LOSAS AEREAS ALIGERADAS e=0.60m Recubrimiento 0.10 m Concreto 4000 PSI (28 Mpa) (Losas Tipicas) + Nudos 7000 PSI (49 Mpa) TORRE SUR , Casetón Recuperable de Porón, mas recubrimiento en cartonplast para cielos en concreto acabado a la vista, Incluye suministro, transporte y colocación del concreto, formaleta para acabado a la vista, aristas biseladas, desmoldante, vibrado, protección, curado y todos los demás elementos necesarios para su correcta construcción según diseño.</t>
  </si>
  <si>
    <t>   4.020  </t>
  </si>
  <si>
    <t>CONCRETO LOSAS AEREAS ALIGERADAS e=0.60m Recubrimiento 0.10 m Concreto 4000 PSI (28 Mpa) (Losas Tipicas) + Nudos 6000 PSI (42 Mpa) TORRE SUR , Casetón Recuperable de Porón, mas recubrimiento en cartonplast para cielos en concreto acabado a la vista, Incluye suministro, transporte y colocación del concreto, formaleta para acabado a la vista, aristas biseladas, desmoldante, vibrado, protección, curado y todos los demás elementos necesarios para su correcta construcción según diseño.</t>
  </si>
  <si>
    <t>   4.021  </t>
  </si>
  <si>
    <t>CONCRETO LOSA INCLINADA AEREAS ALIGERADAS e=0.90m Recubrimiento 0.10 m Concreto 4000 PSI (28 Mpa) (Losas Tipicas) + Nudos 5000 PSI (35 Mpa) GRADERIAS TEATRO TORRE SUR , mas recubrimiento en cartonplast para cielos en concreto acabado a la vista, Concreto acabado a la vista, Incluye suministro, transporte y colocación del concreto, formaleta para acabado a la vista, aristas biseladas, desmoldante, vibrado, protección, curado y todos los demás elementos necesarios para su correcta construcción según diseño.</t>
  </si>
  <si>
    <t>   4.022  </t>
  </si>
  <si>
    <t>CONCRETO LOSA AEREA ALIGERADA e=0.60m Recubrimiento 0.10 m Concreto 4000 PSI (28 Mpa) (Losas Tipicas) + Nudos 5000 PSI (35 Mpa) MEZANINE TEATRO , Casetón Recuperable de Porón,mas recubrimiento en cartonplast para cielos en concreto acabado a la vista, Incluye suministro, transporte y colocación del concreto, formaleta para acabado a la vista, aristas biseladas, desmoldante, vibrado, protección, curado y todos los demás elementos necesarios para su correcta construcción según diseño.</t>
  </si>
  <si>
    <t>   4.023  </t>
  </si>
  <si>
    <t>Construcción de VIGAS AÉREAS de 0.4 x 0.6 m. Con Concreto 4000 PSI (28 Mpa), TM1". Desde una altura de +0.00 m hasta 5,30 m (P1 a P2) y desde +5.30 m hasta 9.30 m (P2 a P3) medidos desde el nivel de apoyo de la obra falsa hasta el nivel inferior de la viga en TORRE SUR.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t>
  </si>
  <si>
    <t>   4.024  </t>
  </si>
  <si>
    <t>CONCRETO LOSAS AEREAS EN STEEL DECK DE 2" PUENTES e=0.10m, Concreto 4000 PSI (28 Mpa),, Incluye suministro, transporte y colocación del concreto, construccion steel deck, formaleta Borde losa, desmoldante, vibrado, protección, curado y todos los demás elementos necesarios para su correcta construcción según diseño.</t>
  </si>
  <si>
    <t>   4.025  </t>
  </si>
  <si>
    <t>ACELEROGRAFOS (TS Y TN)</t>
  </si>
  <si>
    <t>Total Capítulo 4 CONCRETOS ESTRUCTURA</t>
  </si>
  <si>
    <t>CAPITULO No.5 CONCRETOS VARIOS</t>
  </si>
  <si>
    <t>   5.001  </t>
  </si>
  <si>
    <t>TORRE NORTE - Construcción de LAGRIMAL en concreto 21 Mpa (incluye vigueta y sello), con un ANCHO DE 0.30m y un ESPESOR DE 10 cm. Con un concreto impermeabilizado con Sika 1 o equivalente, vaciado en el sitio, No incluye refuerzo.  </t>
  </si>
  <si>
    <t>   5.002  </t>
  </si>
  <si>
    <t>TORRE NORTE - Construcción de DINTELES Y/O CUELGAS DE 0.15 X 0.20 m. en concreto 21 Mpa. Este elemento va revocado o enchapado en el mismo material de la mampostería, el acabado se pagará en el ítem respectivo. Incluye suministro, transporte y colocación del concreto, formaleta, protección, curado y todos los elementos necesarios para su correcta ejecución. No incluye refuerzo.  </t>
  </si>
  <si>
    <t>   5.003  </t>
  </si>
  <si>
    <t>TORRE NORTE - Construcción de CÁRCAMO en concreto de 21 Mpa. con un ESPESOR DE PAREDES Y LOSA DE 10 cm, 0.5x0.40 Incluye suministro, transporte y colocación del concreto, las pendientes requeridas, preparada y nivelación del terreno, tapa en concreto de 21 Mpa, conexiones a red existente, tubería y accesorios de ser requeridos. Incluye formaleta y todos los elementos necesarios para su correcta construcción. No incluye entresuelo en piedra, ni acero de refuerzo. Según diseño.  </t>
  </si>
  <si>
    <t>   5.005  </t>
  </si>
  <si>
    <t>TORRE NORTE - Colocación de GROUTING en concreto de 17.5 Mpa., para relleno de muros no estructurales - mamposteria</t>
  </si>
  <si>
    <t>   5.006  </t>
  </si>
  <si>
    <t>TORRE NORTE - Construcción de ANCLAJE EPÓXICO sobre estructura de concreto existente para varillas de acero de diámetro hasta 1/2"  </t>
  </si>
  <si>
    <t>un</t>
  </si>
  <si>
    <t>   5.007  </t>
  </si>
  <si>
    <t>TORRE NORTE - Suministro, diseño e instalación de PUNTOS DE ANCLAJE CERTIFICADOS en cubierta del edificio.Como punto de conexión, mantenimiento y/o para la instalación de líneas de vida temporales  </t>
  </si>
  <si>
    <t>   5.008  </t>
  </si>
  <si>
    <t>TORRE NORTE - Construcción de VIGAS DE AMARRE 0.15m x 0.20 m para mamporteria doble altura en concreto de 3000 PSI (21 MPa), TM1", No incluye refuerzo.  </t>
  </si>
  <si>
    <t>ml</t>
  </si>
  <si>
    <t>   5.009  </t>
  </si>
  <si>
    <t>TORRE NORTE - Construcción de MACHONES O COLUMNETAS 0.15m x 0.20 m para mamporteria de apoyo escaleras de 3000 PSI (21 MPa), TM1", No incluye refuerzo.  </t>
  </si>
  <si>
    <t>   5.010  </t>
  </si>
  <si>
    <t>TORRE NORTE - Construcción de CORDON 0.15m x 0.20 m en concreto de 3000 PSI (21 MPa), TM1", No incluye refuerzo.  </t>
  </si>
  <si>
    <t>   5.011  </t>
  </si>
  <si>
    <t>TORRE NORTE - Construcción de REBANCO PARA TANQUES ELEVADOS EN CUBIERTA. en concreto de 21 Mpa impermeabilizado con Sika 1 o equivalente, Incluye suministro, transporte y colocación del concreto, formaleta súper "T" de 19 mm. o equivalente para acabado a la vista, protección, curado y todos los demás elementos necesarios para su correcta construcción. Según diseño. No incluye refuerzo.  </t>
  </si>
  <si>
    <t>   5.012  </t>
  </si>
  <si>
    <t>TORRE SUR - Construcción de LAGRIMAL en concreto 21 Mpa (incluye vigueta y sello), con un ANCHO DE 0.30m y un ESPESOR DE 10 cm. Con un concreto impermeabilizado con Sika 1 o equivalente, vaciado en el sitio, No incluye refuerzo.  </t>
  </si>
  <si>
    <t>   5.013  </t>
  </si>
  <si>
    <t>TORRE SUR - Construcción de DINTELES Y/O CUELGAS DE 0.15 X 0.20 m. en concreto 21 Mpa. Este elemento va revocado o enchapado en el mismo material de la mampostería, el acabado se pagará en el ítem respectivo. Incluye suministro, transporte y colocación del concreto, formaleta, protección, curado y todos los elementos necesarios para su correcta ejecución. No incluye refuerzo.  </t>
  </si>
  <si>
    <t>   5.014  </t>
  </si>
  <si>
    <t>TORRE SUR - Construcción de CÁRCAMO en concreto de 21 Mpa. con un ESPESOR DE PAREDES Y LOSA DE 10 cm, 0.5x0.40 Incluye suministro, transporte y colocación del concreto, las pendientes requeridas, preparada y nivelación del terreno, tapa en concreto de 21 Mpa, conexiones a red existente, tubería y accesorios de ser requeridos. Incluye formaleta y todos los elementos necesarios para su correcta construcción. No incluye entresuelo en piedra, ni acero de refuerzo. Según diseño.  </t>
  </si>
  <si>
    <t>   5.016  </t>
  </si>
  <si>
    <t>TORRE SUR - Colocación de GROUTING en concreto de 17.5 Mpa., para relleno de muros no estructurales - mamposteria</t>
  </si>
  <si>
    <t>   5.017  </t>
  </si>
  <si>
    <t>TORRE SUR - Construcción de ANCLAJE EPÓXICO sobre estructura de concreto existente para varillas de acero de diámetro hasta 1/2"  </t>
  </si>
  <si>
    <t>   5.018  </t>
  </si>
  <si>
    <t>TORRE SUR - Suministro, diseño e instalación de PUNTOS DE ANCLAJE CERTIFICADOS en cubierta del edificio.Como punto de conexión, mantenimiento y/o para la instalación de líneas de vida temporales  </t>
  </si>
  <si>
    <t>   5.019  </t>
  </si>
  <si>
    <t>TORRE SUR - Construcción de VIGAS DE AMARRE 0.15m x 0.20 m para mamporteria doble altura en concreto de 3000 PSI (21 MPa), TM1", No incluye refuerzo.  </t>
  </si>
  <si>
    <t>   5.020  </t>
  </si>
  <si>
    <t>TORRE SUR - Construcción de MACHONES O COLUMNETAS 0.15m x 0.20 m para mamporteria de apoyo escaleras de 3000 PSI (21 MPa), TM1", No incluye refuerzo.  </t>
  </si>
  <si>
    <t>   5.021  </t>
  </si>
  <si>
    <t>TORRE SUR - Construcción de CORDON 0.15m x 0.20 m en concreto de 3000 PSI (21 MPa), TM1", No incluye refuerzo.  </t>
  </si>
  <si>
    <t>Total Capítulo 5 CONCRETOS VARIOS</t>
  </si>
  <si>
    <t>CAPITULO No. 6  ACEROS</t>
  </si>
  <si>
    <t>   6.001  </t>
  </si>
  <si>
    <t>TORRE NORTE - 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 </t>
  </si>
  <si>
    <t>kg</t>
  </si>
  <si>
    <t>   6.002  </t>
  </si>
  <si>
    <t>TORRE NORTE - Suministro, transporte e instalación de ACERO DE REFUERZO FIGURADO PARA DOVELAS Y ELEMENTOS NO ESTRUCTURALES FY= 420 Mpa-60000 PSI, corrugado. Incluye transporte con descarga, transporte interno, alambre de amarre, certificados y todos los elementos necesarios para su correcta instalación, según diseño y recomendaciones estructurales.</t>
  </si>
  <si>
    <t>   6.003  </t>
  </si>
  <si>
    <t>TORRE NORTE - Colocación de MALLA ELECTROSOLDADA TIPO D 158. Incluye el suministro y el transporte del material y todos los elementos necesarios para su correcta colocación  </t>
  </si>
  <si>
    <t>   6.004  </t>
  </si>
  <si>
    <t>TORRE NORTE - Colocación de MALLA ELECTROSOLDADA TIPO D 188. Incluye el suministro y el transporte del material y todos los elementos necesarios para su correcta colocación  </t>
  </si>
  <si>
    <t>   6.005  </t>
  </si>
  <si>
    <t>TORRE NORTE - Colocación de MALLA ELECTROSOLDADA TIPO D 106. Incluye el suministro y el transporte del material y todos los elementos necesarios para su correcta colocación  </t>
  </si>
  <si>
    <t>   6.006  </t>
  </si>
  <si>
    <t xml:space="preserve">TORRE NORTE - Construcción y montaje de ESTRUCTURA METÁLICA con anticorrosivo epóxico+pintura poliuretano, en PERFILERIA PTE para elementos de FACHADA mas PASARELA TECNICA EN REJILLA METALICA, según diseño. Incluye: suministro y transporte y colocacion </t>
  </si>
  <si>
    <t>Kg</t>
  </si>
  <si>
    <t>   6.007  </t>
  </si>
  <si>
    <t>TORRE SUR - 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 </t>
  </si>
  <si>
    <t>   6.008  </t>
  </si>
  <si>
    <t>TORRE SUR - Suministro, transporte e instalación de ACERO DE REFUERZO FIGURADO PARA DOVELAS Y ELEMENTOS NO ESTRUCTURALES FY= 420 Mpa-60000 PSI, corrugado. Incluye transporte con descarga, transporte interno, alambre de amarre, certificados y todos los elementos necesarios para su correcta instalación, según diseño y recomendaciones estructurales.</t>
  </si>
  <si>
    <t>   6.009  </t>
  </si>
  <si>
    <t>TORRE SUR - Colocación de MALLA ELECTROSOLDADA TIPO D 158. Incluye el suministro y el transporte del material y todos los elementos necesarios para su correcta colocación  </t>
  </si>
  <si>
    <t>   6.010  </t>
  </si>
  <si>
    <t>TORRE SUR - Colocación de MALLA ELECTROSOLDADA TIPO D 188. Incluye el suministro y el transporte del material y todos los elementos necesarios para su correcta colocación  </t>
  </si>
  <si>
    <t>   6.011  </t>
  </si>
  <si>
    <t>TORRE SUR - Colocación de MALLA ELECTROSOLDADA TIPO D 106. Incluye el suministro y el transporte del material y todos los elementos necesarios para su correcta colocación  </t>
  </si>
  <si>
    <t>   6.012  </t>
  </si>
  <si>
    <t xml:space="preserve">TORRE SUR - Construcción y montaje de ESTRUCTURA METÁLICA con anticorrosivo epóxico+pintura poliuretano, en PERFILERIA PTE para elementos de FACHADA mas PASARELA TECNICA EN REJILLA METALICA, según diseño. Incluye: suministro y transporte y colocacion </t>
  </si>
  <si>
    <t>   6.013  </t>
  </si>
  <si>
    <t xml:space="preserve">TORRE SUR - Construcción y montaje de ESTRUCTURA METÁLICA con anticorrosivo epóxico+pintura poliuretano, en PERFILERIA PTE para elementos de PUENTE, según diseño. Incluye: suministro y transporte y colocacion </t>
  </si>
  <si>
    <t>   6.014  </t>
  </si>
  <si>
    <t xml:space="preserve">TORRE SUR - Construcción y montaje de ESTRUCTURA METÁLICA con anticorrosivo epóxico+pintura poliuretano, en PERFILERIA PTE para elementos de PERGOLA, según diseño. Incluye: suministro y transporte y colocacion </t>
  </si>
  <si>
    <t>   6.015  </t>
  </si>
  <si>
    <t>TORRE SUR - Construcción y montaje de ESTRUCTURA METÁLICA con anticorrosivo epóxico+pintura poliuretano, en PERFILERIA PTE para elementos de PASARELA/PUENTE AUDITORIO, según diseño. Incluye pasamanos, piso en lamina o similar, y estructuras de soporte, Incluye: suministro y transporte y colocacion</t>
  </si>
  <si>
    <t>Total Capítulo 6 ACEROS</t>
  </si>
  <si>
    <t>CAPITULO No. 7  MUROS (MAMPOSTERIA Y LIVIANOS)</t>
  </si>
  <si>
    <t>   7.001  </t>
  </si>
  <si>
    <t>TORRE NORTE - Construcción de MAMPOSTERÍA EN BLOQUE DE CONCRETO DE 10x20x40 cm REVITADO. E= 10 cm. resistencia 13 Mpa NO ESTRUCTURAL. mortero de pega de 125 kg/cm2.</t>
  </si>
  <si>
    <t>   7.002  </t>
  </si>
  <si>
    <t>TORRE NORTE - Construcción de MAMPOSTERÍA EN BLOQUE DE CONCRETO DE 15x20x40 cm REVITADO. E= 15 cm. resistencia 13 Mpa NO ESTRUCTURAL. mortero de pega de 125 kg/cm2.</t>
  </si>
  <si>
    <t>   7.003  </t>
  </si>
  <si>
    <t>TORRE NORTE - Construcción de MAMPOSTERÍA EN LADRILLO ARCILLA RAYADO, REVITADO. E= 10 cm. NO ESTRUCTURAL. mortero de pega de 125 kg/cm2.</t>
  </si>
  <si>
    <t>   7.004  </t>
  </si>
  <si>
    <t>TORRE NORTE - Construcción de MAMPOSTERÍA EN LADRILLO ARCILLA RAYADO, REVITADO. E= 15 cm. NO ESTRUCTURAL. mortero de pega de 125 kg/cm2.</t>
  </si>
  <si>
    <t>   7.005  </t>
  </si>
  <si>
    <t>TORRE NORTE - Construcción de JUNTA DE DILATACIÓN ENTRE MAMPOSTERÍA Y ELEMENTOS ESTRUCTURALES (una sola cara), ancho de 2 cm., instalación de varilla de espuma de polietileno tipo sellalón, sikarod ó equivalente de Ø= 1", aplicación de masilla elástica sellante y adhesiva con base en poliuretano tipo Sikaflex-1a ó equivalente, junta máxima de ancho= 20 mm. prof.= 5 mm., color similar al muro a definir por la interventoría. Incluye suministro y transporte de los materiales y todos los elementos necesarios para su correcta construcción y funcionamiento. Se deben seguir todas las especificaciones y recomendaciones de los fabricantes de los materiales.  </t>
  </si>
  <si>
    <t>   7.006  </t>
  </si>
  <si>
    <t>TORRE NORTE - Suministro, transporte y aplicación de ACIDO NITRICO E HIDROSOLVE proporción 1:1:5 para lavada de muros a la vista, tanto en concreto como mamposteria, con todos los elementos necesarios</t>
  </si>
  <si>
    <t>   7.007  </t>
  </si>
  <si>
    <t>TORRE NORTE - MURO VERDE, incluye sistema de microriego y especies según recomendación paisajistica</t>
  </si>
  <si>
    <t>   7.008  </t>
  </si>
  <si>
    <t>TORRE NORTE - Suministro, transporte y colocación de muros en DRYWALL con placas en yeso 1 CARA, con un espesor de aprox de 9 cm (ancho del perfil mas espesor de placa), Incluye estructura metálica  para armado y soporte, perfiles esquineros, refuerzo de vanos para puertas y ventanas, placa de drywall de 1/2", cinta en fibra de vidrio de 50 mm., tornillería de 6x1 y 7x7/16, masilla, acabado en vinilo tipo 1 de Pintuco o equivalente (tres manos o las necesarias hasta obtener una superficie pareja y homogénea) y todos los demás elementos necesarios para su correcta instalación y funcionamiento.  </t>
  </si>
  <si>
    <t>   7.010  </t>
  </si>
  <si>
    <t>TORRE NORTE - Suministro, transporte y colocación de muros/enchape en SUPERBOAR STC 45 con  1 Placas de superboar 1/2",  Mas Aislante fibroso tipo sonowall o similar de 3" y densidad 60 kg/m3,  1 CARA ACABADA, masilla, acabado en vinilo tipo 1 de Pintuco o equivalente (tres manos o las necesarias hasta obtener una superficie pareja y homogénea), con un espesor de aprox de 9 cm (ancho del perfil mas espesor de placa) Ver detalles en anexo de estudio bioclimatico.   </t>
  </si>
  <si>
    <t>   7.011  </t>
  </si>
  <si>
    <t>TORRE NORTE - Suministro, transporte y colocación de muros en DRYWALL STC 45 con 2 placas en yeso 5/8", Mas Aislante fibroso tipo sonowall o similar de 3" y densidad 60 kg/m3, 2 CARAS ACABADAS, masilla, acabado en vinilo tipo 1 de Pintuco o equivalente (tres manos o las necesarias hasta obtener una superficie pareja y homogénea), con un espesor de aprox de 10 cm (ancho del perfil mas espesor de placa), Ver detalles en anexo de estudio bioclimatico. </t>
  </si>
  <si>
    <t>   7.012  </t>
  </si>
  <si>
    <t>TORRE NORTE - Suministro, transporte y colocación de muros en DRYWALL STC 50 con  4 placas en yeso de 1/2", Mas Aislante fibroso tipo sonowall o similar de 3" y densidad 32 kg/m3,  2 CARAS ACABADAS, masilla, acabado en vinilo tipo 1 de Pintuco o equivalente (tres manos o las necesarias hasta obtener una superficie pareja y homogénea), con un espesor de aprox de 12 cm (ancho del perfil mas espesor de placa), Ver detalles en anexo de estudio bioclimatico. </t>
  </si>
  <si>
    <t>   7.015  </t>
  </si>
  <si>
    <t xml:space="preserve">TORRE NORTE - suministro e instalacion de MAMPARAS/PANTALLAS EN LISTONES DE MADERA NATURAL TIPO ZAPAN 0.15x0.05x2.4 m PISO TECHO, distribucion y separacion según diseño, incluye todos los elementos para su correcta instalacion y funcionamiento </t>
  </si>
  <si>
    <t>   7.016  </t>
  </si>
  <si>
    <t>TORRE SUR - Construcción de MAMPOSTERÍA EN BLOQUE DE CONCRETO DE 10x20x40 cm REVITADO. E= 10 cm. resistencia 13 Mpa NO ESTRUCTURAL. mortero de pega de 125 kg/cm2.</t>
  </si>
  <si>
    <t>   7.017  </t>
  </si>
  <si>
    <t>TORRE SUR - Construcción de MAMPOSTERÍA EN BLOQUE DE CONCRETO DE 15x20x40 cm REVITADO. E= 15 cm. resistencia 13 Mpa NO ESTRUCTURAL. mortero de pega de 125 kg/cm2.</t>
  </si>
  <si>
    <t>   7.018  </t>
  </si>
  <si>
    <t>TORRE SUR - Construcción de MAMPOSTERÍA EN LADRILLO ARCILLA RAYADO, REVITADO. E= 10 cm. NO ESTRUCTURAL. mortero de pega de 125 kg/cm2.</t>
  </si>
  <si>
    <t>   7.019  </t>
  </si>
  <si>
    <t>TORRE TORRE SUR - Construcción de MAMPOSTERÍA EN LADRILLO ARCILLA RAYADO, REVITADO. E= 15 cm. NO ESTRUCTURAL. mortero de pega de 125 kg/cm2.</t>
  </si>
  <si>
    <t>   7.020  </t>
  </si>
  <si>
    <t>TORRE SUR - Construcción de JUNTA DE DILATACIÓN ENTRE MAMPOSTERÍA Y ELEMENTOS ESTRUCTURALES (una sola cara), ancho de 2 cm., instalación de varilla de espuma de polietileno tipo sellalón, sikarod ó equivalente de Ø= 1", aplicación de masilla elástica sellante y adhesiva con base en poliuretano tipo Sikaflex-1a ó equivalente, junta máxima de ancho= 20 mm. prof.= 5 mm., color similar al muro a definir por la interventoría. Incluye suministro y transporte de los materiales y todos los elementos necesarios para su correcta construcción y funcionamiento. Se deben seguir todas las especificaciones y recomendaciones de los fabricantes de los materiales.  </t>
  </si>
  <si>
    <t>   7.021  </t>
  </si>
  <si>
    <t>TORRE SUR - Suministro, transporte y aplicación de ACIDO NITRICO E HIDROSOLVE proporción 1:1:5 para lavada de muros a la vista, tanto en concreto como mamposteria, con todos los elementos necesarios para su correcta instalación y funcionamiento  </t>
  </si>
  <si>
    <t>   7.023  </t>
  </si>
  <si>
    <t>TORRE SUR - Suministro, transporte y colocación de muros en DRYWALL con placas en yeso 1 CARA, con un espesor de aprox de 9 cm (ancho del perfil mas espesor de placa), Incluye estructura metálica para armado y soporte, perfiles esquineros, refuerzo de vanos para puertas y ventanas, placa de drywall de 1/2", cinta en fibra de vidrio de 50 mm., tornillería de 6x1 y 7x7/16, masilla, acabado en vinilo tipo 1 de Pintuco o equivalente (tres manos o las necesarias hasta obtener una superficie pareja y homogénea) y todos los demás elementos necesarios para su correcta instalación y funcionamiento.  </t>
  </si>
  <si>
    <t>   7.024  </t>
  </si>
  <si>
    <t>TORRE SUR - Suministro, transporte y colocación de muros en DRYWALL con 2 placas en yeso 2 CARAS ACABADAS, con un espesor de aprox de 9 cm (ancho del perfil mas espesor de placa), Incluye estructura metálica a 61 cm de distancia para armado y soporte, perfiles esquineros, refuerzo de vanos para puertas y ventanas, placa de drywall de 1/2", cinta en fibra de vidrio de 50 mm., tornillería de 6x1 y 7x7/16, masilla, acabado en vinilo tipo 1 de Pintuco o equivalente (tres manos o las necesarias hasta obtener una superficie pareja y homogénea) y todos los demás elementos necesarios para su correcta instalación y funcionamiento.   </t>
  </si>
  <si>
    <t>   7.025  </t>
  </si>
  <si>
    <t>TORRE SUR - Suministro, transporte y colocación de muros/enchape en SUPERBOAR STC 45 con 1 Placa de superboar 1/2", Mas Aislante fibroso tipo sonowall o similar de 3" y densidad 60 kg/m3, 1 CARA ACABADA, masilla, acabado en vinilo tipo 1 de Pintuco o equivalente (tres manos o las necesarias hasta obtener una superficie pareja y homogénea), con un espesor de aprox de 9 cm (ancho del perfil mas espesor de placa) Ver detalles en anexo de estudio bioclimatico.   </t>
  </si>
  <si>
    <t>   7.026  </t>
  </si>
  <si>
    <t>TORRE SUR - Suministro, transporte y colocación de muros en DRYWALL STC 45 con 2 placas en yeso 5/8", Mas Aislante fibroso tipo sonowall o similar de 3" y densidad 60 kg/m3, 2 CARAS ACABADAS, masilla, acabado en vinilo tipo 1 de Pintuco o equivalente (tres manos o las necesarias hasta obtener una superficie pareja y homogénea), con un espesor de aprox de 10 cm (ancho del perfil mas espesor de placa), Ver detalles en anexo de estudio bioclimatico. </t>
  </si>
  <si>
    <t>   7.027  </t>
  </si>
  <si>
    <t>TORRE SUR - Suministro, transporte y colocación de muros en DRYWALL STC 50 con 4 placas en yeso de 1/2", Mas Aislante fibroso tipo sonowall o similar de 3" y densidad 32 kg/m3, 2 CARAS ACABADAS, masilla, acabado en vinilo tipo 1 de Pintuco o equivalente (tres manos o las necesarias hasta obtener una superficie pareja y homogénea), con un espesor de aprox de 12 cm (ancho del perfil mas espesor de placa), Ver detalles en anexo de estudio bioclimatico. </t>
  </si>
  <si>
    <t>   7.028  </t>
  </si>
  <si>
    <t>TORRE SUR - Suministro, transporte y colocación de muros en DRYWALL STC 60 con 2 placas en yeso 1/2" + 2 Placas de superboar 1/2", Mas Aislante fibroso tipo sonowall o similar de 3" y densidad 60 kg/m3 2 CARAS ACABADAS, con un espesor de aprox de 15 cm (ancho del perfil mas espesor de placa) , Ver detalles en anexo de estudio bioclimatico. </t>
  </si>
  <si>
    <t>   7.029  </t>
  </si>
  <si>
    <t>TORRE SUR - Suministro, transporte y colocación de muros en DRYWALL STC 50 con 2 placas en yeso 1/2" + 2 Placas de superboar 1/2", Mas Aislante fibroso tipo sonowall o similar de 3" y densidad 32 kg/m3, 2 CARAS ACABADAS, masilla, acabado en vinilo tipo 1 de Pintuco o equivalente (tres manos o las necesarias hasta obtener una superficie pareja y homogénea), con un espesor de aprox de 12 cm (ancho del perfil mas espesor de placa) Ver detalles en anexo de estudio bioclimatico.   </t>
  </si>
  <si>
    <t>   7.030  </t>
  </si>
  <si>
    <t>TORRE SUR - DIVISION ACUSTICA MOVIL STC53: Acabado tipo melamina + dintel acústico STC53. Incluye riel extruido en aluminio y estructuras metálicas de soporte tanto en rieles como en bolsillos.</t>
  </si>
  <si>
    <t>Total Capítulo 7  MUROS (MAMPOSTERIA Y LIVIANOS)</t>
  </si>
  <si>
    <t>CAPITULO No. 8  REVOQUES Y REVESTIMIENTOS (PARED/CIELOS)</t>
  </si>
  <si>
    <t>   8.001  </t>
  </si>
  <si>
    <t>TORRE NORTE - Suministro y Colocación de REVOQUE LISO INTERIOR LARGA VIDA con mortero 1:4 EN MUROS. Incluye suministro y transporte de los materiales, aditivo tipo eucon LV, fajas, ranuras, filetes y todos los demás elementos necesarios para su correcta construcción  </t>
  </si>
  <si>
    <t>   8.002  </t>
  </si>
  <si>
    <t>TORRE NORTE - Suministro y Colocación de REVOQUE LISO EXTERIOR LARGA VIDA con mortero 1:2 EN MUROS. Incluye suministro y transporte de los materiales, aditivo tipo eucon LV. cal hidratada, impermeabilizante, fajas, ranuras, filetes y todos los demás elementos necesarios para su correcta construcción  </t>
  </si>
  <si>
    <t>   8.003  </t>
  </si>
  <si>
    <t>TORRE NORTE - Suministro e Instalación de ENCHAPE CERÁMICO PARED, tipo Egeo DE 20.5 x 20.5 cm. o su equivalente, color blanco. Incluye suministro y transporte de los materiales, mortero adhesivo para enchapes tipo pegacor o equivalente, lechada preparada (boquilla) tipo Concolor de sumicol o equivalente del mismo color del enchape, moldura PVC remates toro acolillada y todos los elementos necesarios para su correcta instalación y funcionamiento.  </t>
  </si>
  <si>
    <t>   8.004  </t>
  </si>
  <si>
    <t>TORRE NORTE - Suministro e Instalación de ENCHAPE EN ALUCOBOND GRSI OSCURO Tipo Alutechbond PB-701 / RB-701 Koyu Gri / Dark Grey. o su equivalente. Incluye suministro y transporte de los materiales y todos los elementos necesarios para su correcta instalación y funcionamiento.  </t>
  </si>
  <si>
    <t>   8.005  </t>
  </si>
  <si>
    <t>TORRE NORTE - Suministro Instalación de ENCHAPE EN MADERA NATURAL TIPO PRODEMA PRODEX. o similar. Incluye suministro y transporte de los materiales y todos los elementos necesarios para su correcta instalación y funcionamiento.  </t>
  </si>
  <si>
    <t>   8.006  </t>
  </si>
  <si>
    <t>TORRE NORTE - Suministro Instalación de DE REVESTIMIENTO EN FACHADA TIPO QUIEBRAZOLES EN ALUZINC. QUADROBRISE XLS  o su equivalente, longitud segun ubicacion y diseño de fachada. Incluye suministro y transporte de los materiales y todos los elementos necesarios para su correcta instalación y funcionamiento.  </t>
  </si>
  <si>
    <t>   8.007  </t>
  </si>
  <si>
    <t>TORRE NORTE - Suministro e Instalación de ENCHAPE EN ACERO INOXIDABLE DINTELES ASCENSOR Incluye suministro y transporte de los materiales y todos los elementos necesarios para su correcta instalación</t>
  </si>
  <si>
    <t>   8.008  </t>
  </si>
  <si>
    <t>TORRE NORTE - Suministro e Instalación de ENCHAPE PARED/CIELO EN MARMOL CAFE PINTO 0.30xJP FRONTIS ASCENSOR. Incluye suministro y transporte de los materiales, mortero adhesivo para enchapes tipo pegacor o equivalente, lechada preparada (boquilla) tipo Concolor de sumicol o equivalente del mismo color del enchape, aplicación de lavada con acido en proporción 1:4, moldura PVC si aplica, remates toro acolillada y todos los elementos necesarios para su correcta instalación y funcionamiento.  </t>
  </si>
  <si>
    <t>   8.009  </t>
  </si>
  <si>
    <t>TORRE NORTE - Suministro y aplicación DE HIDROFUGO EN ENCHAPE PARED MARMOL CAFÉ PINTO, Incluye todos los productos químicos para el lavado y la desmanchada, el proctector (el hidrófugo) y todo lo nece</t>
  </si>
  <si>
    <t>   8.011  </t>
  </si>
  <si>
    <t>TORRE NORTE - Suministro e Instalación de ENCHAPE PORCELANATO PARED, tipo FALCON BEIGE 30x60 tipo attmosferas. o su equivalente. Incluye suministro y transporte de los materiales, mortero adhesivo para enchapes tipo pegacor o equivalente, lechada preparada (boquilla) tipo Concolor de sumicol o equivalente del mismo color del enchape, moldura PVC remates toro acolillada y todos los elementos necesarios para su correcta instalación y funcionamiento.  </t>
  </si>
  <si>
    <t>   8.012  </t>
  </si>
  <si>
    <t>TORRE NORTE - Suministro e intalacion de revestimiento para AISLAMIENTO DE PAREDES, PISO Y TECHO EN CAVA -  Paneles modulares en acero galvanizado prepintado por ambas caras, con poliuretano inyectado tipo sandwich, de alta densidad D/38, C/28 en 80mm  PAREDES 13 paneles de 2.4m, TECHO 3 paneles de 3.5m.Incluye y todo los elementos necesarios para su correcta instalacion y funcionamiento, NO incluye Puerta PE-08</t>
  </si>
  <si>
    <t>   8.013  </t>
  </si>
  <si>
    <t>TORRE NORTE - Colocación de ESTUCO PROFESIONAL, SOBRE MUROS REVOCADOS, 3 manos mínimo, o las que sean necesarias para obtener una superficie pareja y homogénea  </t>
  </si>
  <si>
    <t>   8.014  </t>
  </si>
  <si>
    <t>TORRE NORTE - Aplicación de PINTURA A BASE DE AGUA EN MUROS, CON VINILO TIPO 1 de primera calidad sobre muros revocados y/o estucados, tres manos o las necesarias hasta obtener una superficie pareja y homogénea  </t>
  </si>
  <si>
    <t>   8.015  </t>
  </si>
  <si>
    <t>TORRE NORTE - Aplicación de PINTURA PARA EXTERIOR TIPO KORAZA O SIMILAR COLOR GRIS BASALTO de primera calidad sobre muros revocados y/o estucados, tres manos o las necesarias hasta obtener una superficie pareja y homogénea  </t>
  </si>
  <si>
    <t>   8.016  </t>
  </si>
  <si>
    <t>TORRE NORTE - Aplicación de PINTURA EPOXICA de primera calidad sobre muros revocados, tres manos o las necesarias hasta obtener una superficie pareja y homogénea  </t>
  </si>
  <si>
    <t>   8.018  </t>
  </si>
  <si>
    <t>TORRE NORTE - Aplicación de PINTURA A BASE DE AGUA EN LOSA A LA VISTA/CIELO, CON VINILO TIPO 1 de primera calidad para cielos sobre losa de concreto, tres manos o las necesarias hasta obtener una supe</t>
  </si>
  <si>
    <t>   8.019  </t>
  </si>
  <si>
    <t>TORRE NORTE - Suministro e instlacion de CIELO EN DRYWALL A TOPE, Incluye estructura metálica para armado y soporte, perfiles esquineros, refuerzo de vanos para puertas y ventanas, placa de drywall de 1/2", cinta en fibra de vidrio de 50 mm., tornillería de 6x1 y 7x7/16, masilla, acabado en vinilo tipo 1 de Pintuco o equivalente (tres manos o las necesarias hasta obtener una superficie pareja y homogénea) y todos los demás elementos necesarios para su correcta instalación y funcionamiento.  </t>
  </si>
  <si>
    <t>   8.020  </t>
  </si>
  <si>
    <t>TORRE NORTE - Suministro Instalación de CIELO EN MADERA NATURAL TIPO TILE NATURA O PRODEMA DE HOUNTER DOUGLAS O SIMILAR. o su equivalente. Incluye suministro y transporte de los materiales y todos los</t>
  </si>
  <si>
    <t>   8.021  </t>
  </si>
  <si>
    <t>TORRE SUR - Suministro y Colocación de REVOQUE LISO INTERIOR LARGA VIDA con mortero 1:4 EN MUROS. Incluye suministro y transporte de los materiales, aditivios tipo eucon LV, fajas, ranuras, filetes y todos los demás elementos necesarios para su correcta construcción  </t>
  </si>
  <si>
    <t>   8.022  </t>
  </si>
  <si>
    <t>TORRE SUR - Suministro y Colocación de REVOQUE LISO EXTERIOR LARGA VIDA con mortero 1:2 EN MUROS. Incluye suministro y transporte de los materiales, aditivo tipo eucon LV. cal hidratada, impermeabilizante, fajas, ranuras, filetes y todos los demás elementos necesarios para su correcta construcción  </t>
  </si>
  <si>
    <t>   8.023  </t>
  </si>
  <si>
    <t>TORRE SUR - Suministro e Instalación de ENCHAPE CERÁMICO PARED, tipo Egeo DE 20.5 x 20.5 cm. o su equivalente, color blanco. Incluye suministro y transporte de los materiales, mortero adhesivo para enchapes tipo pegacor o equivalente, lechada preparada (boquilla) tipo Concolor de sumicol o equivalente del mismo color del enchape, moldura PVC remates toro acolillada y todos los elementos necesarios para su correcta instalación y funcionamiento.  </t>
  </si>
  <si>
    <t>   8.024  </t>
  </si>
  <si>
    <t>TORRE SUR - Suministro e Instalación de ENCHAPE EN ALUCOBOND GRSI OSCURO Tipo Alutechbond PB-701 / RB-701 Koyu Gri / Dark Grey. o su equivalente. Incluye suministro y transporte de los materiales y todos los elementos necesarios para su correcta instalación y funcionamiento.  </t>
  </si>
  <si>
    <t>   8.025  </t>
  </si>
  <si>
    <t>TORRE SUR - Suministro Instalación de ENCHAPE EN MADERA NATURAL TIPO PRODEMA PRODEX. o su equivalente. Incluye suministro y transporte de los materiales y todos los elementos necesarios para su correcta instalación y funcionamiento.  </t>
  </si>
  <si>
    <t>   8.026  </t>
  </si>
  <si>
    <t>TORRE SUR - Suministro Instalación de DE REVESTIMIENTO EN FACHADA TIPO QUIEBRAZOLES EN ALUZINC. QUADROBRISE XLS  o su equivalente, longitud segun ubicacion y diseño de fachada. Incluye suministro y transporte de los materiales y todos los elementos necesarios para su correcta instalación y funcionamiento.  </t>
  </si>
  <si>
    <t>   8.029  </t>
  </si>
  <si>
    <t>TORRE SUR - Suministro e Instalación de ENCHAPE PORCELANATO PARED, tipo BASIC CEMENT LIGHT GREY LIG10N 1A 30x60 tipo attmosferas. o su equivalente. Incluye suministro y transporte de los materiales,</t>
  </si>
  <si>
    <t>   8.030  </t>
  </si>
  <si>
    <t>TORRE SUR - Suministro e Instalación de ENCHAPE PORCELANATO PARED, tipo FALCON BEIGE 30x60 tipo attmosferas. o su equivalente. Incluye suministro y transporte de los materiales, mortero adhesivo para</t>
  </si>
  <si>
    <t>   8.031  </t>
  </si>
  <si>
    <t>TORRES SUR - SUPERFICIE ACÚSTICA DRYWALL LISO AUDITORIO - Revestimiento de pared: Muro una cara en placa yeso 1/2", Acabado según diseño. En perfileria base 6 Cal. 26 modulada @61cm. Con material de aislamiento fibroso tipo sonowall 2" y densidad de 32 kg/m3</t>
  </si>
  <si>
    <t>   8.032  </t>
  </si>
  <si>
    <t>TORRES SUR - SUPERFICIE ACÚSTICA DRYWALL PERDOFADA AUDITORIO - Revestimiento de pared: Muro una cara en placa yeso perforado de 1/2", Acabado según diseño. En perfileria base 6 Cal. 26 modulada @61cm. Con material de aislamiento fibroso tipo sonowall 2" y densidad de 32 kg/m3</t>
  </si>
  <si>
    <t>   8.033  </t>
  </si>
  <si>
    <t>TORRE SUR - Colocación de ESTUCO PLASTICO INTERIOR, SOBRE MUROS REVOCADOS, 3 manos mínimo, o las que sean necesarias para obtener una superficie pareja y homogénea  </t>
  </si>
  <si>
    <t>   8.034  </t>
  </si>
  <si>
    <t>TORRE SUR - Aplicación de PINTURA A BASE DE AGUA EN MUROS, CON VINILO TIPO 1 de primera calidad sobre muros revocados y/o estucados, tres manos o las necesarias hasta obtener una superficie pareja y homogénea  </t>
  </si>
  <si>
    <t>   8.035  </t>
  </si>
  <si>
    <t>TORRE SUR - Aplicación de PINTURA PARA EXTERIOR TIPO KORAZA O SIMILAR COLOR GRIS BASALTO de primera calidad sobre muros revocados y/o estucados, tres manos o las necesarias hasta obtener una superficie pareja y homogénea  </t>
  </si>
  <si>
    <t>   8.036  </t>
  </si>
  <si>
    <t>TORRE SUR - Aplicación de PINTURA EPOXICA de primera calidad sobre muros revocados, tres manos o las necesarias hasta obtener una superficie pareja y homogénea  </t>
  </si>
  <si>
    <t>   8.038  </t>
  </si>
  <si>
    <t>TORRE SUR - Suministro y aplicación de PINTURA INTUMESCENTE para estructura metalica según diseño, en las areas de PUENTES. retardante al fuego 120 minutos</t>
  </si>
  <si>
    <t>   8.039  </t>
  </si>
  <si>
    <t>TORRE SUR - Aplicación de PINTURA A BASE DE AGUA EN LOSA CONCRETO A LA VISTA/CIELOS, CON VINILO TIPO 1 de primera calidad para cielos sobre losa de concreto, tres manos o las necesarias hasta obtener</t>
  </si>
  <si>
    <t>   8.041  </t>
  </si>
  <si>
    <t>TORRE SUR - Suministro Instalación de CIELO EN MADERA NATURAL TIPO TILE NATURA O PRODEMA DE HOUNTER DOUGLAS O SIMILAR. o su equivalente. Incluye suministro y transporte de los materiales y todos los elementos necesarios para su correcta instalación y funcionamiento.  </t>
  </si>
  <si>
    <t>   8.042  </t>
  </si>
  <si>
    <t>MATERIAL DE ABSORCIÓN ACÚSTICA NO TEJIDO COLOR NEGRO ADHERIDO A LA LOSA TIPO ECOTEX - Material de absorción acústico no tejido color negro coeficiente de absorción de sonido (AW) 0,3-0,9 lámina de 2.44m x11.20m de ancho de 10mm de espesor</t>
  </si>
  <si>
    <t>   8.043  </t>
  </si>
  <si>
    <t>CIELO RASO ABSORBENTE PERFORADO TIPO CLEANEO - Cielo raso junta perdida con placa de yeso peforado tipo cleaneo o exsound, material de absorcion fibroso tipo lana mineral de roca densidad 32 gk/m3 espesor 2", perfileria cal.24 con separacion de viguetas @.90 y omegas @.40m  (Acabado nivel 4). Incluye 3 manos de pintura.</t>
  </si>
  <si>
    <t>   8.044  </t>
  </si>
  <si>
    <t>MATERIAL DE ABSORCIÓN ACÚSTICA NO TEJIDO COLOR NEGRO ADHERIDO A LA LOSA TIPO ECOTEX AUDITORIO - Material de absorción acústico no tejido color negro coeficiente de absorción de sonido (AW) 0,3-0,9 lámina de 2.44m x11.20m de ancho de 10mm de espesor</t>
  </si>
  <si>
    <t>   8.045  </t>
  </si>
  <si>
    <t>NUBE ACÚSTICA MADERA LISA + MATERIAL FIBROSO TIPO LANA MINERAL DE ROCA - Cielo raso en nubes descolgadas de tablero contrachapado, perfileria cal.26 con separacion de viguetas @.90 y omegas @.40m (Acabado nivel 4) con material fibroso tipo lana mineral de roca densidad 32kg/m³ y espesor 2" encima</t>
  </si>
  <si>
    <t>Total Capítulo 8  REVOQUES Y REVESTIMIENTOS (PARED/CIELOS)</t>
  </si>
  <si>
    <t xml:space="preserve">CAPITULO No. 9  PISOS </t>
  </si>
  <si>
    <t>   9.001  </t>
  </si>
  <si>
    <t>TORRE NORTE - Construccion MORTERO DE PISO para pega y nivelación 1:4 de cemento, arena de concreto lavada y aditivo plastificante en un espesor de 5 cm</t>
  </si>
  <si>
    <t>   9.002  </t>
  </si>
  <si>
    <t>TORRE NORTE - Construccion MORTERO IMPERMEABILIZADO DE PISO para pega y nivelación 1:2 de cemento, arena de concreto lavada, aditivo plastificante e impermeabilizante en un espesor de 5 cm</t>
  </si>
  <si>
    <t>   9.003  </t>
  </si>
  <si>
    <t>TORRE NORTE - Construccion CONCRETO DE NIVELACION CUBIERTA espesor de 8-10 cm o hasta el nivel que indique la interventoria, pendientes hacia desagues y todo lo necesario para su correcto funcionamiento, incluye malla D-63 e icopor</t>
  </si>
  <si>
    <t>   9.004  </t>
  </si>
  <si>
    <t>Construcción de PISO EN PIEDRA TIPO ROYAL BETA DORADA O SIMILAR, formato 60x30, de primera calidad aprobada por la interventoría. Incluye, suministro y transporte de las baldosas, varilla de dilatación en PVC de 5 mm x 37mm en cuadrículas de 3.60 x 3.60., lechada del mismo color de la pieza en piedra, mortero de pega mejorado con látex y nivelación impermeabilizado con impermeabilizante integral, destroncada, aplicación de lavada con acido en proporción 1:4 y todo lo necesario para garantizar la correcta apariencia estética y funcionamiento.</t>
  </si>
  <si>
    <t>   9.005  </t>
  </si>
  <si>
    <t>Suministro y aplicación DE HIDROFUGO EN PISO ROYAL BETA DORADO, Incluye todos los productos químicos para el lavado y la desmanchada, el proctector (el hidrófugo) y todo lo necesario para su correcta aplicación.</t>
  </si>
  <si>
    <t>   9.006  </t>
  </si>
  <si>
    <t>TORRE NORTE - Construcción de PISO EN PORCELANATO BASIC CEMENT LIGHT GREY LIG10N, formato 60x30, de primera calidad aprobada por la interventoría. Incluye, suministro y transporte de las baldosas, varilla de dilatación en PVC de 5 mm x 37mm en cuadrículas de 3.60 x 3.60., lechada del mismo color de la baldosa, pegante, destroncada,emboquillada, pulida, brillada y todo lo necesario para garantizar la correcta apariencia estética y funcionamiento.</t>
  </si>
  <si>
    <t>   9.008  </t>
  </si>
  <si>
    <t>TORRE NORTE - Construcción de PISO EN DUROPISO, formato 30x30, de primera calidad aprobada por la interventoría. Incluye, suministro y transporte de las baldosas, varilla de dilatación en PVC de 5 mm x 37mm en cuadrículas de 3.60 x 3.60., lechada del mismo color de la baldosa, pegante, destroncada,emboquillada, pulida, brillada y todo lo necesario para garantizar la correcta apariencia estética y funcionamiento.</t>
  </si>
  <si>
    <t>   9.009  </t>
  </si>
  <si>
    <t>TORRE NORTE - Construcción de PISO EN CERAMICA EGEO, formato 20.5x20.5 cm, de primera calidad aprobada por la interventoría. Incluye, suministro y transporte de las baldosas, varilla de dilatación en PVC de 5 mm x 37mm en cuadrículas de 3.60 x 3.60., lechada del mismo color de la baldosa, pegante, destroncada,emboquillada, pulida, brillada y todo lo necesario para garantizar la correcta apariencia estética y funcionamiento.</t>
  </si>
  <si>
    <t>   9.013  </t>
  </si>
  <si>
    <t>TORRE NORTE - Suministro e instalacion de PISO EN TAPETE MODULAR TIPO MILLIKEN, formato 60x60 o 1.00x0.25, de primera calidad aprobada por la interventoría. Incluye, suministro y transporte de las baldosas, pegante y todo lo necesario para garantizar la correcta apariencia estética y funcionamiento.</t>
  </si>
  <si>
    <t>   9.015  </t>
  </si>
  <si>
    <t>TORRE NORTE - Suministro e instalacion de PISO EN GRAMA SINTETICA, de primera calidad aprobada por la interventoría. Incluye, todo lo necesario para garantizar la correcta apariencia estética y funcionamiento.</t>
  </si>
  <si>
    <t>   9.016  </t>
  </si>
  <si>
    <t>TORRE NORTE - Suministro e instalacion de PISO/CUBIERTA VERDE, conformado por tierra abonada, grama, cortezas y especies vegetales segun paisajista, insumos de primera calidad aprobada por la interventoría. Incluye, todo lo necesario para garantizar la correcta apariencia estética y funcionamiento.</t>
  </si>
  <si>
    <t>   9.017  </t>
  </si>
  <si>
    <t>Construcción de ZOCALO EN PIEDRA ROYAL BETA DORADA, H=10cm Incluye pegante, pulida, brillada y todo lo necesario para garantizar la correcta apariencia estética y funcionamiento.</t>
  </si>
  <si>
    <t>   9.018  </t>
  </si>
  <si>
    <t>TORRE NORTE -Construcción de ZOCALO EN PORCELANATO BASIC CEMENT LIGHT GREY LIG10N, H=10cm Incluye pegante, pulida, brillada y todo lo necesario para garantizar la correcta apariencia estética y funcionamiento.</t>
  </si>
  <si>
    <t>   9.020  </t>
  </si>
  <si>
    <t>TORRE NORTE -Construcción de ZOCALO EN AGLOMERADO RH H=10cm (GYM - AULAS Y SALON MULTIPLE - ZONAS DE TRABAJO CON TAPETE), Incluye pegante, clavillo, pulida y todo lo necesario para garantizar la correcta apariencia estética y funcionamiento.</t>
  </si>
  <si>
    <t>   9.021  </t>
  </si>
  <si>
    <t>TORRE NORTE -Construcción de ZOCALO EN DUROPISO H=10cm, Incluye pegante, pulida y todo lo necesario para garantizar la correcta apariencia estética y funcionamiento.</t>
  </si>
  <si>
    <t>   9.022  </t>
  </si>
  <si>
    <t>TORRE NORTE -Construcción de ZOCALO EN MEDIACAÑA VACIADA EN GRANITO H=20cm, Incluye pegante, pulida y todo lo necesario para garantizar la correcta apariencia estética y funcionamiento.</t>
  </si>
  <si>
    <t>   9.023  </t>
  </si>
  <si>
    <t>TORRE NORTE -Construcción de ZOCALO EN MORTERO MEDIACAÑA CUBIERTA H=20cm, Incluye pegante, pulida y todo lo necesario para garantizar la correcta apariencia estética y funcionamiento.</t>
  </si>
  <si>
    <t>   9.024  </t>
  </si>
  <si>
    <t>Suministro e instalacion de PLATAFORMA CAJA ESCENICA H=0.90 - (10.20x8.55) INCLUIDA 2 ESCALERAS DE ACCESO 1.20x1.00x0.90, Materiales de primera calidad aprobada por la interventoría. Incluye, todo lo necesario para garantizar la correcta apariencia estética y funcionamiento.</t>
  </si>
  <si>
    <t>   9.025  </t>
  </si>
  <si>
    <t>TORRE SUR - Construccion MORTERO DE PISO para pega y nivelación 1:4 de cemento, arena de concreto lavada y aditivo plastificante en un espesor de 5 cm</t>
  </si>
  <si>
    <t>   9.026  </t>
  </si>
  <si>
    <t>TORRE SUR - Construccion MORTERO IMPERMEABILIZADO DE PISO para pega y nivelación 1:2 de cemento, arena de concreto lavada, aditivo plastificante e impermeabilizante en un espesor de 5 cm</t>
  </si>
  <si>
    <t>   9.027  </t>
  </si>
  <si>
    <t>TORRE SUR - Construccion CONCRETO DE NIVELACION CUBIERTA espesor de 8-10 cm o hasta el nivel que indique la interventoria, pendientes hacia desagues y todo lo necesario para su correcto funcionamiento, incluye malla D-63 e icopor</t>
  </si>
  <si>
    <t>   9.028  </t>
  </si>
  <si>
    <t>TORRE SUR - Construcción de PISO EN PORCELANATO BASIC CEMENT LIGHT GREY LIG10N, formato 60x30, de primera calidad aprobada por la interventoría. Incluye, suministro y transporte de las baldosas, varilla de dilatación en PVC de 5 mm x 37mm en cuadrículas de 3.60 x 3.60., lechada del mismo color de la baldosa, pegante, destroncada,emboquillada, pulida, brillada y todo lo necesario para garantizar la correcta apariencia estética y funcionamiento.</t>
  </si>
  <si>
    <t>   9.030  </t>
  </si>
  <si>
    <t>TORRE SUR - Construcción de PISO EN DUROPISO, formato 30x30, de primera calidad aprobada por la interventoría. Incluye, suministro y transporte de las baldosas, varilla de dilatación en PVC de 5 mm x 37mm en cuadrículas de 3.60 x 3.60., lechada del mismo color de la baldosa, pegante, destroncada,emboquillada, pulida, brillada y todo lo necesario para garantizar la correcta apariencia estética y funcionamiento.</t>
  </si>
  <si>
    <t>   9.031  </t>
  </si>
  <si>
    <t>TORRE SUR - Construcción de PISO EN CERAMICA EGEO, formato 20.5x20.5 cm, de primera calidad aprobada por la interventoría. Incluye, suministro y transporte de las baldosas, varilla de dilatación en PVC de 5 mm x 37mm en cuadrículas de 3.60 x 3.60., lechada del mismo color de la baldosa, pegante, destroncada,emboquillada, pulida, brillada y todo lo necesario para garantizar la correcta apariencia estética y funcionamiento.</t>
  </si>
  <si>
    <t>   9.032  </t>
  </si>
  <si>
    <t>TORRE SUR - Suministro e instalacion de PISO VINILO EN CAUCHO MODULAR TRAFICO PESADO REF HELA GRAFITO TIPO MULTICAUCHOS O SIMILAR, de primera calidad aprobada por la interventoría. Incluye, suministro y transporte de las baldosas, y todo lo necesario para garantizar la correcta apariencia estética y funcionamiento.</t>
  </si>
  <si>
    <t>   9.033  </t>
  </si>
  <si>
    <t>TORRE SUR - Suministro e instalacion de AISLANTE ACUSTICO TIPO IMPACTODAN 10mm 30Kg/m3 sobre losa, para la zona de gimnasio, material de primera calidad aprobada por la interventoría. Incluye, suministro, transporte e instalacion, ademas del recubrimiento de zocalos y todo lo necesario para garantizar la correcta apariencia estética y funcionamiento.</t>
  </si>
  <si>
    <t>   9.034  </t>
  </si>
  <si>
    <t>TORRE SUR - Suministro e instalacion de PISO VINILO SPC REF ALBA 5.5 mm DE MADECENTRO O SIMILAR, mas YUMBOLON PREST INTEGRA FORZA 2mm de primera calidad aprobada por la interventoría. Incluye, suministro y transporte de las baldosas, pegante, pulido, pirlan donde se necesite y todo lo necesario para garantizar la correcta apariencia estética y funcionamiento.</t>
  </si>
  <si>
    <t>   9.035  </t>
  </si>
  <si>
    <t>TORRE SUR - Suministro e instalacion de PISO EN TAPETE MODULAR TIPO MILLIKEN, formato 60x60 o 1.00x0.25, de primera calidad aprobada por la interventoría. Incluye, suministro y transporte de las baldosas, pegante y todo lo necesario para garantizar la correcta apariencia estética y funcionamiento.</t>
  </si>
  <si>
    <t>   9.036  </t>
  </si>
  <si>
    <t>TORRE SUR - Suministro e instalacion de PISO EN MADERA NATURAL PARA EXTERIORES TECA O BAMBOO X-TREME TIPO DURMIENTES 0.10x1.60 O SIMILAR - (DECK), Madera de primera calidad aprobada por la interventoría. Incluye, todo lo necesario para garantizar la correcta apariencia estética y funcionamiento.</t>
  </si>
  <si>
    <t>   9.037  </t>
  </si>
  <si>
    <t>TORRE SUR - Suministro e instalacion de PISO EN GRAMA SINTETICA, de primera calidad aprobada por la interventoría. Incluye, todo lo necesario para garantizar la correcta apariencia estética y funcionamiento.</t>
  </si>
  <si>
    <t>   9.038  </t>
  </si>
  <si>
    <t>TORRE SUR - Suministro e instalacion de PISO/CUBIERTA VERDE, conformado por tierra abonada, grama, cortezas y especies vegetales segun paisajista, insumos de primera calidad aprobada por la interventoría. Incluye, todo lo necesario para garantizar la correcta apariencia estética y funcionamiento.</t>
  </si>
  <si>
    <t>   9.039  </t>
  </si>
  <si>
    <t>TORRE SUR - Suministro e instalacion de PISO EN CONCRETO PULIDO + PINTURA EPOXICA ANTIDESLIZANTE, en camerinos teatro, insumos de primera calidad aprobada por la interventoría. Incluye, todo lo necesario para garantizar la correcta apariencia estética y funcionamiento.</t>
  </si>
  <si>
    <t>   9.040  </t>
  </si>
  <si>
    <t>TORRE SUR - Construcción de ZOCALO EN PORCELANATO BASIC CEMENT LIGHT GREY LIG10N, H=10cm Incluye pegante, pulida, brillada y todo lo necesario para garantizar la correcta apariencia estética y funcionamiento.</t>
  </si>
  <si>
    <t>   9.041  </t>
  </si>
  <si>
    <t>TORRE SUR - Construcción de ZOCALO PVC ALBA 2400x80x15mm, Incluye pegante, clavillo, pulida y todo lo necesario para garantizar la correcta apariencia estética y funcionamiento.</t>
  </si>
  <si>
    <t>   9.042  </t>
  </si>
  <si>
    <t>TORRE SUR -Construcción de ZOCALO EN AGLOMERADO RH H=10cm (GYM - AULAS Y SALON MULTIPLE - ZONAS DE TRABAJO CON TAPETE), Incluye pegante, clavillo, pulida y todo lo necesario para garantizar la correcta apariencia estética y funcionamiento.</t>
  </si>
  <si>
    <t>   9.043  </t>
  </si>
  <si>
    <t>TORRE SUR - -Construcción de ZOCALO EN DUROPISO H=10cm, Incluye pegante, pulida y todo lo necesario para garantizar la correcta apariencia estética y funcionamiento.</t>
  </si>
  <si>
    <t>   9.044  </t>
  </si>
  <si>
    <t>TORRE SUR - Construcción de ZOCALO EN MEDIACAÑA VACIADA EN GRANITO H=20cm, Incluye pegante, pulida, brillado y todo lo necesario para garantizar la correcta apariencia estética y funcionamiento.</t>
  </si>
  <si>
    <t>   9.045  </t>
  </si>
  <si>
    <t>TORRE SUR - Construcción de ZOCALO EN MORTERO MEDIACAÑA CUBIERTA H=20cm, Incluye pegante, pulida, brillado y todo lo necesario para garantizar la correcta apariencia estética y funcionamiento.</t>
  </si>
  <si>
    <t>   9.046  </t>
  </si>
  <si>
    <t>Construcción de ANDÉN EXTERIOR ESCOBIADO CON BORDES ALISADOS CON LLANA METALICA Y FRANJA TACTIL PARA DISCAPACITADOS, concreto de 21 Mpa, espesor de 0.07m. Incluye suministro y transporte de los materiales, malla electrosoldada D-84; juntas para andenes de 5X5 mm con cortadora de disco, soporte fondo de junta, sellante de juntas elastomérico de poliuretano, arenilla o material granular compactado al 100% del proctor modificado </t>
  </si>
  <si>
    <t>   9.047  </t>
  </si>
  <si>
    <t>Construcción de PAVIMENTO ASFALTICO 3" EN ACCESO VEHICULAR, inlcuye cajeo, imprimacion con emulsion asfaltica, adecuaciones y todo lo necesario para su correcta instalacion y funcionamiento.</t>
  </si>
  <si>
    <t>   9.048  </t>
  </si>
  <si>
    <t>ACABADO DE LOSA CON HELICOPTERO PARA PARQUEADEROS, Incluye materiales, equipos, mano de obra y todo lo necesario para su correcta ejecucion</t>
  </si>
  <si>
    <t>   9.049  </t>
  </si>
  <si>
    <t>ACABADO ANTIDESLIZANTE HUELLAS ESCALERAS EN CONCRETO FLAMEADO, Incluye materiales, equipos, mano de obra y todo lo necesario para su correcta ejecucion</t>
  </si>
  <si>
    <t>   9.050  </t>
  </si>
  <si>
    <t>Suministro e instalacion de PROTECCION DE PISOS en cartonplast, polietileno o similares</t>
  </si>
  <si>
    <t>Total Capítulo 9 PISOS</t>
  </si>
  <si>
    <t>CAPITULO No. 10  CARPINTERIA MADERA Y METALICA</t>
  </si>
  <si>
    <t>   10.001  </t>
  </si>
  <si>
    <t>TORRE NORTE - Suministro e instalación de PUERTAS EN MADERA (Incluyen chapas y Topes)</t>
  </si>
  <si>
    <t>   10.002  </t>
  </si>
  <si>
    <t>TORRE NORTE - Suministro e instalación de PUERTAS METALICAS EMERGENCIA (Inc Mortero de relleno)</t>
  </si>
  <si>
    <t>   10.003  </t>
  </si>
  <si>
    <t>TORRE NORTE - Suministro e instalación de PUERTAS METALICAS (Inc Mortero de relleno)</t>
  </si>
  <si>
    <t>   10.004  </t>
  </si>
  <si>
    <t>TORRE NORTE Y SUR - SELLOS VENTANERIA - todos los necesarios para su correcta instalacion y funcionamiento</t>
  </si>
  <si>
    <t>   10.005  </t>
  </si>
  <si>
    <t>TORRE NORTE Y SUR - PROTECCION VENTANERA 2 CARAS, Incluye todo lo necesario para su correcta instalacion y funcionamiento</t>
  </si>
  <si>
    <t>   10.006  </t>
  </si>
  <si>
    <t>TORRE NORTE Y SUR - Suministro e instalación VENTANAS Y PUERTAS VIDRIERAS (Inc acondicionamiento acustico en las que asi lo necesiten)</t>
  </si>
  <si>
    <t>   10.008  </t>
  </si>
  <si>
    <t>TORRE NORTE - Suministro e instalacion de PASAMANOS EN VIDRIO TEMPLADO 8mm + BOLILLO EN ACERO INOXIDABLE DE 2" E DIAMETRO, vidrio embebido en murete. Incluye todos los elementos para su correcta instalacion y funcionamiento.</t>
  </si>
  <si>
    <t>   10.010  </t>
  </si>
  <si>
    <t>TORRE NORTE - Suministro e instalacion de PASAMANOS CENTRAL ESCALERAS - TUBULAR METALICO + ANTICORROSIVO Y PINTURA TIPO ESMALTE COLOR GRIS DILLARD. bolillo continuo en  de 2",  platinas verticales y horizontales de apoyo  de 2"x 1/4" y barrotes en tuberia circular de  diametro 3/4". Incluye todos los elementos para su correcta instalacion y funcionamiento.</t>
  </si>
  <si>
    <t>   10.011  </t>
  </si>
  <si>
    <t>TORRE NORTE - Suministro e instalacion de PASAMANOS PERIMETRAL ESCALERAS - TUBULAR METALICO + ANTICORROSIVO Y PINTURA TIPO ESMALTE COLOR GRIS DILLARD. solo bolillo pernado  de 2" Incluye todos los elementos para su correcta instalacion y funcionamiento.</t>
  </si>
  <si>
    <t>   10.012  </t>
  </si>
  <si>
    <t>TORRE NORTE - Suministro e instalacion de ESPEJO FLOTADO 3cm SIN MOLDURA 0.80X1.00m CON SOPORTES POSTERIORES EN ALUMINIO, baños individuales oficinas, Incluye todos los elementos para su correcta ins</t>
  </si>
  <si>
    <t>   10.013  </t>
  </si>
  <si>
    <t>TORRE NORTE - Suministro e instalacion de CABINAS DUCHAS 1.20X2.10 EN VIDRIO TEMPLADO 8mm, , Incluye bisagras, perfileria, boton haladera sellado con silicona, fijacion, alineamiento, nivelacion y to</t>
  </si>
  <si>
    <t>   10.015  </t>
  </si>
  <si>
    <t>TORRE SUR - Suministro e instalación de PUERTAS EN MADERA (Incluyen chapas)</t>
  </si>
  <si>
    <t>   10.016  </t>
  </si>
  <si>
    <t>TORRE SUR - Suministro e instalación de PUERTAS METALICAS EMERGENCIA (Inc Morteros de relleno)</t>
  </si>
  <si>
    <t>   10.017  </t>
  </si>
  <si>
    <t>TORRE SUR - Suministro e instalación de PUERTAS METALICAS (Inc Morteros de relleno)</t>
  </si>
  <si>
    <t>   10.022  </t>
  </si>
  <si>
    <t>TORRE SUR - Suministro e instalacion de PASAMANOS EN VIDRIO TEMPLADO 8mm + BOLILLO EN ACERO INOXIDABLE DE 2" E DIAMETRO, vidrio embebido en murete. Incluye todos los elementos para su correcta instalacion y funcionamiento.</t>
  </si>
  <si>
    <t>   10.023  </t>
  </si>
  <si>
    <t>TORRE SUR - Suministro e instalacion de PASAMANOS EN VIDRIO TEMPLADO 8mm Y ALUMINIO + PINTURA ELECTROSTATICA COLOR NEGRO, zona de puentes metalicos. Incluye todos los elementos para su correcta instalacion y funcionamiento.</t>
  </si>
  <si>
    <t>   10.024  </t>
  </si>
  <si>
    <t>TORRE SUR - Suministro e instalacion de PASAMANOS TUBULAR METALICO + ANTICORROSIVO Y PINTURA TIPO ESMALTE. bolillo continuo en de 2", platinas verticales y horizontales de apoyo de 2"x 1/4" . Inclu</t>
  </si>
  <si>
    <t>   10.025  </t>
  </si>
  <si>
    <t>TORRE SUR - Suministro e instalacion de PASAMANOS CENTRAL ESCALERAS - TUBULAR METALICO + ANTICORROSIVO Y PINTURA TIPO ESMALTE COLOR GRIS DILLARD. bolillo continuo en de 2", platinas verticales y horizontales de apoyo de 2"x 1/4" y barrotes en tuberia circular de diametro 3/4". Incluye todos los elementos para su correcta instalacion y funcionamiento.</t>
  </si>
  <si>
    <t>   10.026  </t>
  </si>
  <si>
    <t>TORRE SUR - Suministro e instalacion de PASAMANOS PERIMETRAL ESCALERAS - TUBULAR METALICO + ANTICORROSIVO Y PINTURA TIPO ESMALTE COLOR GRIS DILLARD. solo bolillo pernado de 2" Incluye todos los elementos para su correcta instalacion y funcionamiento.</t>
  </si>
  <si>
    <t>   10.027  </t>
  </si>
  <si>
    <t>TORRE SUR - Suministro e instalacion de VIDRIO FIJO 5+5 mm LAMINADO + ALUMINIO COLOR NEGRO, zona de puentes metalicos. Incluye todos los elementos para su correcta instalacion y funcionamiento.</t>
  </si>
  <si>
    <t>   10.028  </t>
  </si>
  <si>
    <t>TORRE SUR- Suministro e instalacion de ESPEJO LONGITUDINAL MODULADO JUNTAS A TOPE PARA EL GIMNASIO, supeficie a cubrir de 10 x 2.30 , Incluye todos los elementos para su correcta instalacion y funcionamiento.</t>
  </si>
  <si>
    <t>   10.029  </t>
  </si>
  <si>
    <t>TORRE SUR - Suministro e instalacion de ESPEJO FLOTADO 3cm SIN MOLDURA 1.00X1.20m CON SOPORTES POSTERIORES EN ALUMINIO,baños/duchas, Incluye todos los elementos para su correcta instalacion y funcionamiento.</t>
  </si>
  <si>
    <t>   10.030  </t>
  </si>
  <si>
    <t>TORRE SUR - Suministro e instalacion de ,GABINETE EN LAMINTA METALICA CALIBRE 18 SOBRE BASTIDOR EN TUBULAR DE 5x5 MAS PUERTAS DE REGISTRO Y PINTURA ESMALTE COLOR GRIS BASALTO, Buitrones, zona de puent</t>
  </si>
  <si>
    <t>   10.031  </t>
  </si>
  <si>
    <t>TORRE SUR - Suministro e instalacion de CABINAS DUCHAS EN VIDRIO TEMPLADO 8mm, , Incluye bisagras, perfileria, boton haladera sellado con silicona, fijacion, alineamiento, nivelacion y todos los elementos para su correcta instalacion y funcionamiento.</t>
  </si>
  <si>
    <t>   10.032  </t>
  </si>
  <si>
    <t>TORRE SUR - Suministro e instalacion de DIVISIONES EN ACERO INOXIDABLE, , Incluye bisagras, perfileria, boton haladera, fijacion, alineamiento, nivelacion y todos los elementos para su correcta instalacion y funcionamiento.</t>
  </si>
  <si>
    <t>   10.033  </t>
  </si>
  <si>
    <t>Suministro e instalacion de MUEBLE INFERIOR COCINETA EN MADECOR, según diseño arquitectonico</t>
  </si>
  <si>
    <t>   10.034  </t>
  </si>
  <si>
    <t>Suministro e instalacion de MESON EN QUARTZONE O SIMILAR PARA COCINETA, según diseño arquitectonico</t>
  </si>
  <si>
    <t>   10.036  </t>
  </si>
  <si>
    <t>Suministro e instalacion de POZUALO SENCILLO EN ACERO INOXIDABLE DE SUBMONTAR, según diseñor arquitectonico</t>
  </si>
  <si>
    <t>   10.037  </t>
  </si>
  <si>
    <t>Suministro e instalacion de MESON EN CONCRETO PREFABRICADO O VACIADO EN SITIO PARA CUARTO DE BASURAS Y RECICLAJE, según diseño arquitectonico</t>
  </si>
  <si>
    <t>Total Capítulo 10  CARPINTERIA MADERA Y METALICA</t>
  </si>
  <si>
    <t>CAPITULO No. 11  FILTROS E IMPERMEABILIZACIONES</t>
  </si>
  <si>
    <t>   11.001  </t>
  </si>
  <si>
    <t>construccion de FILTROS EN MATERIAL GRANULAR TM2", de forma redondeada o subredoneada para garantizar mayor flujo y evitar punzonamiento del geotextil, detras de muros contencion (ancho minimo de 30 cm y toda la altura del muro) y espina de pescado debajo de losa de contrapiso (seccion 40x50).</t>
  </si>
  <si>
    <t>   11.002  </t>
  </si>
  <si>
    <t>Suministro e instalacion de GEOTEXTIL NO TEJIDO 2500, para filtros en muros de contencion y espina de pescado</t>
  </si>
  <si>
    <t>   11.003  </t>
  </si>
  <si>
    <t>Suministro e instalacion de DRENAJE TUBERIA PVC SIN/FILTRO 100mm - Muros contencion y Filtro espina de pescado</t>
  </si>
  <si>
    <t>   11.005  </t>
  </si>
  <si>
    <t>Colocación de CINTA PVC TIPO V-15 o equivalente, entre juntas de construcción de tanques  </t>
  </si>
  <si>
    <t>   11.006  </t>
  </si>
  <si>
    <t>Suministro, transporte e IMPERMEABILIZACIÓN de tanque con membrana de PVC tipo Sikaplan 12 NTR o equivalente de espesor de 1,2mm, incluye todo lo necesario para su correcta instalacion y funcionamient</t>
  </si>
  <si>
    <t>   11.007  </t>
  </si>
  <si>
    <t>Suministro e instalacion de IMPERMEABILIZACIÓN MURO DE CONTENCIÓN (Imprimación emulsión asfáltica +2 capas de manto de 2mm + icopor), incluye todo lo necesario para su correcta instalacion y funcionamiento,</t>
  </si>
  <si>
    <t>   11.008  </t>
  </si>
  <si>
    <t>Suministro e instalacion IMPERMEABILIZACIÓN MANTO 2MM + GRANILLADO (CUBIERTA) - pend. mínima del 1% hacia los tragantes, incluye imprimacion en emulsion asfaltica, corte y sello de regatas donde apliq</t>
  </si>
  <si>
    <t>   11.009  </t>
  </si>
  <si>
    <t>Suministro e instalacion IMPERMEABILIZACIÓN JARDINERAS - PISOS/CUBIERTAS VERDE, CON DOBLE MANTO ANTIRAIZ - pend. mínima del 1% hacia los tragantes, incluye imprimacion, corte y sello de regatas donde</t>
  </si>
  <si>
    <t>   11.010  </t>
  </si>
  <si>
    <t>Suministro e instalacion de FAJA DE PINTURA TIPO TRAFICO PARA PISO Y COLUMNAS PARQUEADERO, segun diseño arquitectonico, incluye lo necesario para su correcta instalacion y funcionamiento</t>
  </si>
  <si>
    <t>   11.011  </t>
  </si>
  <si>
    <t>Suministro e instalacion de FLECHA DE PINTURA TIPO TRAFICO, segun diseño arquitectonico, incluye lo necesario para su correcta instalacion y funcionamiento</t>
  </si>
  <si>
    <t>   11.012  </t>
  </si>
  <si>
    <t>Suministro e instalacion de LOGO PERSONAS DE MOBILIDAD REDUCIDA EN PINTURA TIPO TRAFICO , segun diseño arquitectonico, incluye lo necesario para su correcta instalacion y funcionamiento</t>
  </si>
  <si>
    <t>   11.013  </t>
  </si>
  <si>
    <t>Suministro e instalacion de FAJA DE PINTURA PASO PEATONAL (CEBRA) , segun diseño arquitectonico, incluye lo necesario para su correcta instalacion y funcionamiento</t>
  </si>
  <si>
    <t>   11.015  </t>
  </si>
  <si>
    <t>Suministro e instalacion de PINTURA PARA TUBERIA EXPUESTA EN OFICINAS, 2 manos o las que sean necesarias para dar un acabado uniforme, incluye lo necesario para su correcta instalacion y funcionamiento</t>
  </si>
  <si>
    <t>   11.016  </t>
  </si>
  <si>
    <t>Suministro e instalacion de TOPELLANTAS VACIADO IN SITU A LA VISTA, 1 pieza por celda 1.70 m de largo, segun diseño arquitectonico, incluye lo necesario para su correcta instalacion y funcionamiento</t>
  </si>
  <si>
    <t>Total Capítulo 11  FILTROS E IMPERMEABILIZACIONES</t>
  </si>
  <si>
    <t>CAPITULO No. 12  EQUIPOS ESPECIALES</t>
  </si>
  <si>
    <t>   12.001  </t>
  </si>
  <si>
    <t>Suministro e instalacion ASCENSOR PASAJEROS A1-A2-A3-A4 capacidad 1350 kg, numero de persona 15, numero de paradas 15, embarque simple, sin cuarto de maquinas.</t>
  </si>
  <si>
    <t>   12.002  </t>
  </si>
  <si>
    <t>Suministro e instalacion ASCENSOR PASAJEROS A5-A6 capacidad 630 kg, numero de persona 8, numero de paradas 3, embarque simple, sin cuarto de maquinas.</t>
  </si>
  <si>
    <t>   12.003  </t>
  </si>
  <si>
    <t>Suministro e instalacion ASCENSOR PASAJEROS A7 capacidad 630 kg, numero de persona 8, numero de paradas 3, embarque simple, sin cuarto de maquinas.</t>
  </si>
  <si>
    <t>   12.004  </t>
  </si>
  <si>
    <t>Suministro e instalacion MONTACARGA, elevador de carga vertical hidralico, 2 paradas con capacidad de 1000kg dentro de foso, incluye cabina en malla ondulada, paro de emergencia, sirena luminosa y sis</t>
  </si>
  <si>
    <t>   12.005  </t>
  </si>
  <si>
    <t>Suministro e instalacion de GRADAS RETRACTILES CON SILLAS FIJAS, en teatro, incluye todo lo necesario para su correcta instalacion y funcionamiento.</t>
  </si>
  <si>
    <t>   12.006  </t>
  </si>
  <si>
    <t>Suministro e instalacion de PANELES SOLARES, en cubierta fijados a estructura pergola en torre sur, Potencia propuesta: 40.05 kW - Area requerida: 244 m2 - Peso: 15Kg/m2 - Generación mensual: 4.339 kW</t>
  </si>
  <si>
    <t>   12.007  </t>
  </si>
  <si>
    <t>Suministro e instalacion de TALANQUERAS PARA ACCESO Y SALIDA VEHICULAR, incluye todo lo necesario para su correcta instalacion y funcionamiento.</t>
  </si>
  <si>
    <t>   12.008  </t>
  </si>
  <si>
    <t>Suministro e instalacion de TORNIQUETES DE ACCESO PEATONAL, control de acceso por reconocimiento facial. Incluye el acceso para personas de movilidad reducida y todo lo necesario para su correcta ins</t>
  </si>
  <si>
    <t>Total Capítulo 12  EQUIPOS ESPECIALES</t>
  </si>
  <si>
    <t xml:space="preserve">CAPITULO No. 13  EQUIPOS CONSTRUCCION - PMA - PMT Y SST </t>
  </si>
  <si>
    <t>   13.001  </t>
  </si>
  <si>
    <t>Andamios tubulares 1.50x1.50 de trabajo (incluye Armado y desarmado)</t>
  </si>
  <si>
    <t>   13.002  </t>
  </si>
  <si>
    <t>Andamios colgante (incluye Armado y desarmado)</t>
  </si>
  <si>
    <t>   13.003  </t>
  </si>
  <si>
    <t>Báscula (recuperacion 30%)</t>
  </si>
  <si>
    <t>Und</t>
  </si>
  <si>
    <t>   13.005  </t>
  </si>
  <si>
    <t>Concretadora 2 Sacos (Recuperación 30%)</t>
  </si>
  <si>
    <t>   13.006  </t>
  </si>
  <si>
    <t>Cortadora Adobe (Recuperación 30%)</t>
  </si>
  <si>
    <t>   13.007  </t>
  </si>
  <si>
    <t>Disco para Cortadora Ladrillo</t>
  </si>
  <si>
    <t>   13.008  </t>
  </si>
  <si>
    <t>Mantenimiento de Equipo</t>
  </si>
  <si>
    <t>mes</t>
  </si>
  <si>
    <t>   13.009  </t>
  </si>
  <si>
    <t>Alquiler Plumacate SIN Operador (incluye realces)</t>
  </si>
  <si>
    <t>   13.010  </t>
  </si>
  <si>
    <t>Pluma Móvil 250 kg recuperacion 30 %(incluye realces)</t>
  </si>
  <si>
    <t>   13.011  </t>
  </si>
  <si>
    <t>Taladro Manual recuperacion 30%</t>
  </si>
  <si>
    <t>   13.012  </t>
  </si>
  <si>
    <t>TORRE GRUA CON OPERADOR (incluye cimentacion, baldes, canastas y demolicion muertos final de obra)</t>
  </si>
  <si>
    <t>   13.013  </t>
  </si>
  <si>
    <t>Implementacion PMA Y PMT</t>
  </si>
  <si>
    <t>   13.014  </t>
  </si>
  <si>
    <t>Implementacion SST</t>
  </si>
  <si>
    <t>   13.015  </t>
  </si>
  <si>
    <t>Ensayos de calidad</t>
  </si>
  <si>
    <t>Total Capítulo 13  EQUIPOS CONSTRUCCION - PMA - PMT Y SST</t>
  </si>
  <si>
    <t>CAPITULO No. 14  RED HIDROSANITARIA INTERIOR Y EXTERIOR</t>
  </si>
  <si>
    <t>   14.001  </t>
  </si>
  <si>
    <t>TORRE NORTE - Suministro e instalacion de RED HIDROSANITARIA INTERIOR, incluye tanques en fibra de vidrio y equipos de presion</t>
  </si>
  <si>
    <t>   14.002  </t>
  </si>
  <si>
    <t>TORRE SUR - Suministro e instalacion de RED HIDROSANITARIA INTERIOR</t>
  </si>
  <si>
    <t>   14.003  </t>
  </si>
  <si>
    <t>PLATAFORMAS - Suministro e instalacion de RED HIDROSANITARIA INTERIOR, Incluye medidores y equipos de presion</t>
  </si>
  <si>
    <t>   14.004  </t>
  </si>
  <si>
    <t>Suministro e instalacion de RED HIDROSANITARIA EXTERIOR DE ALCANTARILLADO, incluye obra civil</t>
  </si>
  <si>
    <t>   14.005  </t>
  </si>
  <si>
    <t>Suministro e instalacion de RED HIDROSANITARIA EXTERIOR DE ACUEDUCTO, Incluye obra civil, hidrante, y medidor exterior</t>
  </si>
  <si>
    <t>   14.006  </t>
  </si>
  <si>
    <t>Suministro e instalacion SANITARIO POWER ONE BLANCO, en baños individuales de oficinas, incluye todo lo necesario para su correcta instalacion y funcionamiento</t>
  </si>
  <si>
    <t>   14.007  </t>
  </si>
  <si>
    <t>Suministro e instalacion LAVAMANOS SIN PEDESTAL BLANCO, LINEA MILANO, en baños individuales de oficinas y visitantes, incluye todo lo necesario para su correcta instalacion y funcionamiento</t>
  </si>
  <si>
    <t>   14.008  </t>
  </si>
  <si>
    <t>Suministro e instalacion MUEBLE CON LAVAMANOS, LINEA ELPSE VITAL DE CORONA O SIMILAR, mueble color miel, en baños alcalde y primera dama, incluye todo lo necesario para su correcta instalacion y funci</t>
  </si>
  <si>
    <t>   14.009  </t>
  </si>
  <si>
    <t>Suministro e instalacion GRIFERIA LAVAMANOS TIPO PUSH DE MESA, LINEA INSTITUCIONAL, en baños individuales de oficinas, alcalde y primera dama, incluye todo lo necesario para su correcta instalacion y funcionamiento</t>
  </si>
  <si>
    <t>   14.010  </t>
  </si>
  <si>
    <t>Suministro e instalacion GRIFERIA LAVAMANOS TIPO PUSH DE PARED, LINEA INSTITUCIONAL, baño teatro, empleados y visitantes, incluye todo lo necesario para su correcta instalacion y funcionamiento</t>
  </si>
  <si>
    <t>   14.011  </t>
  </si>
  <si>
    <t>Suministro e instalacion GRIFERIA COCINA TIPO CISNE SENCILLA SIN MEZCLADOR PARA AGUA CALIENTE, incluye todo lo necesario para su correcta instalacion y funcionamiento</t>
  </si>
  <si>
    <t>   14.012  </t>
  </si>
  <si>
    <t>Suministro e instalacion DUCHA MONOCONTROL CON MEZCLADOR TIPO PALMA PRO O SIMILAR, en baños gimnasio y alcalde, incluye todo lo necesario para su correcta instalacion y funcionamiento</t>
  </si>
  <si>
    <t>   14.013  </t>
  </si>
  <si>
    <t>Suministro e instalacion DUCHA SENCILLA TIPO ALUVIA DE PALANCA O SIMILAR, en baños individuales de oficinas, incluye todo lo necesario para su correcta instalacion y funcionamiento</t>
  </si>
  <si>
    <t>   14.014  </t>
  </si>
  <si>
    <t>Suministro e instalacion LAVAMANOS AQUAJET, teatro wc discapacitados y empleados, incluye todo lo necesario para su correcta instalacion y funcionamiento</t>
  </si>
  <si>
    <t>   14.015  </t>
  </si>
  <si>
    <t>Suministro e instalacion SANITARIO TAZA BALTICO LINEA INSTITUCIONAL DE CORONA O SIMILAR, ENTRADA SUPERIOR DE FLUXOMETRO, en baños teatro, empleados y visitantes, incluye todo lo necesario para su correcta instalacion y funcionamiento</t>
  </si>
  <si>
    <t>   14.016  </t>
  </si>
  <si>
    <t>Suministro e instalacion ORINAL PETITE LINEA INSTITUCIONAL DE CORONA O SIMILAR, BLANCO, en baños teatro, empleados y visitantes incluye todo lo necesario para su correcta instalacion y funcionamiento</t>
  </si>
  <si>
    <t>   14.017  </t>
  </si>
  <si>
    <t>Suministro e instalacion INCRUSTACIONES tipo institucional linea kimberly o similar (dispensador papel, dispensador toallas de papel, dispensador jabon) en baños teatro, empleados y visitantes, incluye todo lo necesario para su correcta instalacion y funcionamiento</t>
  </si>
  <si>
    <t>   14.018  </t>
  </si>
  <si>
    <t>Suministro e instalacion BARRA DE APOYO EN ACERO INOXIDABLE PARA BAÑOS DE DISCAPACITADOS, en baños teatro, empleados y visitantes, incluye todo lo necesario para su correcta instalacion y funcionamiento</t>
  </si>
  <si>
    <t>   14.019  </t>
  </si>
  <si>
    <t>Suministro e instalacion LAVAESCOBAS REFABRICADO EN GRANO, DE 40X40 CMS, MÁS CANILLA BOCAMANGUERA, incluye todo lo necesario para su correcta instalacion y funcionamiento</t>
  </si>
  <si>
    <t>   14.020  </t>
  </si>
  <si>
    <t>Suministro e instalacion REJILLA PLASTICA DE 2", incluye todo lo necesario para su correcta instalacion y funcionamiento</t>
  </si>
  <si>
    <t>   14.021  </t>
  </si>
  <si>
    <t>Suministro e instalacion REJILLA TIPO GRANADA DE 4", incluye todo lo necesario para su correcta instalacion y funcionamiento</t>
  </si>
  <si>
    <t>   14.022  </t>
  </si>
  <si>
    <t>Suministro e instalacion REJILLA EN ACERO PLANA DE 4", incluye todo lo necesario para su correcta instalacion y funcionamiento</t>
  </si>
  <si>
    <t>   14.023  </t>
  </si>
  <si>
    <t>Suministro e instalacion de lavamanos corrido prefabricado en concreto e= 0.40 H=0.40</t>
  </si>
  <si>
    <t>Total Capítulo 14  RED HIDROSANITARIA INTERIOR Y EXTERIOR</t>
  </si>
  <si>
    <t>CAPITULO No. 15  RED ELECTRICA</t>
  </si>
  <si>
    <t>   15.001  </t>
  </si>
  <si>
    <t>Suministro e instalacion RED ELECTRICA (un solo item porque el diseñador no lo dividio en torres)</t>
  </si>
  <si>
    <t xml:space="preserve">Total Capítulo 15 RED ELECTRICA </t>
  </si>
  <si>
    <t>CAPITULO No. 16  RED DE GAS .</t>
  </si>
  <si>
    <t>   16.001  </t>
  </si>
  <si>
    <t>Suministro e instalacion RED GAS (un solo item porque el diseñador no lo dividio en torres)</t>
  </si>
  <si>
    <t xml:space="preserve">Total Capítulo 16 RED DE GAS </t>
  </si>
  <si>
    <t xml:space="preserve">CAPITULO No. 17  RCI Y SEGURIDAD HUMANA </t>
  </si>
  <si>
    <t>   17.001  </t>
  </si>
  <si>
    <t>Suministro e Instalacion BOMBA RCI, según diseño</t>
  </si>
  <si>
    <t>   17.002  </t>
  </si>
  <si>
    <t>Suministro e Instalacion EXTINTORES, según diseño</t>
  </si>
  <si>
    <t>   17.003  </t>
  </si>
  <si>
    <t>TORRE NORTE - Suministro e instalacion de RCI</t>
  </si>
  <si>
    <t>   17.004  </t>
  </si>
  <si>
    <t>TORRE SUR - Suministro e instalacion de RCI</t>
  </si>
  <si>
    <t>   17.005  </t>
  </si>
  <si>
    <t>PLATAFORMAS - Suministro e instalacion de RCI</t>
  </si>
  <si>
    <t>   17.006  </t>
  </si>
  <si>
    <t>Suministro e Instalacion SEÑALIZACION RUTAS DE EVACUACION E INCENDIO, según diseño</t>
  </si>
  <si>
    <t xml:space="preserve">Total Capítulo 17  RCI Y SEGURIDAD HUMANA </t>
  </si>
  <si>
    <t>CAPITULO No. 18 AUTOMATIZACION</t>
  </si>
  <si>
    <t>   18.001  </t>
  </si>
  <si>
    <t>Suministro e instalacion AUTOMATIZACION (un solo item porque el diseñador no lo dividio en torres).</t>
  </si>
  <si>
    <t>Total Capítulo 18 AUTOMATIZACION</t>
  </si>
  <si>
    <t>CAPITULO No. 19  AIRE ACONDICIONADO</t>
  </si>
  <si>
    <t>   19.001  </t>
  </si>
  <si>
    <t>Suministro e instalacion AIRE ACONDICIONADO (un solo item porque el diseñador no lo dividio en torres).</t>
  </si>
  <si>
    <t>Total Presupuestado proyecto</t>
  </si>
  <si>
    <t xml:space="preserve">TOTAL COSTO DIRECTO </t>
  </si>
  <si>
    <t>ADMINISTRACION</t>
  </si>
  <si>
    <t>COSTO TOTAL</t>
  </si>
  <si>
    <t>OBJETO:</t>
  </si>
  <si>
    <t>INTERVENTORÍA PARA LA CONSTRUCCION DE LA NUEVA SEDE PALACIO MUNICIPAL DE ENVIGADO</t>
  </si>
  <si>
    <t>PLAZO (MESES):</t>
  </si>
  <si>
    <t>1. CALCULO DE PERSONAL</t>
  </si>
  <si>
    <t>PROFESION</t>
  </si>
  <si>
    <t>CANT.</t>
  </si>
  <si>
    <t>% UTILIZACION</t>
  </si>
  <si>
    <t>SALARIO BASICO</t>
  </si>
  <si>
    <t>No. DE MESES</t>
  </si>
  <si>
    <t>VALOR TOTAL</t>
  </si>
  <si>
    <t>Director de Interventoria. Cat I.</t>
  </si>
  <si>
    <t>Ingeniero civil</t>
  </si>
  <si>
    <t xml:space="preserve">Residente de interventoría </t>
  </si>
  <si>
    <t xml:space="preserve">Residente auxiliar </t>
  </si>
  <si>
    <t>Tecnólogo auxiliar</t>
  </si>
  <si>
    <t>Tecnologo en construcciones civiles</t>
  </si>
  <si>
    <t>Gestor social</t>
  </si>
  <si>
    <t>Profesional Social</t>
  </si>
  <si>
    <t>Residente Ambiental</t>
  </si>
  <si>
    <t xml:space="preserve">Ingeniero Ambiental </t>
  </si>
  <si>
    <t xml:space="preserve">Residente redes Secas </t>
  </si>
  <si>
    <t xml:space="preserve">Ingeniero electrico </t>
  </si>
  <si>
    <t>Profesional de costos, presupuestos y programación de obra con manejo BIM</t>
  </si>
  <si>
    <t>Residente redes Húmedas</t>
  </si>
  <si>
    <t>Ingeniero sanitario o Ingeniero civil</t>
  </si>
  <si>
    <t>Profesional SST</t>
  </si>
  <si>
    <t>Ingeniero SST Ambiental o similar</t>
  </si>
  <si>
    <t>SUBTOTAL SALARIOS DE PERSONAL</t>
  </si>
  <si>
    <t>Supervisor Técnico</t>
  </si>
  <si>
    <t>1. TOTAL SALARIOS DE PERSONAL</t>
  </si>
  <si>
    <t>2. CALCULO FACTOR MULTIPLICADOR PERSONAL</t>
  </si>
  <si>
    <t xml:space="preserve">PORCENTAJE (%) </t>
  </si>
  <si>
    <t>INTERES SOBRE CESANTIA</t>
  </si>
  <si>
    <t>2.4</t>
  </si>
  <si>
    <t>OTROS COSTOS PRESTACIONALES</t>
  </si>
  <si>
    <t>PRESTACIONES EXTRALEGALES Y AUXILIOS</t>
  </si>
  <si>
    <t>DOTACION</t>
  </si>
  <si>
    <t>SEGURO COLECTIVO</t>
  </si>
  <si>
    <t>HONORARIOS</t>
  </si>
  <si>
    <t>2. F. M. PERSONAL</t>
  </si>
  <si>
    <t>(1)* (2)  =SUB TOTAL PERSONAL CON F.M.</t>
  </si>
  <si>
    <t>3. CALCULO DE COSTOS REEMBOLSABLES</t>
  </si>
  <si>
    <t>CANTIDAD MES</t>
  </si>
  <si>
    <t>UNIDAD</t>
  </si>
  <si>
    <t>VALOR UNITARIO MES</t>
  </si>
  <si>
    <t>INSUMOS</t>
  </si>
  <si>
    <t>Provisión para compra de insumos y servicios autorizados por el supervisor del contrato</t>
  </si>
  <si>
    <t>und</t>
  </si>
  <si>
    <t>Plan de celular (voz y datos)</t>
  </si>
  <si>
    <t>EQUIPOS</t>
  </si>
  <si>
    <t>Compra de equipos de computo requeridos y autorizados por el supervisor del contrato</t>
  </si>
  <si>
    <t>ASESORIAS, PERSONAL Y ENSAYOS DE LABORATORIO</t>
  </si>
  <si>
    <t>Comision de topografia: Incluye el equipo de topografia completo con su respectivo personal básico (Topografo, Cadenero, Ayudante), la generación de cartera topografica y los planos en planta y perfil</t>
  </si>
  <si>
    <t>día</t>
  </si>
  <si>
    <t>Compra de muebles y enseres campamentos</t>
  </si>
  <si>
    <t>MES</t>
  </si>
  <si>
    <t>Provisión para ensayos de laboratorios que requiera la interventoria previa autorización del supervisor</t>
  </si>
  <si>
    <t>Horas de Asesorias requeridas por la interventoria previa autorización del supervisor</t>
  </si>
  <si>
    <t>hora</t>
  </si>
  <si>
    <t>SUB TOTAL COSTOS REEMBOLSABLES</t>
  </si>
  <si>
    <t>UTILIDAD (5%)</t>
  </si>
  <si>
    <t>SUB TOTAL  UTILIDAD (5%)</t>
  </si>
  <si>
    <t>(3). TOTAL COSTOS REEMBOLSABLES</t>
  </si>
  <si>
    <t>(1*2) + (3) = SUB TOTAL PERSONAL + REEMBOLSABLE</t>
  </si>
  <si>
    <t>4. COSTOS INDIRECTOS</t>
  </si>
  <si>
    <t>GASTOS LEGALES, DE ADMINISTRACION O INDIRECTOS</t>
  </si>
  <si>
    <t>4.1</t>
  </si>
  <si>
    <t>DETALLE</t>
  </si>
  <si>
    <t>SALARIO</t>
  </si>
  <si>
    <t>DEDICACION</t>
  </si>
  <si>
    <t>TOTAL</t>
  </si>
  <si>
    <t>SECRETARIA</t>
  </si>
  <si>
    <t xml:space="preserve">CONTADORA </t>
  </si>
  <si>
    <t>MENSAJERO</t>
  </si>
  <si>
    <t>ALQUILER OFICINA</t>
  </si>
  <si>
    <t>SERVICIOS PÚBLICOS</t>
  </si>
  <si>
    <t>VALOR MES</t>
  </si>
  <si>
    <t>MESES</t>
  </si>
  <si>
    <t>PAPELERIA Y FACTURACIÓN</t>
  </si>
  <si>
    <t>COMUNICACIÓN</t>
  </si>
  <si>
    <t>OTROS (CAMARAS, USB)</t>
  </si>
  <si>
    <t>SUBTOTAL ADMINISTRACION</t>
  </si>
  <si>
    <t>4.2</t>
  </si>
  <si>
    <t>LEGALES</t>
  </si>
  <si>
    <t xml:space="preserve">GASTOS LEGALES   </t>
  </si>
  <si>
    <t>4. % COSTOS INDIRECTOS</t>
  </si>
  <si>
    <t>SUB TOTAL COSTOS DIRECTOS + INDIRECTOS</t>
  </si>
  <si>
    <t>5. RESUMEN TOTAL</t>
  </si>
  <si>
    <t>VALOR</t>
  </si>
  <si>
    <t>SUB TOTAL PERSONAL CON F.M.</t>
  </si>
  <si>
    <t>SUB TOTAL (1+2)</t>
  </si>
  <si>
    <t>% COSTOS INDIRECTOS</t>
  </si>
  <si>
    <t>VALOR COSTOS INDIRECTOS</t>
  </si>
  <si>
    <t>TOTAL RECURSOS A ADMINISTRAR</t>
  </si>
  <si>
    <t>VALOR TOTAL DEL CONTRATO</t>
  </si>
  <si>
    <t>Elaborado por:</t>
  </si>
  <si>
    <t>JUAN DAVID HENAO OSORIO</t>
  </si>
  <si>
    <t>Profesional universitario</t>
  </si>
  <si>
    <t>Fecha:</t>
  </si>
  <si>
    <t>Revisado por:</t>
  </si>
  <si>
    <t>MANUELA DAVID VASQUEZ</t>
  </si>
  <si>
    <t>Directora de Planeación de Obras de Desarrollo</t>
  </si>
  <si>
    <t>Aprobado por:</t>
  </si>
  <si>
    <t>BEATRIZ ELENA PABÓN ACEVEDO</t>
  </si>
  <si>
    <t xml:space="preserve">Secretaria de Obras Públicas </t>
  </si>
  <si>
    <t>TOTAL COMPONENTES</t>
  </si>
  <si>
    <t>HONORARIOS + IVA</t>
  </si>
  <si>
    <t>FORMA DE PAGO</t>
  </si>
  <si>
    <t>DESCRIPCIÓN</t>
  </si>
  <si>
    <t>TIPO RECURSO</t>
  </si>
  <si>
    <t>El Municipio consignará los recursos en la cuenta bancaria determinada por DESur en la vigencia fiscal 2021.</t>
  </si>
  <si>
    <t>RECURSO A ADMINISTRAR</t>
  </si>
  <si>
    <t>AÑO RECURSO</t>
  </si>
  <si>
    <r>
      <t>TIPO RECURSO</t>
    </r>
    <r>
      <rPr>
        <sz val="11"/>
        <color theme="1"/>
        <rFont val="Arial Narrow"/>
        <family val="2"/>
      </rPr>
      <t> </t>
    </r>
  </si>
  <si>
    <t>CRÉDITO</t>
  </si>
  <si>
    <t>PROPIOS</t>
  </si>
  <si>
    <t>COFINANCIACIÓN AMVA</t>
  </si>
  <si>
    <r>
      <t>  </t>
    </r>
    <r>
      <rPr>
        <sz val="10"/>
        <color theme="1"/>
        <rFont val="Arial Narrow"/>
        <family val="2"/>
      </rPr>
      <t>Una vez se tengan los CDP se verificará la información de la tabla 1</t>
    </r>
  </si>
  <si>
    <t>Aunar esfuerzos técnicos, administrativos, financieros y jurídicos para la construcción e interventoría del Centro Administrativo Municipal de Envigado (CAM).</t>
  </si>
  <si>
    <t>Proyecto 4276-22- CAM Envigado - Ppto oficial Planeacion</t>
  </si>
  <si>
    <t>Total Capítulo AIRE ACONDICIONADO</t>
  </si>
  <si>
    <t>PORCENTAJE AU</t>
  </si>
  <si>
    <t>COSTOS INDIRECTOS</t>
  </si>
  <si>
    <t>REAJUSTES</t>
  </si>
  <si>
    <t>AUTORIZACIÓN DESEMBOLSO HONORARIOS</t>
  </si>
  <si>
    <t>AVANCE DE OBRA</t>
  </si>
  <si>
    <t>PAGO DE HONORARIOS</t>
  </si>
  <si>
    <t>Con un 20% de avance de obra</t>
  </si>
  <si>
    <t>30% del valor de los honorarios</t>
  </si>
  <si>
    <t>Con un 50% de avance de obra</t>
  </si>
  <si>
    <t>40% del valor de los honorarios</t>
  </si>
  <si>
    <t>20% del valor de los honorarios</t>
  </si>
  <si>
    <t>Pago N°1  una1 una vez se tenga inicio en la plataforma SECOP II.</t>
  </si>
  <si>
    <t>Pago N°2 en el mes de noviembre de 2021</t>
  </si>
  <si>
    <t>Pago N°3 en el mes de diciembre de 2021</t>
  </si>
  <si>
    <t>CREDITO 2021</t>
  </si>
  <si>
    <t>Pago N°5 en el mes de junio de 2022</t>
  </si>
  <si>
    <t xml:space="preserve">Pago N°4 en el mes de febrero de 2022 </t>
  </si>
  <si>
    <t>Pago N°6 en el mes de febrero de 2023</t>
  </si>
  <si>
    <t>Pago N°7 en el mes de abril de 2023</t>
  </si>
  <si>
    <t>Con el 100% del acta de ejecución</t>
  </si>
  <si>
    <t>10% del valor de los honorarios</t>
  </si>
  <si>
    <t xml:space="preserve"> Con la entrega de diagnóstico contexto social</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</si>
</sst>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6" formatCode="&quot;$&quot;\ #,##0;[Red]\-&quot;$&quot;\ #,##0"/>
    <numFmt numFmtId="42" formatCode="_-&quot;$&quot;\ * #,##0_-;\-&quot;$&quot;\ * #,##0_-;_-&quot;$&quot;\ * &quot;-&quot;_-;_-@_-"/>
    <numFmt numFmtId="44" formatCode="_-&quot;$&quot;\ * #,##0.00_-;\-&quot;$&quot;\ * #,##0.00_-;_-&quot;$&quot;\ * &quot;-&quot;??_-;_-@_-"/>
    <numFmt numFmtId="164" formatCode="_-&quot;$&quot;* #,##0.00_-;\-&quot;$&quot;* #,##0.00_-;_-&quot;$&quot;* &quot;-&quot;??_-;_-@_-"/>
    <numFmt numFmtId="165" formatCode="_-&quot;$&quot;\ * #,##0_-;\-&quot;$&quot;\ * #,##0_-;_-&quot;$&quot;\ * &quot;-&quot;??_-;_-@_-"/>
    <numFmt numFmtId="166" formatCode="[$-F800]dddd\,\ mmmm\ dd\,\ yyyy"/>
    <numFmt numFmtId="167" formatCode="&quot;$&quot;\ #,##0"/>
    <numFmt numFmtId="168" formatCode="_(&quot;$&quot;\ * #,##0.00_);_(&quot;$&quot;\ * \(#,##0.00\);_(&quot;$&quot;\ * &quot;-&quot;??_);_(@_)"/>
    <numFmt numFmtId="169" formatCode="_(&quot;$&quot;* #,##0.00_);_(&quot;$&quot;* \(#,##0.00\);_(&quot;$&quot;* &quot;-&quot;??_);_(@_)"/>
    <numFmt numFmtId="170" formatCode="_-&quot;$&quot;* #,##0_-;\-&quot;$&quot;* #,##0_-;_-&quot;$&quot;* &quot;-&quot;??_-;_-@_-"/>
    <numFmt numFmtId="171" formatCode="#,##0.0"/>
    <numFmt numFmtId="172" formatCode="_(&quot;$&quot;\ * #,##0_);_(&quot;$&quot;\ * \(#,##0\);_(&quot;$&quot;\ * &quot;-&quot;??_);_(@_)"/>
    <numFmt numFmtId="173" formatCode="[$$-240A]\ #,##0"/>
    <numFmt numFmtId="178" formatCode="0.0%"/>
    <numFmt numFmtId="179" formatCode="0.000%"/>
  </numFmts>
  <fonts count="41">
    <font>
      <sz val="11"/>
      <color theme="1"/>
      <name val="Calibri"/>
      <family val="2"/>
      <scheme val="minor"/>
    </font>
    <font>
      <sz val="11"/>
      <color theme="1"/>
      <name val="Calibri"/>
      <family val="2"/>
      <scheme val="minor"/>
    </font>
    <font>
      <b/>
      <sz val="11"/>
      <color theme="1"/>
      <name val="Calibri"/>
      <family val="2"/>
      <scheme val="minor"/>
    </font>
    <font>
      <sz val="12"/>
      <color theme="1"/>
      <name val="Arial Narrow"/>
      <family val="2"/>
    </font>
    <font>
      <b/>
      <sz val="14"/>
      <name val="Arial Narrow"/>
      <family val="2"/>
    </font>
    <font>
      <b/>
      <sz val="12"/>
      <name val="Arial Narrow"/>
      <family val="2"/>
    </font>
    <font>
      <sz val="12"/>
      <name val="Arial Narrow"/>
      <family val="2"/>
    </font>
    <font>
      <b/>
      <sz val="12"/>
      <color theme="0"/>
      <name val="Arial Narrow"/>
      <family val="2"/>
    </font>
    <font>
      <u/>
      <sz val="10"/>
      <color indexed="12"/>
      <name val="Arial"/>
      <family val="2"/>
    </font>
    <font>
      <b/>
      <sz val="12"/>
      <color theme="1"/>
      <name val="Arial Narrow"/>
      <family val="2"/>
    </font>
    <font>
      <sz val="12"/>
      <color theme="0"/>
      <name val="Arial Narrow"/>
      <family val="2"/>
    </font>
    <font>
      <sz val="10"/>
      <name val="Arial"/>
      <family val="2"/>
    </font>
    <font>
      <b/>
      <sz val="14"/>
      <name val="Arial"/>
      <family val="2"/>
    </font>
    <font>
      <b/>
      <sz val="12"/>
      <name val="Arial"/>
      <family val="2"/>
    </font>
    <font>
      <sz val="12"/>
      <name val="Arial"/>
      <family val="2"/>
    </font>
    <font>
      <sz val="12"/>
      <color theme="1"/>
      <name val="Arial"/>
      <family val="2"/>
    </font>
    <font>
      <sz val="12"/>
      <color rgb="FF000000"/>
      <name val="Arial Narrow"/>
      <family val="2"/>
    </font>
    <font>
      <b/>
      <sz val="16"/>
      <color theme="1"/>
      <name val="Arial Narrow"/>
      <family val="2"/>
    </font>
    <font>
      <sz val="8"/>
      <color theme="1"/>
      <name val="Arial"/>
      <family val="2"/>
    </font>
    <font>
      <sz val="11"/>
      <color rgb="FF333333"/>
      <name val="Arial"/>
      <family val="2"/>
    </font>
    <font>
      <sz val="9"/>
      <color theme="1"/>
      <name val="Roboto"/>
    </font>
    <font>
      <sz val="9"/>
      <color rgb="FF333333"/>
      <name val="Arial"/>
      <family val="2"/>
    </font>
    <font>
      <sz val="9"/>
      <color theme="1"/>
      <name val="Arial"/>
      <family val="2"/>
    </font>
    <font>
      <b/>
      <sz val="8"/>
      <color rgb="FF333333"/>
      <name val="Arial"/>
      <family val="2"/>
    </font>
    <font>
      <b/>
      <sz val="9"/>
      <color theme="1"/>
      <name val="Roboto"/>
    </font>
    <font>
      <b/>
      <sz val="9"/>
      <color rgb="FFFF0000"/>
      <name val="Roboto"/>
    </font>
    <font>
      <b/>
      <sz val="16"/>
      <color theme="1"/>
      <name val="Arial"/>
      <family val="2"/>
    </font>
    <font>
      <b/>
      <sz val="12"/>
      <color theme="0"/>
      <name val="Arial"/>
      <family val="2"/>
    </font>
    <font>
      <b/>
      <sz val="12"/>
      <color theme="1"/>
      <name val="Arial"/>
      <family val="2"/>
    </font>
    <font>
      <sz val="12"/>
      <color theme="0"/>
      <name val="Arial"/>
      <family val="2"/>
    </font>
    <font>
      <b/>
      <sz val="8"/>
      <color theme="1"/>
      <name val="Roboto"/>
    </font>
    <font>
      <b/>
      <sz val="11"/>
      <color theme="1"/>
      <name val="Arial"/>
      <family val="2"/>
    </font>
    <font>
      <sz val="11"/>
      <color theme="1"/>
      <name val="Arial"/>
      <family val="2"/>
    </font>
    <font>
      <sz val="11"/>
      <color theme="1"/>
      <name val="Arial Narrow"/>
      <family val="2"/>
    </font>
    <font>
      <b/>
      <sz val="11"/>
      <color theme="1"/>
      <name val="Arial Narrow"/>
      <family val="2"/>
    </font>
    <font>
      <sz val="11"/>
      <color rgb="FF000000"/>
      <name val="Arial Narrow"/>
      <family val="2"/>
    </font>
    <font>
      <b/>
      <sz val="11"/>
      <color rgb="FF000000"/>
      <name val="Arial Narrow"/>
      <family val="2"/>
    </font>
    <font>
      <sz val="8"/>
      <color theme="1"/>
      <name val="Times New Roman"/>
      <family val="1"/>
    </font>
    <font>
      <sz val="10"/>
      <color theme="1"/>
      <name val="Arial Narrow"/>
      <family val="2"/>
    </font>
    <font>
      <b/>
      <sz val="8"/>
      <color theme="1"/>
      <name val="Arial"/>
      <family val="2"/>
    </font>
    <font>
      <b/>
      <sz val="8"/>
      <color rgb="FFFF0000"/>
      <name val="Arial"/>
      <family val="2"/>
    </font>
  </fonts>
  <fills count="22">
    <fill>
      <patternFill patternType="none"/>
    </fill>
    <fill>
      <patternFill patternType="gray125"/>
    </fill>
    <fill>
      <patternFill patternType="solid">
        <fgColor theme="1" tint="0.14999847407452621"/>
        <bgColor indexed="64"/>
      </patternFill>
    </fill>
    <fill>
      <patternFill patternType="solid">
        <fgColor theme="2" tint="-9.9978637043366805E-2"/>
        <bgColor indexed="64"/>
      </patternFill>
    </fill>
    <fill>
      <patternFill patternType="solid">
        <fgColor theme="0"/>
        <bgColor indexed="64"/>
      </patternFill>
    </fill>
    <fill>
      <patternFill patternType="solid">
        <fgColor theme="0" tint="-0.34998626667073579"/>
        <bgColor indexed="64"/>
      </patternFill>
    </fill>
    <fill>
      <patternFill patternType="solid">
        <fgColor theme="1" tint="0.249977111117893"/>
        <bgColor indexed="64"/>
      </patternFill>
    </fill>
    <fill>
      <patternFill patternType="solid">
        <fgColor theme="4" tint="-0.249977111117893"/>
        <bgColor indexed="64"/>
      </patternFill>
    </fill>
    <fill>
      <patternFill patternType="solid">
        <fgColor theme="4" tint="0.39997558519241921"/>
        <bgColor indexed="64"/>
      </patternFill>
    </fill>
    <fill>
      <patternFill patternType="solid">
        <fgColor theme="7" tint="-0.249977111117893"/>
        <bgColor indexed="64"/>
      </patternFill>
    </fill>
    <fill>
      <patternFill patternType="solid">
        <fgColor theme="6" tint="-0.249977111117893"/>
        <bgColor indexed="64"/>
      </patternFill>
    </fill>
    <fill>
      <patternFill patternType="solid">
        <fgColor rgb="FFFFFF00"/>
        <bgColor indexed="64"/>
      </patternFill>
    </fill>
    <fill>
      <patternFill patternType="solid">
        <fgColor theme="0" tint="-0.249977111117893"/>
        <bgColor indexed="64"/>
      </patternFill>
    </fill>
    <fill>
      <patternFill patternType="solid">
        <fgColor indexed="55"/>
        <bgColor indexed="64"/>
      </patternFill>
    </fill>
    <fill>
      <patternFill patternType="solid">
        <fgColor theme="4" tint="0.59999389629810485"/>
        <bgColor indexed="64"/>
      </patternFill>
    </fill>
    <fill>
      <patternFill patternType="solid">
        <fgColor rgb="FFF2F2F2"/>
        <bgColor indexed="64"/>
      </patternFill>
    </fill>
    <fill>
      <patternFill patternType="solid">
        <fgColor rgb="FFFFFFFF"/>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3" tint="0.59999389629810485"/>
        <bgColor indexed="64"/>
      </patternFill>
    </fill>
    <fill>
      <patternFill patternType="solid">
        <fgColor rgb="FFD0CECE"/>
        <bgColor indexed="64"/>
      </patternFill>
    </fill>
    <fill>
      <patternFill patternType="solid">
        <fgColor theme="0" tint="-4.9989318521683403E-2"/>
        <bgColor indexed="64"/>
      </patternFill>
    </fill>
  </fills>
  <borders count="3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bottom/>
      <diagonal/>
    </border>
    <border>
      <left/>
      <right/>
      <top style="thin">
        <color auto="1"/>
      </top>
      <bottom/>
      <diagonal/>
    </border>
    <border>
      <left/>
      <right style="thin">
        <color auto="1"/>
      </right>
      <top style="thin">
        <color auto="1"/>
      </top>
      <bottom/>
      <diagonal/>
    </border>
    <border>
      <left/>
      <right style="thin">
        <color indexed="64"/>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indexed="64"/>
      </left>
      <right/>
      <top style="thin">
        <color auto="1"/>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auto="1"/>
      </left>
      <right style="medium">
        <color indexed="64"/>
      </right>
      <top style="thin">
        <color auto="1"/>
      </top>
      <bottom style="thin">
        <color auto="1"/>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auto="1"/>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17">
    <xf numFmtId="0" fontId="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8" fillId="0" borderId="0" applyNumberFormat="0" applyFill="0" applyBorder="0" applyAlignment="0" applyProtection="0">
      <alignment vertical="top"/>
      <protection locked="0"/>
    </xf>
    <xf numFmtId="0" fontId="11" fillId="0" borderId="0"/>
    <xf numFmtId="0" fontId="11" fillId="0" borderId="0"/>
    <xf numFmtId="0" fontId="1" fillId="0" borderId="0"/>
    <xf numFmtId="0" fontId="11" fillId="0" borderId="0"/>
    <xf numFmtId="0" fontId="11" fillId="0" borderId="0"/>
    <xf numFmtId="164" fontId="1" fillId="0" borderId="0" applyFont="0" applyFill="0" applyBorder="0" applyAlignment="0" applyProtection="0"/>
    <xf numFmtId="0" fontId="11" fillId="0" borderId="0"/>
    <xf numFmtId="168" fontId="1" fillId="0" borderId="0" applyFont="0" applyFill="0" applyBorder="0" applyAlignment="0" applyProtection="0"/>
    <xf numFmtId="169" fontId="1" fillId="0" borderId="0" applyFont="0" applyFill="0" applyBorder="0" applyAlignment="0" applyProtection="0"/>
    <xf numFmtId="164" fontId="1" fillId="0" borderId="0" applyFont="0" applyFill="0" applyBorder="0" applyAlignment="0" applyProtection="0"/>
    <xf numFmtId="168" fontId="1" fillId="0" borderId="0" applyFont="0" applyFill="0" applyBorder="0" applyAlignment="0" applyProtection="0"/>
    <xf numFmtId="42" fontId="1" fillId="0" borderId="0" applyFont="0" applyFill="0" applyBorder="0" applyAlignment="0" applyProtection="0"/>
  </cellStyleXfs>
  <cellXfs count="346">
    <xf numFmtId="0" fontId="0" fillId="0" borderId="0" xfId="0"/>
    <xf numFmtId="0" fontId="3" fillId="0" borderId="1" xfId="0" applyFont="1" applyBorder="1"/>
    <xf numFmtId="49" fontId="5" fillId="0" borderId="1" xfId="0" applyNumberFormat="1" applyFont="1" applyBorder="1" applyAlignment="1" applyProtection="1">
      <alignment vertical="center" wrapText="1"/>
      <protection locked="0"/>
    </xf>
    <xf numFmtId="0" fontId="7" fillId="2" borderId="1" xfId="0" applyFont="1" applyFill="1" applyBorder="1" applyAlignment="1">
      <alignment horizontal="center" vertical="center" wrapText="1"/>
    </xf>
    <xf numFmtId="1" fontId="3" fillId="4" borderId="1" xfId="4" applyNumberFormat="1" applyFont="1" applyFill="1" applyBorder="1" applyAlignment="1" applyProtection="1">
      <alignment horizontal="center" vertical="center"/>
    </xf>
    <xf numFmtId="0" fontId="3" fillId="4" borderId="1" xfId="0" applyFont="1" applyFill="1" applyBorder="1" applyAlignment="1">
      <alignment horizontal="left" vertical="center" wrapText="1" indent="1"/>
    </xf>
    <xf numFmtId="165" fontId="3" fillId="0" borderId="1" xfId="1" applyNumberFormat="1" applyFont="1" applyFill="1" applyBorder="1" applyAlignment="1">
      <alignment vertical="center"/>
    </xf>
    <xf numFmtId="165" fontId="3" fillId="4" borderId="1" xfId="1" applyNumberFormat="1" applyFont="1" applyFill="1" applyBorder="1" applyAlignment="1">
      <alignment horizontal="center" vertical="center"/>
    </xf>
    <xf numFmtId="165" fontId="3" fillId="4" borderId="1" xfId="1" applyNumberFormat="1" applyFont="1" applyFill="1" applyBorder="1" applyAlignment="1">
      <alignment vertical="center"/>
    </xf>
    <xf numFmtId="165" fontId="9" fillId="5" borderId="1" xfId="1" applyNumberFormat="1" applyFont="1" applyFill="1" applyBorder="1" applyAlignment="1">
      <alignment vertical="center"/>
    </xf>
    <xf numFmtId="42" fontId="3" fillId="4" borderId="1" xfId="0" applyNumberFormat="1" applyFont="1" applyFill="1" applyBorder="1" applyAlignment="1">
      <alignment vertical="center" wrapText="1"/>
    </xf>
    <xf numFmtId="0" fontId="3" fillId="4" borderId="1" xfId="0" applyFont="1" applyFill="1" applyBorder="1" applyAlignment="1">
      <alignment vertical="center" wrapText="1"/>
    </xf>
    <xf numFmtId="42" fontId="3" fillId="4" borderId="1" xfId="2" applyFont="1" applyFill="1" applyBorder="1" applyAlignment="1">
      <alignment horizontal="center" vertical="center"/>
    </xf>
    <xf numFmtId="165" fontId="7" fillId="2" borderId="1" xfId="0" applyNumberFormat="1" applyFont="1" applyFill="1" applyBorder="1" applyAlignment="1">
      <alignment vertical="center"/>
    </xf>
    <xf numFmtId="1" fontId="9" fillId="5" borderId="1" xfId="4" applyNumberFormat="1" applyFont="1" applyFill="1" applyBorder="1" applyAlignment="1" applyProtection="1">
      <alignment horizontal="center" vertical="center"/>
    </xf>
    <xf numFmtId="0" fontId="9" fillId="5" borderId="1" xfId="0" applyFont="1" applyFill="1" applyBorder="1" applyAlignment="1">
      <alignment horizontal="justify" vertical="center" wrapText="1"/>
    </xf>
    <xf numFmtId="0" fontId="9" fillId="5" borderId="1" xfId="0" applyFont="1" applyFill="1" applyBorder="1" applyAlignment="1">
      <alignment horizontal="left" vertical="center" wrapText="1"/>
    </xf>
    <xf numFmtId="165" fontId="9" fillId="5" borderId="1" xfId="1" applyNumberFormat="1" applyFont="1" applyFill="1" applyBorder="1" applyAlignment="1">
      <alignment horizontal="center" vertical="center"/>
    </xf>
    <xf numFmtId="1" fontId="10" fillId="2" borderId="1" xfId="4" applyNumberFormat="1" applyFont="1" applyFill="1" applyBorder="1" applyAlignment="1" applyProtection="1">
      <alignment horizontal="center" vertical="center"/>
    </xf>
    <xf numFmtId="0" fontId="7" fillId="2" borderId="1" xfId="0" applyFont="1" applyFill="1" applyBorder="1" applyAlignment="1">
      <alignment horizontal="justify" vertical="center" wrapText="1"/>
    </xf>
    <xf numFmtId="165" fontId="7" fillId="2" borderId="1" xfId="1" applyNumberFormat="1" applyFont="1" applyFill="1" applyBorder="1" applyAlignment="1">
      <alignment vertical="center"/>
    </xf>
    <xf numFmtId="42" fontId="7" fillId="2" borderId="1" xfId="0" applyNumberFormat="1" applyFont="1" applyFill="1" applyBorder="1" applyAlignment="1">
      <alignment vertical="center" wrapText="1"/>
    </xf>
    <xf numFmtId="0" fontId="7" fillId="2" borderId="1" xfId="0" applyFont="1" applyFill="1" applyBorder="1" applyAlignment="1">
      <alignment vertical="center" wrapText="1"/>
    </xf>
    <xf numFmtId="42" fontId="7" fillId="2" borderId="1" xfId="2" applyFont="1" applyFill="1" applyBorder="1" applyAlignment="1">
      <alignment horizontal="center" vertical="center"/>
    </xf>
    <xf numFmtId="42" fontId="0" fillId="0" borderId="0" xfId="2" applyFont="1"/>
    <xf numFmtId="0" fontId="2" fillId="0" borderId="0" xfId="0" applyFont="1" applyAlignment="1">
      <alignment horizontal="center" vertical="center"/>
    </xf>
    <xf numFmtId="0" fontId="2" fillId="0" borderId="0" xfId="0" applyFont="1" applyAlignment="1">
      <alignment horizontal="center"/>
    </xf>
    <xf numFmtId="42" fontId="0" fillId="0" borderId="0" xfId="0" applyNumberFormat="1"/>
    <xf numFmtId="0" fontId="3" fillId="4" borderId="1" xfId="0" applyFont="1" applyFill="1" applyBorder="1" applyAlignment="1">
      <alignment horizontal="left" wrapText="1" indent="2"/>
    </xf>
    <xf numFmtId="0" fontId="3" fillId="4" borderId="1" xfId="0" applyFont="1" applyFill="1" applyBorder="1" applyAlignment="1">
      <alignment horizontal="left" vertical="center" wrapText="1" indent="2"/>
    </xf>
    <xf numFmtId="0" fontId="3" fillId="0" borderId="0" xfId="0" applyFont="1"/>
    <xf numFmtId="1" fontId="3" fillId="4" borderId="1" xfId="0" applyNumberFormat="1" applyFont="1" applyFill="1" applyBorder="1" applyAlignment="1">
      <alignment horizontal="center" vertical="center"/>
    </xf>
    <xf numFmtId="0" fontId="3" fillId="0" borderId="1" xfId="0" applyFont="1" applyBorder="1" applyAlignment="1">
      <alignment horizontal="center" wrapText="1"/>
    </xf>
    <xf numFmtId="10" fontId="3" fillId="0" borderId="1" xfId="0" applyNumberFormat="1" applyFont="1" applyBorder="1" applyAlignment="1">
      <alignment horizontal="center"/>
    </xf>
    <xf numFmtId="42" fontId="3" fillId="4" borderId="1" xfId="2" applyFont="1" applyFill="1" applyBorder="1" applyAlignment="1">
      <alignment horizontal="right" vertical="center" indent="1"/>
    </xf>
    <xf numFmtId="4" fontId="3" fillId="0" borderId="1" xfId="0" applyNumberFormat="1" applyFont="1" applyBorder="1" applyAlignment="1">
      <alignment horizontal="center" vertical="center"/>
    </xf>
    <xf numFmtId="0" fontId="3" fillId="0" borderId="9" xfId="0" applyFont="1" applyBorder="1"/>
    <xf numFmtId="166" fontId="3" fillId="0" borderId="0" xfId="0" applyNumberFormat="1" applyFont="1" applyAlignment="1">
      <alignment horizontal="center" vertical="center"/>
    </xf>
    <xf numFmtId="166" fontId="3" fillId="0" borderId="10" xfId="0" applyNumberFormat="1" applyFont="1" applyBorder="1" applyAlignment="1">
      <alignment horizontal="center" vertical="center"/>
    </xf>
    <xf numFmtId="0" fontId="9" fillId="0" borderId="1" xfId="0" applyFont="1" applyBorder="1" applyAlignment="1">
      <alignment horizontal="center" vertical="center"/>
    </xf>
    <xf numFmtId="49" fontId="9" fillId="3" borderId="1" xfId="5" applyNumberFormat="1" applyFont="1" applyFill="1" applyBorder="1" applyAlignment="1">
      <alignment horizontal="center" vertical="center" wrapText="1"/>
    </xf>
    <xf numFmtId="49" fontId="9" fillId="3" borderId="1" xfId="5" applyNumberFormat="1" applyFont="1" applyFill="1" applyBorder="1" applyAlignment="1">
      <alignment horizontal="left" vertical="center" wrapText="1"/>
    </xf>
    <xf numFmtId="10" fontId="9" fillId="3" borderId="1" xfId="3" applyNumberFormat="1" applyFont="1" applyFill="1" applyBorder="1" applyAlignment="1">
      <alignment horizontal="center"/>
    </xf>
    <xf numFmtId="0" fontId="3" fillId="4" borderId="1" xfId="0" applyFont="1" applyFill="1" applyBorder="1" applyAlignment="1">
      <alignment horizontal="center" vertical="center"/>
    </xf>
    <xf numFmtId="10" fontId="3" fillId="4" borderId="1" xfId="3" applyNumberFormat="1" applyFont="1" applyFill="1" applyBorder="1" applyAlignment="1">
      <alignment horizontal="center" vertical="center"/>
    </xf>
    <xf numFmtId="10" fontId="3" fillId="0" borderId="1" xfId="3" applyNumberFormat="1" applyFont="1" applyFill="1" applyBorder="1" applyAlignment="1">
      <alignment horizontal="center"/>
    </xf>
    <xf numFmtId="10" fontId="3" fillId="0" borderId="1" xfId="3" applyNumberFormat="1" applyFont="1" applyFill="1" applyBorder="1" applyAlignment="1">
      <alignment horizontal="center" vertical="center"/>
    </xf>
    <xf numFmtId="10" fontId="7" fillId="2" borderId="1" xfId="0" applyNumberFormat="1" applyFont="1" applyFill="1" applyBorder="1" applyAlignment="1">
      <alignment horizontal="center" vertical="center"/>
    </xf>
    <xf numFmtId="2" fontId="7" fillId="2" borderId="1" xfId="0" applyNumberFormat="1" applyFont="1" applyFill="1" applyBorder="1" applyAlignment="1">
      <alignment horizontal="center" vertical="center"/>
    </xf>
    <xf numFmtId="42" fontId="3" fillId="4" borderId="1" xfId="2" applyFont="1" applyFill="1" applyBorder="1" applyAlignment="1">
      <alignment horizontal="right" vertical="center"/>
    </xf>
    <xf numFmtId="0" fontId="7" fillId="2" borderId="1" xfId="5" applyFont="1" applyFill="1" applyBorder="1" applyAlignment="1">
      <alignment horizontal="center" vertical="center" wrapText="1"/>
    </xf>
    <xf numFmtId="3" fontId="7" fillId="2" borderId="1" xfId="5" applyNumberFormat="1" applyFont="1" applyFill="1" applyBorder="1" applyAlignment="1">
      <alignment horizontal="center" vertical="center" wrapText="1"/>
    </xf>
    <xf numFmtId="1" fontId="3" fillId="4" borderId="1" xfId="0" applyNumberFormat="1" applyFont="1" applyFill="1" applyBorder="1" applyAlignment="1">
      <alignment horizontal="left" vertical="center"/>
    </xf>
    <xf numFmtId="42" fontId="7" fillId="2" borderId="1" xfId="0" applyNumberFormat="1" applyFont="1" applyFill="1" applyBorder="1"/>
    <xf numFmtId="42" fontId="7" fillId="7" borderId="1" xfId="2" applyFont="1" applyFill="1" applyBorder="1"/>
    <xf numFmtId="49" fontId="7" fillId="6" borderId="1" xfId="5" applyNumberFormat="1" applyFont="1" applyFill="1" applyBorder="1" applyAlignment="1">
      <alignment horizontal="center" vertical="center" wrapText="1"/>
    </xf>
    <xf numFmtId="49" fontId="7" fillId="6" borderId="1" xfId="5" applyNumberFormat="1" applyFont="1" applyFill="1" applyBorder="1" applyAlignment="1">
      <alignment horizontal="left" vertical="center" wrapText="1"/>
    </xf>
    <xf numFmtId="10" fontId="7" fillId="6" borderId="1" xfId="3" applyNumberFormat="1" applyFont="1" applyFill="1" applyBorder="1" applyAlignment="1">
      <alignment horizontal="center"/>
    </xf>
    <xf numFmtId="0" fontId="3" fillId="12" borderId="1" xfId="0" applyFont="1" applyFill="1" applyBorder="1" applyAlignment="1">
      <alignment horizontal="center" vertical="center"/>
    </xf>
    <xf numFmtId="0" fontId="9" fillId="12" borderId="1" xfId="0" applyFont="1" applyFill="1" applyBorder="1" applyAlignment="1">
      <alignment horizontal="left" wrapText="1" indent="1"/>
    </xf>
    <xf numFmtId="10" fontId="9" fillId="12" borderId="1" xfId="3" applyNumberFormat="1" applyFont="1" applyFill="1" applyBorder="1" applyAlignment="1">
      <alignment horizontal="center"/>
    </xf>
    <xf numFmtId="1" fontId="14" fillId="0" borderId="1" xfId="9" applyNumberFormat="1" applyFont="1" applyBorder="1" applyAlignment="1" applyProtection="1">
      <alignment vertical="center" wrapText="1"/>
      <protection locked="0"/>
    </xf>
    <xf numFmtId="164" fontId="14" fillId="0" borderId="1" xfId="10" applyFont="1" applyFill="1" applyBorder="1" applyAlignment="1" applyProtection="1">
      <alignment vertical="center" wrapText="1"/>
      <protection locked="0"/>
    </xf>
    <xf numFmtId="49" fontId="13" fillId="0" borderId="1" xfId="9" applyNumberFormat="1" applyFont="1" applyBorder="1" applyAlignment="1">
      <alignment horizontal="center" vertical="center" wrapText="1"/>
    </xf>
    <xf numFmtId="49" fontId="13" fillId="8" borderId="1" xfId="9" applyNumberFormat="1" applyFont="1" applyFill="1" applyBorder="1" applyAlignment="1">
      <alignment vertical="center" wrapText="1"/>
    </xf>
    <xf numFmtId="1" fontId="14" fillId="0" borderId="1" xfId="9" applyNumberFormat="1" applyFont="1" applyBorder="1" applyAlignment="1" applyProtection="1">
      <alignment horizontal="center" vertical="center" wrapText="1"/>
      <protection locked="0"/>
    </xf>
    <xf numFmtId="164" fontId="14" fillId="0" borderId="1" xfId="10" applyFont="1" applyFill="1" applyBorder="1" applyAlignment="1" applyProtection="1">
      <alignment horizontal="center" vertical="center" wrapText="1"/>
      <protection locked="0"/>
    </xf>
    <xf numFmtId="49" fontId="13" fillId="0" borderId="1" xfId="9" applyNumberFormat="1" applyFont="1" applyBorder="1" applyAlignment="1">
      <alignment vertical="center" wrapText="1"/>
    </xf>
    <xf numFmtId="0" fontId="15" fillId="0" borderId="1" xfId="7" applyFont="1" applyBorder="1"/>
    <xf numFmtId="49" fontId="13" fillId="8" borderId="1" xfId="9" applyNumberFormat="1" applyFont="1" applyFill="1" applyBorder="1" applyAlignment="1">
      <alignment horizontal="center" vertical="center" wrapText="1"/>
    </xf>
    <xf numFmtId="1" fontId="14" fillId="0" borderId="5" xfId="9" applyNumberFormat="1" applyFont="1" applyBorder="1" applyAlignment="1" applyProtection="1">
      <alignment horizontal="center" vertical="center"/>
      <protection locked="0"/>
    </xf>
    <xf numFmtId="1" fontId="14" fillId="0" borderId="6" xfId="9" applyNumberFormat="1" applyFont="1" applyBorder="1" applyAlignment="1" applyProtection="1">
      <alignment horizontal="center" vertical="center"/>
      <protection locked="0"/>
    </xf>
    <xf numFmtId="0" fontId="15" fillId="0" borderId="0" xfId="7" applyFont="1"/>
    <xf numFmtId="1" fontId="13" fillId="4" borderId="4" xfId="6" applyNumberFormat="1" applyFont="1" applyFill="1" applyBorder="1" applyAlignment="1">
      <alignment vertical="center" wrapText="1"/>
    </xf>
    <xf numFmtId="0" fontId="15" fillId="4" borderId="0" xfId="7" applyFont="1" applyFill="1"/>
    <xf numFmtId="1" fontId="14" fillId="11" borderId="7" xfId="9" applyNumberFormat="1" applyFont="1" applyFill="1" applyBorder="1" applyAlignment="1" applyProtection="1">
      <alignment vertical="center" wrapText="1"/>
      <protection locked="0"/>
    </xf>
    <xf numFmtId="1" fontId="14" fillId="11" borderId="1" xfId="9" applyNumberFormat="1" applyFont="1" applyFill="1" applyBorder="1" applyAlignment="1" applyProtection="1">
      <alignment vertical="center" wrapText="1"/>
      <protection locked="0"/>
    </xf>
    <xf numFmtId="49" fontId="7" fillId="2" borderId="1" xfId="5" applyNumberFormat="1" applyFont="1" applyFill="1" applyBorder="1" applyAlignment="1">
      <alignment horizontal="center" vertical="center" wrapText="1"/>
    </xf>
    <xf numFmtId="0" fontId="7" fillId="2" borderId="1" xfId="0" applyFont="1" applyFill="1" applyBorder="1" applyAlignment="1">
      <alignment horizontal="center" vertical="center"/>
    </xf>
    <xf numFmtId="1" fontId="13" fillId="4" borderId="3" xfId="6" applyNumberFormat="1" applyFont="1" applyFill="1" applyBorder="1" applyAlignment="1">
      <alignment horizontal="center" vertical="center" wrapText="1"/>
    </xf>
    <xf numFmtId="49" fontId="6" fillId="0" borderId="2" xfId="11" applyNumberFormat="1" applyFont="1" applyBorder="1" applyAlignment="1" applyProtection="1">
      <alignment vertical="center"/>
      <protection locked="0"/>
    </xf>
    <xf numFmtId="0" fontId="3" fillId="0" borderId="3" xfId="0" applyFont="1" applyBorder="1"/>
    <xf numFmtId="0" fontId="6" fillId="0" borderId="4" xfId="11" applyFont="1" applyBorder="1" applyProtection="1">
      <protection locked="0"/>
    </xf>
    <xf numFmtId="0" fontId="16" fillId="0" borderId="0" xfId="0" applyFont="1" applyAlignment="1">
      <alignment horizontal="center" vertical="center"/>
    </xf>
    <xf numFmtId="49" fontId="5" fillId="0" borderId="14" xfId="0" applyNumberFormat="1" applyFont="1" applyBorder="1" applyProtection="1">
      <protection locked="0"/>
    </xf>
    <xf numFmtId="49" fontId="5" fillId="0" borderId="15" xfId="11" applyNumberFormat="1" applyFont="1" applyBorder="1" applyProtection="1">
      <protection locked="0"/>
    </xf>
    <xf numFmtId="49" fontId="5" fillId="0" borderId="16" xfId="11" applyNumberFormat="1" applyFont="1" applyBorder="1" applyProtection="1">
      <protection locked="0"/>
    </xf>
    <xf numFmtId="49" fontId="3" fillId="0" borderId="14" xfId="0" applyNumberFormat="1" applyFont="1" applyBorder="1" applyProtection="1">
      <protection locked="0"/>
    </xf>
    <xf numFmtId="49" fontId="6" fillId="0" borderId="0" xfId="11" applyNumberFormat="1" applyFont="1" applyProtection="1">
      <protection locked="0"/>
    </xf>
    <xf numFmtId="49" fontId="6" fillId="0" borderId="17" xfId="11" applyNumberFormat="1" applyFont="1" applyBorder="1" applyProtection="1">
      <protection locked="0"/>
    </xf>
    <xf numFmtId="49" fontId="3" fillId="0" borderId="18" xfId="0" applyNumberFormat="1" applyFont="1" applyBorder="1" applyProtection="1">
      <protection locked="0"/>
    </xf>
    <xf numFmtId="0" fontId="5" fillId="0" borderId="21" xfId="11" applyFont="1" applyBorder="1" applyProtection="1">
      <protection locked="0"/>
    </xf>
    <xf numFmtId="49" fontId="6" fillId="0" borderId="14" xfId="11" applyNumberFormat="1" applyFont="1" applyBorder="1" applyProtection="1">
      <protection locked="0"/>
    </xf>
    <xf numFmtId="49" fontId="6" fillId="0" borderId="2" xfId="11" applyNumberFormat="1" applyFont="1" applyBorder="1" applyProtection="1">
      <protection locked="0"/>
    </xf>
    <xf numFmtId="0" fontId="15" fillId="0" borderId="0" xfId="0" applyFont="1"/>
    <xf numFmtId="0" fontId="15" fillId="0" borderId="0" xfId="0" applyFont="1" applyAlignment="1">
      <alignment wrapText="1"/>
    </xf>
    <xf numFmtId="49" fontId="7" fillId="6" borderId="24" xfId="5" applyNumberFormat="1" applyFont="1" applyFill="1" applyBorder="1" applyAlignment="1">
      <alignment horizontal="center" vertical="center" wrapText="1"/>
    </xf>
    <xf numFmtId="1" fontId="3" fillId="4" borderId="26" xfId="0" applyNumberFormat="1" applyFont="1" applyFill="1" applyBorder="1" applyAlignment="1">
      <alignment horizontal="center" vertical="center"/>
    </xf>
    <xf numFmtId="1" fontId="3" fillId="4" borderId="8" xfId="0" applyNumberFormat="1" applyFont="1" applyFill="1" applyBorder="1" applyAlignment="1">
      <alignment horizontal="center" vertical="center"/>
    </xf>
    <xf numFmtId="0" fontId="3" fillId="0" borderId="8" xfId="0" applyFont="1" applyBorder="1" applyAlignment="1">
      <alignment horizontal="center" wrapText="1"/>
    </xf>
    <xf numFmtId="10" fontId="3" fillId="0" borderId="8" xfId="0" applyNumberFormat="1" applyFont="1" applyBorder="1" applyAlignment="1">
      <alignment horizontal="center"/>
    </xf>
    <xf numFmtId="42" fontId="3" fillId="4" borderId="8" xfId="2" applyFont="1" applyFill="1" applyBorder="1" applyAlignment="1">
      <alignment horizontal="right" vertical="center" indent="1"/>
    </xf>
    <xf numFmtId="4" fontId="3" fillId="0" borderId="8" xfId="0" applyNumberFormat="1" applyFont="1" applyBorder="1" applyAlignment="1">
      <alignment horizontal="center" vertical="center"/>
    </xf>
    <xf numFmtId="4" fontId="3" fillId="0" borderId="18" xfId="0" applyNumberFormat="1" applyFont="1" applyBorder="1" applyAlignment="1">
      <alignment horizontal="center" vertical="center"/>
    </xf>
    <xf numFmtId="42" fontId="3" fillId="4" borderId="27" xfId="2" applyFont="1" applyFill="1" applyBorder="1" applyAlignment="1">
      <alignment horizontal="right" vertical="center"/>
    </xf>
    <xf numFmtId="1" fontId="3" fillId="4" borderId="5" xfId="0" applyNumberFormat="1" applyFont="1" applyFill="1" applyBorder="1" applyAlignment="1">
      <alignment horizontal="center" vertical="center"/>
    </xf>
    <xf numFmtId="4" fontId="3" fillId="0" borderId="2" xfId="0" applyNumberFormat="1" applyFont="1" applyBorder="1" applyAlignment="1">
      <alignment horizontal="center" vertical="center"/>
    </xf>
    <xf numFmtId="42" fontId="3" fillId="4" borderId="28" xfId="2" applyFont="1" applyFill="1" applyBorder="1" applyAlignment="1">
      <alignment horizontal="right" vertical="center"/>
    </xf>
    <xf numFmtId="42" fontId="7" fillId="6" borderId="24" xfId="0" applyNumberFormat="1" applyFont="1" applyFill="1" applyBorder="1"/>
    <xf numFmtId="1" fontId="3" fillId="4" borderId="9" xfId="0" applyNumberFormat="1" applyFont="1" applyFill="1" applyBorder="1" applyAlignment="1">
      <alignment horizontal="center" vertical="center"/>
    </xf>
    <xf numFmtId="1" fontId="3" fillId="4" borderId="0" xfId="0" applyNumberFormat="1" applyFont="1" applyFill="1" applyAlignment="1">
      <alignment horizontal="center" vertical="center"/>
    </xf>
    <xf numFmtId="0" fontId="3" fillId="0" borderId="0" xfId="0" applyFont="1" applyAlignment="1">
      <alignment horizontal="center" wrapText="1"/>
    </xf>
    <xf numFmtId="10" fontId="3" fillId="0" borderId="0" xfId="0" applyNumberFormat="1" applyFont="1" applyAlignment="1">
      <alignment horizontal="center"/>
    </xf>
    <xf numFmtId="42" fontId="3" fillId="4" borderId="0" xfId="2" applyFont="1" applyFill="1" applyBorder="1" applyAlignment="1">
      <alignment horizontal="right" vertical="center" indent="1"/>
    </xf>
    <xf numFmtId="4" fontId="3" fillId="0" borderId="0" xfId="0" applyNumberFormat="1" applyFont="1" applyAlignment="1">
      <alignment horizontal="center" vertical="center"/>
    </xf>
    <xf numFmtId="42" fontId="3" fillId="4" borderId="10" xfId="2" applyFont="1" applyFill="1" applyBorder="1" applyAlignment="1">
      <alignment horizontal="right" vertical="center"/>
    </xf>
    <xf numFmtId="49" fontId="7" fillId="6" borderId="22" xfId="5" applyNumberFormat="1" applyFont="1" applyFill="1" applyBorder="1" applyAlignment="1">
      <alignment horizontal="center" vertical="center" wrapText="1"/>
    </xf>
    <xf numFmtId="0" fontId="20" fillId="0" borderId="0" xfId="0" applyFont="1" applyAlignment="1">
      <alignment horizontal="left" indent="1"/>
    </xf>
    <xf numFmtId="0" fontId="21" fillId="15" borderId="0" xfId="0" applyFont="1" applyFill="1" applyAlignment="1">
      <alignment horizontal="right" wrapText="1" indent="1"/>
    </xf>
    <xf numFmtId="0" fontId="22" fillId="16" borderId="1" xfId="0" applyFont="1" applyFill="1" applyBorder="1" applyAlignment="1">
      <alignment horizontal="left" wrapText="1" indent="1"/>
    </xf>
    <xf numFmtId="0" fontId="22" fillId="16" borderId="1" xfId="0" applyFont="1" applyFill="1" applyBorder="1" applyAlignment="1">
      <alignment horizontal="center" wrapText="1" indent="1"/>
    </xf>
    <xf numFmtId="0" fontId="22" fillId="16" borderId="1" xfId="0" applyFont="1" applyFill="1" applyBorder="1" applyAlignment="1">
      <alignment horizontal="right" wrapText="1" indent="1"/>
    </xf>
    <xf numFmtId="0" fontId="18" fillId="0" borderId="30" xfId="0" applyFont="1" applyBorder="1" applyAlignment="1">
      <alignment horizontal="right" wrapText="1"/>
    </xf>
    <xf numFmtId="0" fontId="18" fillId="0" borderId="30" xfId="0" applyFont="1" applyBorder="1" applyAlignment="1">
      <alignment horizontal="center" wrapText="1"/>
    </xf>
    <xf numFmtId="0" fontId="18" fillId="0" borderId="30" xfId="0" applyFont="1" applyBorder="1" applyAlignment="1">
      <alignment horizontal="left" wrapText="1"/>
    </xf>
    <xf numFmtId="4" fontId="18" fillId="0" borderId="30" xfId="0" applyNumberFormat="1" applyFont="1" applyBorder="1" applyAlignment="1">
      <alignment horizontal="right" wrapText="1"/>
    </xf>
    <xf numFmtId="4" fontId="20" fillId="0" borderId="0" xfId="0" applyNumberFormat="1" applyFont="1" applyAlignment="1">
      <alignment horizontal="left" indent="1"/>
    </xf>
    <xf numFmtId="44" fontId="24" fillId="0" borderId="0" xfId="1" applyFont="1" applyAlignment="1">
      <alignment horizontal="left" indent="1"/>
    </xf>
    <xf numFmtId="44" fontId="20" fillId="0" borderId="0" xfId="0" applyNumberFormat="1" applyFont="1" applyAlignment="1">
      <alignment horizontal="left" indent="1"/>
    </xf>
    <xf numFmtId="10" fontId="20" fillId="0" borderId="0" xfId="3" applyNumberFormat="1" applyFont="1" applyAlignment="1">
      <alignment horizontal="left" indent="1"/>
    </xf>
    <xf numFmtId="0" fontId="24" fillId="0" borderId="0" xfId="0" applyFont="1" applyAlignment="1">
      <alignment horizontal="center"/>
    </xf>
    <xf numFmtId="44" fontId="25" fillId="0" borderId="0" xfId="0" applyNumberFormat="1" applyFont="1" applyAlignment="1">
      <alignment horizontal="left" indent="1"/>
    </xf>
    <xf numFmtId="44" fontId="20" fillId="0" borderId="0" xfId="1" applyFont="1" applyAlignment="1">
      <alignment horizontal="left" indent="1"/>
    </xf>
    <xf numFmtId="0" fontId="13" fillId="18" borderId="1" xfId="0" applyFont="1" applyFill="1" applyBorder="1" applyAlignment="1">
      <alignment horizontal="center" vertical="center" wrapText="1"/>
    </xf>
    <xf numFmtId="0" fontId="15" fillId="0" borderId="1" xfId="0" applyFont="1" applyBorder="1" applyAlignment="1">
      <alignment horizontal="center" vertical="center"/>
    </xf>
    <xf numFmtId="0" fontId="15" fillId="0" borderId="1" xfId="0" applyFont="1" applyBorder="1" applyAlignment="1">
      <alignment horizontal="left" vertical="center" wrapText="1"/>
    </xf>
    <xf numFmtId="0" fontId="15" fillId="0" borderId="1" xfId="0" applyFont="1" applyBorder="1" applyAlignment="1">
      <alignment horizontal="center" vertical="center" wrapText="1"/>
    </xf>
    <xf numFmtId="167" fontId="15" fillId="0" borderId="1" xfId="0" applyNumberFormat="1" applyFont="1" applyBorder="1" applyAlignment="1">
      <alignment horizontal="center" vertical="center"/>
    </xf>
    <xf numFmtId="4" fontId="15" fillId="0" borderId="1" xfId="0" applyNumberFormat="1" applyFont="1" applyBorder="1" applyAlignment="1">
      <alignment horizontal="center" vertical="center"/>
    </xf>
    <xf numFmtId="167" fontId="27" fillId="8" borderId="1" xfId="0" applyNumberFormat="1" applyFont="1" applyFill="1" applyBorder="1" applyAlignment="1">
      <alignment horizontal="center" vertical="center"/>
    </xf>
    <xf numFmtId="0" fontId="27" fillId="18" borderId="1" xfId="0" applyFont="1" applyFill="1" applyBorder="1" applyAlignment="1">
      <alignment horizontal="center" vertical="center" wrapText="1"/>
    </xf>
    <xf numFmtId="0" fontId="29" fillId="8" borderId="1" xfId="0" applyFont="1" applyFill="1" applyBorder="1" applyAlignment="1">
      <alignment horizontal="center" vertical="center"/>
    </xf>
    <xf numFmtId="0" fontId="27" fillId="8" borderId="1" xfId="0" applyFont="1" applyFill="1" applyBorder="1" applyAlignment="1">
      <alignment wrapText="1"/>
    </xf>
    <xf numFmtId="42" fontId="15" fillId="0" borderId="0" xfId="0" applyNumberFormat="1" applyFont="1"/>
    <xf numFmtId="0" fontId="27" fillId="8" borderId="1" xfId="0" applyFont="1" applyFill="1" applyBorder="1" applyAlignment="1">
      <alignment vertical="center" wrapText="1"/>
    </xf>
    <xf numFmtId="0" fontId="15" fillId="14" borderId="1" xfId="0" applyFont="1" applyFill="1" applyBorder="1" applyAlignment="1">
      <alignment horizontal="center" vertical="center"/>
    </xf>
    <xf numFmtId="0" fontId="28" fillId="14" borderId="1" xfId="0" applyFont="1" applyFill="1" applyBorder="1" applyAlignment="1">
      <alignment horizontal="left" vertical="center" wrapText="1"/>
    </xf>
    <xf numFmtId="0" fontId="15" fillId="4" borderId="1" xfId="0" applyFont="1" applyFill="1" applyBorder="1" applyAlignment="1">
      <alignment horizontal="center" vertical="center"/>
    </xf>
    <xf numFmtId="0" fontId="15" fillId="4" borderId="1" xfId="0" applyFont="1" applyFill="1" applyBorder="1" applyAlignment="1">
      <alignment horizontal="left" vertical="center" wrapText="1"/>
    </xf>
    <xf numFmtId="10" fontId="15" fillId="4" borderId="0" xfId="3" applyNumberFormat="1" applyFont="1" applyFill="1" applyBorder="1" applyAlignment="1">
      <alignment vertical="center"/>
    </xf>
    <xf numFmtId="0" fontId="15" fillId="0" borderId="1" xfId="0" applyFont="1" applyBorder="1" applyAlignment="1">
      <alignment horizontal="left" wrapText="1" indent="2"/>
    </xf>
    <xf numFmtId="0" fontId="29" fillId="14" borderId="1" xfId="0" applyFont="1" applyFill="1" applyBorder="1" applyAlignment="1">
      <alignment horizontal="center" vertical="center"/>
    </xf>
    <xf numFmtId="0" fontId="27" fillId="14" borderId="1" xfId="0" applyFont="1" applyFill="1" applyBorder="1" applyAlignment="1">
      <alignment wrapText="1"/>
    </xf>
    <xf numFmtId="0" fontId="15" fillId="0" borderId="0" xfId="0" applyFont="1" applyAlignment="1">
      <alignment horizontal="center" vertical="center"/>
    </xf>
    <xf numFmtId="0" fontId="15" fillId="0" borderId="0" xfId="0" applyFont="1" applyAlignment="1">
      <alignment horizontal="left" wrapText="1" indent="2"/>
    </xf>
    <xf numFmtId="10" fontId="15" fillId="0" borderId="0" xfId="3" applyNumberFormat="1" applyFont="1" applyBorder="1" applyAlignment="1">
      <alignment horizontal="center"/>
    </xf>
    <xf numFmtId="0" fontId="27" fillId="14" borderId="1" xfId="0" applyFont="1" applyFill="1" applyBorder="1" applyAlignment="1">
      <alignment horizontal="center" vertical="center"/>
    </xf>
    <xf numFmtId="0" fontId="27" fillId="14" borderId="1" xfId="0" applyFont="1" applyFill="1" applyBorder="1" applyAlignment="1">
      <alignment vertical="top" wrapText="1"/>
    </xf>
    <xf numFmtId="0" fontId="29" fillId="14" borderId="1" xfId="0" applyFont="1" applyFill="1" applyBorder="1" applyAlignment="1">
      <alignment horizontal="center" wrapText="1"/>
    </xf>
    <xf numFmtId="10" fontId="29" fillId="14" borderId="1" xfId="0" applyNumberFormat="1" applyFont="1" applyFill="1" applyBorder="1" applyAlignment="1">
      <alignment horizontal="center"/>
    </xf>
    <xf numFmtId="167" fontId="29" fillId="14" borderId="1" xfId="0" applyNumberFormat="1" applyFont="1" applyFill="1" applyBorder="1" applyAlignment="1">
      <alignment horizontal="center" vertical="center"/>
    </xf>
    <xf numFmtId="0" fontId="15" fillId="0" borderId="1" xfId="0" applyFont="1" applyBorder="1" applyAlignment="1">
      <alignment vertical="top" wrapText="1"/>
    </xf>
    <xf numFmtId="3" fontId="15" fillId="0" borderId="1" xfId="0" applyNumberFormat="1" applyFont="1" applyBorder="1" applyAlignment="1">
      <alignment horizontal="center" vertical="center"/>
    </xf>
    <xf numFmtId="0" fontId="27" fillId="14" borderId="1" xfId="0" applyFont="1" applyFill="1" applyBorder="1" applyAlignment="1">
      <alignment horizontal="center" vertical="center" wrapText="1"/>
    </xf>
    <xf numFmtId="167" fontId="27" fillId="14" borderId="1" xfId="0" applyNumberFormat="1" applyFont="1" applyFill="1" applyBorder="1" applyAlignment="1">
      <alignment horizontal="center" vertical="center"/>
    </xf>
    <xf numFmtId="3" fontId="27" fillId="14" borderId="1" xfId="0" applyNumberFormat="1" applyFont="1" applyFill="1" applyBorder="1" applyAlignment="1">
      <alignment horizontal="center" vertical="center"/>
    </xf>
    <xf numFmtId="0" fontId="15" fillId="0" borderId="1" xfId="0" applyFont="1" applyBorder="1" applyAlignment="1">
      <alignment vertical="center" wrapText="1"/>
    </xf>
    <xf numFmtId="168" fontId="15" fillId="0" borderId="0" xfId="15" applyFont="1"/>
    <xf numFmtId="0" fontId="15" fillId="0" borderId="1" xfId="0" applyFont="1" applyBorder="1" applyAlignment="1">
      <alignment wrapText="1"/>
    </xf>
    <xf numFmtId="3" fontId="15" fillId="0" borderId="1" xfId="0" applyNumberFormat="1" applyFont="1" applyBorder="1" applyAlignment="1">
      <alignment horizontal="center" vertical="center" wrapText="1"/>
    </xf>
    <xf numFmtId="171" fontId="15" fillId="0" borderId="1" xfId="0" applyNumberFormat="1" applyFont="1" applyBorder="1" applyAlignment="1">
      <alignment horizontal="center" vertical="center" wrapText="1"/>
    </xf>
    <xf numFmtId="167" fontId="28" fillId="0" borderId="1" xfId="0" applyNumberFormat="1" applyFont="1" applyBorder="1" applyAlignment="1">
      <alignment horizontal="center" vertical="center"/>
    </xf>
    <xf numFmtId="10" fontId="15" fillId="0" borderId="0" xfId="3" applyNumberFormat="1" applyFont="1" applyFill="1" applyBorder="1" applyAlignment="1">
      <alignment horizontal="center"/>
    </xf>
    <xf numFmtId="0" fontId="28" fillId="0" borderId="0" xfId="0" applyFont="1"/>
    <xf numFmtId="0" fontId="29" fillId="18" borderId="1" xfId="0" applyFont="1" applyFill="1" applyBorder="1" applyAlignment="1">
      <alignment horizontal="center" vertical="center"/>
    </xf>
    <xf numFmtId="0" fontId="27" fillId="18" borderId="1" xfId="0" applyFont="1" applyFill="1" applyBorder="1" applyAlignment="1">
      <alignment wrapText="1"/>
    </xf>
    <xf numFmtId="0" fontId="27" fillId="14" borderId="1" xfId="0" applyFont="1" applyFill="1" applyBorder="1" applyAlignment="1">
      <alignment horizontal="left" wrapText="1" indent="1"/>
    </xf>
    <xf numFmtId="0" fontId="28" fillId="0" borderId="1" xfId="0" applyFont="1" applyBorder="1" applyAlignment="1">
      <alignment horizontal="center" wrapText="1"/>
    </xf>
    <xf numFmtId="10" fontId="28" fillId="0" borderId="1" xfId="3" applyNumberFormat="1" applyFont="1" applyFill="1" applyBorder="1" applyAlignment="1">
      <alignment horizontal="center" vertical="center"/>
    </xf>
    <xf numFmtId="172" fontId="15" fillId="0" borderId="1" xfId="15" applyNumberFormat="1" applyFont="1" applyFill="1" applyBorder="1" applyAlignment="1">
      <alignment wrapText="1"/>
    </xf>
    <xf numFmtId="168" fontId="15" fillId="0" borderId="1" xfId="0" applyNumberFormat="1" applyFont="1" applyBorder="1"/>
    <xf numFmtId="0" fontId="15" fillId="0" borderId="1" xfId="0" applyFont="1" applyBorder="1" applyAlignment="1">
      <alignment vertical="center"/>
    </xf>
    <xf numFmtId="171" fontId="15" fillId="0" borderId="1" xfId="0" applyNumberFormat="1" applyFont="1" applyBorder="1" applyAlignment="1">
      <alignment horizontal="center" vertical="center"/>
    </xf>
    <xf numFmtId="168" fontId="28" fillId="0" borderId="1" xfId="0" applyNumberFormat="1" applyFont="1" applyBorder="1" applyAlignment="1">
      <alignment horizontal="center"/>
    </xf>
    <xf numFmtId="0" fontId="15" fillId="0" borderId="0" xfId="0" applyFont="1" applyAlignment="1">
      <alignment horizontal="center"/>
    </xf>
    <xf numFmtId="10" fontId="15" fillId="0" borderId="0" xfId="0" applyNumberFormat="1" applyFont="1" applyAlignment="1">
      <alignment horizontal="center" vertical="center"/>
    </xf>
    <xf numFmtId="0" fontId="27" fillId="8" borderId="1" xfId="0" applyFont="1" applyFill="1" applyBorder="1" applyAlignment="1">
      <alignment horizontal="center" vertical="center"/>
    </xf>
    <xf numFmtId="0" fontId="27" fillId="8" borderId="1" xfId="0" applyFont="1" applyFill="1" applyBorder="1" applyAlignment="1">
      <alignment horizontal="center" vertical="center" wrapText="1"/>
    </xf>
    <xf numFmtId="42" fontId="15" fillId="0" borderId="1" xfId="16" applyFont="1" applyFill="1" applyBorder="1" applyAlignment="1">
      <alignment horizontal="center" vertical="center" wrapText="1"/>
    </xf>
    <xf numFmtId="9" fontId="15" fillId="0" borderId="1" xfId="3" applyFont="1" applyFill="1" applyBorder="1" applyAlignment="1">
      <alignment horizontal="center" vertical="center" wrapText="1"/>
    </xf>
    <xf numFmtId="173" fontId="15" fillId="0" borderId="0" xfId="0" applyNumberFormat="1" applyFont="1"/>
    <xf numFmtId="172" fontId="21" fillId="15" borderId="0" xfId="12" applyNumberFormat="1" applyFont="1" applyFill="1" applyAlignment="1">
      <alignment horizontal="right" wrapText="1" indent="1"/>
    </xf>
    <xf numFmtId="172" fontId="22" fillId="16" borderId="1" xfId="12" applyNumberFormat="1" applyFont="1" applyFill="1" applyBorder="1" applyAlignment="1">
      <alignment horizontal="right" wrapText="1" indent="1"/>
    </xf>
    <xf numFmtId="172" fontId="18" fillId="0" borderId="30" xfId="12" applyNumberFormat="1" applyFont="1" applyBorder="1" applyAlignment="1">
      <alignment horizontal="right" wrapText="1"/>
    </xf>
    <xf numFmtId="172" fontId="23" fillId="17" borderId="30" xfId="12" applyNumberFormat="1" applyFont="1" applyFill="1" applyBorder="1" applyAlignment="1">
      <alignment horizontal="right" wrapText="1"/>
    </xf>
    <xf numFmtId="172" fontId="18" fillId="0" borderId="30" xfId="12" applyNumberFormat="1" applyFont="1" applyBorder="1" applyAlignment="1">
      <alignment horizontal="right"/>
    </xf>
    <xf numFmtId="172" fontId="20" fillId="0" borderId="0" xfId="12" applyNumberFormat="1" applyFont="1" applyAlignment="1">
      <alignment horizontal="left" indent="1"/>
    </xf>
    <xf numFmtId="0" fontId="30" fillId="0" borderId="0" xfId="0" applyFont="1" applyAlignment="1">
      <alignment horizontal="left" indent="1"/>
    </xf>
    <xf numFmtId="0" fontId="15" fillId="0" borderId="0" xfId="0" applyFont="1" applyAlignment="1">
      <alignment vertical="center"/>
    </xf>
    <xf numFmtId="0" fontId="32" fillId="0" borderId="0" xfId="0" applyFont="1" applyAlignment="1">
      <alignment horizontal="center" vertical="center" wrapText="1"/>
    </xf>
    <xf numFmtId="0" fontId="32" fillId="0" borderId="0" xfId="0" applyFont="1" applyAlignment="1">
      <alignment vertical="center" wrapText="1"/>
    </xf>
    <xf numFmtId="49" fontId="32" fillId="0" borderId="0" xfId="0" applyNumberFormat="1" applyFont="1" applyAlignment="1">
      <alignment vertical="center" wrapText="1"/>
    </xf>
    <xf numFmtId="0" fontId="32" fillId="0" borderId="0" xfId="0" applyFont="1"/>
    <xf numFmtId="0" fontId="31" fillId="19" borderId="1" xfId="0" applyFont="1" applyFill="1" applyBorder="1"/>
    <xf numFmtId="42" fontId="32" fillId="0" borderId="1" xfId="0" applyNumberFormat="1" applyFont="1" applyBorder="1"/>
    <xf numFmtId="0" fontId="31" fillId="0" borderId="0" xfId="0" applyFont="1"/>
    <xf numFmtId="0" fontId="33" fillId="0" borderId="0" xfId="0" applyFont="1" applyAlignment="1">
      <alignment horizontal="center" vertical="center"/>
    </xf>
    <xf numFmtId="0" fontId="34" fillId="0" borderId="1" xfId="0" applyFont="1" applyBorder="1" applyAlignment="1">
      <alignment horizontal="center"/>
    </xf>
    <xf numFmtId="0" fontId="33" fillId="0" borderId="1" xfId="0" applyFont="1" applyBorder="1" applyAlignment="1">
      <alignment horizontal="justify" vertical="top" wrapText="1"/>
    </xf>
    <xf numFmtId="42" fontId="33" fillId="0" borderId="1" xfId="0" applyNumberFormat="1" applyFont="1" applyBorder="1" applyAlignment="1">
      <alignment horizontal="center" vertical="center"/>
    </xf>
    <xf numFmtId="0" fontId="33" fillId="0" borderId="1" xfId="0" applyFont="1" applyBorder="1" applyAlignment="1">
      <alignment horizontal="center" vertical="center"/>
    </xf>
    <xf numFmtId="0" fontId="34" fillId="0" borderId="1" xfId="0" applyFont="1" applyBorder="1" applyAlignment="1">
      <alignment horizontal="right" vertical="top" wrapText="1"/>
    </xf>
    <xf numFmtId="0" fontId="36" fillId="0" borderId="1" xfId="0" applyFont="1" applyBorder="1" applyAlignment="1">
      <alignment horizontal="center" vertical="center"/>
    </xf>
    <xf numFmtId="0" fontId="36" fillId="0" borderId="1" xfId="0" applyFont="1" applyBorder="1" applyAlignment="1">
      <alignment vertical="center"/>
    </xf>
    <xf numFmtId="1" fontId="33" fillId="0" borderId="1" xfId="0" applyNumberFormat="1" applyFont="1" applyBorder="1" applyAlignment="1">
      <alignment horizontal="center" vertical="center"/>
    </xf>
    <xf numFmtId="6" fontId="33" fillId="0" borderId="1" xfId="0" applyNumberFormat="1" applyFont="1" applyBorder="1" applyAlignment="1">
      <alignment horizontal="center" vertical="center"/>
    </xf>
    <xf numFmtId="0" fontId="35" fillId="0" borderId="1" xfId="0" applyFont="1" applyBorder="1" applyAlignment="1">
      <alignment horizontal="center" vertical="center"/>
    </xf>
    <xf numFmtId="6" fontId="35" fillId="0" borderId="1" xfId="0" applyNumberFormat="1" applyFont="1" applyBorder="1" applyAlignment="1">
      <alignment horizontal="center" vertical="center"/>
    </xf>
    <xf numFmtId="6" fontId="36" fillId="0" borderId="34" xfId="0" applyNumberFormat="1" applyFont="1" applyBorder="1" applyAlignment="1">
      <alignment vertical="center"/>
    </xf>
    <xf numFmtId="0" fontId="37" fillId="0" borderId="0" xfId="0" applyFont="1" applyAlignment="1">
      <alignment vertical="center"/>
    </xf>
    <xf numFmtId="42" fontId="7" fillId="2" borderId="2" xfId="2" applyFont="1" applyFill="1" applyBorder="1" applyAlignment="1">
      <alignment horizontal="justify" vertical="center"/>
    </xf>
    <xf numFmtId="0" fontId="34" fillId="17" borderId="1" xfId="0" applyFont="1" applyFill="1" applyBorder="1"/>
    <xf numFmtId="0" fontId="34" fillId="0" borderId="0" xfId="0" applyFont="1" applyAlignment="1">
      <alignment horizontal="right" vertical="top" wrapText="1"/>
    </xf>
    <xf numFmtId="42" fontId="33" fillId="0" borderId="0" xfId="0" applyNumberFormat="1" applyFont="1" applyAlignment="1">
      <alignment horizontal="center" vertical="center"/>
    </xf>
    <xf numFmtId="0" fontId="23" fillId="17" borderId="30" xfId="0" applyFont="1" applyFill="1" applyBorder="1" applyAlignment="1">
      <alignment horizontal="left" wrapText="1"/>
    </xf>
    <xf numFmtId="0" fontId="18" fillId="0" borderId="30" xfId="0" applyFont="1" applyBorder="1" applyAlignment="1">
      <alignment horizontal="left"/>
    </xf>
    <xf numFmtId="0" fontId="27" fillId="18" borderId="1" xfId="0" applyFont="1" applyFill="1" applyBorder="1" applyAlignment="1">
      <alignment horizontal="center" vertical="center"/>
    </xf>
    <xf numFmtId="10" fontId="28" fillId="0" borderId="1" xfId="0" applyNumberFormat="1" applyFont="1" applyBorder="1" applyAlignment="1">
      <alignment horizontal="center" vertical="center"/>
    </xf>
    <xf numFmtId="10" fontId="15" fillId="0" borderId="1" xfId="3" applyNumberFormat="1" applyFont="1" applyFill="1" applyBorder="1" applyAlignment="1">
      <alignment horizontal="center" vertical="center"/>
    </xf>
    <xf numFmtId="0" fontId="28" fillId="0" borderId="1" xfId="0" applyFont="1" applyBorder="1" applyAlignment="1">
      <alignment horizontal="center"/>
    </xf>
    <xf numFmtId="10" fontId="15" fillId="0" borderId="1" xfId="0" applyNumberFormat="1" applyFont="1" applyBorder="1" applyAlignment="1">
      <alignment horizontal="center" vertical="center"/>
    </xf>
    <xf numFmtId="0" fontId="3" fillId="4" borderId="2"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pplyProtection="1">
      <alignment horizontal="center" vertical="center" wrapText="1"/>
      <protection locked="0"/>
    </xf>
    <xf numFmtId="1" fontId="6" fillId="0" borderId="2" xfId="0" applyNumberFormat="1" applyFont="1" applyBorder="1" applyAlignment="1">
      <alignment horizontal="center" vertical="center" wrapText="1"/>
    </xf>
    <xf numFmtId="1" fontId="6" fillId="0" borderId="3" xfId="0" applyNumberFormat="1" applyFont="1" applyBorder="1" applyAlignment="1">
      <alignment horizontal="center" vertical="center" wrapText="1"/>
    </xf>
    <xf numFmtId="1" fontId="6" fillId="0" borderId="4" xfId="0" applyNumberFormat="1" applyFont="1" applyBorder="1" applyAlignment="1">
      <alignment horizontal="center" vertical="center" wrapText="1"/>
    </xf>
    <xf numFmtId="2" fontId="3" fillId="0" borderId="2" xfId="0" applyNumberFormat="1" applyFont="1" applyBorder="1" applyAlignment="1">
      <alignment horizontal="center" vertical="justify"/>
    </xf>
    <xf numFmtId="2" fontId="3" fillId="0" borderId="3" xfId="0" applyNumberFormat="1" applyFont="1" applyBorder="1" applyAlignment="1">
      <alignment horizontal="center" vertical="justify"/>
    </xf>
    <xf numFmtId="0" fontId="7" fillId="2" borderId="2"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165" fontId="7" fillId="2" borderId="2" xfId="0" applyNumberFormat="1" applyFont="1" applyFill="1" applyBorder="1" applyAlignment="1">
      <alignment horizontal="center" vertical="center"/>
    </xf>
    <xf numFmtId="165" fontId="7" fillId="2" borderId="4" xfId="0" applyNumberFormat="1" applyFont="1" applyFill="1" applyBorder="1" applyAlignment="1">
      <alignment horizontal="center" vertical="center"/>
    </xf>
    <xf numFmtId="1" fontId="3" fillId="4" borderId="2" xfId="4" applyNumberFormat="1" applyFont="1" applyFill="1" applyBorder="1" applyAlignment="1" applyProtection="1">
      <alignment horizontal="center" vertical="center"/>
    </xf>
    <xf numFmtId="1" fontId="3" fillId="4" borderId="3" xfId="4" applyNumberFormat="1" applyFont="1" applyFill="1" applyBorder="1" applyAlignment="1" applyProtection="1">
      <alignment horizontal="center" vertical="center"/>
    </xf>
    <xf numFmtId="1" fontId="3" fillId="4" borderId="4" xfId="4" applyNumberFormat="1" applyFont="1" applyFill="1" applyBorder="1" applyAlignment="1" applyProtection="1">
      <alignment horizontal="center" vertical="center"/>
    </xf>
    <xf numFmtId="1" fontId="3" fillId="0" borderId="2" xfId="0" applyNumberFormat="1"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17" fillId="0" borderId="2" xfId="0" applyFont="1" applyBorder="1" applyAlignment="1">
      <alignment horizontal="center" vertical="center" wrapText="1"/>
    </xf>
    <xf numFmtId="0" fontId="17" fillId="0" borderId="3" xfId="0" applyFont="1" applyBorder="1" applyAlignment="1">
      <alignment horizontal="center" vertical="center"/>
    </xf>
    <xf numFmtId="0" fontId="17" fillId="0" borderId="4" xfId="0" applyFont="1" applyBorder="1" applyAlignment="1">
      <alignment horizontal="center" vertical="center"/>
    </xf>
    <xf numFmtId="49" fontId="7" fillId="7" borderId="1" xfId="5" applyNumberFormat="1" applyFont="1" applyFill="1" applyBorder="1" applyAlignment="1">
      <alignment horizontal="center" vertical="center" wrapText="1"/>
    </xf>
    <xf numFmtId="49" fontId="7" fillId="6" borderId="23" xfId="5" applyNumberFormat="1" applyFont="1" applyFill="1" applyBorder="1" applyAlignment="1">
      <alignment horizontal="center" vertical="center" wrapText="1"/>
    </xf>
    <xf numFmtId="49" fontId="7" fillId="6" borderId="25" xfId="5" applyNumberFormat="1" applyFont="1" applyFill="1" applyBorder="1" applyAlignment="1">
      <alignment horizontal="center" vertical="center" wrapText="1"/>
    </xf>
    <xf numFmtId="49" fontId="7" fillId="2" borderId="1" xfId="5" applyNumberFormat="1" applyFont="1" applyFill="1" applyBorder="1" applyAlignment="1">
      <alignment horizontal="center" vertical="center" wrapText="1"/>
    </xf>
    <xf numFmtId="49" fontId="7" fillId="6" borderId="22" xfId="5" applyNumberFormat="1" applyFont="1" applyFill="1" applyBorder="1" applyAlignment="1">
      <alignment horizontal="center" vertical="center" wrapText="1"/>
    </xf>
    <xf numFmtId="49" fontId="7" fillId="10" borderId="1" xfId="5" applyNumberFormat="1" applyFont="1" applyFill="1" applyBorder="1" applyAlignment="1">
      <alignment horizontal="center" vertical="center" wrapText="1"/>
    </xf>
    <xf numFmtId="0" fontId="7" fillId="2" borderId="1" xfId="0" applyFont="1" applyFill="1" applyBorder="1" applyAlignment="1">
      <alignment horizontal="center" vertical="center"/>
    </xf>
    <xf numFmtId="49" fontId="7" fillId="9" borderId="1" xfId="5" applyNumberFormat="1" applyFont="1" applyFill="1" applyBorder="1" applyAlignment="1">
      <alignment horizontal="center" vertical="center" wrapText="1"/>
    </xf>
    <xf numFmtId="0" fontId="13" fillId="13" borderId="7" xfId="6" applyFont="1" applyFill="1" applyBorder="1" applyAlignment="1">
      <alignment horizontal="center" vertical="center"/>
    </xf>
    <xf numFmtId="0" fontId="13" fillId="13" borderId="8" xfId="6" applyFont="1" applyFill="1" applyBorder="1" applyAlignment="1">
      <alignment horizontal="center" vertical="center"/>
    </xf>
    <xf numFmtId="0" fontId="13" fillId="0" borderId="11" xfId="6" applyFont="1" applyBorder="1" applyAlignment="1">
      <alignment horizontal="center" vertical="center" wrapText="1"/>
    </xf>
    <xf numFmtId="0" fontId="13" fillId="0" borderId="12" xfId="6" applyFont="1" applyBorder="1" applyAlignment="1">
      <alignment horizontal="center" vertical="center" wrapText="1"/>
    </xf>
    <xf numFmtId="0" fontId="13" fillId="0" borderId="5" xfId="6" applyFont="1" applyBorder="1" applyAlignment="1">
      <alignment horizontal="center" vertical="center" wrapText="1"/>
    </xf>
    <xf numFmtId="0" fontId="13" fillId="0" borderId="1" xfId="6" applyFont="1" applyBorder="1" applyAlignment="1">
      <alignment horizontal="center" vertical="center" wrapText="1"/>
    </xf>
    <xf numFmtId="0" fontId="12" fillId="0" borderId="1" xfId="6" applyFont="1" applyBorder="1" applyAlignment="1">
      <alignment horizontal="center" vertical="center" wrapText="1"/>
    </xf>
    <xf numFmtId="1" fontId="12" fillId="0" borderId="1" xfId="6" applyNumberFormat="1" applyFont="1" applyBorder="1" applyAlignment="1">
      <alignment horizontal="center" vertical="center" wrapText="1"/>
    </xf>
    <xf numFmtId="0" fontId="13" fillId="13" borderId="5" xfId="6" applyFont="1" applyFill="1" applyBorder="1" applyAlignment="1">
      <alignment horizontal="center" vertical="center"/>
    </xf>
    <xf numFmtId="0" fontId="13" fillId="13" borderId="1" xfId="6" applyFont="1" applyFill="1" applyBorder="1" applyAlignment="1">
      <alignment horizontal="center" vertical="center"/>
    </xf>
    <xf numFmtId="1" fontId="13" fillId="4" borderId="13" xfId="6" applyNumberFormat="1" applyFont="1" applyFill="1" applyBorder="1" applyAlignment="1">
      <alignment horizontal="center" vertical="center" wrapText="1"/>
    </xf>
    <xf numFmtId="1" fontId="13" fillId="4" borderId="3" xfId="6" applyNumberFormat="1" applyFont="1" applyFill="1" applyBorder="1" applyAlignment="1">
      <alignment horizontal="center" vertical="center" wrapText="1"/>
    </xf>
    <xf numFmtId="0" fontId="23" fillId="17" borderId="30" xfId="0" applyFont="1" applyFill="1" applyBorder="1" applyAlignment="1">
      <alignment horizontal="left" wrapText="1"/>
    </xf>
    <xf numFmtId="0" fontId="23" fillId="14" borderId="30" xfId="0" applyFont="1" applyFill="1" applyBorder="1" applyAlignment="1">
      <alignment horizontal="left" wrapText="1"/>
    </xf>
    <xf numFmtId="0" fontId="18" fillId="0" borderId="30" xfId="0" applyFont="1" applyBorder="1" applyAlignment="1">
      <alignment horizontal="left"/>
    </xf>
    <xf numFmtId="0" fontId="19" fillId="15" borderId="0" xfId="0" applyFont="1" applyFill="1" applyAlignment="1">
      <alignment horizontal="center" wrapText="1" indent="1"/>
    </xf>
    <xf numFmtId="0" fontId="21" fillId="15" borderId="0" xfId="0" applyFont="1" applyFill="1" applyAlignment="1">
      <alignment horizontal="left" wrapText="1" indent="1"/>
    </xf>
    <xf numFmtId="0" fontId="18" fillId="0" borderId="1" xfId="0" applyFont="1" applyBorder="1" applyAlignment="1">
      <alignment horizontal="left" wrapText="1" indent="1"/>
    </xf>
    <xf numFmtId="0" fontId="23" fillId="14" borderId="29" xfId="0" applyFont="1" applyFill="1" applyBorder="1" applyAlignment="1">
      <alignment horizontal="left" wrapText="1" indent="1"/>
    </xf>
    <xf numFmtId="0" fontId="28" fillId="0" borderId="1" xfId="0" applyFont="1" applyBorder="1" applyAlignment="1">
      <alignment horizontal="center" vertical="center"/>
    </xf>
    <xf numFmtId="0" fontId="27" fillId="18" borderId="1" xfId="0" applyFont="1" applyFill="1" applyBorder="1" applyAlignment="1">
      <alignment horizontal="center"/>
    </xf>
    <xf numFmtId="10" fontId="27" fillId="14" borderId="1" xfId="0" applyNumberFormat="1" applyFont="1" applyFill="1" applyBorder="1" applyAlignment="1">
      <alignment horizontal="center" vertical="center"/>
    </xf>
    <xf numFmtId="10" fontId="15" fillId="0" borderId="1" xfId="0" applyNumberFormat="1" applyFont="1" applyBorder="1" applyAlignment="1">
      <alignment horizontal="center" vertical="center"/>
    </xf>
    <xf numFmtId="10" fontId="28" fillId="0" borderId="1" xfId="0" applyNumberFormat="1" applyFont="1" applyBorder="1" applyAlignment="1">
      <alignment horizontal="center" vertical="center"/>
    </xf>
    <xf numFmtId="2" fontId="28" fillId="0" borderId="1" xfId="0" applyNumberFormat="1" applyFont="1" applyBorder="1" applyAlignment="1">
      <alignment horizontal="center" vertical="center"/>
    </xf>
    <xf numFmtId="0" fontId="27" fillId="8" borderId="1" xfId="0" applyFont="1" applyFill="1" applyBorder="1" applyAlignment="1">
      <alignment horizontal="center"/>
    </xf>
    <xf numFmtId="170" fontId="27" fillId="8" borderId="1" xfId="14" applyNumberFormat="1" applyFont="1" applyFill="1" applyBorder="1" applyAlignment="1">
      <alignment horizontal="center" vertical="center"/>
    </xf>
    <xf numFmtId="10" fontId="15" fillId="0" borderId="1" xfId="3" applyNumberFormat="1" applyFont="1" applyFill="1" applyBorder="1" applyAlignment="1">
      <alignment horizontal="center" vertical="center"/>
    </xf>
    <xf numFmtId="0" fontId="28" fillId="0" borderId="1" xfId="0" applyFont="1" applyBorder="1" applyAlignment="1">
      <alignment horizontal="center"/>
    </xf>
    <xf numFmtId="10" fontId="27" fillId="18" borderId="1" xfId="3" applyNumberFormat="1" applyFont="1" applyFill="1" applyBorder="1" applyAlignment="1">
      <alignment horizontal="center" vertical="center"/>
    </xf>
    <xf numFmtId="10" fontId="27" fillId="14" borderId="1" xfId="3" applyNumberFormat="1" applyFont="1" applyFill="1" applyBorder="1" applyAlignment="1">
      <alignment horizontal="center" vertical="center"/>
    </xf>
    <xf numFmtId="10" fontId="28" fillId="14" borderId="1" xfId="3" applyNumberFormat="1" applyFont="1" applyFill="1" applyBorder="1" applyAlignment="1">
      <alignment horizontal="center" vertical="center"/>
    </xf>
    <xf numFmtId="10" fontId="15" fillId="0" borderId="1" xfId="3" applyNumberFormat="1" applyFont="1" applyFill="1" applyBorder="1" applyAlignment="1">
      <alignment horizontal="center"/>
    </xf>
    <xf numFmtId="10" fontId="27" fillId="14" borderId="1" xfId="3" applyNumberFormat="1" applyFont="1" applyFill="1" applyBorder="1" applyAlignment="1">
      <alignment horizontal="center"/>
    </xf>
    <xf numFmtId="0" fontId="27" fillId="18" borderId="1" xfId="0" applyFont="1" applyFill="1" applyBorder="1" applyAlignment="1">
      <alignment horizontal="center" vertical="center"/>
    </xf>
    <xf numFmtId="10" fontId="27" fillId="8" borderId="1" xfId="3" applyNumberFormat="1" applyFont="1" applyFill="1" applyBorder="1" applyAlignment="1">
      <alignment horizontal="center"/>
    </xf>
    <xf numFmtId="10" fontId="27" fillId="8" borderId="1" xfId="3" applyNumberFormat="1" applyFont="1" applyFill="1" applyBorder="1" applyAlignment="1">
      <alignment horizontal="center" vertical="center"/>
    </xf>
    <xf numFmtId="10" fontId="15" fillId="4" borderId="1" xfId="3" applyNumberFormat="1" applyFont="1" applyFill="1" applyBorder="1" applyAlignment="1">
      <alignment horizontal="center" vertical="center"/>
    </xf>
    <xf numFmtId="0" fontId="26" fillId="0" borderId="0" xfId="0" applyFont="1" applyAlignment="1">
      <alignment horizontal="center" vertical="center"/>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2" xfId="0" applyFont="1" applyBorder="1" applyAlignment="1">
      <alignment horizontal="center"/>
    </xf>
    <xf numFmtId="0" fontId="15" fillId="0" borderId="3" xfId="0" applyFont="1" applyBorder="1" applyAlignment="1">
      <alignment horizontal="center"/>
    </xf>
    <xf numFmtId="0" fontId="15" fillId="0" borderId="4" xfId="0" applyFont="1" applyBorder="1" applyAlignment="1">
      <alignment horizontal="center"/>
    </xf>
    <xf numFmtId="14" fontId="6" fillId="0" borderId="19" xfId="11" applyNumberFormat="1" applyFont="1" applyBorder="1" applyAlignment="1" applyProtection="1">
      <alignment horizontal="center"/>
      <protection locked="0"/>
    </xf>
    <xf numFmtId="14" fontId="6" fillId="0" borderId="20" xfId="11" applyNumberFormat="1" applyFont="1" applyBorder="1" applyAlignment="1" applyProtection="1">
      <alignment horizontal="center"/>
      <protection locked="0"/>
    </xf>
    <xf numFmtId="14" fontId="6" fillId="0" borderId="3" xfId="11" applyNumberFormat="1" applyFont="1" applyBorder="1" applyAlignment="1" applyProtection="1">
      <alignment horizontal="center"/>
      <protection locked="0"/>
    </xf>
    <xf numFmtId="14" fontId="6" fillId="0" borderId="4" xfId="11" applyNumberFormat="1" applyFont="1" applyBorder="1" applyAlignment="1" applyProtection="1">
      <alignment horizontal="center"/>
      <protection locked="0"/>
    </xf>
    <xf numFmtId="0" fontId="36" fillId="20" borderId="31" xfId="0" applyFont="1" applyFill="1" applyBorder="1" applyAlignment="1">
      <alignment horizontal="center" vertical="center"/>
    </xf>
    <xf numFmtId="0" fontId="36" fillId="20" borderId="32" xfId="0" applyFont="1" applyFill="1" applyBorder="1" applyAlignment="1">
      <alignment horizontal="center" vertical="center"/>
    </xf>
    <xf numFmtId="0" fontId="36" fillId="20" borderId="33" xfId="0" applyFont="1" applyFill="1" applyBorder="1" applyAlignment="1">
      <alignment horizontal="center" vertical="center"/>
    </xf>
    <xf numFmtId="0" fontId="28" fillId="19" borderId="1" xfId="0" applyFont="1" applyFill="1" applyBorder="1" applyAlignment="1">
      <alignment horizontal="center" vertical="center"/>
    </xf>
    <xf numFmtId="0" fontId="34" fillId="17" borderId="2" xfId="0" applyFont="1" applyFill="1" applyBorder="1" applyAlignment="1">
      <alignment horizontal="center"/>
    </xf>
    <xf numFmtId="0" fontId="34" fillId="17" borderId="4" xfId="0" applyFont="1" applyFill="1" applyBorder="1" applyAlignment="1">
      <alignment horizontal="center"/>
    </xf>
    <xf numFmtId="44" fontId="0" fillId="0" borderId="0" xfId="1" applyFont="1"/>
    <xf numFmtId="179" fontId="0" fillId="0" borderId="0" xfId="3" applyNumberFormat="1" applyFont="1"/>
    <xf numFmtId="0" fontId="18" fillId="11" borderId="30" xfId="0" applyFont="1" applyFill="1" applyBorder="1" applyAlignment="1">
      <alignment horizontal="right" wrapText="1"/>
    </xf>
    <xf numFmtId="4" fontId="18" fillId="11" borderId="30" xfId="0" applyNumberFormat="1" applyFont="1" applyFill="1" applyBorder="1" applyAlignment="1">
      <alignment horizontal="right" wrapText="1"/>
    </xf>
    <xf numFmtId="0" fontId="24" fillId="21" borderId="35" xfId="0" applyFont="1" applyFill="1" applyBorder="1" applyAlignment="1">
      <alignment horizontal="center"/>
    </xf>
    <xf numFmtId="0" fontId="24" fillId="21" borderId="36" xfId="0" applyFont="1" applyFill="1" applyBorder="1" applyAlignment="1">
      <alignment horizontal="center"/>
    </xf>
    <xf numFmtId="172" fontId="39" fillId="21" borderId="30" xfId="12" applyNumberFormat="1" applyFont="1" applyFill="1" applyBorder="1" applyAlignment="1">
      <alignment horizontal="right"/>
    </xf>
    <xf numFmtId="178" fontId="39" fillId="21" borderId="30" xfId="3" applyNumberFormat="1" applyFont="1" applyFill="1" applyBorder="1" applyAlignment="1">
      <alignment horizontal="center"/>
    </xf>
    <xf numFmtId="0" fontId="24" fillId="14" borderId="35" xfId="0" applyFont="1" applyFill="1" applyBorder="1" applyAlignment="1">
      <alignment horizontal="center"/>
    </xf>
    <xf numFmtId="0" fontId="24" fillId="14" borderId="36" xfId="0" applyFont="1" applyFill="1" applyBorder="1" applyAlignment="1">
      <alignment horizontal="center"/>
    </xf>
    <xf numFmtId="172" fontId="39" fillId="14" borderId="30" xfId="12" applyNumberFormat="1" applyFont="1" applyFill="1" applyBorder="1" applyAlignment="1">
      <alignment horizontal="right"/>
    </xf>
    <xf numFmtId="0" fontId="25" fillId="14" borderId="35" xfId="0" applyFont="1" applyFill="1" applyBorder="1" applyAlignment="1">
      <alignment horizontal="center"/>
    </xf>
    <xf numFmtId="0" fontId="25" fillId="14" borderId="36" xfId="0" applyFont="1" applyFill="1" applyBorder="1" applyAlignment="1">
      <alignment horizontal="center"/>
    </xf>
    <xf numFmtId="42" fontId="27" fillId="18" borderId="1" xfId="16" applyFont="1" applyFill="1" applyBorder="1" applyAlignment="1">
      <alignment horizontal="center" vertical="center" wrapText="1"/>
    </xf>
    <xf numFmtId="42" fontId="15" fillId="0" borderId="0" xfId="16" applyFont="1"/>
    <xf numFmtId="168" fontId="15" fillId="0" borderId="0" xfId="12" applyFont="1" applyAlignment="1">
      <alignment horizontal="right"/>
    </xf>
    <xf numFmtId="0" fontId="9" fillId="0" borderId="1" xfId="0" applyFont="1" applyBorder="1" applyAlignment="1">
      <alignment horizontal="center"/>
    </xf>
    <xf numFmtId="0" fontId="9" fillId="0" borderId="1" xfId="0" applyFont="1" applyBorder="1" applyAlignment="1">
      <alignment horizontal="center"/>
    </xf>
    <xf numFmtId="168" fontId="40" fillId="14" borderId="30" xfId="12" applyNumberFormat="1" applyFont="1" applyFill="1" applyBorder="1" applyAlignment="1">
      <alignment horizontal="right"/>
    </xf>
    <xf numFmtId="6" fontId="32" fillId="0" borderId="0" xfId="0" applyNumberFormat="1" applyFont="1"/>
    <xf numFmtId="0" fontId="32" fillId="0" borderId="0" xfId="0" applyNumberFormat="1" applyFont="1"/>
    <xf numFmtId="10" fontId="32" fillId="0" borderId="0" xfId="3" applyNumberFormat="1" applyFont="1"/>
    <xf numFmtId="6" fontId="3" fillId="0" borderId="0" xfId="0" applyNumberFormat="1" applyFont="1"/>
    <xf numFmtId="6" fontId="15" fillId="0" borderId="0" xfId="0" applyNumberFormat="1" applyFont="1"/>
    <xf numFmtId="6" fontId="9" fillId="0" borderId="0" xfId="0" applyNumberFormat="1" applyFont="1"/>
    <xf numFmtId="0" fontId="3" fillId="0" borderId="1" xfId="0" applyFont="1" applyBorder="1" applyAlignment="1">
      <alignment horizontal="justify" vertical="top" wrapText="1"/>
    </xf>
    <xf numFmtId="6" fontId="3" fillId="0" borderId="1" xfId="0" applyNumberFormat="1" applyFont="1" applyBorder="1" applyAlignment="1">
      <alignment horizontal="center" vertical="center"/>
    </xf>
    <xf numFmtId="0" fontId="35" fillId="0" borderId="0" xfId="0" applyFont="1" applyBorder="1" applyAlignment="1">
      <alignment vertical="center"/>
    </xf>
  </cellXfs>
  <cellStyles count="17">
    <cellStyle name="Hipervínculo" xfId="4" builtinId="8"/>
    <cellStyle name="Moneda" xfId="1" builtinId="4"/>
    <cellStyle name="Moneda [0]" xfId="2" builtinId="7"/>
    <cellStyle name="Moneda [0] 4" xfId="16"/>
    <cellStyle name="Moneda 2" xfId="12"/>
    <cellStyle name="Moneda 2 2" xfId="10"/>
    <cellStyle name="Moneda 2 2 4" xfId="14"/>
    <cellStyle name="Moneda 2 3" xfId="15"/>
    <cellStyle name="Moneda 3" xfId="13"/>
    <cellStyle name="Normal" xfId="0" builtinId="0"/>
    <cellStyle name="Normal 2" xfId="5"/>
    <cellStyle name="Normal 2 10" xfId="11"/>
    <cellStyle name="Normal 2 3" xfId="6"/>
    <cellStyle name="Normal 3 2" xfId="7"/>
    <cellStyle name="Normal 3 2 2" xfId="8"/>
    <cellStyle name="Normal_programación" xfId="9"/>
    <cellStyle name="Porcentaje" xfId="3" builtinId="5"/>
  </cellStyles>
  <dxfs count="3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228600</xdr:colOff>
      <xdr:row>0</xdr:row>
      <xdr:rowOff>66675</xdr:rowOff>
    </xdr:from>
    <xdr:to>
      <xdr:col>0</xdr:col>
      <xdr:colOff>1066800</xdr:colOff>
      <xdr:row>0</xdr:row>
      <xdr:rowOff>857250</xdr:rowOff>
    </xdr:to>
    <xdr:pic>
      <xdr:nvPicPr>
        <xdr:cNvPr id="3" name="Picture 4">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28600" y="66675"/>
          <a:ext cx="838200" cy="79057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197470</xdr:colOff>
      <xdr:row>0</xdr:row>
      <xdr:rowOff>104542</xdr:rowOff>
    </xdr:from>
    <xdr:to>
      <xdr:col>0</xdr:col>
      <xdr:colOff>1035670</xdr:colOff>
      <xdr:row>0</xdr:row>
      <xdr:rowOff>895117</xdr:rowOff>
    </xdr:to>
    <xdr:pic>
      <xdr:nvPicPr>
        <xdr:cNvPr id="2" name="Picture 4">
          <a:extLst>
            <a:ext uri="{FF2B5EF4-FFF2-40B4-BE49-F238E27FC236}">
              <a16:creationId xmlns:a16="http://schemas.microsoft.com/office/drawing/2014/main" xmlns="" id="{00000000-0008-0000-0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97470" y="104542"/>
          <a:ext cx="838200" cy="79057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127151</xdr:colOff>
      <xdr:row>0</xdr:row>
      <xdr:rowOff>255550</xdr:rowOff>
    </xdr:from>
    <xdr:to>
      <xdr:col>1</xdr:col>
      <xdr:colOff>1402806</xdr:colOff>
      <xdr:row>1</xdr:row>
      <xdr:rowOff>585030</xdr:rowOff>
    </xdr:to>
    <xdr:pic>
      <xdr:nvPicPr>
        <xdr:cNvPr id="2" name="Picture 3">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a:ext>
          </a:extLst>
        </a:blip>
        <a:srcRect/>
        <a:stretch>
          <a:fillRect/>
        </a:stretch>
      </xdr:blipFill>
      <xdr:spPr bwMode="auto">
        <a:xfrm>
          <a:off x="847334" y="255550"/>
          <a:ext cx="1275655" cy="109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254741</xdr:colOff>
      <xdr:row>1</xdr:row>
      <xdr:rowOff>1963</xdr:rowOff>
    </xdr:from>
    <xdr:to>
      <xdr:col>6</xdr:col>
      <xdr:colOff>1092941</xdr:colOff>
      <xdr:row>3</xdr:row>
      <xdr:rowOff>225775</xdr:rowOff>
    </xdr:to>
    <xdr:pic>
      <xdr:nvPicPr>
        <xdr:cNvPr id="2" name="Picture 4">
          <a:extLst>
            <a:ext uri="{FF2B5EF4-FFF2-40B4-BE49-F238E27FC236}">
              <a16:creationId xmlns=""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080299" y="180557"/>
          <a:ext cx="838200" cy="785106"/>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466725</xdr:colOff>
      <xdr:row>0</xdr:row>
      <xdr:rowOff>66675</xdr:rowOff>
    </xdr:from>
    <xdr:to>
      <xdr:col>7</xdr:col>
      <xdr:colOff>1304925</xdr:colOff>
      <xdr:row>4</xdr:row>
      <xdr:rowOff>76200</xdr:rowOff>
    </xdr:to>
    <xdr:pic>
      <xdr:nvPicPr>
        <xdr:cNvPr id="2" name="Picture 4">
          <a:extLst>
            <a:ext uri="{FF2B5EF4-FFF2-40B4-BE49-F238E27FC236}">
              <a16:creationId xmlns=""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0144125" y="66675"/>
          <a:ext cx="838200" cy="790575"/>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dmejia\Documents\Juan%20David%20Mej&#237;a%20R\2021\Mayo\Acuarela%20-%20Contrato%20Especifico\Presupuesto%20Via%20La%20Acuarela%20-%20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jaime.llanos\Desktop\Presupuestos\Palacio%20Mpal\ENTREGA%20OCTUBRE\Presupuesto%20Interventor&#237;a%20Palacio_.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mercurio\OBRAS%20PUBLICAS\1.%20DIRECCI&#211;N%20DE%20PLANEACI&#211;N\00.%20Informaci&#243;n%20Proyectos%20Integrales%20DESur\Estudios%20Previos%20Completos\34.%20Palacio%20Municipal\PRESUPUESTO%20CAM%20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PRESUPUESTO INTERVENTORIA"/>
      <sheetName val=" PRESTACIONES Y SALARIOS INTERV"/>
      <sheetName val="cronograma Interventoria"/>
      <sheetName val="Reajuste Interventoria"/>
      <sheetName val="PRESUPUESTO OBRA"/>
      <sheetName val="MANO DE OBRA"/>
      <sheetName val="EQUIPOS"/>
      <sheetName val="MATERIALES"/>
      <sheetName val="TRANSPORTE"/>
      <sheetName val="Calculo PrestacionesSalarios Pr"/>
      <sheetName val="Ítems de actividades"/>
      <sheetName val="Aux"/>
      <sheetName val="A.P.U OBRA CIVIL Y ELECTRI (2)"/>
      <sheetName val="A.P.U AGUAS RESIDUALES (2)"/>
      <sheetName val="A.P.U AGUAS LLUVIAS (2)"/>
      <sheetName val="A.P.U MURO EN ZAPATA (2)"/>
      <sheetName val="A.P.U MURO EN PILAS (2)"/>
      <sheetName val="RESUMEN "/>
      <sheetName val="CRONOGRAMA"/>
      <sheetName val="ARU DEFINITIVO"/>
      <sheetName val="CALCULO PRESTACIONES Y SALA "/>
      <sheetName val="FLUJO DE CAJA"/>
      <sheetName val="RIESGOS"/>
      <sheetName val="2 POLITICA"/>
      <sheetName val="3 ECONOMICO"/>
      <sheetName val="3.1 CALCULO ECONOMICO "/>
      <sheetName val="4 OPERACIONALES"/>
      <sheetName val="4.1 Calculos Operacionales"/>
      <sheetName val="5 FINANCIEROS"/>
      <sheetName val="5.1 Calculo Financiero"/>
      <sheetName val="6 NATURALEZA"/>
      <sheetName val="6.1 Calculo Naturaleza"/>
      <sheetName val="6.2 Calculo Naturaleza"/>
      <sheetName val="7 Ambientales"/>
      <sheetName val="7.1 GESTION SOCIAMBIENTAL "/>
      <sheetName val="7.2 PLAN DE MANEJO DE TRANS "/>
      <sheetName val="7.3 BIOSEGURIDAD COVID-19"/>
      <sheetName val="Memorias de calculo VIA"/>
      <sheetName val="A.P.U OBRA CIVIL Y ELECTRI"/>
      <sheetName val="A.P.U AGUAS LLUVIAS"/>
      <sheetName val="Memorias de calculo Aguas LLuvi"/>
      <sheetName val="Tramo CR30-CR31"/>
      <sheetName val="Tramo CR31-CR32"/>
      <sheetName val="Tramo CR32-CR33"/>
      <sheetName val="Tramo CR33-CR34"/>
      <sheetName val="Tramo CR34-CR35"/>
      <sheetName val="Tramo CR35-CR36"/>
      <sheetName val="Tramo CR36-CR37"/>
      <sheetName val="Tramo CR37-BOT4"/>
      <sheetName val="Tramo CR40-CR41"/>
      <sheetName val="Tramo CR41-CR42"/>
      <sheetName val="Tramo CR42-CR43"/>
      <sheetName val="Tramo CR43-CR44"/>
      <sheetName val="Tramo CR44-CR45"/>
      <sheetName val="Tramo CR45-CR46"/>
      <sheetName val="Tramo CR46-CR47"/>
      <sheetName val="Tramo CR47-CR48"/>
      <sheetName val="Tramo CR48-CR49"/>
      <sheetName val="Tramo CR49-CR50"/>
      <sheetName val="Tramo CR50-CR51"/>
      <sheetName val="Tramo CR51-CR52"/>
      <sheetName val="Tramo CR52-CR53"/>
      <sheetName val="Tramo CR53-CR54"/>
      <sheetName val="Tramo CR54-CR55"/>
      <sheetName val="Tramo CR55-CR56"/>
      <sheetName val="Tramo CR56-CR57"/>
      <sheetName val="Tramo CR57-CR58"/>
      <sheetName val="A.P.U AGUAS RESIDUALES"/>
      <sheetName val="Memorias de Caluclo Aguas Resid"/>
      <sheetName val="Tramo CR400-C401"/>
      <sheetName val="Tramo CR401-CR402"/>
      <sheetName val="Tramo CR402-C403"/>
      <sheetName val="Tramo CR403-CR404"/>
      <sheetName val="Tramo CR404-CR405"/>
      <sheetName val="Tramo CR405-CR406"/>
      <sheetName val="Tramo CR406-CR407"/>
      <sheetName val="Tramo CR407-R4"/>
      <sheetName val="TramoCR600-CR601"/>
      <sheetName val="TramoCR601-CR602"/>
      <sheetName val="TramoCR602-CR603"/>
      <sheetName val="TramoCR603-CR604"/>
      <sheetName val="TramoCR604-CR605"/>
      <sheetName val="TramoCR605-CR606"/>
      <sheetName val="TramoCR606-CR607"/>
      <sheetName val="TramoCR607-CR608"/>
      <sheetName val="TramoCR608-CR609"/>
      <sheetName val="TramoCR609-CR610"/>
      <sheetName val="TramoCR610-CR611"/>
      <sheetName val="TramoCR611-CR612"/>
      <sheetName val="TramoCR612-CR613"/>
      <sheetName val="TramoCR613-CR614"/>
      <sheetName val="TramoCR614-CR615"/>
      <sheetName val="TramoCR615-CR616"/>
      <sheetName val="TramoCR616-CR617"/>
      <sheetName val="TramoCR617-CR618"/>
      <sheetName val="TramoCR618-CR169"/>
      <sheetName val="Memorias de calculo Muros "/>
      <sheetName val="A.P.U MURO EN PILAS"/>
      <sheetName val="A.P.U MURO EN ZAPATA"/>
      <sheetName val="Inventario Arboreo"/>
      <sheetName val="EJECUCION DEL PLAN DE APROVECHA"/>
      <sheetName val="3.1 CALCULO ECONOMI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row r="5">
          <cell r="C5">
            <v>113502000</v>
          </cell>
        </row>
        <row r="6">
          <cell r="C6">
            <v>2328775527.4430027</v>
          </cell>
        </row>
        <row r="7">
          <cell r="C7">
            <v>621402779.69140041</v>
          </cell>
        </row>
        <row r="8">
          <cell r="C8">
            <v>3078617876.9600029</v>
          </cell>
        </row>
        <row r="9">
          <cell r="C9">
            <v>34484946.760000005</v>
          </cell>
        </row>
        <row r="10">
          <cell r="C10">
            <v>60701322</v>
          </cell>
        </row>
        <row r="11">
          <cell r="C11">
            <v>631762916.41182005</v>
          </cell>
        </row>
        <row r="12">
          <cell r="C12">
            <v>1166901225</v>
          </cell>
        </row>
        <row r="13">
          <cell r="C13">
            <v>1414102845.3601999</v>
          </cell>
        </row>
        <row r="14">
          <cell r="C14">
            <v>673124282.29999995</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INTERVENTORIA"/>
      <sheetName val="TABLA SALARIAL"/>
      <sheetName val="Hoja1"/>
    </sheetNames>
    <sheetDataSet>
      <sheetData sheetId="0" refreshError="1"/>
      <sheetData sheetId="1" refreshError="1">
        <row r="11">
          <cell r="F11">
            <v>9183720.9684328102</v>
          </cell>
        </row>
        <row r="14">
          <cell r="F14">
            <v>4591860.4842164051</v>
          </cell>
        </row>
        <row r="19">
          <cell r="F19">
            <v>2295930.2421082025</v>
          </cell>
        </row>
        <row r="20">
          <cell r="F20">
            <v>2008938.9618446773</v>
          </cell>
        </row>
      </sheetData>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RESUMEN"/>
      <sheetName val="AU"/>
      <sheetName val="SUBANALISIS AU"/>
      <sheetName val="Ppto INTERVENTORIA"/>
      <sheetName val="FLUJO DE CAJA"/>
      <sheetName val="REAJUSTE"/>
      <sheetName val="CALCULO REAJUSTE"/>
      <sheetName val="COSTO DIRECTO EN SAO"/>
      <sheetName val="IND CAMACOL"/>
      <sheetName val="TABLA SALARIAL"/>
      <sheetName val="PARETO COSTO DIRECTO"/>
    </sheetNames>
    <sheetDataSet>
      <sheetData sheetId="0" refreshError="1"/>
      <sheetData sheetId="1" refreshError="1"/>
      <sheetData sheetId="2">
        <row r="79">
          <cell r="I79">
            <v>16708079717</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tabSelected="1" view="pageBreakPreview" zoomScaleNormal="100" zoomScaleSheetLayoutView="100" workbookViewId="0">
      <selection activeCell="F14" sqref="F14"/>
    </sheetView>
  </sheetViews>
  <sheetFormatPr baseColWidth="10" defaultColWidth="9.140625" defaultRowHeight="15"/>
  <cols>
    <col min="1" max="1" width="20.140625" customWidth="1"/>
    <col min="2" max="2" width="65" customWidth="1"/>
    <col min="3" max="3" width="18.140625" bestFit="1" customWidth="1"/>
    <col min="4" max="4" width="14.140625" bestFit="1" customWidth="1"/>
    <col min="5" max="5" width="17.85546875" bestFit="1" customWidth="1"/>
    <col min="6" max="6" width="31" customWidth="1"/>
    <col min="7" max="7" width="15.5703125" bestFit="1" customWidth="1"/>
  </cols>
  <sheetData>
    <row r="1" spans="1:6" ht="72" customHeight="1">
      <c r="A1" s="1"/>
      <c r="B1" s="233" t="s">
        <v>0</v>
      </c>
      <c r="C1" s="233"/>
      <c r="D1" s="233"/>
      <c r="E1" s="233"/>
    </row>
    <row r="2" spans="1:6" ht="15.75">
      <c r="A2" s="234"/>
      <c r="B2" s="234"/>
      <c r="C2" s="234"/>
      <c r="D2" s="234"/>
      <c r="E2" s="234"/>
    </row>
    <row r="3" spans="1:6" ht="42" customHeight="1">
      <c r="A3" s="2" t="s">
        <v>1</v>
      </c>
      <c r="B3" s="235" t="s">
        <v>954</v>
      </c>
      <c r="C3" s="236"/>
      <c r="D3" s="236"/>
      <c r="E3" s="237"/>
    </row>
    <row r="4" spans="1:6" ht="15.75">
      <c r="A4" s="238"/>
      <c r="B4" s="239"/>
      <c r="C4" s="239"/>
      <c r="D4" s="239"/>
      <c r="E4" s="239"/>
    </row>
    <row r="5" spans="1:6" ht="15.75">
      <c r="A5" s="78" t="s">
        <v>2</v>
      </c>
      <c r="B5" s="78" t="s">
        <v>3</v>
      </c>
      <c r="C5" s="3" t="s">
        <v>4</v>
      </c>
      <c r="D5" s="3" t="s">
        <v>5</v>
      </c>
      <c r="E5" s="3" t="s">
        <v>6</v>
      </c>
    </row>
    <row r="6" spans="1:6" ht="15.75">
      <c r="A6" s="14">
        <v>1</v>
      </c>
      <c r="B6" s="15" t="s">
        <v>7</v>
      </c>
      <c r="C6" s="9">
        <f>C7</f>
        <v>1984478</v>
      </c>
      <c r="D6" s="9">
        <f>D7</f>
        <v>1984478</v>
      </c>
      <c r="E6" s="9">
        <f>SUM(E7:E7)</f>
        <v>0</v>
      </c>
    </row>
    <row r="7" spans="1:6" ht="15.75">
      <c r="A7" s="4" t="s">
        <v>8</v>
      </c>
      <c r="B7" s="5" t="s">
        <v>10</v>
      </c>
      <c r="C7" s="6">
        <f>'A4-PRESUPUESTO COMPONENTES'!H20</f>
        <v>1984478</v>
      </c>
      <c r="D7" s="7">
        <f>C7</f>
        <v>1984478</v>
      </c>
      <c r="E7" s="7">
        <v>0</v>
      </c>
    </row>
    <row r="8" spans="1:6" ht="15.75" hidden="1">
      <c r="A8" s="14"/>
      <c r="B8" s="16" t="s">
        <v>11</v>
      </c>
      <c r="C8" s="9"/>
      <c r="D8" s="9"/>
      <c r="E8" s="9"/>
    </row>
    <row r="9" spans="1:6" ht="15.75" hidden="1">
      <c r="A9" s="4"/>
      <c r="B9" s="5"/>
      <c r="C9" s="6"/>
      <c r="D9" s="7"/>
      <c r="E9" s="7"/>
    </row>
    <row r="10" spans="1:6" ht="15.75" hidden="1">
      <c r="A10" s="4"/>
      <c r="B10" s="5"/>
      <c r="C10" s="6"/>
      <c r="D10" s="7"/>
      <c r="E10" s="7"/>
    </row>
    <row r="11" spans="1:6" ht="15.75" hidden="1">
      <c r="A11" s="4"/>
      <c r="B11" s="5"/>
      <c r="C11" s="6"/>
      <c r="D11" s="7"/>
      <c r="E11" s="7"/>
    </row>
    <row r="12" spans="1:6" ht="15.75" hidden="1">
      <c r="A12" s="4"/>
      <c r="B12" s="5"/>
      <c r="C12" s="6"/>
      <c r="D12" s="7"/>
      <c r="E12" s="7"/>
    </row>
    <row r="13" spans="1:6" ht="15.75">
      <c r="A13" s="14">
        <v>2</v>
      </c>
      <c r="B13" s="16" t="s">
        <v>12</v>
      </c>
      <c r="C13" s="9">
        <f>SUM(C14:C21)</f>
        <v>92070077203.955612</v>
      </c>
      <c r="D13" s="9">
        <f t="shared" ref="D13:E13" si="0">SUM(D14:D21)</f>
        <v>0</v>
      </c>
      <c r="E13" s="9">
        <f t="shared" si="0"/>
        <v>92070077203.955612</v>
      </c>
      <c r="F13" s="318"/>
    </row>
    <row r="14" spans="1:6" ht="15.75">
      <c r="A14" s="4" t="s">
        <v>13</v>
      </c>
      <c r="B14" s="5" t="s">
        <v>14</v>
      </c>
      <c r="C14" s="6">
        <f>'2.1 PRESUPUESTO CONSTRUCCIÓN'!G376</f>
        <v>87404263817.805618</v>
      </c>
      <c r="D14" s="7">
        <v>0</v>
      </c>
      <c r="E14" s="7">
        <f>C14</f>
        <v>87404263817.805618</v>
      </c>
    </row>
    <row r="15" spans="1:6" ht="15.75">
      <c r="A15" s="4" t="s">
        <v>15</v>
      </c>
      <c r="B15" s="5" t="s">
        <v>16</v>
      </c>
      <c r="C15" s="6">
        <f>'2.2 PRESUPUESTO INTERVENTORÍA'!C101</f>
        <v>4665813386.1499996</v>
      </c>
      <c r="D15" s="7">
        <v>0</v>
      </c>
      <c r="E15" s="7">
        <f>C15</f>
        <v>4665813386.1499996</v>
      </c>
      <c r="F15" s="319"/>
    </row>
    <row r="16" spans="1:6" ht="15.75" hidden="1">
      <c r="A16" s="14"/>
      <c r="B16" s="16" t="s">
        <v>17</v>
      </c>
      <c r="C16" s="9"/>
      <c r="D16" s="9"/>
      <c r="E16" s="9"/>
    </row>
    <row r="17" spans="1:7" ht="15.75" hidden="1">
      <c r="A17" s="4"/>
      <c r="B17" s="5"/>
      <c r="C17" s="6"/>
      <c r="D17" s="7"/>
      <c r="E17" s="7"/>
    </row>
    <row r="18" spans="1:7" ht="15.75" hidden="1">
      <c r="A18" s="4"/>
      <c r="B18" s="5"/>
      <c r="C18" s="6"/>
      <c r="D18" s="7"/>
      <c r="E18" s="7"/>
    </row>
    <row r="19" spans="1:7" ht="15.75" hidden="1">
      <c r="A19" s="4"/>
      <c r="B19" s="5"/>
      <c r="C19" s="6"/>
      <c r="D19" s="7"/>
      <c r="E19" s="7"/>
    </row>
    <row r="20" spans="1:7" ht="15.75" hidden="1">
      <c r="A20" s="4"/>
      <c r="B20" s="5"/>
      <c r="C20" s="6"/>
      <c r="D20" s="7"/>
      <c r="E20" s="7"/>
    </row>
    <row r="21" spans="1:7" ht="15.75" hidden="1">
      <c r="A21" s="4"/>
      <c r="B21" s="5"/>
      <c r="C21" s="8"/>
      <c r="D21" s="7"/>
      <c r="E21" s="7"/>
    </row>
    <row r="22" spans="1:7" ht="15.75">
      <c r="A22" s="14">
        <v>3</v>
      </c>
      <c r="B22" s="15" t="s">
        <v>18</v>
      </c>
      <c r="C22" s="9">
        <f>C23</f>
        <v>12691223</v>
      </c>
      <c r="D22" s="9">
        <f t="shared" ref="D22:E22" si="1">D23</f>
        <v>12691223</v>
      </c>
      <c r="E22" s="9">
        <f t="shared" si="1"/>
        <v>0</v>
      </c>
    </row>
    <row r="23" spans="1:7" ht="15.75">
      <c r="A23" s="4" t="s">
        <v>19</v>
      </c>
      <c r="B23" s="5" t="s">
        <v>20</v>
      </c>
      <c r="C23" s="6">
        <f>'A4-PRESUPUESTO COMPONENTES'!H45</f>
        <v>12691223</v>
      </c>
      <c r="D23" s="7">
        <f>C23</f>
        <v>12691223</v>
      </c>
      <c r="E23" s="7">
        <v>0</v>
      </c>
    </row>
    <row r="24" spans="1:7" ht="15.75">
      <c r="A24" s="18"/>
      <c r="B24" s="19" t="s">
        <v>21</v>
      </c>
      <c r="C24" s="20">
        <f>C6+C8+C13+C16+C22</f>
        <v>92084752904.955612</v>
      </c>
      <c r="D24" s="20">
        <f>D6+D8+D13+D16+D22</f>
        <v>14675701</v>
      </c>
      <c r="E24" s="20">
        <f>E6+E8+E13+E16+E22</f>
        <v>92070077203.955612</v>
      </c>
    </row>
    <row r="25" spans="1:7" ht="15.75">
      <c r="A25" s="14">
        <v>4</v>
      </c>
      <c r="B25" s="15" t="s">
        <v>22</v>
      </c>
      <c r="C25" s="9">
        <f>ROUND(C24*0.01,0)</f>
        <v>920847529</v>
      </c>
      <c r="D25" s="9">
        <v>0</v>
      </c>
      <c r="E25" s="17">
        <f>+C25</f>
        <v>920847529</v>
      </c>
    </row>
    <row r="26" spans="1:7" ht="15.75">
      <c r="A26" s="240" t="s">
        <v>23</v>
      </c>
      <c r="B26" s="241"/>
      <c r="C26" s="20">
        <f>ROUND(C24+C25,0)</f>
        <v>93005600434</v>
      </c>
      <c r="D26" s="20">
        <f>+D24+D25</f>
        <v>14675701</v>
      </c>
      <c r="E26" s="20">
        <f>+E24+E25</f>
        <v>92990924732.955612</v>
      </c>
    </row>
    <row r="27" spans="1:7" ht="15.75">
      <c r="A27" s="231" t="s">
        <v>24</v>
      </c>
      <c r="B27" s="232"/>
      <c r="C27" s="10"/>
      <c r="D27" s="11"/>
      <c r="E27" s="12">
        <f>ROUND(E26*0.05,0)</f>
        <v>4649546237</v>
      </c>
    </row>
    <row r="28" spans="1:7" ht="15.75">
      <c r="A28" s="231" t="s">
        <v>25</v>
      </c>
      <c r="B28" s="232"/>
      <c r="C28" s="10"/>
      <c r="D28" s="11"/>
      <c r="E28" s="12">
        <f>ROUND(E27*0.19,0)</f>
        <v>883413785</v>
      </c>
    </row>
    <row r="29" spans="1:7" ht="15.75">
      <c r="A29" s="240" t="s">
        <v>26</v>
      </c>
      <c r="B29" s="241"/>
      <c r="C29" s="21"/>
      <c r="D29" s="22"/>
      <c r="E29" s="23">
        <f>+E27+E28</f>
        <v>5532960022</v>
      </c>
      <c r="F29" s="25" t="s">
        <v>27</v>
      </c>
      <c r="G29" s="26" t="s">
        <v>28</v>
      </c>
    </row>
    <row r="30" spans="1:7" ht="6" customHeight="1">
      <c r="A30" s="246"/>
      <c r="B30" s="247"/>
      <c r="C30" s="247"/>
      <c r="D30" s="247"/>
      <c r="E30" s="248"/>
    </row>
    <row r="31" spans="1:7" ht="15.75">
      <c r="A31" s="242" t="s">
        <v>29</v>
      </c>
      <c r="B31" s="243"/>
      <c r="C31" s="13"/>
      <c r="D31" s="13">
        <f>ROUND(D26,0)</f>
        <v>14675701</v>
      </c>
      <c r="E31" s="220">
        <f>ROUND(E26+E29,0)</f>
        <v>98523884755</v>
      </c>
      <c r="F31" s="342">
        <f>'FORMA DE PAGO'!B10</f>
        <v>98523884755</v>
      </c>
      <c r="G31" s="27">
        <f>E31-F31</f>
        <v>0</v>
      </c>
    </row>
    <row r="32" spans="1:7" ht="15.75">
      <c r="A32" s="242" t="s">
        <v>30</v>
      </c>
      <c r="B32" s="243"/>
      <c r="C32" s="13"/>
      <c r="D32" s="244">
        <f>ROUND(D31+E31,0)</f>
        <v>98538560456</v>
      </c>
      <c r="E32" s="245"/>
      <c r="F32" s="24"/>
    </row>
  </sheetData>
  <mergeCells count="12">
    <mergeCell ref="A28:B28"/>
    <mergeCell ref="A29:B29"/>
    <mergeCell ref="A31:B31"/>
    <mergeCell ref="A32:B32"/>
    <mergeCell ref="D32:E32"/>
    <mergeCell ref="A30:E30"/>
    <mergeCell ref="A27:B27"/>
    <mergeCell ref="B1:E1"/>
    <mergeCell ref="A2:E2"/>
    <mergeCell ref="B3:E3"/>
    <mergeCell ref="A4:E4"/>
    <mergeCell ref="A26:B26"/>
  </mergeCells>
  <conditionalFormatting sqref="A13:E13">
    <cfRule type="cellIs" dxfId="33" priority="11" operator="equal">
      <formula>#REF!</formula>
    </cfRule>
  </conditionalFormatting>
  <conditionalFormatting sqref="E27:E29 C26:E26 A26:A30 E17:E21 E14:E15 A6:E6 A8:E8 E9:E12 A24:E24 A22:E22 D7">
    <cfRule type="cellIs" dxfId="32" priority="23" operator="equal">
      <formula>#REF!</formula>
    </cfRule>
  </conditionalFormatting>
  <conditionalFormatting sqref="E27:E29 C26:E26 A26:A30 E17:E21 A14:E15 A6:E6 A8:E8 E9:E12 A24:E24 A22:E22 D7">
    <cfRule type="cellIs" dxfId="31" priority="24" operator="equal">
      <formula>#REF!</formula>
    </cfRule>
  </conditionalFormatting>
  <conditionalFormatting sqref="A17:D21 A9:D12">
    <cfRule type="cellIs" dxfId="30" priority="21" operator="equal">
      <formula>#REF!</formula>
    </cfRule>
  </conditionalFormatting>
  <conditionalFormatting sqref="A17:D21">
    <cfRule type="cellIs" dxfId="29" priority="22" operator="equal">
      <formula>#REF!</formula>
    </cfRule>
  </conditionalFormatting>
  <conditionalFormatting sqref="A25:E25">
    <cfRule type="cellIs" dxfId="28" priority="5" operator="equal">
      <formula>#REF!</formula>
    </cfRule>
  </conditionalFormatting>
  <conditionalFormatting sqref="A13:E13">
    <cfRule type="cellIs" dxfId="27" priority="12" operator="equal">
      <formula>#REF!</formula>
    </cfRule>
  </conditionalFormatting>
  <conditionalFormatting sqref="A16 C16:E16">
    <cfRule type="cellIs" dxfId="26" priority="9" operator="equal">
      <formula>#REF!</formula>
    </cfRule>
  </conditionalFormatting>
  <conditionalFormatting sqref="A16 C16:E16">
    <cfRule type="cellIs" dxfId="25" priority="10" operator="equal">
      <formula>#REF!</formula>
    </cfRule>
  </conditionalFormatting>
  <conditionalFormatting sqref="B16">
    <cfRule type="cellIs" dxfId="24" priority="7" operator="equal">
      <formula>#REF!</formula>
    </cfRule>
  </conditionalFormatting>
  <conditionalFormatting sqref="B16">
    <cfRule type="cellIs" dxfId="23" priority="8" operator="equal">
      <formula>#REF!</formula>
    </cfRule>
  </conditionalFormatting>
  <conditionalFormatting sqref="A25:E25">
    <cfRule type="cellIs" dxfId="22" priority="6" operator="equal">
      <formula>#REF!</formula>
    </cfRule>
  </conditionalFormatting>
  <conditionalFormatting sqref="A7:C7 E7">
    <cfRule type="cellIs" dxfId="21" priority="3" operator="equal">
      <formula>#REF!</formula>
    </cfRule>
  </conditionalFormatting>
  <conditionalFormatting sqref="A7:C7 E7">
    <cfRule type="cellIs" dxfId="20" priority="4" operator="equal">
      <formula>#REF!</formula>
    </cfRule>
  </conditionalFormatting>
  <conditionalFormatting sqref="E23">
    <cfRule type="cellIs" dxfId="19" priority="1" operator="equal">
      <formula>#REF!</formula>
    </cfRule>
  </conditionalFormatting>
  <conditionalFormatting sqref="A23:E23">
    <cfRule type="cellIs" dxfId="18" priority="2" operator="equal">
      <formula>#REF!</formula>
    </cfRule>
  </conditionalFormatting>
  <pageMargins left="0.7" right="0.7" top="0.75" bottom="0.75" header="0.3" footer="0.3"/>
  <pageSetup scale="4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9"/>
  <sheetViews>
    <sheetView view="pageBreakPreview" topLeftCell="A20" zoomScale="106" zoomScaleNormal="82" zoomScaleSheetLayoutView="106" workbookViewId="0">
      <selection activeCell="B59" sqref="B59"/>
    </sheetView>
  </sheetViews>
  <sheetFormatPr baseColWidth="10" defaultColWidth="11.42578125" defaultRowHeight="15.75"/>
  <cols>
    <col min="1" max="1" width="18.28515625" style="30" customWidth="1"/>
    <col min="2" max="2" width="40" style="30" customWidth="1"/>
    <col min="3" max="3" width="9.5703125" style="30" bestFit="1" customWidth="1"/>
    <col min="4" max="4" width="12.85546875" style="30" bestFit="1" customWidth="1"/>
    <col min="5" max="5" width="13.7109375" style="30" customWidth="1"/>
    <col min="6" max="6" width="13.5703125" style="30" bestFit="1" customWidth="1"/>
    <col min="7" max="7" width="13.140625" style="30" bestFit="1" customWidth="1"/>
    <col min="8" max="8" width="22.140625" style="30" customWidth="1"/>
    <col min="9" max="11" width="11.42578125" style="30"/>
    <col min="12" max="14" width="36" style="30" customWidth="1"/>
    <col min="15" max="16384" width="11.42578125" style="30"/>
  </cols>
  <sheetData>
    <row r="1" spans="1:8" ht="86.25" customHeight="1">
      <c r="A1" s="1"/>
      <c r="B1" s="252" t="s">
        <v>31</v>
      </c>
      <c r="C1" s="253"/>
      <c r="D1" s="253"/>
      <c r="E1" s="253"/>
      <c r="F1" s="253"/>
      <c r="G1" s="253"/>
      <c r="H1" s="254"/>
    </row>
    <row r="2" spans="1:8" ht="6" customHeight="1"/>
    <row r="3" spans="1:8" ht="71.25" customHeight="1">
      <c r="A3" s="39" t="s">
        <v>1</v>
      </c>
      <c r="B3" s="249" t="str">
        <f>'PRESUPUESTO RESUMEN'!B3:E3</f>
        <v>Aunar esfuerzos técnicos, administrativos, financieros y jurídicos para la construcción e interventoría del Centro Administrativo Municipal de Envigado (CAM).</v>
      </c>
      <c r="C3" s="250"/>
      <c r="D3" s="250"/>
      <c r="E3" s="250"/>
      <c r="F3" s="250"/>
      <c r="G3" s="250"/>
      <c r="H3" s="251"/>
    </row>
    <row r="4" spans="1:8" ht="6" customHeight="1"/>
    <row r="5" spans="1:8" ht="16.5" customHeight="1" thickBot="1">
      <c r="A5" s="255" t="s">
        <v>32</v>
      </c>
      <c r="B5" s="255"/>
      <c r="C5" s="255"/>
      <c r="D5" s="255"/>
      <c r="E5" s="255"/>
      <c r="F5" s="255"/>
      <c r="G5" s="255"/>
      <c r="H5" s="255"/>
    </row>
    <row r="6" spans="1:8" ht="15.75" customHeight="1" thickBot="1">
      <c r="A6" s="116" t="s">
        <v>8</v>
      </c>
      <c r="B6" s="256" t="s">
        <v>33</v>
      </c>
      <c r="C6" s="256"/>
      <c r="D6" s="256"/>
      <c r="E6" s="256"/>
      <c r="F6" s="256"/>
      <c r="G6" s="257"/>
      <c r="H6" s="96"/>
    </row>
    <row r="7" spans="1:8" ht="31.5">
      <c r="A7" s="77" t="s">
        <v>2</v>
      </c>
      <c r="B7" s="77" t="s">
        <v>34</v>
      </c>
      <c r="C7" s="50" t="s">
        <v>35</v>
      </c>
      <c r="D7" s="50" t="s">
        <v>36</v>
      </c>
      <c r="E7" s="50" t="s">
        <v>37</v>
      </c>
      <c r="F7" s="51" t="s">
        <v>38</v>
      </c>
      <c r="G7" s="51" t="s">
        <v>39</v>
      </c>
      <c r="H7" s="77" t="s">
        <v>40</v>
      </c>
    </row>
    <row r="8" spans="1:8">
      <c r="A8" s="97">
        <v>1</v>
      </c>
      <c r="B8" s="98" t="s">
        <v>41</v>
      </c>
      <c r="C8" s="99">
        <v>1</v>
      </c>
      <c r="D8" s="100">
        <v>0.05</v>
      </c>
      <c r="E8" s="101">
        <v>7119404</v>
      </c>
      <c r="F8" s="102">
        <v>0.5</v>
      </c>
      <c r="G8" s="103">
        <v>1.81</v>
      </c>
      <c r="H8" s="104">
        <f>C8*D8*E8*F8*G8</f>
        <v>322153.03100000002</v>
      </c>
    </row>
    <row r="9" spans="1:8" ht="16.5" thickBot="1">
      <c r="A9" s="105">
        <v>2</v>
      </c>
      <c r="B9" s="31" t="s">
        <v>42</v>
      </c>
      <c r="C9" s="32">
        <v>1</v>
      </c>
      <c r="D9" s="33">
        <v>0.5</v>
      </c>
      <c r="E9" s="34">
        <v>4381932</v>
      </c>
      <c r="F9" s="35">
        <v>0.5</v>
      </c>
      <c r="G9" s="106">
        <v>1.81</v>
      </c>
      <c r="H9" s="107">
        <f t="shared" ref="H9" si="0">C9*D9*E9*F9*G9</f>
        <v>1982824.23</v>
      </c>
    </row>
    <row r="10" spans="1:8" ht="16.5" thickBot="1">
      <c r="A10" s="259" t="s">
        <v>43</v>
      </c>
      <c r="B10" s="256"/>
      <c r="C10" s="256"/>
      <c r="D10" s="256"/>
      <c r="E10" s="256"/>
      <c r="F10" s="256"/>
      <c r="G10" s="257"/>
      <c r="H10" s="108">
        <f>H8+H9</f>
        <v>2304977.2609999999</v>
      </c>
    </row>
    <row r="11" spans="1:8" ht="15.75" customHeight="1" thickBot="1">
      <c r="A11" s="259" t="s">
        <v>44</v>
      </c>
      <c r="B11" s="256"/>
      <c r="C11" s="256"/>
      <c r="D11" s="256"/>
      <c r="E11" s="256"/>
      <c r="F11" s="256"/>
      <c r="G11" s="257"/>
      <c r="H11" s="108">
        <f>H10*19%</f>
        <v>437945.67959000001</v>
      </c>
    </row>
    <row r="12" spans="1:8" ht="15.75" customHeight="1" thickBot="1">
      <c r="A12" s="259" t="s">
        <v>45</v>
      </c>
      <c r="B12" s="256"/>
      <c r="C12" s="256"/>
      <c r="D12" s="256"/>
      <c r="E12" s="256"/>
      <c r="F12" s="256"/>
      <c r="G12" s="257"/>
      <c r="H12" s="108">
        <f>ROUND((H10+H11),0)</f>
        <v>2742923</v>
      </c>
    </row>
    <row r="13" spans="1:8" ht="15.75" customHeight="1" thickBot="1">
      <c r="A13" s="109"/>
      <c r="B13" s="110"/>
      <c r="C13" s="111"/>
      <c r="D13" s="112"/>
      <c r="E13" s="113"/>
      <c r="F13" s="114"/>
      <c r="G13" s="114"/>
      <c r="H13" s="115"/>
    </row>
    <row r="14" spans="1:8" ht="16.5" customHeight="1" thickBot="1">
      <c r="A14" s="116" t="s">
        <v>9</v>
      </c>
      <c r="B14" s="256" t="s">
        <v>46</v>
      </c>
      <c r="C14" s="256"/>
      <c r="D14" s="256"/>
      <c r="E14" s="256"/>
      <c r="F14" s="256"/>
      <c r="G14" s="257"/>
      <c r="H14" s="96"/>
    </row>
    <row r="15" spans="1:8" ht="31.5">
      <c r="A15" s="77" t="s">
        <v>2</v>
      </c>
      <c r="B15" s="77" t="s">
        <v>34</v>
      </c>
      <c r="C15" s="50" t="s">
        <v>35</v>
      </c>
      <c r="D15" s="50" t="s">
        <v>36</v>
      </c>
      <c r="E15" s="50" t="s">
        <v>37</v>
      </c>
      <c r="F15" s="51" t="s">
        <v>38</v>
      </c>
      <c r="G15" s="51" t="s">
        <v>39</v>
      </c>
      <c r="H15" s="77" t="s">
        <v>40</v>
      </c>
    </row>
    <row r="16" spans="1:8">
      <c r="A16" s="97">
        <v>1</v>
      </c>
      <c r="B16" s="98" t="s">
        <v>41</v>
      </c>
      <c r="C16" s="99">
        <v>1</v>
      </c>
      <c r="D16" s="100">
        <v>0.05</v>
      </c>
      <c r="E16" s="101">
        <v>7119404</v>
      </c>
      <c r="F16" s="102">
        <v>0.5</v>
      </c>
      <c r="G16" s="103">
        <v>1.81</v>
      </c>
      <c r="H16" s="104">
        <f>C16*D16*E16*F16*G16</f>
        <v>322153.03100000002</v>
      </c>
    </row>
    <row r="17" spans="1:8" ht="16.5" thickBot="1">
      <c r="A17" s="105">
        <v>2</v>
      </c>
      <c r="B17" s="31" t="s">
        <v>47</v>
      </c>
      <c r="C17" s="32">
        <v>1</v>
      </c>
      <c r="D17" s="33">
        <v>0.5</v>
      </c>
      <c r="E17" s="34">
        <v>5125620</v>
      </c>
      <c r="F17" s="35">
        <v>0.5</v>
      </c>
      <c r="G17" s="106">
        <v>1.05</v>
      </c>
      <c r="H17" s="107">
        <f t="shared" ref="H17" si="1">C17*D17*E17*F17*G17</f>
        <v>1345475.25</v>
      </c>
    </row>
    <row r="18" spans="1:8" ht="16.5" thickBot="1">
      <c r="A18" s="259" t="s">
        <v>43</v>
      </c>
      <c r="B18" s="256"/>
      <c r="C18" s="256"/>
      <c r="D18" s="256"/>
      <c r="E18" s="256"/>
      <c r="F18" s="256"/>
      <c r="G18" s="257"/>
      <c r="H18" s="108">
        <f>H16+H17</f>
        <v>1667628.281</v>
      </c>
    </row>
    <row r="19" spans="1:8" ht="16.5" thickBot="1">
      <c r="A19" s="259" t="s">
        <v>44</v>
      </c>
      <c r="B19" s="256"/>
      <c r="C19" s="256"/>
      <c r="D19" s="256"/>
      <c r="E19" s="256"/>
      <c r="F19" s="256"/>
      <c r="G19" s="257"/>
      <c r="H19" s="108">
        <f>H18*19%</f>
        <v>316849.37339000002</v>
      </c>
    </row>
    <row r="20" spans="1:8" ht="16.5" thickBot="1">
      <c r="A20" s="259" t="s">
        <v>45</v>
      </c>
      <c r="B20" s="256"/>
      <c r="C20" s="256"/>
      <c r="D20" s="256"/>
      <c r="E20" s="256"/>
      <c r="F20" s="256"/>
      <c r="G20" s="257"/>
      <c r="H20" s="108">
        <f>ROUND((H18+H19),0)</f>
        <v>1984478</v>
      </c>
    </row>
    <row r="21" spans="1:8">
      <c r="A21" s="36"/>
      <c r="C21" s="37"/>
      <c r="D21" s="37"/>
      <c r="E21" s="37"/>
      <c r="F21" s="37"/>
      <c r="G21" s="37"/>
      <c r="H21" s="38"/>
    </row>
    <row r="22" spans="1:8" ht="16.5" customHeight="1">
      <c r="A22" s="255" t="s">
        <v>48</v>
      </c>
      <c r="B22" s="255"/>
      <c r="C22" s="255"/>
      <c r="D22" s="255"/>
      <c r="E22" s="255"/>
      <c r="F22" s="255"/>
      <c r="G22" s="255"/>
      <c r="H22" s="54">
        <f>+H12+H20</f>
        <v>4727401</v>
      </c>
    </row>
    <row r="23" spans="1:8">
      <c r="C23" s="37"/>
      <c r="D23" s="37"/>
      <c r="E23" s="37"/>
      <c r="F23" s="37"/>
      <c r="G23" s="37"/>
      <c r="H23" s="37"/>
    </row>
    <row r="24" spans="1:8" hidden="1">
      <c r="A24" s="260" t="s">
        <v>49</v>
      </c>
      <c r="B24" s="260"/>
      <c r="C24" s="260"/>
      <c r="D24" s="260"/>
      <c r="E24" s="260"/>
      <c r="F24" s="260"/>
      <c r="G24" s="260"/>
      <c r="H24" s="260"/>
    </row>
    <row r="25" spans="1:8" hidden="1">
      <c r="A25" s="77"/>
      <c r="B25" s="258"/>
      <c r="C25" s="258"/>
      <c r="D25" s="258"/>
      <c r="E25" s="258"/>
      <c r="F25" s="258"/>
      <c r="G25" s="258"/>
      <c r="H25" s="258"/>
    </row>
    <row r="26" spans="1:8" ht="31.5" hidden="1">
      <c r="A26" s="77" t="s">
        <v>2</v>
      </c>
      <c r="B26" s="77" t="s">
        <v>34</v>
      </c>
      <c r="C26" s="50" t="s">
        <v>35</v>
      </c>
      <c r="D26" s="50" t="s">
        <v>36</v>
      </c>
      <c r="E26" s="50" t="s">
        <v>37</v>
      </c>
      <c r="F26" s="51" t="s">
        <v>38</v>
      </c>
      <c r="G26" s="51" t="s">
        <v>39</v>
      </c>
      <c r="H26" s="77" t="s">
        <v>40</v>
      </c>
    </row>
    <row r="27" spans="1:8" hidden="1">
      <c r="A27" s="31">
        <v>1</v>
      </c>
      <c r="B27" s="52" t="s">
        <v>41</v>
      </c>
      <c r="C27" s="32"/>
      <c r="D27" s="33">
        <v>0.05</v>
      </c>
      <c r="E27" s="34">
        <v>7119404</v>
      </c>
      <c r="F27" s="35"/>
      <c r="G27" s="35">
        <v>1.81</v>
      </c>
      <c r="H27" s="49">
        <f>C27*D27*E27*F27*G27</f>
        <v>0</v>
      </c>
    </row>
    <row r="28" spans="1:8" hidden="1">
      <c r="A28" s="31">
        <v>2</v>
      </c>
      <c r="B28" s="52" t="s">
        <v>50</v>
      </c>
      <c r="C28" s="32"/>
      <c r="D28" s="33"/>
      <c r="E28" s="34">
        <v>5125620</v>
      </c>
      <c r="F28" s="35"/>
      <c r="G28" s="35">
        <v>1.81</v>
      </c>
      <c r="H28" s="49">
        <f>C28*D28*E28*F28*G28</f>
        <v>0</v>
      </c>
    </row>
    <row r="29" spans="1:8" hidden="1">
      <c r="A29" s="31">
        <v>3</v>
      </c>
      <c r="B29" s="52" t="s">
        <v>51</v>
      </c>
      <c r="C29" s="32"/>
      <c r="D29" s="33"/>
      <c r="E29" s="34">
        <v>5125620</v>
      </c>
      <c r="F29" s="35"/>
      <c r="G29" s="35">
        <v>1.81</v>
      </c>
      <c r="H29" s="49">
        <f t="shared" ref="H29:H33" si="2">C29*D29*E29*F29*G29</f>
        <v>0</v>
      </c>
    </row>
    <row r="30" spans="1:8" hidden="1">
      <c r="A30" s="31">
        <v>5</v>
      </c>
      <c r="B30" s="52" t="s">
        <v>52</v>
      </c>
      <c r="C30" s="32"/>
      <c r="D30" s="33"/>
      <c r="E30" s="34">
        <v>5125620</v>
      </c>
      <c r="F30" s="35"/>
      <c r="G30" s="35">
        <v>1.81</v>
      </c>
      <c r="H30" s="49">
        <f t="shared" si="2"/>
        <v>0</v>
      </c>
    </row>
    <row r="31" spans="1:8" hidden="1">
      <c r="A31" s="31">
        <v>4</v>
      </c>
      <c r="B31" s="52" t="s">
        <v>42</v>
      </c>
      <c r="C31" s="32"/>
      <c r="D31" s="33"/>
      <c r="E31" s="34">
        <v>4381932</v>
      </c>
      <c r="F31" s="35"/>
      <c r="G31" s="35">
        <v>1.81</v>
      </c>
      <c r="H31" s="49">
        <f t="shared" si="2"/>
        <v>0</v>
      </c>
    </row>
    <row r="32" spans="1:8" hidden="1">
      <c r="A32" s="31">
        <v>6</v>
      </c>
      <c r="B32" s="52" t="s">
        <v>53</v>
      </c>
      <c r="C32" s="32"/>
      <c r="D32" s="33"/>
      <c r="E32" s="34">
        <v>5125620</v>
      </c>
      <c r="F32" s="35"/>
      <c r="G32" s="35">
        <v>1.05</v>
      </c>
      <c r="H32" s="49">
        <f t="shared" si="2"/>
        <v>0</v>
      </c>
    </row>
    <row r="33" spans="1:8" hidden="1">
      <c r="A33" s="31">
        <v>7</v>
      </c>
      <c r="B33" s="52" t="s">
        <v>54</v>
      </c>
      <c r="C33" s="32"/>
      <c r="D33" s="33"/>
      <c r="E33" s="34">
        <v>5125620</v>
      </c>
      <c r="F33" s="35"/>
      <c r="G33" s="35">
        <v>1.05</v>
      </c>
      <c r="H33" s="49">
        <f t="shared" si="2"/>
        <v>0</v>
      </c>
    </row>
    <row r="34" spans="1:8" hidden="1">
      <c r="A34" s="258" t="s">
        <v>43</v>
      </c>
      <c r="B34" s="258"/>
      <c r="C34" s="258"/>
      <c r="D34" s="258"/>
      <c r="E34" s="258"/>
      <c r="F34" s="258"/>
      <c r="G34" s="258"/>
      <c r="H34" s="53">
        <f>SUM(H27:H33)</f>
        <v>0</v>
      </c>
    </row>
    <row r="35" spans="1:8" hidden="1">
      <c r="A35" s="258" t="s">
        <v>44</v>
      </c>
      <c r="B35" s="258"/>
      <c r="C35" s="258"/>
      <c r="D35" s="258"/>
      <c r="E35" s="258"/>
      <c r="F35" s="258"/>
      <c r="G35" s="258"/>
      <c r="H35" s="53">
        <f>H34*0.19</f>
        <v>0</v>
      </c>
    </row>
    <row r="36" spans="1:8" hidden="1">
      <c r="A36" s="258" t="s">
        <v>45</v>
      </c>
      <c r="B36" s="258"/>
      <c r="C36" s="258"/>
      <c r="D36" s="258"/>
      <c r="E36" s="258"/>
      <c r="F36" s="258"/>
      <c r="G36" s="258"/>
      <c r="H36" s="53">
        <f>H34+H35</f>
        <v>0</v>
      </c>
    </row>
    <row r="37" spans="1:8">
      <c r="A37" s="262" t="s">
        <v>55</v>
      </c>
      <c r="B37" s="262" t="s">
        <v>56</v>
      </c>
      <c r="C37" s="262" t="s">
        <v>57</v>
      </c>
      <c r="D37" s="262"/>
      <c r="E37" s="262"/>
      <c r="F37" s="262"/>
      <c r="G37" s="262"/>
      <c r="H37" s="262"/>
    </row>
    <row r="38" spans="1:8">
      <c r="A38" s="77" t="s">
        <v>58</v>
      </c>
      <c r="B38" s="258" t="s">
        <v>59</v>
      </c>
      <c r="C38" s="258"/>
      <c r="D38" s="258"/>
      <c r="E38" s="258"/>
      <c r="F38" s="258"/>
      <c r="G38" s="258"/>
      <c r="H38" s="258"/>
    </row>
    <row r="39" spans="1:8" ht="31.5">
      <c r="A39" s="77" t="s">
        <v>2</v>
      </c>
      <c r="B39" s="77" t="s">
        <v>34</v>
      </c>
      <c r="C39" s="50" t="s">
        <v>35</v>
      </c>
      <c r="D39" s="50" t="s">
        <v>36</v>
      </c>
      <c r="E39" s="50" t="s">
        <v>37</v>
      </c>
      <c r="F39" s="51" t="s">
        <v>38</v>
      </c>
      <c r="G39" s="51" t="s">
        <v>39</v>
      </c>
      <c r="H39" s="77" t="s">
        <v>40</v>
      </c>
    </row>
    <row r="40" spans="1:8">
      <c r="A40" s="31">
        <v>1</v>
      </c>
      <c r="B40" s="52" t="s">
        <v>41</v>
      </c>
      <c r="C40" s="32">
        <v>1</v>
      </c>
      <c r="D40" s="33">
        <v>0.05</v>
      </c>
      <c r="E40" s="34">
        <v>7119404</v>
      </c>
      <c r="F40" s="35">
        <v>1</v>
      </c>
      <c r="G40" s="35">
        <v>1.81</v>
      </c>
      <c r="H40" s="49">
        <f>C40*D40*E40*F40*G40</f>
        <v>644306.06200000003</v>
      </c>
    </row>
    <row r="41" spans="1:8">
      <c r="A41" s="31">
        <v>2</v>
      </c>
      <c r="B41" s="52" t="s">
        <v>53</v>
      </c>
      <c r="C41" s="32">
        <v>1</v>
      </c>
      <c r="D41" s="33">
        <v>1</v>
      </c>
      <c r="E41" s="34">
        <v>5125620</v>
      </c>
      <c r="F41" s="35">
        <v>1</v>
      </c>
      <c r="G41" s="35">
        <v>1.05</v>
      </c>
      <c r="H41" s="49">
        <f t="shared" ref="H41:H42" si="3">C41*D41*E41*F41*G41</f>
        <v>5381901</v>
      </c>
    </row>
    <row r="42" spans="1:8">
      <c r="A42" s="31">
        <v>3</v>
      </c>
      <c r="B42" s="52" t="s">
        <v>54</v>
      </c>
      <c r="C42" s="32">
        <v>1</v>
      </c>
      <c r="D42" s="33">
        <v>0.5</v>
      </c>
      <c r="E42" s="34">
        <v>5125620</v>
      </c>
      <c r="F42" s="35">
        <v>1</v>
      </c>
      <c r="G42" s="35">
        <v>1.81</v>
      </c>
      <c r="H42" s="49">
        <f t="shared" si="3"/>
        <v>4638686.1000000006</v>
      </c>
    </row>
    <row r="43" spans="1:8" ht="16.5" customHeight="1">
      <c r="A43" s="258" t="s">
        <v>43</v>
      </c>
      <c r="B43" s="258"/>
      <c r="C43" s="258"/>
      <c r="D43" s="258"/>
      <c r="E43" s="258"/>
      <c r="F43" s="258"/>
      <c r="G43" s="258"/>
      <c r="H43" s="53">
        <f>SUM(H40:H42)</f>
        <v>10664893.162</v>
      </c>
    </row>
    <row r="44" spans="1:8">
      <c r="A44" s="258" t="s">
        <v>44</v>
      </c>
      <c r="B44" s="258"/>
      <c r="C44" s="258"/>
      <c r="D44" s="258"/>
      <c r="E44" s="258"/>
      <c r="F44" s="258"/>
      <c r="G44" s="258"/>
      <c r="H44" s="53">
        <f>H43*0.19</f>
        <v>2026329.7007800001</v>
      </c>
    </row>
    <row r="45" spans="1:8" ht="16.5" customHeight="1">
      <c r="A45" s="258" t="s">
        <v>60</v>
      </c>
      <c r="B45" s="258"/>
      <c r="C45" s="258"/>
      <c r="D45" s="258"/>
      <c r="E45" s="258"/>
      <c r="F45" s="258"/>
      <c r="G45" s="258"/>
      <c r="H45" s="53">
        <f>ROUND((H43+H44),0)</f>
        <v>12691223</v>
      </c>
    </row>
    <row r="47" spans="1:8">
      <c r="A47" s="258" t="s">
        <v>61</v>
      </c>
      <c r="B47" s="258"/>
      <c r="C47" s="258"/>
    </row>
    <row r="48" spans="1:8">
      <c r="A48" s="55" t="s">
        <v>2</v>
      </c>
      <c r="B48" s="55" t="s">
        <v>3</v>
      </c>
      <c r="C48" s="55" t="s">
        <v>62</v>
      </c>
    </row>
    <row r="49" spans="1:3">
      <c r="A49" s="55">
        <v>1</v>
      </c>
      <c r="B49" s="56" t="s">
        <v>63</v>
      </c>
      <c r="C49" s="57">
        <v>1</v>
      </c>
    </row>
    <row r="50" spans="1:3">
      <c r="A50" s="55">
        <v>2</v>
      </c>
      <c r="B50" s="56" t="s">
        <v>64</v>
      </c>
      <c r="C50" s="57"/>
    </row>
    <row r="51" spans="1:3">
      <c r="A51" s="58" t="s">
        <v>13</v>
      </c>
      <c r="B51" s="59" t="s">
        <v>65</v>
      </c>
      <c r="C51" s="60">
        <f>SUM(C52:C59)</f>
        <v>0.39029999999999998</v>
      </c>
    </row>
    <row r="52" spans="1:3">
      <c r="A52" s="43" t="s">
        <v>66</v>
      </c>
      <c r="B52" s="28" t="s">
        <v>67</v>
      </c>
      <c r="C52" s="44">
        <v>0.1012</v>
      </c>
    </row>
    <row r="53" spans="1:3">
      <c r="A53" s="43" t="s">
        <v>68</v>
      </c>
      <c r="B53" s="28" t="s">
        <v>69</v>
      </c>
      <c r="C53" s="44">
        <v>0.01</v>
      </c>
    </row>
    <row r="54" spans="1:3">
      <c r="A54" s="43" t="s">
        <v>70</v>
      </c>
      <c r="B54" s="28" t="s">
        <v>71</v>
      </c>
      <c r="C54" s="44">
        <v>5.8900000000000001E-2</v>
      </c>
    </row>
    <row r="55" spans="1:3">
      <c r="A55" s="43" t="s">
        <v>72</v>
      </c>
      <c r="B55" s="28" t="s">
        <v>73</v>
      </c>
      <c r="C55" s="44">
        <v>4.7800000000000002E-2</v>
      </c>
    </row>
    <row r="56" spans="1:3">
      <c r="A56" s="43" t="s">
        <v>74</v>
      </c>
      <c r="B56" s="28" t="s">
        <v>75</v>
      </c>
      <c r="C56" s="44">
        <v>4.41E-2</v>
      </c>
    </row>
    <row r="57" spans="1:3" ht="31.5">
      <c r="A57" s="43" t="s">
        <v>76</v>
      </c>
      <c r="B57" s="29" t="s">
        <v>77</v>
      </c>
      <c r="C57" s="44">
        <v>2.92E-2</v>
      </c>
    </row>
    <row r="58" spans="1:3">
      <c r="A58" s="43" t="s">
        <v>78</v>
      </c>
      <c r="B58" s="28" t="s">
        <v>79</v>
      </c>
      <c r="C58" s="44">
        <v>5.5999999999999999E-3</v>
      </c>
    </row>
    <row r="59" spans="1:3">
      <c r="A59" s="43" t="s">
        <v>80</v>
      </c>
      <c r="B59" s="28" t="s">
        <v>81</v>
      </c>
      <c r="C59" s="44">
        <v>9.35E-2</v>
      </c>
    </row>
    <row r="60" spans="1:3">
      <c r="A60" s="58" t="s">
        <v>15</v>
      </c>
      <c r="B60" s="59" t="s">
        <v>82</v>
      </c>
      <c r="C60" s="60">
        <f>C61</f>
        <v>0.04</v>
      </c>
    </row>
    <row r="61" spans="1:3">
      <c r="A61" s="43" t="s">
        <v>83</v>
      </c>
      <c r="B61" s="28" t="s">
        <v>84</v>
      </c>
      <c r="C61" s="45">
        <v>0.04</v>
      </c>
    </row>
    <row r="62" spans="1:3">
      <c r="A62" s="58" t="s">
        <v>85</v>
      </c>
      <c r="B62" s="59" t="s">
        <v>86</v>
      </c>
      <c r="C62" s="60">
        <f>SUM(C63:C66)</f>
        <v>0.3246</v>
      </c>
    </row>
    <row r="63" spans="1:3" ht="31.5">
      <c r="A63" s="43" t="s">
        <v>87</v>
      </c>
      <c r="B63" s="29" t="s">
        <v>88</v>
      </c>
      <c r="C63" s="45">
        <v>8.5000000000000006E-2</v>
      </c>
    </row>
    <row r="64" spans="1:3" ht="31.5">
      <c r="A64" s="43" t="s">
        <v>89</v>
      </c>
      <c r="B64" s="29" t="s">
        <v>90</v>
      </c>
      <c r="C64" s="46">
        <v>0.12</v>
      </c>
    </row>
    <row r="65" spans="1:3">
      <c r="A65" s="43" t="s">
        <v>91</v>
      </c>
      <c r="B65" s="28" t="s">
        <v>92</v>
      </c>
      <c r="C65" s="45">
        <v>6.9599999999999995E-2</v>
      </c>
    </row>
    <row r="66" spans="1:3">
      <c r="A66" s="43" t="s">
        <v>93</v>
      </c>
      <c r="B66" s="28" t="s">
        <v>94</v>
      </c>
      <c r="C66" s="45">
        <v>0.05</v>
      </c>
    </row>
    <row r="67" spans="1:3">
      <c r="A67" s="40">
        <v>3</v>
      </c>
      <c r="B67" s="41" t="s">
        <v>95</v>
      </c>
      <c r="C67" s="42">
        <v>0.05</v>
      </c>
    </row>
    <row r="68" spans="1:3">
      <c r="A68" s="261" t="s">
        <v>96</v>
      </c>
      <c r="B68" s="261"/>
      <c r="C68" s="47">
        <f>C49+C51+C60+C62+C67</f>
        <v>1.8048999999999999</v>
      </c>
    </row>
    <row r="69" spans="1:3">
      <c r="A69" s="261"/>
      <c r="B69" s="261"/>
      <c r="C69" s="48">
        <f>ROUNDUP(C68,2)</f>
        <v>1.81</v>
      </c>
    </row>
  </sheetData>
  <protectedRanges>
    <protectedRange sqref="C10:C12 C18:C20" name="Rango1_1_1_1_1_2_1"/>
  </protectedRanges>
  <mergeCells count="24">
    <mergeCell ref="A47:C47"/>
    <mergeCell ref="A68:B69"/>
    <mergeCell ref="A44:G44"/>
    <mergeCell ref="A45:G45"/>
    <mergeCell ref="A10:G10"/>
    <mergeCell ref="A11:G11"/>
    <mergeCell ref="A12:G12"/>
    <mergeCell ref="A18:G18"/>
    <mergeCell ref="B14:G14"/>
    <mergeCell ref="A43:G43"/>
    <mergeCell ref="B25:H25"/>
    <mergeCell ref="A34:G34"/>
    <mergeCell ref="A35:G35"/>
    <mergeCell ref="A37:H37"/>
    <mergeCell ref="B38:H38"/>
    <mergeCell ref="B3:H3"/>
    <mergeCell ref="B1:H1"/>
    <mergeCell ref="A5:H5"/>
    <mergeCell ref="B6:G6"/>
    <mergeCell ref="A36:G36"/>
    <mergeCell ref="A22:G22"/>
    <mergeCell ref="A19:G19"/>
    <mergeCell ref="A20:G20"/>
    <mergeCell ref="A24:H24"/>
  </mergeCells>
  <conditionalFormatting sqref="H40:H42">
    <cfRule type="cellIs" dxfId="17" priority="65" operator="equal">
      <formula>#REF!</formula>
    </cfRule>
  </conditionalFormatting>
  <conditionalFormatting sqref="E40:E42">
    <cfRule type="cellIs" dxfId="16" priority="64" operator="equal">
      <formula>#REF!</formula>
    </cfRule>
  </conditionalFormatting>
  <conditionalFormatting sqref="E33">
    <cfRule type="cellIs" dxfId="15" priority="19" operator="equal">
      <formula>#REF!</formula>
    </cfRule>
  </conditionalFormatting>
  <conditionalFormatting sqref="H27:H29 H31:H33">
    <cfRule type="cellIs" dxfId="14" priority="24" operator="equal">
      <formula>#REF!</formula>
    </cfRule>
  </conditionalFormatting>
  <conditionalFormatting sqref="E27:E28">
    <cfRule type="cellIs" dxfId="13" priority="23" operator="equal">
      <formula>#REF!</formula>
    </cfRule>
  </conditionalFormatting>
  <conditionalFormatting sqref="E32">
    <cfRule type="cellIs" dxfId="12" priority="20" operator="equal">
      <formula>#REF!</formula>
    </cfRule>
  </conditionalFormatting>
  <conditionalFormatting sqref="E29">
    <cfRule type="cellIs" dxfId="11" priority="21" operator="equal">
      <formula>#REF!</formula>
    </cfRule>
  </conditionalFormatting>
  <conditionalFormatting sqref="H30">
    <cfRule type="cellIs" dxfId="10" priority="17" operator="equal">
      <formula>#REF!</formula>
    </cfRule>
  </conditionalFormatting>
  <conditionalFormatting sqref="E31">
    <cfRule type="cellIs" dxfId="9" priority="22" operator="equal">
      <formula>#REF!</formula>
    </cfRule>
  </conditionalFormatting>
  <conditionalFormatting sqref="E30">
    <cfRule type="cellIs" dxfId="8" priority="18" operator="equal">
      <formula>#REF!</formula>
    </cfRule>
  </conditionalFormatting>
  <conditionalFormatting sqref="H8">
    <cfRule type="cellIs" dxfId="7" priority="8" operator="equal">
      <formula>#REF!</formula>
    </cfRule>
  </conditionalFormatting>
  <conditionalFormatting sqref="E8">
    <cfRule type="cellIs" dxfId="6" priority="7" operator="equal">
      <formula>#REF!</formula>
    </cfRule>
  </conditionalFormatting>
  <conditionalFormatting sqref="H9 H13">
    <cfRule type="cellIs" dxfId="5" priority="6" operator="equal">
      <formula>#REF!</formula>
    </cfRule>
  </conditionalFormatting>
  <conditionalFormatting sqref="E9 E13">
    <cfRule type="cellIs" dxfId="4" priority="5" operator="equal">
      <formula>#REF!</formula>
    </cfRule>
  </conditionalFormatting>
  <conditionalFormatting sqref="H16">
    <cfRule type="cellIs" dxfId="3" priority="4" operator="equal">
      <formula>#REF!</formula>
    </cfRule>
  </conditionalFormatting>
  <conditionalFormatting sqref="E16">
    <cfRule type="cellIs" dxfId="2" priority="3" operator="equal">
      <formula>#REF!</formula>
    </cfRule>
  </conditionalFormatting>
  <conditionalFormatting sqref="H17">
    <cfRule type="cellIs" dxfId="1" priority="2" operator="equal">
      <formula>#REF!</formula>
    </cfRule>
  </conditionalFormatting>
  <conditionalFormatting sqref="E17">
    <cfRule type="cellIs" dxfId="0" priority="1" operator="equal">
      <formula>#REF!</formula>
    </cfRule>
  </conditionalFormatting>
  <pageMargins left="0.7" right="0.7" top="0.75" bottom="0.75" header="0.3" footer="0.3"/>
  <pageSetup scale="59" orientation="portrait" r:id="rId1"/>
  <rowBreaks count="1" manualBreakCount="1">
    <brk id="46" max="7"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8"/>
  <sheetViews>
    <sheetView view="pageBreakPreview" zoomScale="82" zoomScaleNormal="100" zoomScaleSheetLayoutView="82" workbookViewId="0">
      <selection activeCell="B21" sqref="B21"/>
    </sheetView>
  </sheetViews>
  <sheetFormatPr baseColWidth="10" defaultColWidth="10.85546875" defaultRowHeight="15"/>
  <cols>
    <col min="1" max="1" width="10.85546875" style="72"/>
    <col min="2" max="2" width="36.42578125" style="72" customWidth="1"/>
    <col min="3" max="6" width="15.140625" style="72" hidden="1" customWidth="1"/>
    <col min="7" max="7" width="10.85546875" style="72" customWidth="1"/>
    <col min="8" max="18" width="15.7109375" style="72" customWidth="1"/>
    <col min="19" max="16384" width="10.85546875" style="72"/>
  </cols>
  <sheetData>
    <row r="1" spans="1:18" ht="60.75" customHeight="1">
      <c r="A1" s="265"/>
      <c r="B1" s="266"/>
      <c r="C1" s="269" t="s">
        <v>97</v>
      </c>
      <c r="D1" s="269"/>
      <c r="E1" s="269"/>
      <c r="F1" s="269"/>
      <c r="G1" s="269"/>
      <c r="H1" s="269"/>
      <c r="I1" s="269"/>
      <c r="J1" s="269"/>
      <c r="K1" s="269"/>
      <c r="L1" s="269"/>
      <c r="M1" s="269"/>
      <c r="N1" s="269"/>
      <c r="O1" s="269"/>
      <c r="P1" s="269"/>
      <c r="Q1" s="269"/>
      <c r="R1" s="269"/>
    </row>
    <row r="2" spans="1:18" ht="60.75" customHeight="1">
      <c r="A2" s="267"/>
      <c r="B2" s="268"/>
      <c r="C2" s="270">
        <f>'PRESUPUESTO RESUMEN'!B3:E3</f>
        <v>0</v>
      </c>
      <c r="D2" s="270"/>
      <c r="E2" s="270"/>
      <c r="F2" s="270"/>
      <c r="G2" s="270"/>
      <c r="H2" s="270"/>
      <c r="I2" s="270"/>
      <c r="J2" s="270"/>
      <c r="K2" s="270"/>
      <c r="L2" s="270"/>
      <c r="M2" s="270"/>
      <c r="N2" s="270"/>
      <c r="O2" s="270"/>
      <c r="P2" s="270"/>
      <c r="Q2" s="270"/>
      <c r="R2" s="270"/>
    </row>
    <row r="3" spans="1:18" ht="15" customHeight="1">
      <c r="A3" s="271" t="s">
        <v>98</v>
      </c>
      <c r="B3" s="272" t="s">
        <v>99</v>
      </c>
      <c r="C3" s="272"/>
      <c r="D3" s="272"/>
      <c r="E3" s="272"/>
      <c r="F3" s="272"/>
      <c r="G3" s="272"/>
      <c r="H3" s="263" t="s">
        <v>100</v>
      </c>
      <c r="I3" s="263" t="s">
        <v>101</v>
      </c>
      <c r="J3" s="263" t="s">
        <v>102</v>
      </c>
      <c r="K3" s="263" t="s">
        <v>103</v>
      </c>
      <c r="L3" s="263" t="s">
        <v>104</v>
      </c>
      <c r="M3" s="263" t="s">
        <v>105</v>
      </c>
      <c r="N3" s="263" t="s">
        <v>106</v>
      </c>
      <c r="O3" s="263" t="s">
        <v>107</v>
      </c>
      <c r="P3" s="263" t="s">
        <v>108</v>
      </c>
      <c r="Q3" s="263" t="s">
        <v>109</v>
      </c>
      <c r="R3" s="263" t="s">
        <v>110</v>
      </c>
    </row>
    <row r="4" spans="1:18">
      <c r="A4" s="271"/>
      <c r="B4" s="272"/>
      <c r="C4" s="272"/>
      <c r="D4" s="272"/>
      <c r="E4" s="272"/>
      <c r="F4" s="272"/>
      <c r="G4" s="272"/>
      <c r="H4" s="264"/>
      <c r="I4" s="264"/>
      <c r="J4" s="264"/>
      <c r="K4" s="264"/>
      <c r="L4" s="264"/>
      <c r="M4" s="264"/>
      <c r="N4" s="264"/>
      <c r="O4" s="264"/>
      <c r="P4" s="264"/>
      <c r="Q4" s="264"/>
      <c r="R4" s="264"/>
    </row>
    <row r="5" spans="1:18" s="74" customFormat="1" ht="6" customHeight="1">
      <c r="A5" s="273"/>
      <c r="B5" s="274"/>
      <c r="C5" s="79"/>
      <c r="D5" s="79"/>
      <c r="E5" s="79"/>
      <c r="F5" s="79"/>
      <c r="G5" s="73"/>
      <c r="H5" s="73"/>
      <c r="I5" s="73"/>
      <c r="J5" s="73"/>
      <c r="K5" s="73"/>
      <c r="L5" s="73"/>
      <c r="M5" s="73"/>
      <c r="N5" s="73"/>
      <c r="O5" s="73"/>
      <c r="P5" s="73"/>
      <c r="Q5" s="73"/>
      <c r="R5" s="73"/>
    </row>
    <row r="6" spans="1:18" ht="30">
      <c r="A6" s="70">
        <v>1</v>
      </c>
      <c r="B6" s="61" t="s">
        <v>111</v>
      </c>
      <c r="C6" s="61" t="s">
        <v>112</v>
      </c>
      <c r="D6" s="61">
        <v>1</v>
      </c>
      <c r="E6" s="62">
        <f>+'[1]RESUMEN '!C5</f>
        <v>113502000</v>
      </c>
      <c r="F6" s="62">
        <f>+D6*E6</f>
        <v>113502000</v>
      </c>
      <c r="G6" s="63" t="s">
        <v>113</v>
      </c>
      <c r="H6" s="64"/>
      <c r="I6" s="63"/>
      <c r="J6" s="63"/>
      <c r="K6" s="63"/>
      <c r="L6" s="63"/>
      <c r="M6" s="63"/>
      <c r="N6" s="63"/>
      <c r="O6" s="63"/>
      <c r="P6" s="63"/>
      <c r="Q6" s="63"/>
      <c r="R6" s="63"/>
    </row>
    <row r="7" spans="1:18" ht="60">
      <c r="A7" s="70">
        <v>2</v>
      </c>
      <c r="B7" s="75" t="s">
        <v>114</v>
      </c>
      <c r="C7" s="65"/>
      <c r="D7" s="65"/>
      <c r="E7" s="66"/>
      <c r="F7" s="66"/>
      <c r="G7" s="63" t="s">
        <v>113</v>
      </c>
      <c r="H7" s="64"/>
      <c r="I7" s="67"/>
      <c r="J7" s="63"/>
      <c r="K7" s="63"/>
      <c r="L7" s="63"/>
      <c r="M7" s="63"/>
      <c r="N7" s="63"/>
      <c r="O7" s="63"/>
      <c r="P7" s="63"/>
      <c r="Q7" s="63"/>
      <c r="R7" s="63"/>
    </row>
    <row r="8" spans="1:18" ht="60">
      <c r="A8" s="71">
        <v>3</v>
      </c>
      <c r="B8" s="75" t="s">
        <v>115</v>
      </c>
      <c r="C8" s="61" t="s">
        <v>112</v>
      </c>
      <c r="D8" s="61">
        <v>1</v>
      </c>
      <c r="E8" s="62">
        <f>+'[1]RESUMEN '!C6</f>
        <v>2328775527.4430027</v>
      </c>
      <c r="F8" s="62">
        <f>+D8*E8</f>
        <v>2328775527.4430027</v>
      </c>
      <c r="G8" s="63" t="s">
        <v>113</v>
      </c>
      <c r="H8" s="64"/>
      <c r="I8" s="67"/>
      <c r="J8" s="63"/>
      <c r="K8" s="63"/>
      <c r="L8" s="63"/>
      <c r="M8" s="63"/>
      <c r="N8" s="63"/>
      <c r="O8" s="63"/>
      <c r="P8" s="63"/>
      <c r="Q8" s="63"/>
      <c r="R8" s="63"/>
    </row>
    <row r="9" spans="1:18" ht="30">
      <c r="A9" s="70">
        <v>4</v>
      </c>
      <c r="B9" s="75" t="s">
        <v>116</v>
      </c>
      <c r="C9" s="61" t="s">
        <v>112</v>
      </c>
      <c r="D9" s="61">
        <v>1</v>
      </c>
      <c r="E9" s="62">
        <f>+'[1]RESUMEN '!C7</f>
        <v>621402779.69140041</v>
      </c>
      <c r="F9" s="62">
        <f>+D9*E9</f>
        <v>621402779.69140041</v>
      </c>
      <c r="G9" s="63" t="s">
        <v>113</v>
      </c>
      <c r="H9" s="64"/>
      <c r="I9" s="68"/>
      <c r="J9" s="67"/>
      <c r="K9" s="67"/>
      <c r="L9" s="67"/>
      <c r="M9" s="67"/>
      <c r="N9" s="67"/>
      <c r="O9" s="67"/>
      <c r="P9" s="67"/>
      <c r="Q9" s="67"/>
      <c r="R9" s="67"/>
    </row>
    <row r="10" spans="1:18" ht="30">
      <c r="A10" s="70">
        <v>5</v>
      </c>
      <c r="B10" s="75" t="s">
        <v>117</v>
      </c>
      <c r="C10" s="61" t="s">
        <v>112</v>
      </c>
      <c r="D10" s="61">
        <v>1</v>
      </c>
      <c r="E10" s="62">
        <f>+'[1]RESUMEN '!C8</f>
        <v>3078617876.9600029</v>
      </c>
      <c r="F10" s="62">
        <f>+D10*E10</f>
        <v>3078617876.9600029</v>
      </c>
      <c r="G10" s="63" t="s">
        <v>113</v>
      </c>
      <c r="H10" s="64"/>
      <c r="I10" s="68"/>
      <c r="J10" s="63"/>
      <c r="K10" s="63"/>
      <c r="L10" s="63"/>
      <c r="M10" s="63"/>
      <c r="N10" s="63"/>
      <c r="O10" s="63"/>
      <c r="P10" s="63"/>
      <c r="Q10" s="63"/>
      <c r="R10" s="63"/>
    </row>
    <row r="11" spans="1:18" ht="30">
      <c r="A11" s="71">
        <v>6</v>
      </c>
      <c r="B11" s="75" t="s">
        <v>118</v>
      </c>
      <c r="C11" s="61"/>
      <c r="D11" s="61"/>
      <c r="E11" s="62"/>
      <c r="F11" s="62"/>
      <c r="G11" s="63" t="s">
        <v>113</v>
      </c>
      <c r="H11" s="68"/>
      <c r="I11" s="64"/>
      <c r="J11" s="63"/>
      <c r="K11" s="63"/>
      <c r="L11" s="63"/>
      <c r="M11" s="63"/>
      <c r="N11" s="63"/>
      <c r="O11" s="63"/>
      <c r="P11" s="63"/>
      <c r="Q11" s="63"/>
      <c r="R11" s="63"/>
    </row>
    <row r="12" spans="1:18" ht="15.75">
      <c r="A12" s="70">
        <v>7</v>
      </c>
      <c r="B12" s="76" t="s">
        <v>119</v>
      </c>
      <c r="C12" s="61" t="s">
        <v>112</v>
      </c>
      <c r="D12" s="61">
        <v>1</v>
      </c>
      <c r="E12" s="62">
        <f>+'[1]RESUMEN '!C9</f>
        <v>34484946.760000005</v>
      </c>
      <c r="F12" s="62">
        <f t="shared" ref="F12:F17" si="0">+D12*E12</f>
        <v>34484946.760000005</v>
      </c>
      <c r="G12" s="63" t="s">
        <v>113</v>
      </c>
      <c r="H12" s="67"/>
      <c r="I12" s="63"/>
      <c r="J12" s="69"/>
      <c r="K12" s="69"/>
      <c r="L12" s="69"/>
      <c r="M12" s="69"/>
      <c r="N12" s="69"/>
      <c r="O12" s="69"/>
      <c r="P12" s="63"/>
      <c r="Q12" s="63"/>
      <c r="R12" s="63"/>
    </row>
    <row r="13" spans="1:18" ht="15.75">
      <c r="A13" s="70">
        <v>8</v>
      </c>
      <c r="B13" s="76" t="s">
        <v>120</v>
      </c>
      <c r="C13" s="61" t="s">
        <v>112</v>
      </c>
      <c r="D13" s="61">
        <v>1</v>
      </c>
      <c r="E13" s="62">
        <f>+'[1]RESUMEN '!C10</f>
        <v>60701322</v>
      </c>
      <c r="F13" s="62">
        <f t="shared" si="0"/>
        <v>60701322</v>
      </c>
      <c r="G13" s="63" t="s">
        <v>113</v>
      </c>
      <c r="H13" s="67"/>
      <c r="I13" s="63"/>
      <c r="J13" s="69"/>
      <c r="K13" s="63"/>
      <c r="L13" s="63"/>
      <c r="M13" s="63"/>
      <c r="N13" s="63"/>
      <c r="O13" s="63"/>
      <c r="P13" s="63"/>
      <c r="Q13" s="63"/>
      <c r="R13" s="63"/>
    </row>
    <row r="14" spans="1:18" ht="15.75">
      <c r="A14" s="71">
        <v>9</v>
      </c>
      <c r="B14" s="76" t="s">
        <v>121</v>
      </c>
      <c r="C14" s="61" t="s">
        <v>112</v>
      </c>
      <c r="D14" s="61">
        <v>1</v>
      </c>
      <c r="E14" s="62">
        <f>+'[1]RESUMEN '!C11</f>
        <v>631762916.41182005</v>
      </c>
      <c r="F14" s="62">
        <f t="shared" si="0"/>
        <v>631762916.41182005</v>
      </c>
      <c r="G14" s="63" t="s">
        <v>113</v>
      </c>
      <c r="H14" s="67"/>
      <c r="I14" s="63"/>
      <c r="J14" s="69"/>
      <c r="K14" s="63"/>
      <c r="L14" s="63"/>
      <c r="M14" s="63"/>
      <c r="N14" s="63"/>
      <c r="O14" s="63"/>
      <c r="P14" s="63"/>
      <c r="Q14" s="63"/>
      <c r="R14" s="63"/>
    </row>
    <row r="15" spans="1:18" ht="15.75">
      <c r="A15" s="70">
        <v>10</v>
      </c>
      <c r="B15" s="61" t="s">
        <v>122</v>
      </c>
      <c r="C15" s="61" t="s">
        <v>112</v>
      </c>
      <c r="D15" s="61">
        <v>1</v>
      </c>
      <c r="E15" s="62">
        <f>+'[1]RESUMEN '!C12</f>
        <v>1166901225</v>
      </c>
      <c r="F15" s="62">
        <f t="shared" si="0"/>
        <v>1166901225</v>
      </c>
      <c r="G15" s="63" t="s">
        <v>113</v>
      </c>
      <c r="H15" s="64"/>
      <c r="I15" s="69"/>
      <c r="J15" s="69"/>
      <c r="K15" s="69"/>
      <c r="L15" s="69"/>
      <c r="M15" s="69"/>
      <c r="N15" s="69"/>
      <c r="O15" s="69"/>
      <c r="P15" s="63"/>
      <c r="Q15" s="63"/>
      <c r="R15" s="63"/>
    </row>
    <row r="16" spans="1:18" ht="15.75">
      <c r="A16" s="70">
        <v>11</v>
      </c>
      <c r="B16" s="61" t="s">
        <v>123</v>
      </c>
      <c r="C16" s="61" t="s">
        <v>112</v>
      </c>
      <c r="D16" s="61">
        <v>1</v>
      </c>
      <c r="E16" s="62">
        <f>+'[1]RESUMEN '!C13</f>
        <v>1414102845.3601999</v>
      </c>
      <c r="F16" s="62">
        <f t="shared" si="0"/>
        <v>1414102845.3601999</v>
      </c>
      <c r="G16" s="63" t="s">
        <v>113</v>
      </c>
      <c r="H16" s="67"/>
      <c r="I16" s="63"/>
      <c r="J16" s="63"/>
      <c r="K16" s="63"/>
      <c r="L16" s="63"/>
      <c r="M16" s="63"/>
      <c r="N16" s="63"/>
      <c r="O16" s="63"/>
      <c r="P16" s="69"/>
      <c r="Q16" s="63"/>
      <c r="R16" s="63"/>
    </row>
    <row r="17" spans="1:18" ht="30">
      <c r="A17" s="71">
        <v>12</v>
      </c>
      <c r="B17" s="61" t="s">
        <v>124</v>
      </c>
      <c r="C17" s="61" t="s">
        <v>112</v>
      </c>
      <c r="D17" s="61">
        <v>1</v>
      </c>
      <c r="E17" s="62">
        <f>+'[1]RESUMEN '!C14</f>
        <v>673124282.29999995</v>
      </c>
      <c r="F17" s="62">
        <f t="shared" si="0"/>
        <v>673124282.29999995</v>
      </c>
      <c r="G17" s="63" t="s">
        <v>113</v>
      </c>
      <c r="H17" s="67"/>
      <c r="I17" s="63"/>
      <c r="J17" s="63"/>
      <c r="K17" s="63"/>
      <c r="L17" s="63"/>
      <c r="M17" s="63"/>
      <c r="N17" s="63"/>
      <c r="O17" s="63"/>
      <c r="P17" s="69"/>
      <c r="Q17" s="63"/>
      <c r="R17" s="63"/>
    </row>
    <row r="18" spans="1:18" ht="30">
      <c r="A18" s="70">
        <v>13</v>
      </c>
      <c r="B18" s="61" t="s">
        <v>125</v>
      </c>
      <c r="C18" s="61"/>
      <c r="D18" s="61"/>
      <c r="E18" s="62"/>
      <c r="F18" s="62"/>
      <c r="G18" s="63" t="s">
        <v>113</v>
      </c>
      <c r="H18" s="67"/>
      <c r="I18" s="63"/>
      <c r="J18" s="63"/>
      <c r="K18" s="63"/>
      <c r="L18" s="63"/>
      <c r="M18" s="63"/>
      <c r="N18" s="63"/>
      <c r="O18" s="63"/>
      <c r="P18" s="63"/>
      <c r="Q18" s="69"/>
      <c r="R18" s="69"/>
    </row>
  </sheetData>
  <mergeCells count="17">
    <mergeCell ref="A5:B5"/>
    <mergeCell ref="M3:M4"/>
    <mergeCell ref="N3:N4"/>
    <mergeCell ref="O3:O4"/>
    <mergeCell ref="P3:P4"/>
    <mergeCell ref="Q3:Q4"/>
    <mergeCell ref="R3:R4"/>
    <mergeCell ref="A1:B2"/>
    <mergeCell ref="C1:R1"/>
    <mergeCell ref="C2:R2"/>
    <mergeCell ref="A3:A4"/>
    <mergeCell ref="B3:G4"/>
    <mergeCell ref="H3:H4"/>
    <mergeCell ref="I3:I4"/>
    <mergeCell ref="J3:J4"/>
    <mergeCell ref="K3:K4"/>
    <mergeCell ref="L3:L4"/>
  </mergeCells>
  <pageMargins left="0.7" right="0.7" top="0.75" bottom="0.75" header="0.3" footer="0.3"/>
  <pageSetup scale="3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J386"/>
  <sheetViews>
    <sheetView showGridLines="0" view="pageBreakPreview" topLeftCell="A352" zoomScale="112" zoomScaleNormal="100" zoomScaleSheetLayoutView="112" workbookViewId="0">
      <selection activeCell="G380" sqref="G380"/>
    </sheetView>
  </sheetViews>
  <sheetFormatPr baseColWidth="10" defaultColWidth="11.42578125" defaultRowHeight="12"/>
  <cols>
    <col min="1" max="1" width="6.7109375" style="117" customWidth="1"/>
    <col min="2" max="2" width="8.5703125" style="117" customWidth="1"/>
    <col min="3" max="3" width="35.5703125" style="117" customWidth="1"/>
    <col min="4" max="4" width="5.28515625" style="117" customWidth="1"/>
    <col min="5" max="5" width="9.28515625" style="117" customWidth="1"/>
    <col min="6" max="6" width="22" style="117" bestFit="1" customWidth="1"/>
    <col min="7" max="7" width="20.42578125" style="117" customWidth="1"/>
    <col min="8" max="8" width="19.7109375" style="117" bestFit="1" customWidth="1"/>
    <col min="9" max="9" width="22.28515625" style="117" customWidth="1"/>
    <col min="10" max="10" width="17.28515625" style="117" bestFit="1" customWidth="1"/>
    <col min="11" max="16384" width="11.42578125" style="117"/>
  </cols>
  <sheetData>
    <row r="1" spans="1:7" ht="14.25" customHeight="1">
      <c r="A1" s="278"/>
      <c r="B1" s="278"/>
      <c r="C1" s="278"/>
      <c r="D1" s="278"/>
      <c r="E1" s="278"/>
      <c r="F1" s="278"/>
      <c r="G1" s="278"/>
    </row>
    <row r="2" spans="1:7" ht="12" customHeight="1">
      <c r="A2" s="279" t="s">
        <v>955</v>
      </c>
      <c r="B2" s="279"/>
      <c r="C2" s="279"/>
      <c r="D2" s="279"/>
      <c r="E2" s="279"/>
      <c r="F2" s="279"/>
      <c r="G2" s="191" t="s">
        <v>127</v>
      </c>
    </row>
    <row r="3" spans="1:7" ht="32.25" customHeight="1">
      <c r="A3" s="279" t="s">
        <v>128</v>
      </c>
      <c r="B3" s="279"/>
      <c r="C3" s="279"/>
      <c r="D3" s="279"/>
      <c r="E3" s="279"/>
      <c r="F3" s="118"/>
      <c r="G3" s="191"/>
    </row>
    <row r="4" spans="1:7" ht="28.5" customHeight="1">
      <c r="A4" s="279" t="s">
        <v>129</v>
      </c>
      <c r="B4" s="279"/>
      <c r="C4" s="279"/>
      <c r="D4" s="279"/>
      <c r="E4" s="279"/>
      <c r="F4" s="279"/>
      <c r="G4" s="279"/>
    </row>
    <row r="5" spans="1:7" ht="24">
      <c r="A5" s="119" t="s">
        <v>130</v>
      </c>
      <c r="B5" s="120" t="s">
        <v>98</v>
      </c>
      <c r="C5" s="119" t="s">
        <v>99</v>
      </c>
      <c r="D5" s="120" t="s">
        <v>131</v>
      </c>
      <c r="E5" s="121" t="s">
        <v>35</v>
      </c>
      <c r="F5" s="121" t="s">
        <v>132</v>
      </c>
      <c r="G5" s="192" t="s">
        <v>40</v>
      </c>
    </row>
    <row r="6" spans="1:7" ht="12" customHeight="1">
      <c r="A6" s="280" t="s">
        <v>133</v>
      </c>
      <c r="B6" s="280"/>
      <c r="C6" s="280"/>
      <c r="D6" s="280"/>
      <c r="E6" s="280"/>
      <c r="F6" s="280"/>
      <c r="G6" s="280"/>
    </row>
    <row r="7" spans="1:7" ht="12" customHeight="1">
      <c r="A7" s="281" t="s">
        <v>134</v>
      </c>
      <c r="B7" s="281"/>
      <c r="C7" s="281"/>
      <c r="D7" s="281"/>
      <c r="E7" s="281"/>
      <c r="F7" s="281"/>
      <c r="G7" s="281"/>
    </row>
    <row r="8" spans="1:7" ht="56.25">
      <c r="A8" s="122" t="s">
        <v>135</v>
      </c>
      <c r="B8" s="123">
        <v>42760001</v>
      </c>
      <c r="C8" s="124" t="s">
        <v>136</v>
      </c>
      <c r="D8" s="123" t="s">
        <v>137</v>
      </c>
      <c r="E8" s="122">
        <v>300</v>
      </c>
      <c r="F8" s="125">
        <v>538534</v>
      </c>
      <c r="G8" s="193">
        <f>E8*F8</f>
        <v>161560200</v>
      </c>
    </row>
    <row r="9" spans="1:7" ht="22.5">
      <c r="A9" s="122" t="s">
        <v>138</v>
      </c>
      <c r="B9" s="123">
        <v>42760006</v>
      </c>
      <c r="C9" s="124" t="s">
        <v>139</v>
      </c>
      <c r="D9" s="123" t="s">
        <v>140</v>
      </c>
      <c r="E9" s="122">
        <v>1</v>
      </c>
      <c r="F9" s="125">
        <v>1000000</v>
      </c>
      <c r="G9" s="193">
        <f t="shared" ref="G9:G22" si="0">E9*F9</f>
        <v>1000000</v>
      </c>
    </row>
    <row r="10" spans="1:7" ht="22.5">
      <c r="A10" s="122" t="s">
        <v>141</v>
      </c>
      <c r="B10" s="123">
        <v>42760007</v>
      </c>
      <c r="C10" s="124" t="s">
        <v>142</v>
      </c>
      <c r="D10" s="123" t="s">
        <v>140</v>
      </c>
      <c r="E10" s="122">
        <v>1</v>
      </c>
      <c r="F10" s="125">
        <v>1000000</v>
      </c>
      <c r="G10" s="193">
        <f t="shared" si="0"/>
        <v>1000000</v>
      </c>
    </row>
    <row r="11" spans="1:7" ht="22.5">
      <c r="A11" s="122" t="s">
        <v>143</v>
      </c>
      <c r="B11" s="123">
        <v>42760011</v>
      </c>
      <c r="C11" s="124" t="s">
        <v>144</v>
      </c>
      <c r="D11" s="123" t="s">
        <v>140</v>
      </c>
      <c r="E11" s="122">
        <v>1</v>
      </c>
      <c r="F11" s="125">
        <v>3200000</v>
      </c>
      <c r="G11" s="193">
        <f t="shared" si="0"/>
        <v>3200000</v>
      </c>
    </row>
    <row r="12" spans="1:7" ht="22.5">
      <c r="A12" s="122" t="s">
        <v>145</v>
      </c>
      <c r="B12" s="123">
        <v>42760013</v>
      </c>
      <c r="C12" s="124" t="s">
        <v>146</v>
      </c>
      <c r="D12" s="123" t="s">
        <v>140</v>
      </c>
      <c r="E12" s="122">
        <v>1</v>
      </c>
      <c r="F12" s="125">
        <v>24000000</v>
      </c>
      <c r="G12" s="193">
        <f t="shared" si="0"/>
        <v>24000000</v>
      </c>
    </row>
    <row r="13" spans="1:7" ht="22.5">
      <c r="A13" s="122" t="s">
        <v>147</v>
      </c>
      <c r="B13" s="123">
        <v>42760015</v>
      </c>
      <c r="C13" s="124" t="s">
        <v>148</v>
      </c>
      <c r="D13" s="123" t="s">
        <v>149</v>
      </c>
      <c r="E13" s="122">
        <v>2</v>
      </c>
      <c r="F13" s="125">
        <v>2625000</v>
      </c>
      <c r="G13" s="193">
        <f t="shared" si="0"/>
        <v>5250000</v>
      </c>
    </row>
    <row r="14" spans="1:7" ht="101.25">
      <c r="A14" s="122" t="s">
        <v>150</v>
      </c>
      <c r="B14" s="123">
        <v>42760016</v>
      </c>
      <c r="C14" s="124" t="s">
        <v>151</v>
      </c>
      <c r="D14" s="123" t="s">
        <v>152</v>
      </c>
      <c r="E14" s="122">
        <v>200</v>
      </c>
      <c r="F14" s="125">
        <v>139986</v>
      </c>
      <c r="G14" s="193">
        <f t="shared" si="0"/>
        <v>27997200</v>
      </c>
    </row>
    <row r="15" spans="1:7" ht="146.25">
      <c r="A15" s="122" t="s">
        <v>153</v>
      </c>
      <c r="B15" s="123">
        <v>42760017</v>
      </c>
      <c r="C15" s="124" t="s">
        <v>154</v>
      </c>
      <c r="D15" s="123" t="s">
        <v>152</v>
      </c>
      <c r="E15" s="122">
        <v>900</v>
      </c>
      <c r="F15" s="125">
        <v>19000</v>
      </c>
      <c r="G15" s="193">
        <f t="shared" si="0"/>
        <v>17100000</v>
      </c>
    </row>
    <row r="16" spans="1:7" ht="56.25">
      <c r="A16" s="122" t="s">
        <v>155</v>
      </c>
      <c r="B16" s="123">
        <v>42760018</v>
      </c>
      <c r="C16" s="124" t="s">
        <v>156</v>
      </c>
      <c r="D16" s="123" t="s">
        <v>140</v>
      </c>
      <c r="E16" s="122">
        <v>1</v>
      </c>
      <c r="F16" s="125">
        <v>353633410</v>
      </c>
      <c r="G16" s="193">
        <f t="shared" si="0"/>
        <v>353633410</v>
      </c>
    </row>
    <row r="17" spans="1:7" ht="67.5">
      <c r="A17" s="122" t="s">
        <v>157</v>
      </c>
      <c r="B17" s="123">
        <v>42760019</v>
      </c>
      <c r="C17" s="124" t="s">
        <v>158</v>
      </c>
      <c r="D17" s="123" t="s">
        <v>140</v>
      </c>
      <c r="E17" s="122">
        <v>1</v>
      </c>
      <c r="F17" s="125">
        <v>119457202.8</v>
      </c>
      <c r="G17" s="193">
        <f t="shared" si="0"/>
        <v>119457202.8</v>
      </c>
    </row>
    <row r="18" spans="1:7" ht="67.5">
      <c r="A18" s="122" t="s">
        <v>159</v>
      </c>
      <c r="B18" s="123">
        <v>42760020</v>
      </c>
      <c r="C18" s="124" t="s">
        <v>160</v>
      </c>
      <c r="D18" s="123" t="s">
        <v>140</v>
      </c>
      <c r="E18" s="122">
        <v>1</v>
      </c>
      <c r="F18" s="125">
        <v>31500000</v>
      </c>
      <c r="G18" s="193">
        <f t="shared" si="0"/>
        <v>31500000</v>
      </c>
    </row>
    <row r="19" spans="1:7" ht="45">
      <c r="A19" s="122" t="s">
        <v>161</v>
      </c>
      <c r="B19" s="123">
        <v>42760021</v>
      </c>
      <c r="C19" s="124" t="s">
        <v>162</v>
      </c>
      <c r="D19" s="123" t="s">
        <v>163</v>
      </c>
      <c r="E19" s="320">
        <v>100</v>
      </c>
      <c r="F19" s="125">
        <v>2000000</v>
      </c>
      <c r="G19" s="193">
        <f t="shared" si="0"/>
        <v>200000000</v>
      </c>
    </row>
    <row r="20" spans="1:7" ht="33.75">
      <c r="A20" s="122" t="s">
        <v>164</v>
      </c>
      <c r="B20" s="123">
        <v>42760022</v>
      </c>
      <c r="C20" s="124" t="s">
        <v>165</v>
      </c>
      <c r="D20" s="123" t="s">
        <v>152</v>
      </c>
      <c r="E20" s="122">
        <v>12</v>
      </c>
      <c r="F20" s="125">
        <v>115000</v>
      </c>
      <c r="G20" s="193">
        <f t="shared" si="0"/>
        <v>1380000</v>
      </c>
    </row>
    <row r="21" spans="1:7" ht="45">
      <c r="A21" s="122" t="s">
        <v>166</v>
      </c>
      <c r="B21" s="123">
        <v>42760024</v>
      </c>
      <c r="C21" s="124" t="s">
        <v>167</v>
      </c>
      <c r="D21" s="123" t="s">
        <v>168</v>
      </c>
      <c r="E21" s="320">
        <v>55</v>
      </c>
      <c r="F21" s="125">
        <v>45454.5</v>
      </c>
      <c r="G21" s="193">
        <f t="shared" si="0"/>
        <v>2499997.5</v>
      </c>
    </row>
    <row r="22" spans="1:7" ht="22.5">
      <c r="A22" s="122" t="s">
        <v>169</v>
      </c>
      <c r="B22" s="123">
        <v>42760025</v>
      </c>
      <c r="C22" s="124" t="s">
        <v>170</v>
      </c>
      <c r="D22" s="123" t="s">
        <v>168</v>
      </c>
      <c r="E22" s="321">
        <v>2300</v>
      </c>
      <c r="F22" s="125">
        <v>28609</v>
      </c>
      <c r="G22" s="193">
        <f t="shared" si="0"/>
        <v>65800700</v>
      </c>
    </row>
    <row r="23" spans="1:7" ht="12" customHeight="1">
      <c r="A23" s="275" t="s">
        <v>171</v>
      </c>
      <c r="B23" s="275"/>
      <c r="C23" s="275"/>
      <c r="D23" s="275"/>
      <c r="E23" s="275"/>
      <c r="F23" s="224"/>
      <c r="G23" s="194">
        <f>SUM(G8:G22)</f>
        <v>1015378710.3</v>
      </c>
    </row>
    <row r="24" spans="1:7" ht="12" customHeight="1">
      <c r="A24" s="276" t="s">
        <v>172</v>
      </c>
      <c r="B24" s="276"/>
      <c r="C24" s="276"/>
      <c r="D24" s="276"/>
      <c r="E24" s="276"/>
      <c r="F24" s="276"/>
      <c r="G24" s="276"/>
    </row>
    <row r="25" spans="1:7" ht="56.25">
      <c r="A25" s="122" t="s">
        <v>173</v>
      </c>
      <c r="B25" s="123">
        <v>42760026</v>
      </c>
      <c r="C25" s="124" t="s">
        <v>174</v>
      </c>
      <c r="D25" s="123" t="s">
        <v>168</v>
      </c>
      <c r="E25" s="125">
        <v>9312</v>
      </c>
      <c r="F25" s="125">
        <v>35450</v>
      </c>
      <c r="G25" s="193">
        <f>E25*F25</f>
        <v>330110400</v>
      </c>
    </row>
    <row r="26" spans="1:7" ht="67.5">
      <c r="A26" s="122" t="s">
        <v>175</v>
      </c>
      <c r="B26" s="123">
        <v>42760027</v>
      </c>
      <c r="C26" s="124" t="s">
        <v>176</v>
      </c>
      <c r="D26" s="123" t="s">
        <v>168</v>
      </c>
      <c r="E26" s="125">
        <v>1000</v>
      </c>
      <c r="F26" s="125">
        <v>149014</v>
      </c>
      <c r="G26" s="193">
        <f t="shared" ref="G26:G49" si="1">E26*F26</f>
        <v>149014000</v>
      </c>
    </row>
    <row r="27" spans="1:7" ht="56.25">
      <c r="A27" s="122" t="s">
        <v>177</v>
      </c>
      <c r="B27" s="123">
        <v>42760028</v>
      </c>
      <c r="C27" s="124" t="s">
        <v>178</v>
      </c>
      <c r="D27" s="123" t="s">
        <v>168</v>
      </c>
      <c r="E27" s="122">
        <v>401</v>
      </c>
      <c r="F27" s="125">
        <v>149014</v>
      </c>
      <c r="G27" s="193">
        <f t="shared" si="1"/>
        <v>59754614</v>
      </c>
    </row>
    <row r="28" spans="1:7" ht="67.5">
      <c r="A28" s="122" t="s">
        <v>179</v>
      </c>
      <c r="B28" s="123">
        <v>42760029</v>
      </c>
      <c r="C28" s="124" t="s">
        <v>180</v>
      </c>
      <c r="D28" s="123" t="s">
        <v>168</v>
      </c>
      <c r="E28" s="122">
        <v>653</v>
      </c>
      <c r="F28" s="125">
        <v>149014</v>
      </c>
      <c r="G28" s="193">
        <f t="shared" si="1"/>
        <v>97306142</v>
      </c>
    </row>
    <row r="29" spans="1:7" ht="67.5">
      <c r="A29" s="122" t="s">
        <v>181</v>
      </c>
      <c r="B29" s="123">
        <v>42760030</v>
      </c>
      <c r="C29" s="124" t="s">
        <v>182</v>
      </c>
      <c r="D29" s="123" t="s">
        <v>152</v>
      </c>
      <c r="E29" s="125">
        <v>1715</v>
      </c>
      <c r="F29" s="125">
        <v>19687.5</v>
      </c>
      <c r="G29" s="193">
        <f t="shared" si="1"/>
        <v>33764062.5</v>
      </c>
    </row>
    <row r="30" spans="1:7" ht="67.5">
      <c r="A30" s="122" t="s">
        <v>183</v>
      </c>
      <c r="B30" s="123">
        <v>42760031</v>
      </c>
      <c r="C30" s="124" t="s">
        <v>184</v>
      </c>
      <c r="D30" s="123" t="s">
        <v>168</v>
      </c>
      <c r="E30" s="122">
        <v>100</v>
      </c>
      <c r="F30" s="125">
        <v>82101.5</v>
      </c>
      <c r="G30" s="193">
        <f t="shared" si="1"/>
        <v>8210150</v>
      </c>
    </row>
    <row r="31" spans="1:7" ht="78.75">
      <c r="A31" s="122" t="s">
        <v>185</v>
      </c>
      <c r="B31" s="123">
        <v>42760032</v>
      </c>
      <c r="C31" s="124" t="s">
        <v>186</v>
      </c>
      <c r="D31" s="123" t="s">
        <v>168</v>
      </c>
      <c r="E31" s="122">
        <v>15</v>
      </c>
      <c r="F31" s="125">
        <v>94010.5</v>
      </c>
      <c r="G31" s="193">
        <f t="shared" si="1"/>
        <v>1410157.5</v>
      </c>
    </row>
    <row r="32" spans="1:7" ht="12" customHeight="1">
      <c r="A32" s="122" t="s">
        <v>187</v>
      </c>
      <c r="B32" s="123">
        <v>42760033</v>
      </c>
      <c r="C32" s="124" t="s">
        <v>188</v>
      </c>
      <c r="D32" s="123" t="s">
        <v>168</v>
      </c>
      <c r="E32" s="122">
        <v>270</v>
      </c>
      <c r="F32" s="125">
        <v>82101.5</v>
      </c>
      <c r="G32" s="193">
        <f t="shared" si="1"/>
        <v>22167405</v>
      </c>
    </row>
    <row r="33" spans="1:7" ht="12" customHeight="1">
      <c r="A33" s="122" t="s">
        <v>189</v>
      </c>
      <c r="B33" s="123">
        <v>42760034</v>
      </c>
      <c r="C33" s="124" t="s">
        <v>190</v>
      </c>
      <c r="D33" s="123" t="s">
        <v>168</v>
      </c>
      <c r="E33" s="122">
        <v>100</v>
      </c>
      <c r="F33" s="125">
        <v>146176.71</v>
      </c>
      <c r="G33" s="193">
        <f t="shared" si="1"/>
        <v>14617671</v>
      </c>
    </row>
    <row r="34" spans="1:7" ht="146.25">
      <c r="A34" s="122" t="s">
        <v>191</v>
      </c>
      <c r="B34" s="123">
        <v>42760035</v>
      </c>
      <c r="C34" s="124" t="s">
        <v>192</v>
      </c>
      <c r="D34" s="123" t="s">
        <v>168</v>
      </c>
      <c r="E34" s="122">
        <v>100</v>
      </c>
      <c r="F34" s="125">
        <v>162125.16</v>
      </c>
      <c r="G34" s="193">
        <f t="shared" si="1"/>
        <v>16212516</v>
      </c>
    </row>
    <row r="35" spans="1:7" ht="146.25">
      <c r="A35" s="122" t="s">
        <v>193</v>
      </c>
      <c r="B35" s="123">
        <v>42760036</v>
      </c>
      <c r="C35" s="124" t="s">
        <v>194</v>
      </c>
      <c r="D35" s="123" t="s">
        <v>168</v>
      </c>
      <c r="E35" s="122">
        <v>100</v>
      </c>
      <c r="F35" s="125">
        <v>197188.86</v>
      </c>
      <c r="G35" s="193">
        <f t="shared" si="1"/>
        <v>19718886</v>
      </c>
    </row>
    <row r="36" spans="1:7" ht="146.25">
      <c r="A36" s="122" t="s">
        <v>195</v>
      </c>
      <c r="B36" s="123">
        <v>42760037</v>
      </c>
      <c r="C36" s="124" t="s">
        <v>196</v>
      </c>
      <c r="D36" s="123" t="s">
        <v>168</v>
      </c>
      <c r="E36" s="122">
        <v>100</v>
      </c>
      <c r="F36" s="125">
        <v>238583.01</v>
      </c>
      <c r="G36" s="193">
        <f t="shared" si="1"/>
        <v>23858301</v>
      </c>
    </row>
    <row r="37" spans="1:7" ht="146.25">
      <c r="A37" s="122" t="s">
        <v>197</v>
      </c>
      <c r="B37" s="123">
        <v>42760038</v>
      </c>
      <c r="C37" s="124" t="s">
        <v>198</v>
      </c>
      <c r="D37" s="123" t="s">
        <v>168</v>
      </c>
      <c r="E37" s="122">
        <v>138</v>
      </c>
      <c r="F37" s="125">
        <v>259280.61</v>
      </c>
      <c r="G37" s="193">
        <f t="shared" si="1"/>
        <v>35780724.18</v>
      </c>
    </row>
    <row r="38" spans="1:7" ht="146.25">
      <c r="A38" s="122" t="s">
        <v>199</v>
      </c>
      <c r="B38" s="123">
        <v>42760039</v>
      </c>
      <c r="C38" s="124" t="s">
        <v>200</v>
      </c>
      <c r="D38" s="123" t="s">
        <v>168</v>
      </c>
      <c r="E38" s="122">
        <v>141</v>
      </c>
      <c r="F38" s="125">
        <v>364915.86</v>
      </c>
      <c r="G38" s="193">
        <f t="shared" si="1"/>
        <v>51453136.259999998</v>
      </c>
    </row>
    <row r="39" spans="1:7" ht="146.25">
      <c r="A39" s="122" t="s">
        <v>201</v>
      </c>
      <c r="B39" s="123">
        <v>42760040</v>
      </c>
      <c r="C39" s="124" t="s">
        <v>202</v>
      </c>
      <c r="D39" s="123" t="s">
        <v>168</v>
      </c>
      <c r="E39" s="122">
        <v>141</v>
      </c>
      <c r="F39" s="125">
        <v>385969.41</v>
      </c>
      <c r="G39" s="193">
        <f t="shared" si="1"/>
        <v>54421686.809999995</v>
      </c>
    </row>
    <row r="40" spans="1:7" ht="146.25">
      <c r="A40" s="122" t="s">
        <v>203</v>
      </c>
      <c r="B40" s="123">
        <v>42760041</v>
      </c>
      <c r="C40" s="124" t="s">
        <v>204</v>
      </c>
      <c r="D40" s="123" t="s">
        <v>168</v>
      </c>
      <c r="E40" s="122">
        <v>137</v>
      </c>
      <c r="F40" s="125">
        <v>422452.71</v>
      </c>
      <c r="G40" s="193">
        <f t="shared" si="1"/>
        <v>57876021.270000003</v>
      </c>
    </row>
    <row r="41" spans="1:7" ht="146.25">
      <c r="A41" s="122" t="s">
        <v>205</v>
      </c>
      <c r="B41" s="123">
        <v>42760042</v>
      </c>
      <c r="C41" s="124" t="s">
        <v>206</v>
      </c>
      <c r="D41" s="123" t="s">
        <v>168</v>
      </c>
      <c r="E41" s="122">
        <v>132</v>
      </c>
      <c r="F41" s="125">
        <v>444623.46</v>
      </c>
      <c r="G41" s="193">
        <f t="shared" si="1"/>
        <v>58690296.720000006</v>
      </c>
    </row>
    <row r="42" spans="1:7" ht="146.25">
      <c r="A42" s="122" t="s">
        <v>207</v>
      </c>
      <c r="B42" s="123">
        <v>42760043</v>
      </c>
      <c r="C42" s="124" t="s">
        <v>208</v>
      </c>
      <c r="D42" s="123" t="s">
        <v>168</v>
      </c>
      <c r="E42" s="122">
        <v>132</v>
      </c>
      <c r="F42" s="125">
        <v>478581.51</v>
      </c>
      <c r="G42" s="193">
        <f t="shared" si="1"/>
        <v>63172759.32</v>
      </c>
    </row>
    <row r="43" spans="1:7" ht="146.25">
      <c r="A43" s="122" t="s">
        <v>209</v>
      </c>
      <c r="B43" s="123">
        <v>42760044</v>
      </c>
      <c r="C43" s="124" t="s">
        <v>210</v>
      </c>
      <c r="D43" s="123" t="s">
        <v>168</v>
      </c>
      <c r="E43" s="122">
        <v>128</v>
      </c>
      <c r="F43" s="125">
        <v>515622.36</v>
      </c>
      <c r="G43" s="193">
        <f t="shared" si="1"/>
        <v>65999662.079999998</v>
      </c>
    </row>
    <row r="44" spans="1:7" ht="146.25">
      <c r="A44" s="122" t="s">
        <v>211</v>
      </c>
      <c r="B44" s="123">
        <v>42760045</v>
      </c>
      <c r="C44" s="124" t="s">
        <v>212</v>
      </c>
      <c r="D44" s="123" t="s">
        <v>168</v>
      </c>
      <c r="E44" s="122">
        <v>72</v>
      </c>
      <c r="F44" s="125">
        <v>556026.36</v>
      </c>
      <c r="G44" s="193">
        <f t="shared" si="1"/>
        <v>40033897.920000002</v>
      </c>
    </row>
    <row r="45" spans="1:7" ht="146.25">
      <c r="A45" s="122" t="s">
        <v>213</v>
      </c>
      <c r="B45" s="123">
        <v>42760046</v>
      </c>
      <c r="C45" s="124" t="s">
        <v>214</v>
      </c>
      <c r="D45" s="123" t="s">
        <v>168</v>
      </c>
      <c r="E45" s="122">
        <v>200</v>
      </c>
      <c r="F45" s="125">
        <v>600099.06000000006</v>
      </c>
      <c r="G45" s="193">
        <f t="shared" si="1"/>
        <v>120019812.00000001</v>
      </c>
    </row>
    <row r="46" spans="1:7" ht="45">
      <c r="A46" s="122" t="s">
        <v>215</v>
      </c>
      <c r="B46" s="123">
        <v>42760047</v>
      </c>
      <c r="C46" s="124" t="s">
        <v>216</v>
      </c>
      <c r="D46" s="123" t="s">
        <v>217</v>
      </c>
      <c r="E46" s="125">
        <v>44048</v>
      </c>
      <c r="F46" s="125">
        <v>1829</v>
      </c>
      <c r="G46" s="193">
        <f t="shared" si="1"/>
        <v>80563792</v>
      </c>
    </row>
    <row r="47" spans="1:7" ht="45">
      <c r="A47" s="122" t="s">
        <v>218</v>
      </c>
      <c r="B47" s="123">
        <v>42760048</v>
      </c>
      <c r="C47" s="124" t="s">
        <v>219</v>
      </c>
      <c r="D47" s="123" t="s">
        <v>168</v>
      </c>
      <c r="E47" s="122">
        <v>22</v>
      </c>
      <c r="F47" s="125">
        <v>91699.64</v>
      </c>
      <c r="G47" s="193">
        <f t="shared" si="1"/>
        <v>2017392.08</v>
      </c>
    </row>
    <row r="48" spans="1:7" ht="56.25">
      <c r="A48" s="122" t="s">
        <v>220</v>
      </c>
      <c r="B48" s="123">
        <v>42760049</v>
      </c>
      <c r="C48" s="124" t="s">
        <v>221</v>
      </c>
      <c r="D48" s="123" t="s">
        <v>168</v>
      </c>
      <c r="E48" s="122">
        <v>437</v>
      </c>
      <c r="F48" s="125">
        <v>46898.400000000001</v>
      </c>
      <c r="G48" s="193">
        <f t="shared" si="1"/>
        <v>20494600.800000001</v>
      </c>
    </row>
    <row r="49" spans="1:7" ht="56.25">
      <c r="A49" s="122" t="s">
        <v>222</v>
      </c>
      <c r="B49" s="123">
        <v>42760050</v>
      </c>
      <c r="C49" s="124" t="s">
        <v>223</v>
      </c>
      <c r="D49" s="123" t="s">
        <v>168</v>
      </c>
      <c r="E49" s="122">
        <v>164</v>
      </c>
      <c r="F49" s="125">
        <v>126940</v>
      </c>
      <c r="G49" s="193">
        <f t="shared" si="1"/>
        <v>20818160</v>
      </c>
    </row>
    <row r="50" spans="1:7" ht="12" customHeight="1">
      <c r="A50" s="275" t="s">
        <v>224</v>
      </c>
      <c r="B50" s="275"/>
      <c r="C50" s="275"/>
      <c r="D50" s="275"/>
      <c r="E50" s="275"/>
      <c r="F50" s="224"/>
      <c r="G50" s="194">
        <f>SUM(G25:G49)</f>
        <v>1447486246.4399998</v>
      </c>
    </row>
    <row r="51" spans="1:7" ht="12" customHeight="1">
      <c r="A51" s="276" t="s">
        <v>225</v>
      </c>
      <c r="B51" s="276"/>
      <c r="C51" s="276"/>
      <c r="D51" s="276"/>
      <c r="E51" s="276"/>
      <c r="F51" s="276"/>
      <c r="G51" s="276"/>
    </row>
    <row r="52" spans="1:7" ht="22.5">
      <c r="A52" s="122" t="s">
        <v>226</v>
      </c>
      <c r="B52" s="123">
        <v>42760054</v>
      </c>
      <c r="C52" s="124" t="s">
        <v>227</v>
      </c>
      <c r="D52" s="123" t="s">
        <v>152</v>
      </c>
      <c r="E52" s="125">
        <v>1990</v>
      </c>
      <c r="F52" s="125">
        <v>29897.32</v>
      </c>
      <c r="G52" s="193">
        <f>E52*F52</f>
        <v>59495666.799999997</v>
      </c>
    </row>
    <row r="53" spans="1:7" ht="45">
      <c r="A53" s="122" t="s">
        <v>228</v>
      </c>
      <c r="B53" s="123">
        <v>42760055</v>
      </c>
      <c r="C53" s="124" t="s">
        <v>229</v>
      </c>
      <c r="D53" s="123" t="s">
        <v>163</v>
      </c>
      <c r="E53" s="122">
        <v>200</v>
      </c>
      <c r="F53" s="125">
        <v>71367.42</v>
      </c>
      <c r="G53" s="193">
        <f t="shared" ref="G53:G70" si="2">E53*F53</f>
        <v>14273484</v>
      </c>
    </row>
    <row r="54" spans="1:7" ht="45">
      <c r="A54" s="122" t="s">
        <v>230</v>
      </c>
      <c r="B54" s="123">
        <v>42760056</v>
      </c>
      <c r="C54" s="124" t="s">
        <v>231</v>
      </c>
      <c r="D54" s="123" t="s">
        <v>163</v>
      </c>
      <c r="E54" s="122">
        <v>412</v>
      </c>
      <c r="F54" s="125">
        <v>32274.48</v>
      </c>
      <c r="G54" s="193">
        <f t="shared" si="2"/>
        <v>13297085.76</v>
      </c>
    </row>
    <row r="55" spans="1:7" ht="101.25">
      <c r="A55" s="122" t="s">
        <v>232</v>
      </c>
      <c r="B55" s="123">
        <v>42760057</v>
      </c>
      <c r="C55" s="124" t="s">
        <v>233</v>
      </c>
      <c r="D55" s="123" t="s">
        <v>152</v>
      </c>
      <c r="E55" s="122">
        <v>900</v>
      </c>
      <c r="F55" s="125">
        <v>26931.52</v>
      </c>
      <c r="G55" s="193">
        <f t="shared" si="2"/>
        <v>24238368</v>
      </c>
    </row>
    <row r="56" spans="1:7" ht="123.75">
      <c r="A56" s="122" t="s">
        <v>234</v>
      </c>
      <c r="B56" s="123">
        <v>42760058</v>
      </c>
      <c r="C56" s="124" t="s">
        <v>235</v>
      </c>
      <c r="D56" s="123" t="s">
        <v>168</v>
      </c>
      <c r="E56" s="122">
        <v>170</v>
      </c>
      <c r="F56" s="125">
        <v>855876.71</v>
      </c>
      <c r="G56" s="193">
        <f t="shared" si="2"/>
        <v>145499040.69999999</v>
      </c>
    </row>
    <row r="57" spans="1:7" ht="56.25">
      <c r="A57" s="122" t="s">
        <v>236</v>
      </c>
      <c r="B57" s="123">
        <v>42760059</v>
      </c>
      <c r="C57" s="124" t="s">
        <v>237</v>
      </c>
      <c r="D57" s="123" t="s">
        <v>168</v>
      </c>
      <c r="E57" s="122">
        <v>250</v>
      </c>
      <c r="F57" s="125">
        <v>642189.65</v>
      </c>
      <c r="G57" s="193">
        <f t="shared" si="2"/>
        <v>160547412.5</v>
      </c>
    </row>
    <row r="58" spans="1:7" ht="90">
      <c r="A58" s="122" t="s">
        <v>238</v>
      </c>
      <c r="B58" s="123">
        <v>42760060</v>
      </c>
      <c r="C58" s="124" t="s">
        <v>239</v>
      </c>
      <c r="D58" s="123" t="s">
        <v>168</v>
      </c>
      <c r="E58" s="122">
        <v>15.5</v>
      </c>
      <c r="F58" s="125">
        <v>281796</v>
      </c>
      <c r="G58" s="193">
        <f t="shared" si="2"/>
        <v>4367838</v>
      </c>
    </row>
    <row r="59" spans="1:7" ht="12" customHeight="1">
      <c r="A59" s="122" t="s">
        <v>240</v>
      </c>
      <c r="B59" s="123">
        <v>42760061</v>
      </c>
      <c r="C59" s="124" t="s">
        <v>241</v>
      </c>
      <c r="D59" s="123" t="s">
        <v>168</v>
      </c>
      <c r="E59" s="122">
        <v>132</v>
      </c>
      <c r="F59" s="125">
        <v>615735.77</v>
      </c>
      <c r="G59" s="193">
        <f t="shared" si="2"/>
        <v>81277121.640000001</v>
      </c>
    </row>
    <row r="60" spans="1:7" ht="12" customHeight="1">
      <c r="A60" s="122" t="s">
        <v>242</v>
      </c>
      <c r="B60" s="123">
        <v>42760062</v>
      </c>
      <c r="C60" s="124" t="s">
        <v>243</v>
      </c>
      <c r="D60" s="123" t="s">
        <v>168</v>
      </c>
      <c r="E60" s="125">
        <v>1243</v>
      </c>
      <c r="F60" s="125">
        <v>647952.4</v>
      </c>
      <c r="G60" s="193">
        <f t="shared" si="2"/>
        <v>805404833.20000005</v>
      </c>
    </row>
    <row r="61" spans="1:7" ht="78.75">
      <c r="A61" s="122" t="s">
        <v>244</v>
      </c>
      <c r="B61" s="123">
        <v>42760063</v>
      </c>
      <c r="C61" s="124" t="s">
        <v>245</v>
      </c>
      <c r="D61" s="123" t="s">
        <v>168</v>
      </c>
      <c r="E61" s="122">
        <v>44</v>
      </c>
      <c r="F61" s="125">
        <v>718066</v>
      </c>
      <c r="G61" s="193">
        <f t="shared" si="2"/>
        <v>31594904</v>
      </c>
    </row>
    <row r="62" spans="1:7" ht="78.75">
      <c r="A62" s="122" t="s">
        <v>246</v>
      </c>
      <c r="B62" s="123">
        <v>42760064</v>
      </c>
      <c r="C62" s="124" t="s">
        <v>247</v>
      </c>
      <c r="D62" s="123" t="s">
        <v>168</v>
      </c>
      <c r="E62" s="122">
        <v>22</v>
      </c>
      <c r="F62" s="125">
        <v>760925.92</v>
      </c>
      <c r="G62" s="193">
        <f t="shared" si="2"/>
        <v>16740370.24</v>
      </c>
    </row>
    <row r="63" spans="1:7" ht="67.5">
      <c r="A63" s="122" t="s">
        <v>248</v>
      </c>
      <c r="B63" s="123">
        <v>42760065</v>
      </c>
      <c r="C63" s="124" t="s">
        <v>249</v>
      </c>
      <c r="D63" s="123" t="s">
        <v>168</v>
      </c>
      <c r="E63" s="122">
        <v>102</v>
      </c>
      <c r="F63" s="125">
        <v>667948.49</v>
      </c>
      <c r="G63" s="193">
        <f t="shared" si="2"/>
        <v>68130745.980000004</v>
      </c>
    </row>
    <row r="64" spans="1:7" ht="101.25">
      <c r="A64" s="122" t="s">
        <v>250</v>
      </c>
      <c r="B64" s="123">
        <v>42760066</v>
      </c>
      <c r="C64" s="124" t="s">
        <v>251</v>
      </c>
      <c r="D64" s="123" t="s">
        <v>149</v>
      </c>
      <c r="E64" s="122">
        <v>1</v>
      </c>
      <c r="F64" s="125">
        <v>5432969.6900000004</v>
      </c>
      <c r="G64" s="193">
        <f t="shared" si="2"/>
        <v>5432969.6900000004</v>
      </c>
    </row>
    <row r="65" spans="1:8" ht="112.5">
      <c r="A65" s="122" t="s">
        <v>252</v>
      </c>
      <c r="B65" s="123">
        <v>42760067</v>
      </c>
      <c r="C65" s="124" t="s">
        <v>253</v>
      </c>
      <c r="D65" s="123" t="s">
        <v>152</v>
      </c>
      <c r="E65" s="125">
        <v>1530</v>
      </c>
      <c r="F65" s="125">
        <v>90010.91</v>
      </c>
      <c r="G65" s="193">
        <f t="shared" si="2"/>
        <v>137716692.30000001</v>
      </c>
    </row>
    <row r="66" spans="1:8" ht="146.25">
      <c r="A66" s="122" t="s">
        <v>254</v>
      </c>
      <c r="B66" s="123">
        <v>42760068</v>
      </c>
      <c r="C66" s="124" t="s">
        <v>255</v>
      </c>
      <c r="D66" s="123" t="s">
        <v>152</v>
      </c>
      <c r="E66" s="122">
        <v>85</v>
      </c>
      <c r="F66" s="125">
        <v>113299.97</v>
      </c>
      <c r="G66" s="193">
        <f t="shared" si="2"/>
        <v>9630497.4499999993</v>
      </c>
    </row>
    <row r="67" spans="1:8" ht="135">
      <c r="A67" s="122" t="s">
        <v>256</v>
      </c>
      <c r="B67" s="123">
        <v>42760069</v>
      </c>
      <c r="C67" s="124" t="s">
        <v>257</v>
      </c>
      <c r="D67" s="123" t="s">
        <v>152</v>
      </c>
      <c r="E67" s="122">
        <v>122</v>
      </c>
      <c r="F67" s="125">
        <v>90010.91</v>
      </c>
      <c r="G67" s="193">
        <f t="shared" si="2"/>
        <v>10981331.02</v>
      </c>
    </row>
    <row r="68" spans="1:8" ht="78.75">
      <c r="A68" s="122" t="s">
        <v>258</v>
      </c>
      <c r="B68" s="123">
        <v>42760070</v>
      </c>
      <c r="C68" s="124" t="s">
        <v>259</v>
      </c>
      <c r="D68" s="123" t="s">
        <v>168</v>
      </c>
      <c r="E68" s="122">
        <v>7</v>
      </c>
      <c r="F68" s="125">
        <v>999341.57</v>
      </c>
      <c r="G68" s="193">
        <f t="shared" si="2"/>
        <v>6995390.9899999993</v>
      </c>
    </row>
    <row r="69" spans="1:8" ht="78.75">
      <c r="A69" s="122" t="s">
        <v>260</v>
      </c>
      <c r="B69" s="123">
        <v>42760071</v>
      </c>
      <c r="C69" s="124" t="s">
        <v>261</v>
      </c>
      <c r="D69" s="123" t="s">
        <v>168</v>
      </c>
      <c r="E69" s="122">
        <v>40</v>
      </c>
      <c r="F69" s="125">
        <v>950056.01</v>
      </c>
      <c r="G69" s="193">
        <f t="shared" si="2"/>
        <v>38002240.399999999</v>
      </c>
    </row>
    <row r="70" spans="1:8" ht="78.75">
      <c r="A70" s="122" t="s">
        <v>262</v>
      </c>
      <c r="B70" s="123">
        <v>42760072</v>
      </c>
      <c r="C70" s="124" t="s">
        <v>263</v>
      </c>
      <c r="D70" s="123" t="s">
        <v>168</v>
      </c>
      <c r="E70" s="122">
        <v>211</v>
      </c>
      <c r="F70" s="125">
        <v>920484.68</v>
      </c>
      <c r="G70" s="193">
        <f t="shared" si="2"/>
        <v>194222267.48000002</v>
      </c>
    </row>
    <row r="71" spans="1:8" ht="12" customHeight="1">
      <c r="A71" s="275" t="s">
        <v>264</v>
      </c>
      <c r="B71" s="275"/>
      <c r="C71" s="275"/>
      <c r="D71" s="275"/>
      <c r="E71" s="275"/>
      <c r="F71" s="224"/>
      <c r="G71" s="194">
        <f>SUM(G52:G70)</f>
        <v>1827848260.1500001</v>
      </c>
    </row>
    <row r="72" spans="1:8" ht="12" customHeight="1">
      <c r="A72" s="276" t="s">
        <v>265</v>
      </c>
      <c r="B72" s="276"/>
      <c r="C72" s="276"/>
      <c r="D72" s="276"/>
      <c r="E72" s="276"/>
      <c r="F72" s="276"/>
      <c r="G72" s="276"/>
    </row>
    <row r="73" spans="1:8" ht="90">
      <c r="A73" s="122" t="s">
        <v>266</v>
      </c>
      <c r="B73" s="123">
        <v>42760073</v>
      </c>
      <c r="C73" s="124" t="s">
        <v>267</v>
      </c>
      <c r="D73" s="123" t="s">
        <v>168</v>
      </c>
      <c r="E73" s="122">
        <v>200</v>
      </c>
      <c r="F73" s="125">
        <v>920433.99</v>
      </c>
      <c r="G73" s="193">
        <f>E73*F73</f>
        <v>184086798</v>
      </c>
    </row>
    <row r="74" spans="1:8" ht="90">
      <c r="A74" s="122" t="s">
        <v>268</v>
      </c>
      <c r="B74" s="123">
        <v>42760074</v>
      </c>
      <c r="C74" s="124" t="s">
        <v>269</v>
      </c>
      <c r="D74" s="123" t="s">
        <v>168</v>
      </c>
      <c r="E74" s="122">
        <v>408</v>
      </c>
      <c r="F74" s="125">
        <v>920433.99</v>
      </c>
      <c r="G74" s="193">
        <f t="shared" ref="G74:G97" si="3">E74*F74</f>
        <v>375537067.92000002</v>
      </c>
    </row>
    <row r="75" spans="1:8" ht="90">
      <c r="A75" s="122" t="s">
        <v>270</v>
      </c>
      <c r="B75" s="123">
        <v>42760075</v>
      </c>
      <c r="C75" s="124" t="s">
        <v>271</v>
      </c>
      <c r="D75" s="123" t="s">
        <v>168</v>
      </c>
      <c r="E75" s="122">
        <v>300</v>
      </c>
      <c r="F75" s="125">
        <v>868286.79</v>
      </c>
      <c r="G75" s="193">
        <f t="shared" si="3"/>
        <v>260486037</v>
      </c>
    </row>
    <row r="76" spans="1:8" ht="135">
      <c r="A76" s="122" t="s">
        <v>272</v>
      </c>
      <c r="B76" s="123">
        <v>42760076</v>
      </c>
      <c r="C76" s="124" t="s">
        <v>273</v>
      </c>
      <c r="D76" s="123" t="s">
        <v>168</v>
      </c>
      <c r="E76" s="122">
        <v>90</v>
      </c>
      <c r="F76" s="125">
        <v>1525117.16</v>
      </c>
      <c r="G76" s="193">
        <f t="shared" si="3"/>
        <v>137260544.40000001</v>
      </c>
    </row>
    <row r="77" spans="1:8" ht="123.75">
      <c r="A77" s="122" t="s">
        <v>274</v>
      </c>
      <c r="B77" s="123">
        <v>42760077</v>
      </c>
      <c r="C77" s="124" t="s">
        <v>275</v>
      </c>
      <c r="D77" s="123" t="s">
        <v>152</v>
      </c>
      <c r="E77" s="125">
        <v>2584</v>
      </c>
      <c r="F77" s="125">
        <v>257539.9</v>
      </c>
      <c r="G77" s="193">
        <f t="shared" si="3"/>
        <v>665483101.60000002</v>
      </c>
    </row>
    <row r="78" spans="1:8" ht="123.75">
      <c r="A78" s="122" t="s">
        <v>276</v>
      </c>
      <c r="B78" s="123">
        <v>42760078</v>
      </c>
      <c r="C78" s="124" t="s">
        <v>277</v>
      </c>
      <c r="D78" s="123" t="s">
        <v>152</v>
      </c>
      <c r="E78" s="122">
        <v>957</v>
      </c>
      <c r="F78" s="125">
        <v>255094.8</v>
      </c>
      <c r="G78" s="193">
        <f t="shared" si="3"/>
        <v>244125723.59999999</v>
      </c>
    </row>
    <row r="79" spans="1:8" ht="135">
      <c r="A79" s="122" t="s">
        <v>278</v>
      </c>
      <c r="B79" s="123">
        <v>42760079</v>
      </c>
      <c r="C79" s="124" t="s">
        <v>279</v>
      </c>
      <c r="D79" s="123" t="s">
        <v>152</v>
      </c>
      <c r="E79" s="122">
        <v>725</v>
      </c>
      <c r="F79" s="125">
        <v>313580.08</v>
      </c>
      <c r="G79" s="193">
        <f t="shared" si="3"/>
        <v>227345558</v>
      </c>
      <c r="H79" s="117">
        <v>725</v>
      </c>
    </row>
    <row r="80" spans="1:8" ht="12" customHeight="1">
      <c r="A80" s="122" t="s">
        <v>280</v>
      </c>
      <c r="B80" s="123">
        <v>42760080</v>
      </c>
      <c r="C80" s="124" t="s">
        <v>281</v>
      </c>
      <c r="D80" s="123" t="s">
        <v>152</v>
      </c>
      <c r="E80" s="125">
        <v>4016</v>
      </c>
      <c r="F80" s="125">
        <v>257791.53</v>
      </c>
      <c r="G80" s="193">
        <f t="shared" si="3"/>
        <v>1035290784.48</v>
      </c>
      <c r="H80" s="117">
        <v>4016</v>
      </c>
    </row>
    <row r="81" spans="1:8" ht="12" customHeight="1">
      <c r="A81" s="122" t="s">
        <v>282</v>
      </c>
      <c r="B81" s="123">
        <v>42760081</v>
      </c>
      <c r="C81" s="124" t="s">
        <v>283</v>
      </c>
      <c r="D81" s="123" t="s">
        <v>152</v>
      </c>
      <c r="E81" s="125">
        <v>3072</v>
      </c>
      <c r="F81" s="125">
        <v>248119.12</v>
      </c>
      <c r="G81" s="193">
        <f t="shared" si="3"/>
        <v>762221936.63999999</v>
      </c>
      <c r="H81" s="117">
        <v>3072</v>
      </c>
    </row>
    <row r="82" spans="1:8" ht="135">
      <c r="A82" s="122" t="s">
        <v>284</v>
      </c>
      <c r="B82" s="123">
        <v>42760082</v>
      </c>
      <c r="C82" s="124" t="s">
        <v>285</v>
      </c>
      <c r="D82" s="123" t="s">
        <v>152</v>
      </c>
      <c r="E82" s="122">
        <v>100</v>
      </c>
      <c r="F82" s="125">
        <v>256263.34</v>
      </c>
      <c r="G82" s="193">
        <f t="shared" si="3"/>
        <v>25626334</v>
      </c>
    </row>
    <row r="83" spans="1:8" ht="123.75">
      <c r="A83" s="122" t="s">
        <v>286</v>
      </c>
      <c r="B83" s="123">
        <v>42760083</v>
      </c>
      <c r="C83" s="124" t="s">
        <v>287</v>
      </c>
      <c r="D83" s="123" t="s">
        <v>152</v>
      </c>
      <c r="E83" s="122">
        <v>131</v>
      </c>
      <c r="F83" s="125">
        <v>225628.66</v>
      </c>
      <c r="G83" s="193">
        <f t="shared" si="3"/>
        <v>29557354.460000001</v>
      </c>
      <c r="H83" s="117">
        <v>131</v>
      </c>
    </row>
    <row r="84" spans="1:8" ht="135">
      <c r="A84" s="122" t="s">
        <v>288</v>
      </c>
      <c r="B84" s="123">
        <v>42760084</v>
      </c>
      <c r="C84" s="124" t="s">
        <v>289</v>
      </c>
      <c r="D84" s="123" t="s">
        <v>152</v>
      </c>
      <c r="E84" s="122">
        <v>66</v>
      </c>
      <c r="F84" s="125">
        <v>267812.62</v>
      </c>
      <c r="G84" s="193">
        <f t="shared" si="3"/>
        <v>17675632.919999998</v>
      </c>
    </row>
    <row r="85" spans="1:8" ht="146.25">
      <c r="A85" s="122" t="s">
        <v>290</v>
      </c>
      <c r="B85" s="123">
        <v>42760085</v>
      </c>
      <c r="C85" s="124" t="s">
        <v>291</v>
      </c>
      <c r="D85" s="123" t="s">
        <v>168</v>
      </c>
      <c r="E85" s="122">
        <v>9</v>
      </c>
      <c r="F85" s="125">
        <v>1053948.79</v>
      </c>
      <c r="G85" s="193">
        <f t="shared" si="3"/>
        <v>9485539.1099999994</v>
      </c>
    </row>
    <row r="86" spans="1:8" ht="90">
      <c r="A86" s="122" t="s">
        <v>292</v>
      </c>
      <c r="B86" s="123">
        <v>42760086</v>
      </c>
      <c r="C86" s="124" t="s">
        <v>293</v>
      </c>
      <c r="D86" s="123" t="s">
        <v>168</v>
      </c>
      <c r="E86" s="122">
        <v>380</v>
      </c>
      <c r="F86" s="125">
        <v>920433.99</v>
      </c>
      <c r="G86" s="193">
        <f t="shared" si="3"/>
        <v>349764916.19999999</v>
      </c>
    </row>
    <row r="87" spans="1:8" ht="90">
      <c r="A87" s="122" t="s">
        <v>294</v>
      </c>
      <c r="B87" s="123">
        <v>42760087</v>
      </c>
      <c r="C87" s="124" t="s">
        <v>295</v>
      </c>
      <c r="D87" s="123" t="s">
        <v>168</v>
      </c>
      <c r="E87" s="122">
        <v>212</v>
      </c>
      <c r="F87" s="125">
        <v>868286.79</v>
      </c>
      <c r="G87" s="193">
        <f t="shared" si="3"/>
        <v>184076799.48000002</v>
      </c>
    </row>
    <row r="88" spans="1:8" ht="101.25">
      <c r="A88" s="122" t="s">
        <v>296</v>
      </c>
      <c r="B88" s="123">
        <v>42760088</v>
      </c>
      <c r="C88" s="124" t="s">
        <v>297</v>
      </c>
      <c r="D88" s="123" t="s">
        <v>168</v>
      </c>
      <c r="E88" s="122">
        <v>28.3</v>
      </c>
      <c r="F88" s="125">
        <v>957052.01</v>
      </c>
      <c r="G88" s="193">
        <f t="shared" si="3"/>
        <v>27084571.883000001</v>
      </c>
    </row>
    <row r="89" spans="1:8" ht="135">
      <c r="A89" s="122" t="s">
        <v>298</v>
      </c>
      <c r="B89" s="123">
        <v>42760089</v>
      </c>
      <c r="C89" s="124" t="s">
        <v>299</v>
      </c>
      <c r="D89" s="123" t="s">
        <v>168</v>
      </c>
      <c r="E89" s="122">
        <v>150</v>
      </c>
      <c r="F89" s="125">
        <v>1525117.16</v>
      </c>
      <c r="G89" s="193">
        <f t="shared" si="3"/>
        <v>228767574</v>
      </c>
    </row>
    <row r="90" spans="1:8" ht="135">
      <c r="A90" s="122" t="s">
        <v>300</v>
      </c>
      <c r="B90" s="123">
        <v>42760090</v>
      </c>
      <c r="C90" s="124" t="s">
        <v>301</v>
      </c>
      <c r="D90" s="123" t="s">
        <v>152</v>
      </c>
      <c r="E90" s="122">
        <v>535</v>
      </c>
      <c r="F90" s="125">
        <v>328935.92</v>
      </c>
      <c r="G90" s="193">
        <f t="shared" si="3"/>
        <v>175980717.19999999</v>
      </c>
    </row>
    <row r="91" spans="1:8" ht="123.75">
      <c r="A91" s="122" t="s">
        <v>302</v>
      </c>
      <c r="B91" s="123">
        <v>42760091</v>
      </c>
      <c r="C91" s="124" t="s">
        <v>303</v>
      </c>
      <c r="D91" s="123" t="s">
        <v>152</v>
      </c>
      <c r="E91" s="125">
        <v>2973</v>
      </c>
      <c r="F91" s="125">
        <v>248477.92</v>
      </c>
      <c r="G91" s="193">
        <f t="shared" si="3"/>
        <v>738724856.16000009</v>
      </c>
    </row>
    <row r="92" spans="1:8" ht="123.75">
      <c r="A92" s="122" t="s">
        <v>304</v>
      </c>
      <c r="B92" s="123">
        <v>42760092</v>
      </c>
      <c r="C92" s="124" t="s">
        <v>305</v>
      </c>
      <c r="D92" s="123" t="s">
        <v>152</v>
      </c>
      <c r="E92" s="125">
        <v>2795</v>
      </c>
      <c r="F92" s="125">
        <v>251675.57</v>
      </c>
      <c r="G92" s="193">
        <f t="shared" si="3"/>
        <v>703433218.14999998</v>
      </c>
    </row>
    <row r="93" spans="1:8" ht="135">
      <c r="A93" s="122" t="s">
        <v>306</v>
      </c>
      <c r="B93" s="123">
        <v>42760093</v>
      </c>
      <c r="C93" s="124" t="s">
        <v>307</v>
      </c>
      <c r="D93" s="123" t="s">
        <v>152</v>
      </c>
      <c r="E93" s="122">
        <v>100</v>
      </c>
      <c r="F93" s="125">
        <v>295332.24</v>
      </c>
      <c r="G93" s="193">
        <f t="shared" si="3"/>
        <v>29533224</v>
      </c>
    </row>
    <row r="94" spans="1:8" ht="123.75">
      <c r="A94" s="122" t="s">
        <v>308</v>
      </c>
      <c r="B94" s="123">
        <v>42760094</v>
      </c>
      <c r="C94" s="124" t="s">
        <v>309</v>
      </c>
      <c r="D94" s="123" t="s">
        <v>152</v>
      </c>
      <c r="E94" s="122">
        <v>49</v>
      </c>
      <c r="F94" s="125">
        <v>302634.26</v>
      </c>
      <c r="G94" s="193">
        <f t="shared" si="3"/>
        <v>14829078.74</v>
      </c>
    </row>
    <row r="95" spans="1:8" ht="146.25">
      <c r="A95" s="122" t="s">
        <v>310</v>
      </c>
      <c r="B95" s="123">
        <v>42760095</v>
      </c>
      <c r="C95" s="124" t="s">
        <v>311</v>
      </c>
      <c r="D95" s="123" t="s">
        <v>168</v>
      </c>
      <c r="E95" s="122">
        <v>5</v>
      </c>
      <c r="F95" s="125">
        <v>1053948.79</v>
      </c>
      <c r="G95" s="193">
        <f t="shared" si="3"/>
        <v>5269743.95</v>
      </c>
    </row>
    <row r="96" spans="1:8" ht="90">
      <c r="A96" s="122" t="s">
        <v>312</v>
      </c>
      <c r="B96" s="123">
        <v>42760096</v>
      </c>
      <c r="C96" s="124" t="s">
        <v>313</v>
      </c>
      <c r="D96" s="123" t="s">
        <v>152</v>
      </c>
      <c r="E96" s="122">
        <v>312</v>
      </c>
      <c r="F96" s="125">
        <v>197574.36</v>
      </c>
      <c r="G96" s="193">
        <f t="shared" si="3"/>
        <v>61643200.319999993</v>
      </c>
    </row>
    <row r="97" spans="1:7" ht="22.5">
      <c r="A97" s="122" t="s">
        <v>314</v>
      </c>
      <c r="B97" s="123">
        <v>42760097</v>
      </c>
      <c r="C97" s="124" t="s">
        <v>315</v>
      </c>
      <c r="D97" s="123" t="s">
        <v>149</v>
      </c>
      <c r="E97" s="122">
        <v>3</v>
      </c>
      <c r="F97" s="125">
        <v>16868000</v>
      </c>
      <c r="G97" s="193">
        <f t="shared" si="3"/>
        <v>50604000</v>
      </c>
    </row>
    <row r="98" spans="1:7" ht="12" customHeight="1">
      <c r="A98" s="275" t="s">
        <v>316</v>
      </c>
      <c r="B98" s="275"/>
      <c r="C98" s="275"/>
      <c r="D98" s="275"/>
      <c r="E98" s="275"/>
      <c r="F98" s="224"/>
      <c r="G98" s="194">
        <f>SUM(G73:G97)</f>
        <v>6543894312.2129984</v>
      </c>
    </row>
    <row r="99" spans="1:7" ht="12" customHeight="1">
      <c r="A99" s="276" t="s">
        <v>317</v>
      </c>
      <c r="B99" s="276"/>
      <c r="C99" s="276"/>
      <c r="D99" s="276"/>
      <c r="E99" s="276"/>
      <c r="F99" s="276"/>
      <c r="G99" s="276"/>
    </row>
    <row r="100" spans="1:7" ht="67.5">
      <c r="A100" s="122" t="s">
        <v>318</v>
      </c>
      <c r="B100" s="123">
        <v>42760098</v>
      </c>
      <c r="C100" s="124" t="s">
        <v>319</v>
      </c>
      <c r="D100" s="123" t="s">
        <v>163</v>
      </c>
      <c r="E100" s="122">
        <v>260</v>
      </c>
      <c r="F100" s="125">
        <v>112006.02</v>
      </c>
      <c r="G100" s="193">
        <f>E100*F100</f>
        <v>29121565.199999999</v>
      </c>
    </row>
    <row r="101" spans="1:7" ht="101.25">
      <c r="A101" s="122" t="s">
        <v>320</v>
      </c>
      <c r="B101" s="123">
        <v>42760099</v>
      </c>
      <c r="C101" s="124" t="s">
        <v>321</v>
      </c>
      <c r="D101" s="123" t="s">
        <v>163</v>
      </c>
      <c r="E101" s="122">
        <v>194</v>
      </c>
      <c r="F101" s="125">
        <v>74057.070000000007</v>
      </c>
      <c r="G101" s="193">
        <f t="shared" ref="G101:G118" si="4">E101*F101</f>
        <v>14367071.580000002</v>
      </c>
    </row>
    <row r="102" spans="1:7" ht="123.75">
      <c r="A102" s="122" t="s">
        <v>322</v>
      </c>
      <c r="B102" s="123">
        <v>42760100</v>
      </c>
      <c r="C102" s="124" t="s">
        <v>323</v>
      </c>
      <c r="D102" s="123" t="s">
        <v>163</v>
      </c>
      <c r="E102" s="122">
        <v>63</v>
      </c>
      <c r="F102" s="125">
        <v>149091.1</v>
      </c>
      <c r="G102" s="193">
        <f t="shared" si="4"/>
        <v>9392739.3000000007</v>
      </c>
    </row>
    <row r="103" spans="1:7" ht="33.75">
      <c r="A103" s="122" t="s">
        <v>324</v>
      </c>
      <c r="B103" s="123">
        <v>42760102</v>
      </c>
      <c r="C103" s="124" t="s">
        <v>325</v>
      </c>
      <c r="D103" s="123" t="s">
        <v>168</v>
      </c>
      <c r="E103" s="125">
        <v>9246</v>
      </c>
      <c r="F103" s="125">
        <v>9479.81</v>
      </c>
      <c r="G103" s="193">
        <f t="shared" si="4"/>
        <v>87650323.25999999</v>
      </c>
    </row>
    <row r="104" spans="1:7" ht="33.75">
      <c r="A104" s="122" t="s">
        <v>326</v>
      </c>
      <c r="B104" s="123">
        <v>42760103</v>
      </c>
      <c r="C104" s="124" t="s">
        <v>327</v>
      </c>
      <c r="D104" s="123" t="s">
        <v>328</v>
      </c>
      <c r="E104" s="125">
        <v>7120</v>
      </c>
      <c r="F104" s="125">
        <v>7532.67</v>
      </c>
      <c r="G104" s="193">
        <f t="shared" si="4"/>
        <v>53632610.399999999</v>
      </c>
    </row>
    <row r="105" spans="1:7" ht="56.25">
      <c r="A105" s="122" t="s">
        <v>329</v>
      </c>
      <c r="B105" s="123">
        <v>42760104</v>
      </c>
      <c r="C105" s="124" t="s">
        <v>330</v>
      </c>
      <c r="D105" s="123" t="s">
        <v>328</v>
      </c>
      <c r="E105" s="122">
        <v>32</v>
      </c>
      <c r="F105" s="125">
        <v>375000</v>
      </c>
      <c r="G105" s="193">
        <f t="shared" si="4"/>
        <v>12000000</v>
      </c>
    </row>
    <row r="106" spans="1:7" ht="45">
      <c r="A106" s="122" t="s">
        <v>331</v>
      </c>
      <c r="B106" s="123">
        <v>42760105</v>
      </c>
      <c r="C106" s="124" t="s">
        <v>332</v>
      </c>
      <c r="D106" s="123" t="s">
        <v>333</v>
      </c>
      <c r="E106" s="122">
        <v>473</v>
      </c>
      <c r="F106" s="125">
        <v>49669.5</v>
      </c>
      <c r="G106" s="193">
        <f t="shared" si="4"/>
        <v>23493673.5</v>
      </c>
    </row>
    <row r="107" spans="1:7" ht="12" customHeight="1">
      <c r="A107" s="122" t="s">
        <v>334</v>
      </c>
      <c r="B107" s="123">
        <v>42760106</v>
      </c>
      <c r="C107" s="124" t="s">
        <v>335</v>
      </c>
      <c r="D107" s="123" t="s">
        <v>333</v>
      </c>
      <c r="E107" s="122">
        <v>118</v>
      </c>
      <c r="F107" s="125">
        <v>49669.5</v>
      </c>
      <c r="G107" s="193">
        <f t="shared" si="4"/>
        <v>5861001</v>
      </c>
    </row>
    <row r="108" spans="1:7" ht="12" customHeight="1">
      <c r="A108" s="122" t="s">
        <v>336</v>
      </c>
      <c r="B108" s="123">
        <v>42760107</v>
      </c>
      <c r="C108" s="124" t="s">
        <v>337</v>
      </c>
      <c r="D108" s="123" t="s">
        <v>333</v>
      </c>
      <c r="E108" s="122">
        <v>712</v>
      </c>
      <c r="F108" s="125">
        <v>43586.96</v>
      </c>
      <c r="G108" s="193">
        <f t="shared" si="4"/>
        <v>31033915.52</v>
      </c>
    </row>
    <row r="109" spans="1:7" ht="101.25">
      <c r="A109" s="122" t="s">
        <v>338</v>
      </c>
      <c r="B109" s="123">
        <v>42760108</v>
      </c>
      <c r="C109" s="124" t="s">
        <v>339</v>
      </c>
      <c r="D109" s="123" t="s">
        <v>152</v>
      </c>
      <c r="E109" s="122">
        <v>35</v>
      </c>
      <c r="F109" s="125">
        <v>217785.44</v>
      </c>
      <c r="G109" s="193">
        <f t="shared" si="4"/>
        <v>7622490.4000000004</v>
      </c>
    </row>
    <row r="110" spans="1:7" ht="67.5">
      <c r="A110" s="122" t="s">
        <v>340</v>
      </c>
      <c r="B110" s="123">
        <v>42760109</v>
      </c>
      <c r="C110" s="124" t="s">
        <v>341</v>
      </c>
      <c r="D110" s="123" t="s">
        <v>163</v>
      </c>
      <c r="E110" s="122">
        <v>72</v>
      </c>
      <c r="F110" s="125">
        <v>112006.02</v>
      </c>
      <c r="G110" s="193">
        <f t="shared" si="4"/>
        <v>8064433.4400000004</v>
      </c>
    </row>
    <row r="111" spans="1:7" ht="101.25">
      <c r="A111" s="122" t="s">
        <v>342</v>
      </c>
      <c r="B111" s="123">
        <v>42760110</v>
      </c>
      <c r="C111" s="124" t="s">
        <v>343</v>
      </c>
      <c r="D111" s="123" t="s">
        <v>163</v>
      </c>
      <c r="E111" s="122">
        <v>216</v>
      </c>
      <c r="F111" s="125">
        <v>74057.070000000007</v>
      </c>
      <c r="G111" s="193">
        <f t="shared" si="4"/>
        <v>15996327.120000001</v>
      </c>
    </row>
    <row r="112" spans="1:7" ht="123.75">
      <c r="A112" s="122" t="s">
        <v>344</v>
      </c>
      <c r="B112" s="123">
        <v>42760111</v>
      </c>
      <c r="C112" s="124" t="s">
        <v>345</v>
      </c>
      <c r="D112" s="123" t="s">
        <v>163</v>
      </c>
      <c r="E112" s="122">
        <v>5</v>
      </c>
      <c r="F112" s="125">
        <v>149091.1</v>
      </c>
      <c r="G112" s="193">
        <f t="shared" si="4"/>
        <v>745455.5</v>
      </c>
    </row>
    <row r="113" spans="1:7" ht="33.75">
      <c r="A113" s="122" t="s">
        <v>346</v>
      </c>
      <c r="B113" s="123">
        <v>42760113</v>
      </c>
      <c r="C113" s="124" t="s">
        <v>347</v>
      </c>
      <c r="D113" s="123" t="s">
        <v>163</v>
      </c>
      <c r="E113" s="125">
        <v>6292</v>
      </c>
      <c r="F113" s="125">
        <v>9479.81</v>
      </c>
      <c r="G113" s="193">
        <f t="shared" si="4"/>
        <v>59646964.519999996</v>
      </c>
    </row>
    <row r="114" spans="1:7" ht="33.75">
      <c r="A114" s="122" t="s">
        <v>348</v>
      </c>
      <c r="B114" s="123">
        <v>42760114</v>
      </c>
      <c r="C114" s="124" t="s">
        <v>349</v>
      </c>
      <c r="D114" s="123" t="s">
        <v>149</v>
      </c>
      <c r="E114" s="122">
        <v>888</v>
      </c>
      <c r="F114" s="125">
        <v>7532.67</v>
      </c>
      <c r="G114" s="193">
        <f t="shared" si="4"/>
        <v>6689010.96</v>
      </c>
    </row>
    <row r="115" spans="1:7" ht="56.25">
      <c r="A115" s="122" t="s">
        <v>350</v>
      </c>
      <c r="B115" s="123">
        <v>42760115</v>
      </c>
      <c r="C115" s="124" t="s">
        <v>351</v>
      </c>
      <c r="D115" s="123" t="s">
        <v>149</v>
      </c>
      <c r="E115" s="122">
        <v>35</v>
      </c>
      <c r="F115" s="125">
        <v>375000</v>
      </c>
      <c r="G115" s="193">
        <f t="shared" si="4"/>
        <v>13125000</v>
      </c>
    </row>
    <row r="116" spans="1:7" ht="45">
      <c r="A116" s="122" t="s">
        <v>352</v>
      </c>
      <c r="B116" s="123">
        <v>42760116</v>
      </c>
      <c r="C116" s="124" t="s">
        <v>353</v>
      </c>
      <c r="D116" s="123" t="s">
        <v>163</v>
      </c>
      <c r="E116" s="122">
        <v>227</v>
      </c>
      <c r="F116" s="125">
        <v>49669.5</v>
      </c>
      <c r="G116" s="193">
        <f t="shared" si="4"/>
        <v>11274976.5</v>
      </c>
    </row>
    <row r="117" spans="1:7" ht="45">
      <c r="A117" s="122" t="s">
        <v>354</v>
      </c>
      <c r="B117" s="123">
        <v>42760117</v>
      </c>
      <c r="C117" s="124" t="s">
        <v>355</v>
      </c>
      <c r="D117" s="123" t="s">
        <v>163</v>
      </c>
      <c r="E117" s="122">
        <v>108</v>
      </c>
      <c r="F117" s="125">
        <v>49669.5</v>
      </c>
      <c r="G117" s="193">
        <f t="shared" si="4"/>
        <v>5364306</v>
      </c>
    </row>
    <row r="118" spans="1:7" ht="33.75">
      <c r="A118" s="122" t="s">
        <v>356</v>
      </c>
      <c r="B118" s="123">
        <v>42760118</v>
      </c>
      <c r="C118" s="124" t="s">
        <v>357</v>
      </c>
      <c r="D118" s="123" t="s">
        <v>163</v>
      </c>
      <c r="E118" s="125">
        <v>1007</v>
      </c>
      <c r="F118" s="125">
        <v>43586.96</v>
      </c>
      <c r="G118" s="193">
        <f t="shared" si="4"/>
        <v>43892068.719999999</v>
      </c>
    </row>
    <row r="119" spans="1:7" ht="12" customHeight="1">
      <c r="A119" s="275" t="s">
        <v>358</v>
      </c>
      <c r="B119" s="275"/>
      <c r="C119" s="275"/>
      <c r="D119" s="275"/>
      <c r="E119" s="275"/>
      <c r="F119" s="224"/>
      <c r="G119" s="194">
        <f>SUM(G100:G118)</f>
        <v>438973932.91999996</v>
      </c>
    </row>
    <row r="120" spans="1:7" ht="12" customHeight="1">
      <c r="A120" s="276" t="s">
        <v>359</v>
      </c>
      <c r="B120" s="276"/>
      <c r="C120" s="276"/>
      <c r="D120" s="276"/>
      <c r="E120" s="276"/>
      <c r="F120" s="276"/>
      <c r="G120" s="276"/>
    </row>
    <row r="121" spans="1:7" ht="90">
      <c r="A121" s="122" t="s">
        <v>360</v>
      </c>
      <c r="B121" s="123">
        <v>42760119</v>
      </c>
      <c r="C121" s="124" t="s">
        <v>361</v>
      </c>
      <c r="D121" s="123" t="s">
        <v>362</v>
      </c>
      <c r="E121" s="125">
        <v>340000</v>
      </c>
      <c r="F121" s="125">
        <v>5868.93</v>
      </c>
      <c r="G121" s="193">
        <f>E121*F121</f>
        <v>1995436200</v>
      </c>
    </row>
    <row r="122" spans="1:7" ht="101.25">
      <c r="A122" s="122" t="s">
        <v>363</v>
      </c>
      <c r="B122" s="123">
        <v>42760120</v>
      </c>
      <c r="C122" s="124" t="s">
        <v>364</v>
      </c>
      <c r="D122" s="123" t="s">
        <v>362</v>
      </c>
      <c r="E122" s="125">
        <v>12000</v>
      </c>
      <c r="F122" s="125">
        <v>5868.93</v>
      </c>
      <c r="G122" s="193">
        <f t="shared" ref="G122:G135" si="5">E122*F122</f>
        <v>70427160</v>
      </c>
    </row>
    <row r="123" spans="1:7" ht="56.25">
      <c r="A123" s="122" t="s">
        <v>365</v>
      </c>
      <c r="B123" s="123">
        <v>42760121</v>
      </c>
      <c r="C123" s="124" t="s">
        <v>366</v>
      </c>
      <c r="D123" s="123" t="s">
        <v>152</v>
      </c>
      <c r="E123" s="125">
        <v>40289</v>
      </c>
      <c r="F123" s="125">
        <v>7617.04</v>
      </c>
      <c r="G123" s="193">
        <f t="shared" si="5"/>
        <v>306882924.56</v>
      </c>
    </row>
    <row r="124" spans="1:7" ht="56.25">
      <c r="A124" s="122" t="s">
        <v>367</v>
      </c>
      <c r="B124" s="123">
        <v>42760122</v>
      </c>
      <c r="C124" s="124" t="s">
        <v>368</v>
      </c>
      <c r="D124" s="123" t="s">
        <v>152</v>
      </c>
      <c r="E124" s="122">
        <v>254</v>
      </c>
      <c r="F124" s="125">
        <v>7617.04</v>
      </c>
      <c r="G124" s="193">
        <f t="shared" si="5"/>
        <v>1934728.16</v>
      </c>
    </row>
    <row r="125" spans="1:7" ht="56.25">
      <c r="A125" s="122" t="s">
        <v>369</v>
      </c>
      <c r="B125" s="123">
        <v>42760123</v>
      </c>
      <c r="C125" s="124" t="s">
        <v>370</v>
      </c>
      <c r="D125" s="123" t="s">
        <v>152</v>
      </c>
      <c r="E125" s="125">
        <v>1000</v>
      </c>
      <c r="F125" s="125">
        <v>7617.04</v>
      </c>
      <c r="G125" s="193">
        <f t="shared" si="5"/>
        <v>7617040</v>
      </c>
    </row>
    <row r="126" spans="1:7" ht="67.5">
      <c r="A126" s="122" t="s">
        <v>371</v>
      </c>
      <c r="B126" s="123">
        <v>42760124</v>
      </c>
      <c r="C126" s="124" t="s">
        <v>372</v>
      </c>
      <c r="D126" s="123" t="s">
        <v>373</v>
      </c>
      <c r="E126" s="125">
        <v>8760</v>
      </c>
      <c r="F126" s="125">
        <v>22855.9</v>
      </c>
      <c r="G126" s="193">
        <f t="shared" si="5"/>
        <v>200217684</v>
      </c>
    </row>
    <row r="127" spans="1:7" ht="85.5" customHeight="1">
      <c r="A127" s="122" t="s">
        <v>374</v>
      </c>
      <c r="B127" s="123">
        <v>42760125</v>
      </c>
      <c r="C127" s="124" t="s">
        <v>375</v>
      </c>
      <c r="D127" s="123" t="s">
        <v>362</v>
      </c>
      <c r="E127" s="125">
        <v>180000</v>
      </c>
      <c r="F127" s="125">
        <v>5868.93</v>
      </c>
      <c r="G127" s="193">
        <f t="shared" si="5"/>
        <v>1056407400</v>
      </c>
    </row>
    <row r="128" spans="1:7" ht="69" customHeight="1">
      <c r="A128" s="122" t="s">
        <v>376</v>
      </c>
      <c r="B128" s="123">
        <v>42760126</v>
      </c>
      <c r="C128" s="124" t="s">
        <v>377</v>
      </c>
      <c r="D128" s="123" t="s">
        <v>362</v>
      </c>
      <c r="E128" s="125">
        <v>13579</v>
      </c>
      <c r="F128" s="125">
        <v>5868.93</v>
      </c>
      <c r="G128" s="193">
        <f t="shared" si="5"/>
        <v>79694200.469999999</v>
      </c>
    </row>
    <row r="129" spans="1:10" ht="57.75" customHeight="1">
      <c r="A129" s="122" t="s">
        <v>378</v>
      </c>
      <c r="B129" s="123">
        <v>42760127</v>
      </c>
      <c r="C129" s="124" t="s">
        <v>379</v>
      </c>
      <c r="D129" s="123" t="s">
        <v>152</v>
      </c>
      <c r="E129" s="125">
        <v>48301</v>
      </c>
      <c r="F129" s="125">
        <v>7617.04</v>
      </c>
      <c r="G129" s="193">
        <f t="shared" si="5"/>
        <v>367910649.04000002</v>
      </c>
    </row>
    <row r="130" spans="1:10" ht="56.25">
      <c r="A130" s="122" t="s">
        <v>380</v>
      </c>
      <c r="B130" s="123">
        <v>42760128</v>
      </c>
      <c r="C130" s="124" t="s">
        <v>381</v>
      </c>
      <c r="D130" s="123" t="s">
        <v>152</v>
      </c>
      <c r="E130" s="122">
        <v>254</v>
      </c>
      <c r="F130" s="125">
        <v>7617.04</v>
      </c>
      <c r="G130" s="193">
        <f t="shared" si="5"/>
        <v>1934728.16</v>
      </c>
      <c r="I130" s="126"/>
    </row>
    <row r="131" spans="1:10" ht="56.25">
      <c r="A131" s="122" t="s">
        <v>382</v>
      </c>
      <c r="B131" s="123">
        <v>42760129</v>
      </c>
      <c r="C131" s="124" t="s">
        <v>383</v>
      </c>
      <c r="D131" s="123" t="s">
        <v>152</v>
      </c>
      <c r="E131" s="125">
        <v>1624</v>
      </c>
      <c r="F131" s="125">
        <v>7617.04</v>
      </c>
      <c r="G131" s="193">
        <f t="shared" si="5"/>
        <v>12370072.959999999</v>
      </c>
    </row>
    <row r="132" spans="1:10" ht="67.5">
      <c r="A132" s="122" t="s">
        <v>384</v>
      </c>
      <c r="B132" s="123">
        <v>42760130</v>
      </c>
      <c r="C132" s="124" t="s">
        <v>385</v>
      </c>
      <c r="D132" s="123" t="s">
        <v>373</v>
      </c>
      <c r="E132" s="125">
        <v>26500</v>
      </c>
      <c r="F132" s="125">
        <v>22855.9</v>
      </c>
      <c r="G132" s="193">
        <f t="shared" si="5"/>
        <v>605681350</v>
      </c>
    </row>
    <row r="133" spans="1:10" ht="56.25">
      <c r="A133" s="122" t="s">
        <v>386</v>
      </c>
      <c r="B133" s="123">
        <v>42760131</v>
      </c>
      <c r="C133" s="124" t="s">
        <v>387</v>
      </c>
      <c r="D133" s="123" t="s">
        <v>373</v>
      </c>
      <c r="E133" s="125">
        <v>18000</v>
      </c>
      <c r="F133" s="125">
        <v>13534</v>
      </c>
      <c r="G133" s="193">
        <f t="shared" si="5"/>
        <v>243612000</v>
      </c>
    </row>
    <row r="134" spans="1:10" ht="56.25">
      <c r="A134" s="122" t="s">
        <v>388</v>
      </c>
      <c r="B134" s="123">
        <v>42760132</v>
      </c>
      <c r="C134" s="124" t="s">
        <v>389</v>
      </c>
      <c r="D134" s="123" t="s">
        <v>373</v>
      </c>
      <c r="E134" s="125">
        <v>10572</v>
      </c>
      <c r="F134" s="125">
        <v>13534</v>
      </c>
      <c r="G134" s="193">
        <f t="shared" si="5"/>
        <v>143081448</v>
      </c>
    </row>
    <row r="135" spans="1:10" ht="90">
      <c r="A135" s="122" t="s">
        <v>390</v>
      </c>
      <c r="B135" s="123">
        <v>42760133</v>
      </c>
      <c r="C135" s="124" t="s">
        <v>391</v>
      </c>
      <c r="D135" s="123" t="s">
        <v>373</v>
      </c>
      <c r="E135" s="125">
        <v>2639</v>
      </c>
      <c r="F135" s="125">
        <v>18471.71</v>
      </c>
      <c r="G135" s="193">
        <f t="shared" si="5"/>
        <v>48746842.689999998</v>
      </c>
    </row>
    <row r="136" spans="1:10" ht="12" customHeight="1">
      <c r="A136" s="275" t="s">
        <v>392</v>
      </c>
      <c r="B136" s="275"/>
      <c r="C136" s="275"/>
      <c r="D136" s="275"/>
      <c r="E136" s="275"/>
      <c r="F136" s="224"/>
      <c r="G136" s="194">
        <f>SUM(G121:G135)</f>
        <v>5141954428.039999</v>
      </c>
      <c r="J136" s="126"/>
    </row>
    <row r="137" spans="1:10" ht="12" customHeight="1">
      <c r="A137" s="276" t="s">
        <v>393</v>
      </c>
      <c r="B137" s="276"/>
      <c r="C137" s="276"/>
      <c r="D137" s="276"/>
      <c r="E137" s="276"/>
      <c r="F137" s="276"/>
      <c r="G137" s="276"/>
    </row>
    <row r="138" spans="1:10" ht="45">
      <c r="A138" s="122" t="s">
        <v>394</v>
      </c>
      <c r="B138" s="123">
        <v>42760134</v>
      </c>
      <c r="C138" s="124" t="s">
        <v>395</v>
      </c>
      <c r="D138" s="123" t="s">
        <v>152</v>
      </c>
      <c r="E138" s="125">
        <v>6160</v>
      </c>
      <c r="F138" s="125">
        <v>67148.570000000007</v>
      </c>
      <c r="G138" s="193">
        <f>E138*F138</f>
        <v>413635191.20000005</v>
      </c>
    </row>
    <row r="139" spans="1:10" ht="45">
      <c r="A139" s="122" t="s">
        <v>396</v>
      </c>
      <c r="B139" s="123">
        <v>42760135</v>
      </c>
      <c r="C139" s="124" t="s">
        <v>397</v>
      </c>
      <c r="D139" s="123" t="s">
        <v>152</v>
      </c>
      <c r="E139" s="122">
        <v>100</v>
      </c>
      <c r="F139" s="125">
        <v>77781.47</v>
      </c>
      <c r="G139" s="193">
        <f t="shared" ref="G139:G163" si="6">E139*F139</f>
        <v>7778147</v>
      </c>
    </row>
    <row r="140" spans="1:10" ht="45">
      <c r="A140" s="122" t="s">
        <v>398</v>
      </c>
      <c r="B140" s="123">
        <v>42760136</v>
      </c>
      <c r="C140" s="124" t="s">
        <v>399</v>
      </c>
      <c r="D140" s="123" t="s">
        <v>152</v>
      </c>
      <c r="E140" s="125">
        <v>1508</v>
      </c>
      <c r="F140" s="125">
        <v>50083.59</v>
      </c>
      <c r="G140" s="193">
        <f t="shared" si="6"/>
        <v>75526053.719999999</v>
      </c>
    </row>
    <row r="141" spans="1:10" ht="45">
      <c r="A141" s="122" t="s">
        <v>400</v>
      </c>
      <c r="B141" s="123">
        <v>42760137</v>
      </c>
      <c r="C141" s="124" t="s">
        <v>401</v>
      </c>
      <c r="D141" s="123" t="s">
        <v>152</v>
      </c>
      <c r="E141" s="122">
        <v>300</v>
      </c>
      <c r="F141" s="125">
        <v>68593.740000000005</v>
      </c>
      <c r="G141" s="193">
        <f t="shared" si="6"/>
        <v>20578122</v>
      </c>
    </row>
    <row r="142" spans="1:10" ht="155.25" customHeight="1">
      <c r="A142" s="122" t="s">
        <v>402</v>
      </c>
      <c r="B142" s="123">
        <v>42760138</v>
      </c>
      <c r="C142" s="124" t="s">
        <v>403</v>
      </c>
      <c r="D142" s="123" t="s">
        <v>163</v>
      </c>
      <c r="E142" s="125">
        <v>12945</v>
      </c>
      <c r="F142" s="125">
        <v>6126.74</v>
      </c>
      <c r="G142" s="193">
        <f t="shared" si="6"/>
        <v>79310649.299999997</v>
      </c>
    </row>
    <row r="143" spans="1:10" ht="56.25">
      <c r="A143" s="122" t="s">
        <v>404</v>
      </c>
      <c r="B143" s="123">
        <v>42760139</v>
      </c>
      <c r="C143" s="124" t="s">
        <v>405</v>
      </c>
      <c r="D143" s="123" t="s">
        <v>152</v>
      </c>
      <c r="E143" s="125">
        <v>9085</v>
      </c>
      <c r="F143" s="125">
        <v>5402</v>
      </c>
      <c r="G143" s="193">
        <f t="shared" si="6"/>
        <v>49077170</v>
      </c>
    </row>
    <row r="144" spans="1:10" ht="33.75">
      <c r="A144" s="122" t="s">
        <v>406</v>
      </c>
      <c r="B144" s="123">
        <v>42760140</v>
      </c>
      <c r="C144" s="124" t="s">
        <v>407</v>
      </c>
      <c r="D144" s="123" t="s">
        <v>152</v>
      </c>
      <c r="E144" s="122">
        <v>101</v>
      </c>
      <c r="F144" s="125">
        <v>967771</v>
      </c>
      <c r="G144" s="193">
        <f t="shared" si="6"/>
        <v>97744871</v>
      </c>
    </row>
    <row r="145" spans="1:7" ht="12" customHeight="1">
      <c r="A145" s="122" t="s">
        <v>408</v>
      </c>
      <c r="B145" s="123">
        <v>42760141</v>
      </c>
      <c r="C145" s="124" t="s">
        <v>409</v>
      </c>
      <c r="D145" s="123" t="s">
        <v>152</v>
      </c>
      <c r="E145" s="122">
        <v>595</v>
      </c>
      <c r="F145" s="125">
        <v>95590</v>
      </c>
      <c r="G145" s="193">
        <f t="shared" si="6"/>
        <v>56876050</v>
      </c>
    </row>
    <row r="146" spans="1:7" ht="12" customHeight="1">
      <c r="A146" s="122" t="s">
        <v>410</v>
      </c>
      <c r="B146" s="123">
        <v>42760143</v>
      </c>
      <c r="C146" s="124" t="s">
        <v>411</v>
      </c>
      <c r="D146" s="123" t="s">
        <v>152</v>
      </c>
      <c r="E146" s="122">
        <v>544</v>
      </c>
      <c r="F146" s="125">
        <v>206927</v>
      </c>
      <c r="G146" s="193">
        <f t="shared" si="6"/>
        <v>112568288</v>
      </c>
    </row>
    <row r="147" spans="1:7" ht="112.5">
      <c r="A147" s="122" t="s">
        <v>412</v>
      </c>
      <c r="B147" s="123">
        <v>42760144</v>
      </c>
      <c r="C147" s="124" t="s">
        <v>413</v>
      </c>
      <c r="D147" s="123" t="s">
        <v>152</v>
      </c>
      <c r="E147" s="122">
        <v>598</v>
      </c>
      <c r="F147" s="125">
        <v>126561</v>
      </c>
      <c r="G147" s="193">
        <f t="shared" si="6"/>
        <v>75683478</v>
      </c>
    </row>
    <row r="148" spans="1:7" ht="123.75">
      <c r="A148" s="122" t="s">
        <v>414</v>
      </c>
      <c r="B148" s="123">
        <v>42760145</v>
      </c>
      <c r="C148" s="124" t="s">
        <v>415</v>
      </c>
      <c r="D148" s="123" t="s">
        <v>152</v>
      </c>
      <c r="E148" s="122">
        <v>864</v>
      </c>
      <c r="F148" s="125">
        <v>176418</v>
      </c>
      <c r="G148" s="193">
        <f t="shared" si="6"/>
        <v>152425152</v>
      </c>
    </row>
    <row r="149" spans="1:7" ht="67.5">
      <c r="A149" s="122" t="s">
        <v>416</v>
      </c>
      <c r="B149" s="123">
        <v>42760148</v>
      </c>
      <c r="C149" s="124" t="s">
        <v>417</v>
      </c>
      <c r="D149" s="123" t="s">
        <v>152</v>
      </c>
      <c r="E149" s="122">
        <v>382</v>
      </c>
      <c r="F149" s="125">
        <v>650000</v>
      </c>
      <c r="G149" s="193">
        <f t="shared" si="6"/>
        <v>248300000</v>
      </c>
    </row>
    <row r="150" spans="1:7" ht="45">
      <c r="A150" s="122" t="s">
        <v>418</v>
      </c>
      <c r="B150" s="123">
        <v>42760149</v>
      </c>
      <c r="C150" s="124" t="s">
        <v>419</v>
      </c>
      <c r="D150" s="123" t="s">
        <v>152</v>
      </c>
      <c r="E150" s="122">
        <v>285</v>
      </c>
      <c r="F150" s="125">
        <v>67148.570000000007</v>
      </c>
      <c r="G150" s="193">
        <f t="shared" si="6"/>
        <v>19137342.450000003</v>
      </c>
    </row>
    <row r="151" spans="1:7" ht="45">
      <c r="A151" s="122" t="s">
        <v>420</v>
      </c>
      <c r="B151" s="123">
        <v>42760150</v>
      </c>
      <c r="C151" s="124" t="s">
        <v>421</v>
      </c>
      <c r="D151" s="123" t="s">
        <v>152</v>
      </c>
      <c r="E151" s="125">
        <v>3724</v>
      </c>
      <c r="F151" s="125">
        <v>77781.47</v>
      </c>
      <c r="G151" s="193">
        <f t="shared" si="6"/>
        <v>289658194.28000003</v>
      </c>
    </row>
    <row r="152" spans="1:7" ht="45">
      <c r="A152" s="122" t="s">
        <v>422</v>
      </c>
      <c r="B152" s="123">
        <v>42760151</v>
      </c>
      <c r="C152" s="124" t="s">
        <v>423</v>
      </c>
      <c r="D152" s="123" t="s">
        <v>152</v>
      </c>
      <c r="E152" s="122">
        <v>1</v>
      </c>
      <c r="F152" s="125">
        <v>50083.59</v>
      </c>
      <c r="G152" s="193">
        <f t="shared" si="6"/>
        <v>50083.59</v>
      </c>
    </row>
    <row r="153" spans="1:7" ht="45">
      <c r="A153" s="122" t="s">
        <v>424</v>
      </c>
      <c r="B153" s="123">
        <v>42760152</v>
      </c>
      <c r="C153" s="124" t="s">
        <v>425</v>
      </c>
      <c r="D153" s="123" t="s">
        <v>152</v>
      </c>
      <c r="E153" s="125">
        <v>2482</v>
      </c>
      <c r="F153" s="125">
        <v>68593.740000000005</v>
      </c>
      <c r="G153" s="193">
        <f t="shared" si="6"/>
        <v>170249662.68000001</v>
      </c>
    </row>
    <row r="154" spans="1:7" ht="168.75">
      <c r="A154" s="122" t="s">
        <v>426</v>
      </c>
      <c r="B154" s="123">
        <v>42760153</v>
      </c>
      <c r="C154" s="124" t="s">
        <v>427</v>
      </c>
      <c r="D154" s="123" t="s">
        <v>163</v>
      </c>
      <c r="E154" s="125">
        <v>9089</v>
      </c>
      <c r="F154" s="125">
        <v>6126.74</v>
      </c>
      <c r="G154" s="193">
        <f t="shared" si="6"/>
        <v>55685939.859999999</v>
      </c>
    </row>
    <row r="155" spans="1:7" ht="67.5">
      <c r="A155" s="122" t="s">
        <v>428</v>
      </c>
      <c r="B155" s="123">
        <v>42760154</v>
      </c>
      <c r="C155" s="124" t="s">
        <v>429</v>
      </c>
      <c r="D155" s="123" t="s">
        <v>152</v>
      </c>
      <c r="E155" s="125">
        <v>1521</v>
      </c>
      <c r="F155" s="125">
        <v>5402</v>
      </c>
      <c r="G155" s="193">
        <f t="shared" si="6"/>
        <v>8216442</v>
      </c>
    </row>
    <row r="156" spans="1:7" ht="157.5">
      <c r="A156" s="122" t="s">
        <v>430</v>
      </c>
      <c r="B156" s="123">
        <v>42760156</v>
      </c>
      <c r="C156" s="124" t="s">
        <v>431</v>
      </c>
      <c r="D156" s="123" t="s">
        <v>152</v>
      </c>
      <c r="E156" s="122">
        <v>20</v>
      </c>
      <c r="F156" s="125">
        <v>95590</v>
      </c>
      <c r="G156" s="193">
        <f t="shared" si="6"/>
        <v>1911800</v>
      </c>
    </row>
    <row r="157" spans="1:7" ht="157.5">
      <c r="A157" s="122" t="s">
        <v>432</v>
      </c>
      <c r="B157" s="123">
        <v>42760157</v>
      </c>
      <c r="C157" s="124" t="s">
        <v>433</v>
      </c>
      <c r="D157" s="123" t="s">
        <v>152</v>
      </c>
      <c r="E157" s="125">
        <v>1123</v>
      </c>
      <c r="F157" s="125">
        <v>116443</v>
      </c>
      <c r="G157" s="193">
        <f t="shared" si="6"/>
        <v>130765489</v>
      </c>
    </row>
    <row r="158" spans="1:7" ht="112.5">
      <c r="A158" s="122" t="s">
        <v>434</v>
      </c>
      <c r="B158" s="123">
        <v>42760158</v>
      </c>
      <c r="C158" s="124" t="s">
        <v>435</v>
      </c>
      <c r="D158" s="123" t="s">
        <v>152</v>
      </c>
      <c r="E158" s="122">
        <v>299</v>
      </c>
      <c r="F158" s="125">
        <v>206927</v>
      </c>
      <c r="G158" s="193">
        <f t="shared" si="6"/>
        <v>61871173</v>
      </c>
    </row>
    <row r="159" spans="1:7" ht="112.5">
      <c r="A159" s="122" t="s">
        <v>436</v>
      </c>
      <c r="B159" s="123">
        <v>42760159</v>
      </c>
      <c r="C159" s="124" t="s">
        <v>437</v>
      </c>
      <c r="D159" s="123" t="s">
        <v>152</v>
      </c>
      <c r="E159" s="122">
        <v>684</v>
      </c>
      <c r="F159" s="125">
        <v>126561</v>
      </c>
      <c r="G159" s="193">
        <f t="shared" si="6"/>
        <v>86567724</v>
      </c>
    </row>
    <row r="160" spans="1:7" ht="112.5">
      <c r="A160" s="122" t="s">
        <v>438</v>
      </c>
      <c r="B160" s="123">
        <v>42760160</v>
      </c>
      <c r="C160" s="124" t="s">
        <v>439</v>
      </c>
      <c r="D160" s="123" t="s">
        <v>152</v>
      </c>
      <c r="E160" s="122">
        <v>700</v>
      </c>
      <c r="F160" s="125">
        <v>176418</v>
      </c>
      <c r="G160" s="193">
        <f t="shared" si="6"/>
        <v>123492600</v>
      </c>
    </row>
    <row r="161" spans="1:7" ht="90">
      <c r="A161" s="122" t="s">
        <v>440</v>
      </c>
      <c r="B161" s="123">
        <v>42760161</v>
      </c>
      <c r="C161" s="124" t="s">
        <v>441</v>
      </c>
      <c r="D161" s="123" t="s">
        <v>152</v>
      </c>
      <c r="E161" s="122">
        <v>190</v>
      </c>
      <c r="F161" s="125">
        <v>251527</v>
      </c>
      <c r="G161" s="193">
        <f t="shared" si="6"/>
        <v>47790130</v>
      </c>
    </row>
    <row r="162" spans="1:7" ht="123.75">
      <c r="A162" s="122" t="s">
        <v>442</v>
      </c>
      <c r="B162" s="123">
        <v>42760162</v>
      </c>
      <c r="C162" s="124" t="s">
        <v>443</v>
      </c>
      <c r="D162" s="123" t="s">
        <v>152</v>
      </c>
      <c r="E162" s="122">
        <v>165</v>
      </c>
      <c r="F162" s="125">
        <v>243772</v>
      </c>
      <c r="G162" s="193">
        <f t="shared" si="6"/>
        <v>40222380</v>
      </c>
    </row>
    <row r="163" spans="1:7" ht="56.25">
      <c r="A163" s="122" t="s">
        <v>444</v>
      </c>
      <c r="B163" s="123">
        <v>42760163</v>
      </c>
      <c r="C163" s="124" t="s">
        <v>445</v>
      </c>
      <c r="D163" s="123" t="s">
        <v>152</v>
      </c>
      <c r="E163" s="122">
        <v>165</v>
      </c>
      <c r="F163" s="125">
        <v>2125135</v>
      </c>
      <c r="G163" s="193">
        <f t="shared" si="6"/>
        <v>350647275</v>
      </c>
    </row>
    <row r="164" spans="1:7" ht="12" customHeight="1">
      <c r="A164" s="275" t="s">
        <v>446</v>
      </c>
      <c r="B164" s="275"/>
      <c r="C164" s="275"/>
      <c r="D164" s="275"/>
      <c r="E164" s="275"/>
      <c r="F164" s="224"/>
      <c r="G164" s="194">
        <f>SUM(G138:G163)</f>
        <v>2775769408.0799999</v>
      </c>
    </row>
    <row r="165" spans="1:7" ht="12" customHeight="1">
      <c r="A165" s="276" t="s">
        <v>447</v>
      </c>
      <c r="B165" s="276"/>
      <c r="C165" s="276"/>
      <c r="D165" s="276"/>
      <c r="E165" s="276"/>
      <c r="F165" s="276"/>
      <c r="G165" s="276"/>
    </row>
    <row r="166" spans="1:7" ht="78.75">
      <c r="A166" s="122" t="s">
        <v>448</v>
      </c>
      <c r="B166" s="123">
        <v>42760164</v>
      </c>
      <c r="C166" s="124" t="s">
        <v>449</v>
      </c>
      <c r="D166" s="123" t="s">
        <v>152</v>
      </c>
      <c r="E166" s="125">
        <v>5126</v>
      </c>
      <c r="F166" s="125">
        <v>22480.81</v>
      </c>
      <c r="G166" s="193">
        <f>E166*F166</f>
        <v>115236632.06</v>
      </c>
    </row>
    <row r="167" spans="1:7" ht="78.75">
      <c r="A167" s="122" t="s">
        <v>450</v>
      </c>
      <c r="B167" s="123">
        <v>42760165</v>
      </c>
      <c r="C167" s="124" t="s">
        <v>451</v>
      </c>
      <c r="D167" s="123" t="s">
        <v>152</v>
      </c>
      <c r="E167" s="125">
        <v>3000</v>
      </c>
      <c r="F167" s="125">
        <v>29423.1</v>
      </c>
      <c r="G167" s="193">
        <f t="shared" ref="G167:G204" si="7">E167*F167</f>
        <v>88269300</v>
      </c>
    </row>
    <row r="168" spans="1:7" ht="112.5">
      <c r="A168" s="122" t="s">
        <v>452</v>
      </c>
      <c r="B168" s="123">
        <v>42760166</v>
      </c>
      <c r="C168" s="124" t="s">
        <v>453</v>
      </c>
      <c r="D168" s="123" t="s">
        <v>152</v>
      </c>
      <c r="E168" s="122">
        <v>38</v>
      </c>
      <c r="F168" s="125">
        <v>46101.27</v>
      </c>
      <c r="G168" s="193">
        <f t="shared" si="7"/>
        <v>1751848.2599999998</v>
      </c>
    </row>
    <row r="169" spans="1:7" ht="78.75">
      <c r="A169" s="122" t="s">
        <v>454</v>
      </c>
      <c r="B169" s="123">
        <v>42760167</v>
      </c>
      <c r="C169" s="124" t="s">
        <v>455</v>
      </c>
      <c r="D169" s="123" t="s">
        <v>152</v>
      </c>
      <c r="E169" s="125">
        <v>1500</v>
      </c>
      <c r="F169" s="125">
        <v>360097</v>
      </c>
      <c r="G169" s="193">
        <f t="shared" si="7"/>
        <v>540145500</v>
      </c>
    </row>
    <row r="170" spans="1:7" ht="67.5">
      <c r="A170" s="122" t="s">
        <v>456</v>
      </c>
      <c r="B170" s="123">
        <v>42760168</v>
      </c>
      <c r="C170" s="124" t="s">
        <v>457</v>
      </c>
      <c r="D170" s="123" t="s">
        <v>152</v>
      </c>
      <c r="E170" s="125">
        <v>1000</v>
      </c>
      <c r="F170" s="125">
        <v>790035</v>
      </c>
      <c r="G170" s="193">
        <f t="shared" si="7"/>
        <v>790035000</v>
      </c>
    </row>
    <row r="171" spans="1:7" ht="90">
      <c r="A171" s="122" t="s">
        <v>458</v>
      </c>
      <c r="B171" s="123">
        <v>42760169</v>
      </c>
      <c r="C171" s="124" t="s">
        <v>459</v>
      </c>
      <c r="D171" s="123" t="s">
        <v>333</v>
      </c>
      <c r="E171" s="125">
        <v>5574</v>
      </c>
      <c r="F171" s="125">
        <v>270890</v>
      </c>
      <c r="G171" s="193">
        <f t="shared" si="7"/>
        <v>1509940860</v>
      </c>
    </row>
    <row r="172" spans="1:7" ht="56.25">
      <c r="A172" s="122" t="s">
        <v>460</v>
      </c>
      <c r="B172" s="123">
        <v>42760170</v>
      </c>
      <c r="C172" s="124" t="s">
        <v>461</v>
      </c>
      <c r="D172" s="123" t="s">
        <v>152</v>
      </c>
      <c r="E172" s="122">
        <v>40</v>
      </c>
      <c r="F172" s="125">
        <v>282918</v>
      </c>
      <c r="G172" s="193">
        <f t="shared" si="7"/>
        <v>11316720</v>
      </c>
    </row>
    <row r="173" spans="1:7" ht="77.25" customHeight="1">
      <c r="A173" s="122" t="s">
        <v>462</v>
      </c>
      <c r="B173" s="123">
        <v>42760171</v>
      </c>
      <c r="C173" s="124" t="s">
        <v>463</v>
      </c>
      <c r="D173" s="123" t="s">
        <v>152</v>
      </c>
      <c r="E173" s="122">
        <v>400</v>
      </c>
      <c r="F173" s="125">
        <v>333200</v>
      </c>
      <c r="G173" s="193">
        <f t="shared" si="7"/>
        <v>133280000</v>
      </c>
    </row>
    <row r="174" spans="1:7" ht="79.5" customHeight="1">
      <c r="A174" s="122" t="s">
        <v>464</v>
      </c>
      <c r="B174" s="123">
        <v>42760172</v>
      </c>
      <c r="C174" s="124" t="s">
        <v>465</v>
      </c>
      <c r="D174" s="123" t="s">
        <v>152</v>
      </c>
      <c r="E174" s="122">
        <v>416</v>
      </c>
      <c r="F174" s="125">
        <v>5881</v>
      </c>
      <c r="G174" s="193">
        <f t="shared" si="7"/>
        <v>2446496</v>
      </c>
    </row>
    <row r="175" spans="1:7" ht="112.5">
      <c r="A175" s="122" t="s">
        <v>466</v>
      </c>
      <c r="B175" s="123">
        <v>42760174</v>
      </c>
      <c r="C175" s="124" t="s">
        <v>467</v>
      </c>
      <c r="D175" s="123" t="s">
        <v>152</v>
      </c>
      <c r="E175" s="122">
        <v>101</v>
      </c>
      <c r="F175" s="125">
        <v>137127</v>
      </c>
      <c r="G175" s="193">
        <f t="shared" si="7"/>
        <v>13849827</v>
      </c>
    </row>
    <row r="176" spans="1:7" ht="112.5">
      <c r="A176" s="122" t="s">
        <v>468</v>
      </c>
      <c r="B176" s="123">
        <v>42760175</v>
      </c>
      <c r="C176" s="124" t="s">
        <v>469</v>
      </c>
      <c r="D176" s="123" t="s">
        <v>140</v>
      </c>
      <c r="E176" s="122">
        <v>1</v>
      </c>
      <c r="F176" s="125">
        <v>14098755</v>
      </c>
      <c r="G176" s="193">
        <f t="shared" si="7"/>
        <v>14098755</v>
      </c>
    </row>
    <row r="177" spans="1:7" ht="45">
      <c r="A177" s="122" t="s">
        <v>470</v>
      </c>
      <c r="B177" s="123">
        <v>42760176</v>
      </c>
      <c r="C177" s="124" t="s">
        <v>471</v>
      </c>
      <c r="D177" s="123" t="s">
        <v>152</v>
      </c>
      <c r="E177" s="125">
        <v>4608</v>
      </c>
      <c r="F177" s="125">
        <v>9850</v>
      </c>
      <c r="G177" s="193">
        <f t="shared" si="7"/>
        <v>45388800</v>
      </c>
    </row>
    <row r="178" spans="1:7" ht="56.25">
      <c r="A178" s="122" t="s">
        <v>472</v>
      </c>
      <c r="B178" s="123">
        <v>42760177</v>
      </c>
      <c r="C178" s="124" t="s">
        <v>473</v>
      </c>
      <c r="D178" s="123" t="s">
        <v>152</v>
      </c>
      <c r="E178" s="125">
        <v>4608</v>
      </c>
      <c r="F178" s="125">
        <v>9020</v>
      </c>
      <c r="G178" s="193">
        <f t="shared" si="7"/>
        <v>41564160</v>
      </c>
    </row>
    <row r="179" spans="1:7" ht="67.5">
      <c r="A179" s="122" t="s">
        <v>474</v>
      </c>
      <c r="B179" s="123">
        <v>42760178</v>
      </c>
      <c r="C179" s="124" t="s">
        <v>475</v>
      </c>
      <c r="D179" s="123" t="s">
        <v>152</v>
      </c>
      <c r="E179" s="125">
        <v>3257</v>
      </c>
      <c r="F179" s="125">
        <v>16604.599999999999</v>
      </c>
      <c r="G179" s="193">
        <f t="shared" si="7"/>
        <v>54081182.199999996</v>
      </c>
    </row>
    <row r="180" spans="1:7" ht="45">
      <c r="A180" s="122" t="s">
        <v>476</v>
      </c>
      <c r="B180" s="123">
        <v>42760179</v>
      </c>
      <c r="C180" s="124" t="s">
        <v>477</v>
      </c>
      <c r="D180" s="123" t="s">
        <v>152</v>
      </c>
      <c r="E180" s="122">
        <v>14</v>
      </c>
      <c r="F180" s="125">
        <v>24632</v>
      </c>
      <c r="G180" s="193">
        <f t="shared" si="7"/>
        <v>344848</v>
      </c>
    </row>
    <row r="181" spans="1:7" ht="56.25">
      <c r="A181" s="122" t="s">
        <v>478</v>
      </c>
      <c r="B181" s="123">
        <v>42760181</v>
      </c>
      <c r="C181" s="124" t="s">
        <v>479</v>
      </c>
      <c r="D181" s="123" t="s">
        <v>152</v>
      </c>
      <c r="E181" s="125">
        <v>3406</v>
      </c>
      <c r="F181" s="125">
        <v>9471</v>
      </c>
      <c r="G181" s="193">
        <f t="shared" si="7"/>
        <v>32258226</v>
      </c>
    </row>
    <row r="182" spans="1:7" ht="123.75">
      <c r="A182" s="122" t="s">
        <v>480</v>
      </c>
      <c r="B182" s="123">
        <v>42760182</v>
      </c>
      <c r="C182" s="124" t="s">
        <v>481</v>
      </c>
      <c r="D182" s="123" t="s">
        <v>152</v>
      </c>
      <c r="E182" s="122">
        <v>577</v>
      </c>
      <c r="F182" s="125">
        <v>53078</v>
      </c>
      <c r="G182" s="193">
        <f t="shared" si="7"/>
        <v>30626006</v>
      </c>
    </row>
    <row r="183" spans="1:7" ht="56.25">
      <c r="A183" s="122" t="s">
        <v>482</v>
      </c>
      <c r="B183" s="123">
        <v>42760183</v>
      </c>
      <c r="C183" s="124" t="s">
        <v>483</v>
      </c>
      <c r="D183" s="123" t="s">
        <v>152</v>
      </c>
      <c r="E183" s="122">
        <v>302</v>
      </c>
      <c r="F183" s="125">
        <v>787260</v>
      </c>
      <c r="G183" s="193">
        <f t="shared" si="7"/>
        <v>237752520</v>
      </c>
    </row>
    <row r="184" spans="1:7" ht="78.75">
      <c r="A184" s="122" t="s">
        <v>484</v>
      </c>
      <c r="B184" s="123">
        <v>42760184</v>
      </c>
      <c r="C184" s="124" t="s">
        <v>485</v>
      </c>
      <c r="D184" s="123" t="s">
        <v>152</v>
      </c>
      <c r="E184" s="125">
        <v>7538</v>
      </c>
      <c r="F184" s="125">
        <v>22480.81</v>
      </c>
      <c r="G184" s="193">
        <f t="shared" si="7"/>
        <v>169460345.78</v>
      </c>
    </row>
    <row r="185" spans="1:7" ht="78.75">
      <c r="A185" s="122" t="s">
        <v>486</v>
      </c>
      <c r="B185" s="123">
        <v>42760185</v>
      </c>
      <c r="C185" s="124" t="s">
        <v>487</v>
      </c>
      <c r="D185" s="123" t="s">
        <v>152</v>
      </c>
      <c r="E185" s="125">
        <v>2000</v>
      </c>
      <c r="F185" s="125">
        <v>29423.1</v>
      </c>
      <c r="G185" s="193">
        <f t="shared" si="7"/>
        <v>58846200</v>
      </c>
    </row>
    <row r="186" spans="1:7" ht="112.5">
      <c r="A186" s="122" t="s">
        <v>488</v>
      </c>
      <c r="B186" s="123">
        <v>42760186</v>
      </c>
      <c r="C186" s="124" t="s">
        <v>489</v>
      </c>
      <c r="D186" s="123" t="s">
        <v>152</v>
      </c>
      <c r="E186" s="122">
        <v>53</v>
      </c>
      <c r="F186" s="125">
        <v>46101.27</v>
      </c>
      <c r="G186" s="193">
        <f t="shared" si="7"/>
        <v>2443367.31</v>
      </c>
    </row>
    <row r="187" spans="1:7" ht="78.75">
      <c r="A187" s="122" t="s">
        <v>490</v>
      </c>
      <c r="B187" s="123">
        <v>42760187</v>
      </c>
      <c r="C187" s="124" t="s">
        <v>491</v>
      </c>
      <c r="D187" s="123" t="s">
        <v>152</v>
      </c>
      <c r="E187" s="125">
        <v>1603</v>
      </c>
      <c r="F187" s="125">
        <v>360097</v>
      </c>
      <c r="G187" s="193">
        <f t="shared" si="7"/>
        <v>577235491</v>
      </c>
    </row>
    <row r="188" spans="1:7" ht="67.5">
      <c r="A188" s="122" t="s">
        <v>492</v>
      </c>
      <c r="B188" s="123">
        <v>42760188</v>
      </c>
      <c r="C188" s="124" t="s">
        <v>493</v>
      </c>
      <c r="D188" s="123" t="s">
        <v>152</v>
      </c>
      <c r="E188" s="125">
        <v>2503</v>
      </c>
      <c r="F188" s="125">
        <v>790035</v>
      </c>
      <c r="G188" s="193">
        <f t="shared" si="7"/>
        <v>1977457605</v>
      </c>
    </row>
    <row r="189" spans="1:7" ht="90">
      <c r="A189" s="122" t="s">
        <v>494</v>
      </c>
      <c r="B189" s="123">
        <v>42760189</v>
      </c>
      <c r="C189" s="124" t="s">
        <v>495</v>
      </c>
      <c r="D189" s="123" t="s">
        <v>333</v>
      </c>
      <c r="E189" s="125">
        <v>5803</v>
      </c>
      <c r="F189" s="125">
        <v>270890</v>
      </c>
      <c r="G189" s="193">
        <f t="shared" si="7"/>
        <v>1571974670</v>
      </c>
    </row>
    <row r="190" spans="1:7" ht="56.25">
      <c r="A190" s="122" t="s">
        <v>496</v>
      </c>
      <c r="B190" s="123">
        <v>42760192</v>
      </c>
      <c r="C190" s="124" t="s">
        <v>497</v>
      </c>
      <c r="D190" s="123" t="s">
        <v>152</v>
      </c>
      <c r="E190" s="122">
        <v>10</v>
      </c>
      <c r="F190" s="125">
        <v>145767</v>
      </c>
      <c r="G190" s="193">
        <f t="shared" si="7"/>
        <v>1457670</v>
      </c>
    </row>
    <row r="191" spans="1:7" ht="56.25">
      <c r="A191" s="122" t="s">
        <v>498</v>
      </c>
      <c r="B191" s="123">
        <v>42760193</v>
      </c>
      <c r="C191" s="124" t="s">
        <v>499</v>
      </c>
      <c r="D191" s="123" t="s">
        <v>152</v>
      </c>
      <c r="E191" s="122">
        <v>100</v>
      </c>
      <c r="F191" s="125">
        <v>137127</v>
      </c>
      <c r="G191" s="193">
        <f t="shared" si="7"/>
        <v>13712700</v>
      </c>
    </row>
    <row r="192" spans="1:7" ht="67.5">
      <c r="A192" s="122" t="s">
        <v>500</v>
      </c>
      <c r="B192" s="123">
        <v>42760194</v>
      </c>
      <c r="C192" s="124" t="s">
        <v>501</v>
      </c>
      <c r="D192" s="123" t="s">
        <v>152</v>
      </c>
      <c r="E192" s="122">
        <v>214</v>
      </c>
      <c r="F192" s="125">
        <v>119399</v>
      </c>
      <c r="G192" s="193">
        <f t="shared" si="7"/>
        <v>25551386</v>
      </c>
    </row>
    <row r="193" spans="1:7" ht="78.75">
      <c r="A193" s="122" t="s">
        <v>502</v>
      </c>
      <c r="B193" s="123">
        <v>42760195</v>
      </c>
      <c r="C193" s="124" t="s">
        <v>503</v>
      </c>
      <c r="D193" s="123" t="s">
        <v>152</v>
      </c>
      <c r="E193" s="122">
        <v>300</v>
      </c>
      <c r="F193" s="125">
        <v>193471</v>
      </c>
      <c r="G193" s="193">
        <f t="shared" si="7"/>
        <v>58041300</v>
      </c>
    </row>
    <row r="194" spans="1:7" ht="45">
      <c r="A194" s="122" t="s">
        <v>504</v>
      </c>
      <c r="B194" s="123">
        <v>42760196</v>
      </c>
      <c r="C194" s="124" t="s">
        <v>505</v>
      </c>
      <c r="D194" s="123" t="s">
        <v>152</v>
      </c>
      <c r="E194" s="125">
        <v>7298</v>
      </c>
      <c r="F194" s="125">
        <v>9850</v>
      </c>
      <c r="G194" s="193">
        <f t="shared" si="7"/>
        <v>71885300</v>
      </c>
    </row>
    <row r="195" spans="1:7" ht="56.25">
      <c r="A195" s="122" t="s">
        <v>506</v>
      </c>
      <c r="B195" s="123">
        <v>42760197</v>
      </c>
      <c r="C195" s="124" t="s">
        <v>507</v>
      </c>
      <c r="D195" s="123" t="s">
        <v>152</v>
      </c>
      <c r="E195" s="125">
        <v>7298</v>
      </c>
      <c r="F195" s="125">
        <v>9020</v>
      </c>
      <c r="G195" s="193">
        <f t="shared" si="7"/>
        <v>65827960</v>
      </c>
    </row>
    <row r="196" spans="1:7" ht="67.5">
      <c r="A196" s="122" t="s">
        <v>508</v>
      </c>
      <c r="B196" s="123">
        <v>42760198</v>
      </c>
      <c r="C196" s="124" t="s">
        <v>509</v>
      </c>
      <c r="D196" s="123" t="s">
        <v>152</v>
      </c>
      <c r="E196" s="125">
        <v>2478</v>
      </c>
      <c r="F196" s="125">
        <v>16604.599999999999</v>
      </c>
      <c r="G196" s="193">
        <f t="shared" si="7"/>
        <v>41146198.799999997</v>
      </c>
    </row>
    <row r="197" spans="1:7" ht="45">
      <c r="A197" s="122" t="s">
        <v>510</v>
      </c>
      <c r="B197" s="123">
        <v>42760199</v>
      </c>
      <c r="C197" s="124" t="s">
        <v>511</v>
      </c>
      <c r="D197" s="123" t="s">
        <v>152</v>
      </c>
      <c r="E197" s="122">
        <v>18</v>
      </c>
      <c r="F197" s="125">
        <v>24632</v>
      </c>
      <c r="G197" s="193">
        <f t="shared" si="7"/>
        <v>443376</v>
      </c>
    </row>
    <row r="198" spans="1:7" ht="45">
      <c r="A198" s="122" t="s">
        <v>512</v>
      </c>
      <c r="B198" s="123">
        <v>42760201</v>
      </c>
      <c r="C198" s="124" t="s">
        <v>513</v>
      </c>
      <c r="D198" s="123" t="s">
        <v>152</v>
      </c>
      <c r="E198" s="122">
        <v>515</v>
      </c>
      <c r="F198" s="125">
        <v>239244</v>
      </c>
      <c r="G198" s="193">
        <f t="shared" si="7"/>
        <v>123210660</v>
      </c>
    </row>
    <row r="199" spans="1:7" ht="56.25">
      <c r="A199" s="122" t="s">
        <v>514</v>
      </c>
      <c r="B199" s="123">
        <v>42760202</v>
      </c>
      <c r="C199" s="124" t="s">
        <v>515</v>
      </c>
      <c r="D199" s="123" t="s">
        <v>152</v>
      </c>
      <c r="E199" s="125">
        <v>2322</v>
      </c>
      <c r="F199" s="125">
        <v>9471</v>
      </c>
      <c r="G199" s="193">
        <f t="shared" si="7"/>
        <v>21991662</v>
      </c>
    </row>
    <row r="200" spans="1:7" ht="78.75">
      <c r="A200" s="122" t="s">
        <v>516</v>
      </c>
      <c r="B200" s="123">
        <v>42760204</v>
      </c>
      <c r="C200" s="124" t="s">
        <v>517</v>
      </c>
      <c r="D200" s="123" t="s">
        <v>152</v>
      </c>
      <c r="E200" s="122">
        <v>51</v>
      </c>
      <c r="F200" s="125">
        <v>787260</v>
      </c>
      <c r="G200" s="193">
        <f t="shared" si="7"/>
        <v>40150260</v>
      </c>
    </row>
    <row r="201" spans="1:7" ht="67.5">
      <c r="A201" s="122" t="s">
        <v>518</v>
      </c>
      <c r="B201" s="123">
        <v>42760205</v>
      </c>
      <c r="C201" s="124" t="s">
        <v>519</v>
      </c>
      <c r="D201" s="123" t="s">
        <v>152</v>
      </c>
      <c r="E201" s="125">
        <v>5000</v>
      </c>
      <c r="F201" s="125">
        <v>92822</v>
      </c>
      <c r="G201" s="193">
        <f t="shared" si="7"/>
        <v>464110000</v>
      </c>
    </row>
    <row r="202" spans="1:7" ht="90">
      <c r="A202" s="122" t="s">
        <v>520</v>
      </c>
      <c r="B202" s="123">
        <v>42760206</v>
      </c>
      <c r="C202" s="124" t="s">
        <v>521</v>
      </c>
      <c r="D202" s="123" t="s">
        <v>152</v>
      </c>
      <c r="E202" s="122">
        <v>553</v>
      </c>
      <c r="F202" s="125">
        <v>175359</v>
      </c>
      <c r="G202" s="193">
        <f t="shared" si="7"/>
        <v>96973527</v>
      </c>
    </row>
    <row r="203" spans="1:7" ht="67.5">
      <c r="A203" s="122" t="s">
        <v>522</v>
      </c>
      <c r="B203" s="123">
        <v>42760207</v>
      </c>
      <c r="C203" s="124" t="s">
        <v>523</v>
      </c>
      <c r="D203" s="123" t="s">
        <v>152</v>
      </c>
      <c r="E203" s="122">
        <v>200</v>
      </c>
      <c r="F203" s="125">
        <v>92822</v>
      </c>
      <c r="G203" s="193">
        <f t="shared" si="7"/>
        <v>18564400</v>
      </c>
    </row>
    <row r="204" spans="1:7" ht="78.75">
      <c r="A204" s="122" t="s">
        <v>524</v>
      </c>
      <c r="B204" s="123">
        <v>42760208</v>
      </c>
      <c r="C204" s="124" t="s">
        <v>525</v>
      </c>
      <c r="D204" s="123" t="s">
        <v>152</v>
      </c>
      <c r="E204" s="122">
        <v>200</v>
      </c>
      <c r="F204" s="125">
        <v>248253</v>
      </c>
      <c r="G204" s="193">
        <f t="shared" si="7"/>
        <v>49650600</v>
      </c>
    </row>
    <row r="205" spans="1:7" ht="12" customHeight="1">
      <c r="A205" s="275" t="s">
        <v>526</v>
      </c>
      <c r="B205" s="275"/>
      <c r="C205" s="275"/>
      <c r="D205" s="275"/>
      <c r="E205" s="275"/>
      <c r="F205" s="224"/>
      <c r="G205" s="194">
        <f>SUM(G166:G204)</f>
        <v>9112521359.4099998</v>
      </c>
    </row>
    <row r="206" spans="1:7" ht="12" customHeight="1">
      <c r="A206" s="276" t="s">
        <v>527</v>
      </c>
      <c r="B206" s="276"/>
      <c r="C206" s="276"/>
      <c r="D206" s="276"/>
      <c r="E206" s="276"/>
      <c r="F206" s="276"/>
      <c r="G206" s="276"/>
    </row>
    <row r="207" spans="1:7" ht="45">
      <c r="A207" s="122" t="s">
        <v>528</v>
      </c>
      <c r="B207" s="123">
        <v>42760209</v>
      </c>
      <c r="C207" s="124" t="s">
        <v>529</v>
      </c>
      <c r="D207" s="123" t="s">
        <v>152</v>
      </c>
      <c r="E207" s="125">
        <v>6334</v>
      </c>
      <c r="F207" s="125">
        <v>33171.019999999997</v>
      </c>
      <c r="G207" s="193">
        <f>E207*F207</f>
        <v>210105240.67999998</v>
      </c>
    </row>
    <row r="208" spans="1:7" ht="56.25">
      <c r="A208" s="122" t="s">
        <v>530</v>
      </c>
      <c r="B208" s="123">
        <v>42760210</v>
      </c>
      <c r="C208" s="124" t="s">
        <v>531</v>
      </c>
      <c r="D208" s="123" t="s">
        <v>152</v>
      </c>
      <c r="E208" s="122">
        <v>550</v>
      </c>
      <c r="F208" s="125">
        <v>35251.29</v>
      </c>
      <c r="G208" s="193">
        <f t="shared" ref="G208:G249" si="8">E208*F208</f>
        <v>19388209.5</v>
      </c>
    </row>
    <row r="209" spans="1:7" ht="67.5">
      <c r="A209" s="122" t="s">
        <v>532</v>
      </c>
      <c r="B209" s="123">
        <v>42760211</v>
      </c>
      <c r="C209" s="124" t="s">
        <v>533</v>
      </c>
      <c r="D209" s="123" t="s">
        <v>152</v>
      </c>
      <c r="E209" s="122">
        <v>528</v>
      </c>
      <c r="F209" s="125">
        <v>130642.62</v>
      </c>
      <c r="G209" s="193">
        <f t="shared" si="8"/>
        <v>68979303.359999999</v>
      </c>
    </row>
    <row r="210" spans="1:7" ht="135">
      <c r="A210" s="122" t="s">
        <v>534</v>
      </c>
      <c r="B210" s="123">
        <v>42760212</v>
      </c>
      <c r="C210" s="124" t="s">
        <v>535</v>
      </c>
      <c r="D210" s="123" t="s">
        <v>152</v>
      </c>
      <c r="E210" s="122">
        <v>866</v>
      </c>
      <c r="F210" s="125">
        <v>254310.8</v>
      </c>
      <c r="G210" s="193">
        <f t="shared" si="8"/>
        <v>220233152.79999998</v>
      </c>
    </row>
    <row r="211" spans="1:7" ht="56.25">
      <c r="A211" s="122" t="s">
        <v>536</v>
      </c>
      <c r="B211" s="123">
        <v>42760213</v>
      </c>
      <c r="C211" s="124" t="s">
        <v>537</v>
      </c>
      <c r="D211" s="123" t="s">
        <v>152</v>
      </c>
      <c r="E211" s="122">
        <v>976</v>
      </c>
      <c r="F211" s="125">
        <v>5881</v>
      </c>
      <c r="G211" s="193">
        <f t="shared" si="8"/>
        <v>5739856</v>
      </c>
    </row>
    <row r="212" spans="1:7" ht="112.5">
      <c r="A212" s="122" t="s">
        <v>538</v>
      </c>
      <c r="B212" s="123">
        <v>42760214</v>
      </c>
      <c r="C212" s="124" t="s">
        <v>539</v>
      </c>
      <c r="D212" s="123" t="s">
        <v>152</v>
      </c>
      <c r="E212" s="125">
        <v>2981</v>
      </c>
      <c r="F212" s="125">
        <v>156127.79999999999</v>
      </c>
      <c r="G212" s="193">
        <f t="shared" si="8"/>
        <v>465416971.79999995</v>
      </c>
    </row>
    <row r="213" spans="1:7" ht="101.25">
      <c r="A213" s="122" t="s">
        <v>540</v>
      </c>
      <c r="B213" s="123">
        <v>42760216</v>
      </c>
      <c r="C213" s="124" t="s">
        <v>541</v>
      </c>
      <c r="D213" s="123" t="s">
        <v>152</v>
      </c>
      <c r="E213" s="122">
        <v>102</v>
      </c>
      <c r="F213" s="125">
        <v>77063.08</v>
      </c>
      <c r="G213" s="193">
        <f t="shared" si="8"/>
        <v>7860434.1600000001</v>
      </c>
    </row>
    <row r="214" spans="1:7" ht="12" customHeight="1">
      <c r="A214" s="122" t="s">
        <v>542</v>
      </c>
      <c r="B214" s="123">
        <v>42760217</v>
      </c>
      <c r="C214" s="124" t="s">
        <v>543</v>
      </c>
      <c r="D214" s="123" t="s">
        <v>152</v>
      </c>
      <c r="E214" s="122">
        <v>13</v>
      </c>
      <c r="F214" s="125">
        <v>56715.14</v>
      </c>
      <c r="G214" s="193">
        <f t="shared" si="8"/>
        <v>737296.82</v>
      </c>
    </row>
    <row r="215" spans="1:7" ht="12" customHeight="1">
      <c r="A215" s="122" t="s">
        <v>544</v>
      </c>
      <c r="B215" s="123">
        <v>42760221</v>
      </c>
      <c r="C215" s="124" t="s">
        <v>545</v>
      </c>
      <c r="D215" s="123" t="s">
        <v>152</v>
      </c>
      <c r="E215" s="125">
        <v>3406</v>
      </c>
      <c r="F215" s="125">
        <v>199920</v>
      </c>
      <c r="G215" s="193">
        <f t="shared" si="8"/>
        <v>680927520</v>
      </c>
    </row>
    <row r="216" spans="1:7" ht="56.25">
      <c r="A216" s="122" t="s">
        <v>546</v>
      </c>
      <c r="B216" s="123">
        <v>42760223</v>
      </c>
      <c r="C216" s="124" t="s">
        <v>547</v>
      </c>
      <c r="D216" s="123" t="s">
        <v>152</v>
      </c>
      <c r="E216" s="122">
        <v>132</v>
      </c>
      <c r="F216" s="125">
        <v>196945</v>
      </c>
      <c r="G216" s="193">
        <f t="shared" si="8"/>
        <v>25996740</v>
      </c>
    </row>
    <row r="217" spans="1:7" ht="78.75">
      <c r="A217" s="122" t="s">
        <v>548</v>
      </c>
      <c r="B217" s="123">
        <v>42760224</v>
      </c>
      <c r="C217" s="124" t="s">
        <v>549</v>
      </c>
      <c r="D217" s="123" t="s">
        <v>152</v>
      </c>
      <c r="E217" s="122">
        <v>249</v>
      </c>
      <c r="F217" s="125">
        <v>90916.33</v>
      </c>
      <c r="G217" s="193">
        <f t="shared" si="8"/>
        <v>22638166.170000002</v>
      </c>
    </row>
    <row r="218" spans="1:7" ht="45">
      <c r="A218" s="122" t="s">
        <v>550</v>
      </c>
      <c r="B218" s="123">
        <v>42760225</v>
      </c>
      <c r="C218" s="124" t="s">
        <v>551</v>
      </c>
      <c r="D218" s="123" t="s">
        <v>163</v>
      </c>
      <c r="E218" s="122">
        <v>104</v>
      </c>
      <c r="F218" s="125">
        <v>28054.25</v>
      </c>
      <c r="G218" s="193">
        <f t="shared" si="8"/>
        <v>2917642</v>
      </c>
    </row>
    <row r="219" spans="1:7" ht="56.25">
      <c r="A219" s="122" t="s">
        <v>552</v>
      </c>
      <c r="B219" s="123">
        <v>42760226</v>
      </c>
      <c r="C219" s="124" t="s">
        <v>553</v>
      </c>
      <c r="D219" s="123" t="s">
        <v>163</v>
      </c>
      <c r="E219" s="125">
        <v>1842</v>
      </c>
      <c r="F219" s="125">
        <v>21040.75</v>
      </c>
      <c r="G219" s="193">
        <f t="shared" si="8"/>
        <v>38757061.5</v>
      </c>
    </row>
    <row r="220" spans="1:7" ht="67.5">
      <c r="A220" s="122" t="s">
        <v>554</v>
      </c>
      <c r="B220" s="123">
        <v>42760228</v>
      </c>
      <c r="C220" s="124" t="s">
        <v>555</v>
      </c>
      <c r="D220" s="123" t="s">
        <v>163</v>
      </c>
      <c r="E220" s="125">
        <v>1575</v>
      </c>
      <c r="F220" s="125">
        <v>15790</v>
      </c>
      <c r="G220" s="193">
        <f t="shared" si="8"/>
        <v>24869250</v>
      </c>
    </row>
    <row r="221" spans="1:7" ht="45">
      <c r="A221" s="122" t="s">
        <v>556</v>
      </c>
      <c r="B221" s="123">
        <v>42760229</v>
      </c>
      <c r="C221" s="124" t="s">
        <v>557</v>
      </c>
      <c r="D221" s="123" t="s">
        <v>163</v>
      </c>
      <c r="E221" s="122">
        <v>161</v>
      </c>
      <c r="F221" s="125">
        <v>11304.07</v>
      </c>
      <c r="G221" s="193">
        <f t="shared" si="8"/>
        <v>1819955.27</v>
      </c>
    </row>
    <row r="222" spans="1:7" ht="56.25">
      <c r="A222" s="122" t="s">
        <v>558</v>
      </c>
      <c r="B222" s="123">
        <v>42760230</v>
      </c>
      <c r="C222" s="124" t="s">
        <v>559</v>
      </c>
      <c r="D222" s="123" t="s">
        <v>163</v>
      </c>
      <c r="E222" s="122">
        <v>45</v>
      </c>
      <c r="F222" s="125">
        <v>27246.47</v>
      </c>
      <c r="G222" s="193">
        <f t="shared" si="8"/>
        <v>1226091.1500000001</v>
      </c>
    </row>
    <row r="223" spans="1:7" ht="56.25">
      <c r="A223" s="122" t="s">
        <v>560</v>
      </c>
      <c r="B223" s="123">
        <v>42760231</v>
      </c>
      <c r="C223" s="124" t="s">
        <v>561</v>
      </c>
      <c r="D223" s="123" t="s">
        <v>163</v>
      </c>
      <c r="E223" s="122">
        <v>165</v>
      </c>
      <c r="F223" s="125">
        <v>8595.4</v>
      </c>
      <c r="G223" s="193">
        <f t="shared" si="8"/>
        <v>1418241</v>
      </c>
    </row>
    <row r="224" spans="1:7" ht="78.75">
      <c r="A224" s="122" t="s">
        <v>562</v>
      </c>
      <c r="B224" s="123">
        <v>42760232</v>
      </c>
      <c r="C224" s="124" t="s">
        <v>563</v>
      </c>
      <c r="D224" s="123" t="s">
        <v>149</v>
      </c>
      <c r="E224" s="122">
        <v>1</v>
      </c>
      <c r="F224" s="125">
        <v>714000000</v>
      </c>
      <c r="G224" s="193">
        <f t="shared" si="8"/>
        <v>714000000</v>
      </c>
    </row>
    <row r="225" spans="1:8" ht="45">
      <c r="A225" s="122" t="s">
        <v>564</v>
      </c>
      <c r="B225" s="123">
        <v>42760233</v>
      </c>
      <c r="C225" s="124" t="s">
        <v>565</v>
      </c>
      <c r="D225" s="123" t="s">
        <v>152</v>
      </c>
      <c r="E225" s="125">
        <v>6000</v>
      </c>
      <c r="F225" s="125">
        <v>33171.019999999997</v>
      </c>
      <c r="G225" s="193">
        <f t="shared" si="8"/>
        <v>199026119.99999997</v>
      </c>
    </row>
    <row r="226" spans="1:8" ht="56.25">
      <c r="A226" s="122" t="s">
        <v>566</v>
      </c>
      <c r="B226" s="123">
        <v>42760234</v>
      </c>
      <c r="C226" s="124" t="s">
        <v>567</v>
      </c>
      <c r="D226" s="123" t="s">
        <v>152</v>
      </c>
      <c r="E226" s="122">
        <v>624</v>
      </c>
      <c r="F226" s="125">
        <v>35251.29</v>
      </c>
      <c r="G226" s="193">
        <f t="shared" si="8"/>
        <v>21996804.960000001</v>
      </c>
    </row>
    <row r="227" spans="1:8" ht="67.5">
      <c r="A227" s="122" t="s">
        <v>568</v>
      </c>
      <c r="B227" s="123">
        <v>42760235</v>
      </c>
      <c r="C227" s="124" t="s">
        <v>569</v>
      </c>
      <c r="D227" s="123" t="s">
        <v>152</v>
      </c>
      <c r="E227" s="122">
        <v>500</v>
      </c>
      <c r="F227" s="125">
        <v>130642.62</v>
      </c>
      <c r="G227" s="193">
        <f t="shared" si="8"/>
        <v>65321310</v>
      </c>
      <c r="H227" s="117">
        <v>564</v>
      </c>
    </row>
    <row r="228" spans="1:8" ht="112.5">
      <c r="A228" s="122" t="s">
        <v>570</v>
      </c>
      <c r="B228" s="123">
        <v>42760236</v>
      </c>
      <c r="C228" s="124" t="s">
        <v>571</v>
      </c>
      <c r="D228" s="123" t="s">
        <v>152</v>
      </c>
      <c r="E228" s="125">
        <v>3329</v>
      </c>
      <c r="F228" s="125">
        <v>156127.79999999999</v>
      </c>
      <c r="G228" s="193">
        <f t="shared" si="8"/>
        <v>519749446.19999999</v>
      </c>
      <c r="H228" s="117">
        <v>3429</v>
      </c>
    </row>
    <row r="229" spans="1:8" ht="101.25">
      <c r="A229" s="122" t="s">
        <v>572</v>
      </c>
      <c r="B229" s="123">
        <v>42760238</v>
      </c>
      <c r="C229" s="124" t="s">
        <v>573</v>
      </c>
      <c r="D229" s="123" t="s">
        <v>152</v>
      </c>
      <c r="E229" s="122">
        <v>100</v>
      </c>
      <c r="F229" s="125">
        <v>77063.08</v>
      </c>
      <c r="G229" s="193">
        <f t="shared" si="8"/>
        <v>7706308</v>
      </c>
    </row>
    <row r="230" spans="1:8" ht="112.5">
      <c r="A230" s="122" t="s">
        <v>574</v>
      </c>
      <c r="B230" s="123">
        <v>42760239</v>
      </c>
      <c r="C230" s="124" t="s">
        <v>575</v>
      </c>
      <c r="D230" s="123" t="s">
        <v>152</v>
      </c>
      <c r="E230" s="122">
        <v>24</v>
      </c>
      <c r="F230" s="125">
        <v>56715.14</v>
      </c>
      <c r="G230" s="193">
        <f t="shared" si="8"/>
        <v>1361163.3599999999</v>
      </c>
    </row>
    <row r="231" spans="1:8" ht="90">
      <c r="A231" s="122" t="s">
        <v>576</v>
      </c>
      <c r="B231" s="123">
        <v>42760240</v>
      </c>
      <c r="C231" s="124" t="s">
        <v>577</v>
      </c>
      <c r="D231" s="123" t="s">
        <v>152</v>
      </c>
      <c r="E231" s="122">
        <v>65</v>
      </c>
      <c r="F231" s="125">
        <v>154700</v>
      </c>
      <c r="G231" s="193">
        <f t="shared" si="8"/>
        <v>10055500</v>
      </c>
    </row>
    <row r="232" spans="1:8" ht="90">
      <c r="A232" s="122" t="s">
        <v>578</v>
      </c>
      <c r="B232" s="123">
        <v>42760241</v>
      </c>
      <c r="C232" s="124" t="s">
        <v>579</v>
      </c>
      <c r="D232" s="123" t="s">
        <v>152</v>
      </c>
      <c r="E232" s="122">
        <v>85</v>
      </c>
      <c r="F232" s="125">
        <v>74502</v>
      </c>
      <c r="G232" s="193">
        <f t="shared" si="8"/>
        <v>6332670</v>
      </c>
    </row>
    <row r="233" spans="1:8" ht="90">
      <c r="A233" s="122" t="s">
        <v>580</v>
      </c>
      <c r="B233" s="123">
        <v>42760242</v>
      </c>
      <c r="C233" s="124" t="s">
        <v>581</v>
      </c>
      <c r="D233" s="123" t="s">
        <v>152</v>
      </c>
      <c r="E233" s="122">
        <v>687</v>
      </c>
      <c r="F233" s="125">
        <v>108484.42</v>
      </c>
      <c r="G233" s="193">
        <f t="shared" si="8"/>
        <v>74528796.539999992</v>
      </c>
    </row>
    <row r="234" spans="1:8" ht="78.75">
      <c r="A234" s="122" t="s">
        <v>582</v>
      </c>
      <c r="B234" s="123">
        <v>42760243</v>
      </c>
      <c r="C234" s="124" t="s">
        <v>583</v>
      </c>
      <c r="D234" s="123" t="s">
        <v>152</v>
      </c>
      <c r="E234" s="125">
        <v>2000</v>
      </c>
      <c r="F234" s="125">
        <v>199920</v>
      </c>
      <c r="G234" s="193">
        <f t="shared" si="8"/>
        <v>399840000</v>
      </c>
      <c r="H234" s="117">
        <v>2322</v>
      </c>
    </row>
    <row r="235" spans="1:8" ht="78.75">
      <c r="A235" s="122" t="s">
        <v>584</v>
      </c>
      <c r="B235" s="123">
        <v>42760244</v>
      </c>
      <c r="C235" s="124" t="s">
        <v>585</v>
      </c>
      <c r="D235" s="123" t="s">
        <v>152</v>
      </c>
      <c r="E235" s="122">
        <v>277</v>
      </c>
      <c r="F235" s="125">
        <v>1492993</v>
      </c>
      <c r="G235" s="193">
        <f t="shared" si="8"/>
        <v>413559061</v>
      </c>
    </row>
    <row r="236" spans="1:8" ht="56.25">
      <c r="A236" s="122" t="s">
        <v>586</v>
      </c>
      <c r="B236" s="123">
        <v>42760245</v>
      </c>
      <c r="C236" s="124" t="s">
        <v>587</v>
      </c>
      <c r="D236" s="123" t="s">
        <v>152</v>
      </c>
      <c r="E236" s="122">
        <v>151</v>
      </c>
      <c r="F236" s="125">
        <v>196945</v>
      </c>
      <c r="G236" s="193">
        <f t="shared" si="8"/>
        <v>29738695</v>
      </c>
      <c r="H236" s="117">
        <v>151</v>
      </c>
    </row>
    <row r="237" spans="1:8" ht="78.75">
      <c r="A237" s="122" t="s">
        <v>588</v>
      </c>
      <c r="B237" s="123">
        <v>42760246</v>
      </c>
      <c r="C237" s="124" t="s">
        <v>589</v>
      </c>
      <c r="D237" s="123" t="s">
        <v>152</v>
      </c>
      <c r="E237" s="122">
        <v>145</v>
      </c>
      <c r="F237" s="125">
        <v>90916.33</v>
      </c>
      <c r="G237" s="193">
        <f t="shared" si="8"/>
        <v>13182867.85</v>
      </c>
    </row>
    <row r="238" spans="1:8" ht="67.5">
      <c r="A238" s="122" t="s">
        <v>590</v>
      </c>
      <c r="B238" s="123">
        <v>42760247</v>
      </c>
      <c r="C238" s="124" t="s">
        <v>591</v>
      </c>
      <c r="D238" s="123" t="s">
        <v>152</v>
      </c>
      <c r="E238" s="122">
        <v>66</v>
      </c>
      <c r="F238" s="125">
        <v>44723.18</v>
      </c>
      <c r="G238" s="193">
        <f t="shared" si="8"/>
        <v>2951729.88</v>
      </c>
    </row>
    <row r="239" spans="1:8" ht="56.25">
      <c r="A239" s="122" t="s">
        <v>592</v>
      </c>
      <c r="B239" s="123">
        <v>42760248</v>
      </c>
      <c r="C239" s="124" t="s">
        <v>593</v>
      </c>
      <c r="D239" s="123" t="s">
        <v>163</v>
      </c>
      <c r="E239" s="125">
        <v>1272</v>
      </c>
      <c r="F239" s="125">
        <v>21040.75</v>
      </c>
      <c r="G239" s="193">
        <f t="shared" si="8"/>
        <v>26763834</v>
      </c>
    </row>
    <row r="240" spans="1:8" ht="45">
      <c r="A240" s="122" t="s">
        <v>594</v>
      </c>
      <c r="B240" s="123">
        <v>42760249</v>
      </c>
      <c r="C240" s="124" t="s">
        <v>595</v>
      </c>
      <c r="D240" s="123" t="s">
        <v>163</v>
      </c>
      <c r="E240" s="122">
        <v>213</v>
      </c>
      <c r="F240" s="125">
        <v>31654.28</v>
      </c>
      <c r="G240" s="193">
        <f t="shared" si="8"/>
        <v>6742361.6399999997</v>
      </c>
    </row>
    <row r="241" spans="1:7" ht="67.5">
      <c r="A241" s="122" t="s">
        <v>596</v>
      </c>
      <c r="B241" s="123">
        <v>42760250</v>
      </c>
      <c r="C241" s="124" t="s">
        <v>597</v>
      </c>
      <c r="D241" s="123" t="s">
        <v>163</v>
      </c>
      <c r="E241" s="125">
        <v>1000</v>
      </c>
      <c r="F241" s="125">
        <v>15790</v>
      </c>
      <c r="G241" s="193">
        <f t="shared" si="8"/>
        <v>15790000</v>
      </c>
    </row>
    <row r="242" spans="1:7" ht="45">
      <c r="A242" s="122" t="s">
        <v>598</v>
      </c>
      <c r="B242" s="123">
        <v>42760251</v>
      </c>
      <c r="C242" s="124" t="s">
        <v>599</v>
      </c>
      <c r="D242" s="123" t="s">
        <v>163</v>
      </c>
      <c r="E242" s="122">
        <v>100</v>
      </c>
      <c r="F242" s="125">
        <v>11304.07</v>
      </c>
      <c r="G242" s="193">
        <f t="shared" si="8"/>
        <v>1130407</v>
      </c>
    </row>
    <row r="243" spans="1:7" ht="56.25">
      <c r="A243" s="122" t="s">
        <v>600</v>
      </c>
      <c r="B243" s="123">
        <v>42760252</v>
      </c>
      <c r="C243" s="124" t="s">
        <v>601</v>
      </c>
      <c r="D243" s="123" t="s">
        <v>163</v>
      </c>
      <c r="E243" s="122">
        <v>36</v>
      </c>
      <c r="F243" s="125">
        <v>27246.47</v>
      </c>
      <c r="G243" s="193">
        <f t="shared" si="8"/>
        <v>980872.92</v>
      </c>
    </row>
    <row r="244" spans="1:7" ht="56.25">
      <c r="A244" s="122" t="s">
        <v>602</v>
      </c>
      <c r="B244" s="123">
        <v>42760253</v>
      </c>
      <c r="C244" s="124" t="s">
        <v>603</v>
      </c>
      <c r="D244" s="123" t="s">
        <v>163</v>
      </c>
      <c r="E244" s="122">
        <v>168</v>
      </c>
      <c r="F244" s="125">
        <v>8595.4</v>
      </c>
      <c r="G244" s="193">
        <f t="shared" si="8"/>
        <v>1444027.2</v>
      </c>
    </row>
    <row r="245" spans="1:7" ht="123.75">
      <c r="A245" s="122" t="s">
        <v>604</v>
      </c>
      <c r="B245" s="123">
        <v>42760254</v>
      </c>
      <c r="C245" s="124" t="s">
        <v>605</v>
      </c>
      <c r="D245" s="123" t="s">
        <v>152</v>
      </c>
      <c r="E245" s="122">
        <v>101</v>
      </c>
      <c r="F245" s="125">
        <v>93482.76</v>
      </c>
      <c r="G245" s="193">
        <f t="shared" si="8"/>
        <v>9441758.7599999998</v>
      </c>
    </row>
    <row r="246" spans="1:7" ht="56.25">
      <c r="A246" s="122" t="s">
        <v>606</v>
      </c>
      <c r="B246" s="123">
        <v>42760255</v>
      </c>
      <c r="C246" s="124" t="s">
        <v>607</v>
      </c>
      <c r="D246" s="123" t="s">
        <v>152</v>
      </c>
      <c r="E246" s="122">
        <v>15</v>
      </c>
      <c r="F246" s="125">
        <v>56150.94</v>
      </c>
      <c r="G246" s="193">
        <f t="shared" si="8"/>
        <v>842264.10000000009</v>
      </c>
    </row>
    <row r="247" spans="1:7" ht="45">
      <c r="A247" s="122" t="s">
        <v>608</v>
      </c>
      <c r="B247" s="123">
        <v>42760256</v>
      </c>
      <c r="C247" s="124" t="s">
        <v>609</v>
      </c>
      <c r="D247" s="123" t="s">
        <v>152</v>
      </c>
      <c r="E247" s="125">
        <v>3266</v>
      </c>
      <c r="F247" s="125">
        <v>8268.18</v>
      </c>
      <c r="G247" s="193">
        <f t="shared" si="8"/>
        <v>27003875.880000003</v>
      </c>
    </row>
    <row r="248" spans="1:7" ht="45">
      <c r="A248" s="122" t="s">
        <v>610</v>
      </c>
      <c r="B248" s="123">
        <v>42760257</v>
      </c>
      <c r="C248" s="124" t="s">
        <v>611</v>
      </c>
      <c r="D248" s="123" t="s">
        <v>163</v>
      </c>
      <c r="E248" s="125">
        <v>1297</v>
      </c>
      <c r="F248" s="125">
        <v>3429.3</v>
      </c>
      <c r="G248" s="193">
        <f t="shared" si="8"/>
        <v>4447802.1000000006</v>
      </c>
    </row>
    <row r="249" spans="1:7" ht="22.5">
      <c r="A249" s="122" t="s">
        <v>612</v>
      </c>
      <c r="B249" s="123">
        <v>42760258</v>
      </c>
      <c r="C249" s="124" t="s">
        <v>613</v>
      </c>
      <c r="D249" s="123" t="s">
        <v>152</v>
      </c>
      <c r="E249" s="125">
        <v>7436</v>
      </c>
      <c r="F249" s="125">
        <v>3881.04</v>
      </c>
      <c r="G249" s="193">
        <f t="shared" si="8"/>
        <v>28859413.440000001</v>
      </c>
    </row>
    <row r="250" spans="1:7" ht="12" customHeight="1">
      <c r="A250" s="275" t="s">
        <v>614</v>
      </c>
      <c r="B250" s="275"/>
      <c r="C250" s="275"/>
      <c r="D250" s="275"/>
      <c r="E250" s="275"/>
      <c r="F250" s="224"/>
      <c r="G250" s="194">
        <f>SUM(G207:G249)</f>
        <v>4401828222.0400009</v>
      </c>
    </row>
    <row r="251" spans="1:7" ht="12" customHeight="1">
      <c r="A251" s="276" t="s">
        <v>615</v>
      </c>
      <c r="B251" s="276"/>
      <c r="C251" s="276"/>
      <c r="D251" s="276"/>
      <c r="E251" s="276"/>
      <c r="F251" s="276"/>
      <c r="G251" s="276"/>
    </row>
    <row r="252" spans="1:7" ht="33.75">
      <c r="A252" s="122" t="s">
        <v>616</v>
      </c>
      <c r="B252" s="123">
        <v>42760259</v>
      </c>
      <c r="C252" s="124" t="s">
        <v>617</v>
      </c>
      <c r="D252" s="123" t="s">
        <v>140</v>
      </c>
      <c r="E252" s="122">
        <v>1</v>
      </c>
      <c r="F252" s="125">
        <v>92580096</v>
      </c>
      <c r="G252" s="193">
        <f>E252*F252</f>
        <v>92580096</v>
      </c>
    </row>
    <row r="253" spans="1:7" ht="33.75">
      <c r="A253" s="122" t="s">
        <v>618</v>
      </c>
      <c r="B253" s="123">
        <v>42760260</v>
      </c>
      <c r="C253" s="124" t="s">
        <v>619</v>
      </c>
      <c r="D253" s="123" t="s">
        <v>140</v>
      </c>
      <c r="E253" s="122">
        <v>1</v>
      </c>
      <c r="F253" s="125">
        <v>24559258.620000001</v>
      </c>
      <c r="G253" s="193">
        <f t="shared" ref="G253:G280" si="9">E253*F253</f>
        <v>24559258.620000001</v>
      </c>
    </row>
    <row r="254" spans="1:7" ht="22.5">
      <c r="A254" s="122" t="s">
        <v>620</v>
      </c>
      <c r="B254" s="123">
        <v>42760261</v>
      </c>
      <c r="C254" s="124" t="s">
        <v>621</v>
      </c>
      <c r="D254" s="123" t="s">
        <v>140</v>
      </c>
      <c r="E254" s="122">
        <v>1</v>
      </c>
      <c r="F254" s="125">
        <v>208401456.38999999</v>
      </c>
      <c r="G254" s="193">
        <f t="shared" si="9"/>
        <v>208401456.38999999</v>
      </c>
    </row>
    <row r="255" spans="1:7" ht="33.75">
      <c r="A255" s="122" t="s">
        <v>622</v>
      </c>
      <c r="B255" s="123">
        <v>42760262</v>
      </c>
      <c r="C255" s="124" t="s">
        <v>623</v>
      </c>
      <c r="D255" s="123" t="s">
        <v>163</v>
      </c>
      <c r="E255" s="125">
        <v>5039</v>
      </c>
      <c r="F255" s="125">
        <v>13233.15</v>
      </c>
      <c r="G255" s="193">
        <f t="shared" si="9"/>
        <v>66681842.850000001</v>
      </c>
    </row>
    <row r="256" spans="1:7" ht="33.75">
      <c r="A256" s="122" t="s">
        <v>624</v>
      </c>
      <c r="B256" s="123">
        <v>42760263</v>
      </c>
      <c r="C256" s="124" t="s">
        <v>625</v>
      </c>
      <c r="D256" s="123" t="s">
        <v>152</v>
      </c>
      <c r="E256" s="125">
        <v>11290</v>
      </c>
      <c r="F256" s="125">
        <v>7140</v>
      </c>
      <c r="G256" s="193">
        <f t="shared" si="9"/>
        <v>80610600</v>
      </c>
    </row>
    <row r="257" spans="1:7" ht="45">
      <c r="A257" s="122" t="s">
        <v>626</v>
      </c>
      <c r="B257" s="123">
        <v>42760264</v>
      </c>
      <c r="C257" s="124" t="s">
        <v>627</v>
      </c>
      <c r="D257" s="123" t="s">
        <v>140</v>
      </c>
      <c r="E257" s="122">
        <v>1</v>
      </c>
      <c r="F257" s="125">
        <v>3939771825</v>
      </c>
      <c r="G257" s="193">
        <f t="shared" si="9"/>
        <v>3939771825</v>
      </c>
    </row>
    <row r="258" spans="1:7" ht="67.5">
      <c r="A258" s="122" t="s">
        <v>628</v>
      </c>
      <c r="B258" s="123">
        <v>42760266</v>
      </c>
      <c r="C258" s="124" t="s">
        <v>629</v>
      </c>
      <c r="D258" s="123" t="s">
        <v>163</v>
      </c>
      <c r="E258" s="122">
        <v>122</v>
      </c>
      <c r="F258" s="125">
        <v>179000</v>
      </c>
      <c r="G258" s="193">
        <f t="shared" si="9"/>
        <v>21838000</v>
      </c>
    </row>
    <row r="259" spans="1:7" ht="12" customHeight="1">
      <c r="A259" s="122" t="s">
        <v>630</v>
      </c>
      <c r="B259" s="123">
        <v>42760268</v>
      </c>
      <c r="C259" s="124" t="s">
        <v>631</v>
      </c>
      <c r="D259" s="123" t="s">
        <v>163</v>
      </c>
      <c r="E259" s="122">
        <v>144</v>
      </c>
      <c r="F259" s="125">
        <v>389122</v>
      </c>
      <c r="G259" s="193">
        <f t="shared" si="9"/>
        <v>56033568</v>
      </c>
    </row>
    <row r="260" spans="1:7" ht="12" customHeight="1">
      <c r="A260" s="122" t="s">
        <v>632</v>
      </c>
      <c r="B260" s="123">
        <v>42760269</v>
      </c>
      <c r="C260" s="124" t="s">
        <v>633</v>
      </c>
      <c r="D260" s="123" t="s">
        <v>163</v>
      </c>
      <c r="E260" s="122">
        <v>151</v>
      </c>
      <c r="F260" s="125">
        <v>88008</v>
      </c>
      <c r="G260" s="193">
        <f t="shared" si="9"/>
        <v>13289208</v>
      </c>
    </row>
    <row r="261" spans="1:7" ht="56.25">
      <c r="A261" s="122" t="s">
        <v>634</v>
      </c>
      <c r="B261" s="123">
        <v>42760270</v>
      </c>
      <c r="C261" s="124" t="s">
        <v>635</v>
      </c>
      <c r="D261" s="123" t="s">
        <v>149</v>
      </c>
      <c r="E261" s="122">
        <v>11</v>
      </c>
      <c r="F261" s="125">
        <v>85001</v>
      </c>
      <c r="G261" s="193">
        <f t="shared" si="9"/>
        <v>935011</v>
      </c>
    </row>
    <row r="262" spans="1:7" ht="56.25">
      <c r="A262" s="122" t="s">
        <v>636</v>
      </c>
      <c r="B262" s="123">
        <v>42760271</v>
      </c>
      <c r="C262" s="124" t="s">
        <v>637</v>
      </c>
      <c r="D262" s="123" t="s">
        <v>149</v>
      </c>
      <c r="E262" s="122">
        <v>1</v>
      </c>
      <c r="F262" s="125">
        <v>559300</v>
      </c>
      <c r="G262" s="193">
        <f t="shared" si="9"/>
        <v>559300</v>
      </c>
    </row>
    <row r="263" spans="1:7" ht="22.5">
      <c r="A263" s="122" t="s">
        <v>638</v>
      </c>
      <c r="B263" s="123">
        <v>42760273</v>
      </c>
      <c r="C263" s="124" t="s">
        <v>639</v>
      </c>
      <c r="D263" s="123" t="s">
        <v>140</v>
      </c>
      <c r="E263" s="122">
        <v>1</v>
      </c>
      <c r="F263" s="125">
        <v>116304412</v>
      </c>
      <c r="G263" s="193">
        <f t="shared" si="9"/>
        <v>116304412</v>
      </c>
    </row>
    <row r="264" spans="1:7" ht="33.75">
      <c r="A264" s="122" t="s">
        <v>640</v>
      </c>
      <c r="B264" s="123">
        <v>42760274</v>
      </c>
      <c r="C264" s="124" t="s">
        <v>641</v>
      </c>
      <c r="D264" s="123" t="s">
        <v>140</v>
      </c>
      <c r="E264" s="122">
        <v>1</v>
      </c>
      <c r="F264" s="125">
        <v>31082328.859999999</v>
      </c>
      <c r="G264" s="193">
        <f t="shared" si="9"/>
        <v>31082328.859999999</v>
      </c>
    </row>
    <row r="265" spans="1:7" ht="22.5">
      <c r="A265" s="122" t="s">
        <v>642</v>
      </c>
      <c r="B265" s="123">
        <v>42760275</v>
      </c>
      <c r="C265" s="124" t="s">
        <v>643</v>
      </c>
      <c r="D265" s="123" t="s">
        <v>140</v>
      </c>
      <c r="E265" s="122">
        <v>1</v>
      </c>
      <c r="F265" s="125">
        <v>126718140.33</v>
      </c>
      <c r="G265" s="193">
        <f t="shared" si="9"/>
        <v>126718140.33</v>
      </c>
    </row>
    <row r="266" spans="1:7" ht="67.5">
      <c r="A266" s="122" t="s">
        <v>644</v>
      </c>
      <c r="B266" s="123">
        <v>42760280</v>
      </c>
      <c r="C266" s="124" t="s">
        <v>645</v>
      </c>
      <c r="D266" s="123" t="s">
        <v>163</v>
      </c>
      <c r="E266" s="122">
        <v>15</v>
      </c>
      <c r="F266" s="125">
        <v>119981.56</v>
      </c>
      <c r="G266" s="193">
        <f t="shared" si="9"/>
        <v>1799723.4</v>
      </c>
    </row>
    <row r="267" spans="1:7" ht="67.5">
      <c r="A267" s="122" t="s">
        <v>646</v>
      </c>
      <c r="B267" s="123">
        <v>42760281</v>
      </c>
      <c r="C267" s="124" t="s">
        <v>647</v>
      </c>
      <c r="D267" s="123" t="s">
        <v>163</v>
      </c>
      <c r="E267" s="122">
        <v>78</v>
      </c>
      <c r="F267" s="125">
        <v>249000</v>
      </c>
      <c r="G267" s="193">
        <f t="shared" si="9"/>
        <v>19422000</v>
      </c>
    </row>
    <row r="268" spans="1:7" ht="56.25">
      <c r="A268" s="122" t="s">
        <v>648</v>
      </c>
      <c r="B268" s="123">
        <v>42760282</v>
      </c>
      <c r="C268" s="124" t="s">
        <v>649</v>
      </c>
      <c r="D268" s="123" t="s">
        <v>163</v>
      </c>
      <c r="E268" s="122">
        <v>88</v>
      </c>
      <c r="F268" s="125">
        <v>88008</v>
      </c>
      <c r="G268" s="193">
        <f t="shared" si="9"/>
        <v>7744704</v>
      </c>
    </row>
    <row r="269" spans="1:7" ht="101.25">
      <c r="A269" s="122" t="s">
        <v>650</v>
      </c>
      <c r="B269" s="123">
        <v>42760283</v>
      </c>
      <c r="C269" s="124" t="s">
        <v>651</v>
      </c>
      <c r="D269" s="123" t="s">
        <v>163</v>
      </c>
      <c r="E269" s="122">
        <v>152</v>
      </c>
      <c r="F269" s="125">
        <v>389122</v>
      </c>
      <c r="G269" s="193">
        <f t="shared" si="9"/>
        <v>59146544</v>
      </c>
    </row>
    <row r="270" spans="1:7" ht="78.75">
      <c r="A270" s="122" t="s">
        <v>652</v>
      </c>
      <c r="B270" s="123">
        <v>42760284</v>
      </c>
      <c r="C270" s="124" t="s">
        <v>653</v>
      </c>
      <c r="D270" s="123" t="s">
        <v>163</v>
      </c>
      <c r="E270" s="122">
        <v>470</v>
      </c>
      <c r="F270" s="125">
        <v>88008</v>
      </c>
      <c r="G270" s="193">
        <f t="shared" si="9"/>
        <v>41363760</v>
      </c>
    </row>
    <row r="271" spans="1:7" ht="56.25">
      <c r="A271" s="122" t="s">
        <v>654</v>
      </c>
      <c r="B271" s="123">
        <v>42760285</v>
      </c>
      <c r="C271" s="124" t="s">
        <v>655</v>
      </c>
      <c r="D271" s="123" t="s">
        <v>152</v>
      </c>
      <c r="E271" s="122">
        <v>333</v>
      </c>
      <c r="F271" s="125">
        <v>798952.28</v>
      </c>
      <c r="G271" s="193">
        <f t="shared" si="9"/>
        <v>266051109.24000001</v>
      </c>
    </row>
    <row r="272" spans="1:7" ht="56.25">
      <c r="A272" s="122" t="s">
        <v>656</v>
      </c>
      <c r="B272" s="123">
        <v>42760286</v>
      </c>
      <c r="C272" s="124" t="s">
        <v>657</v>
      </c>
      <c r="D272" s="123" t="s">
        <v>149</v>
      </c>
      <c r="E272" s="122">
        <v>1</v>
      </c>
      <c r="F272" s="125">
        <v>2221618</v>
      </c>
      <c r="G272" s="193">
        <f t="shared" si="9"/>
        <v>2221618</v>
      </c>
    </row>
    <row r="273" spans="1:8" ht="67.5">
      <c r="A273" s="122" t="s">
        <v>658</v>
      </c>
      <c r="B273" s="123">
        <v>42760287</v>
      </c>
      <c r="C273" s="124" t="s">
        <v>659</v>
      </c>
      <c r="D273" s="123" t="s">
        <v>149</v>
      </c>
      <c r="E273" s="122">
        <v>42</v>
      </c>
      <c r="F273" s="125">
        <v>85001</v>
      </c>
      <c r="G273" s="193">
        <f t="shared" si="9"/>
        <v>3570042</v>
      </c>
    </row>
    <row r="274" spans="1:8" ht="67.5">
      <c r="A274" s="122" t="s">
        <v>660</v>
      </c>
      <c r="B274" s="123">
        <v>42760288</v>
      </c>
      <c r="C274" s="124" t="s">
        <v>661</v>
      </c>
      <c r="D274" s="123" t="s">
        <v>149</v>
      </c>
      <c r="E274" s="122">
        <v>27</v>
      </c>
      <c r="F274" s="125">
        <v>3652400</v>
      </c>
      <c r="G274" s="193">
        <f t="shared" si="9"/>
        <v>98614800</v>
      </c>
      <c r="H274" s="117">
        <v>27</v>
      </c>
    </row>
    <row r="275" spans="1:8" ht="67.5">
      <c r="A275" s="122" t="s">
        <v>662</v>
      </c>
      <c r="B275" s="123">
        <v>42760289</v>
      </c>
      <c r="C275" s="124" t="s">
        <v>663</v>
      </c>
      <c r="D275" s="123" t="s">
        <v>149</v>
      </c>
      <c r="E275" s="122">
        <v>5</v>
      </c>
      <c r="F275" s="125">
        <v>559300</v>
      </c>
      <c r="G275" s="193">
        <f t="shared" si="9"/>
        <v>2796500</v>
      </c>
    </row>
    <row r="276" spans="1:8" ht="56.25">
      <c r="A276" s="122" t="s">
        <v>664</v>
      </c>
      <c r="B276" s="123">
        <v>42760290</v>
      </c>
      <c r="C276" s="124" t="s">
        <v>665</v>
      </c>
      <c r="D276" s="123" t="s">
        <v>152</v>
      </c>
      <c r="E276" s="122">
        <v>400</v>
      </c>
      <c r="F276" s="125">
        <v>512666.94</v>
      </c>
      <c r="G276" s="193">
        <f t="shared" si="9"/>
        <v>205066776</v>
      </c>
    </row>
    <row r="277" spans="1:8" ht="33.75">
      <c r="A277" s="122" t="s">
        <v>666</v>
      </c>
      <c r="B277" s="123">
        <v>42760291</v>
      </c>
      <c r="C277" s="124" t="s">
        <v>667</v>
      </c>
      <c r="D277" s="123" t="s">
        <v>163</v>
      </c>
      <c r="E277" s="122">
        <v>45</v>
      </c>
      <c r="F277" s="125">
        <v>956119.48</v>
      </c>
      <c r="G277" s="193">
        <f t="shared" si="9"/>
        <v>43025376.600000001</v>
      </c>
    </row>
    <row r="278" spans="1:8" ht="33.75">
      <c r="A278" s="122" t="s">
        <v>668</v>
      </c>
      <c r="B278" s="123">
        <v>42760292</v>
      </c>
      <c r="C278" s="124" t="s">
        <v>669</v>
      </c>
      <c r="D278" s="123" t="s">
        <v>163</v>
      </c>
      <c r="E278" s="122">
        <v>35</v>
      </c>
      <c r="F278" s="125">
        <v>345625</v>
      </c>
      <c r="G278" s="193">
        <f t="shared" si="9"/>
        <v>12096875</v>
      </c>
    </row>
    <row r="279" spans="1:8" ht="33.75">
      <c r="A279" s="122" t="s">
        <v>670</v>
      </c>
      <c r="B279" s="123">
        <v>42760294</v>
      </c>
      <c r="C279" s="124" t="s">
        <v>671</v>
      </c>
      <c r="D279" s="123" t="s">
        <v>149</v>
      </c>
      <c r="E279" s="122">
        <v>10</v>
      </c>
      <c r="F279" s="125">
        <v>221579.11</v>
      </c>
      <c r="G279" s="193">
        <f t="shared" si="9"/>
        <v>2215791.0999999996</v>
      </c>
    </row>
    <row r="280" spans="1:8" ht="45">
      <c r="A280" s="122" t="s">
        <v>672</v>
      </c>
      <c r="B280" s="123">
        <v>42760295</v>
      </c>
      <c r="C280" s="124" t="s">
        <v>673</v>
      </c>
      <c r="D280" s="123" t="s">
        <v>149</v>
      </c>
      <c r="E280" s="122">
        <v>1</v>
      </c>
      <c r="F280" s="125">
        <v>790351.54</v>
      </c>
      <c r="G280" s="193">
        <f t="shared" si="9"/>
        <v>790351.54</v>
      </c>
    </row>
    <row r="281" spans="1:8" ht="12" customHeight="1">
      <c r="A281" s="275" t="s">
        <v>674</v>
      </c>
      <c r="B281" s="275"/>
      <c r="C281" s="275"/>
      <c r="D281" s="275"/>
      <c r="E281" s="275"/>
      <c r="F281" s="224"/>
      <c r="G281" s="194">
        <f>SUM(G252:G280)</f>
        <v>5545291017.9299994</v>
      </c>
    </row>
    <row r="282" spans="1:8" ht="12" customHeight="1">
      <c r="A282" s="276" t="s">
        <v>675</v>
      </c>
      <c r="B282" s="276"/>
      <c r="C282" s="276"/>
      <c r="D282" s="276"/>
      <c r="E282" s="276"/>
      <c r="F282" s="276"/>
      <c r="G282" s="276"/>
    </row>
    <row r="283" spans="1:8" ht="78.75">
      <c r="A283" s="122" t="s">
        <v>676</v>
      </c>
      <c r="B283" s="123">
        <v>42760296</v>
      </c>
      <c r="C283" s="124" t="s">
        <v>677</v>
      </c>
      <c r="D283" s="123" t="s">
        <v>168</v>
      </c>
      <c r="E283" s="122">
        <v>490</v>
      </c>
      <c r="F283" s="125">
        <v>171440.42</v>
      </c>
      <c r="G283" s="193">
        <f>E283*F283</f>
        <v>84005805.800000012</v>
      </c>
    </row>
    <row r="284" spans="1:8" ht="33.75">
      <c r="A284" s="122" t="s">
        <v>678</v>
      </c>
      <c r="B284" s="123">
        <v>42760297</v>
      </c>
      <c r="C284" s="124" t="s">
        <v>679</v>
      </c>
      <c r="D284" s="123" t="s">
        <v>152</v>
      </c>
      <c r="E284" s="321">
        <v>3479</v>
      </c>
      <c r="F284" s="125">
        <v>6779.43</v>
      </c>
      <c r="G284" s="193">
        <f t="shared" ref="G284:G296" si="10">E284*F284</f>
        <v>23585636.970000003</v>
      </c>
    </row>
    <row r="285" spans="1:8" ht="33.75">
      <c r="A285" s="122" t="s">
        <v>680</v>
      </c>
      <c r="B285" s="123">
        <v>42760298</v>
      </c>
      <c r="C285" s="124" t="s">
        <v>681</v>
      </c>
      <c r="D285" s="123" t="s">
        <v>163</v>
      </c>
      <c r="E285" s="122">
        <v>351</v>
      </c>
      <c r="F285" s="125">
        <v>19288.759999999998</v>
      </c>
      <c r="G285" s="193">
        <f t="shared" si="10"/>
        <v>6770354.7599999998</v>
      </c>
    </row>
    <row r="286" spans="1:8" ht="33.75">
      <c r="A286" s="122" t="s">
        <v>682</v>
      </c>
      <c r="B286" s="123">
        <v>42760300</v>
      </c>
      <c r="C286" s="124" t="s">
        <v>683</v>
      </c>
      <c r="D286" s="123" t="s">
        <v>163</v>
      </c>
      <c r="E286" s="122">
        <v>44</v>
      </c>
      <c r="F286" s="125">
        <v>24213.06</v>
      </c>
      <c r="G286" s="193">
        <f t="shared" si="10"/>
        <v>1065374.6400000001</v>
      </c>
    </row>
    <row r="287" spans="1:8" ht="56.25">
      <c r="A287" s="122" t="s">
        <v>684</v>
      </c>
      <c r="B287" s="123">
        <v>42760301</v>
      </c>
      <c r="C287" s="124" t="s">
        <v>685</v>
      </c>
      <c r="D287" s="123" t="s">
        <v>152</v>
      </c>
      <c r="E287" s="320">
        <v>217</v>
      </c>
      <c r="F287" s="125">
        <v>86665</v>
      </c>
      <c r="G287" s="193">
        <f t="shared" si="10"/>
        <v>18806305</v>
      </c>
    </row>
    <row r="288" spans="1:8" ht="56.25">
      <c r="A288" s="122" t="s">
        <v>686</v>
      </c>
      <c r="B288" s="123">
        <v>42760302</v>
      </c>
      <c r="C288" s="124" t="s">
        <v>687</v>
      </c>
      <c r="D288" s="123" t="s">
        <v>152</v>
      </c>
      <c r="E288" s="125">
        <v>1000</v>
      </c>
      <c r="F288" s="125">
        <v>41661.760000000002</v>
      </c>
      <c r="G288" s="193">
        <f t="shared" si="10"/>
        <v>41661760</v>
      </c>
    </row>
    <row r="289" spans="1:7" ht="56.25">
      <c r="A289" s="122" t="s">
        <v>688</v>
      </c>
      <c r="B289" s="123">
        <v>42760303</v>
      </c>
      <c r="C289" s="124" t="s">
        <v>689</v>
      </c>
      <c r="D289" s="123" t="s">
        <v>152</v>
      </c>
      <c r="E289" s="125">
        <v>1000</v>
      </c>
      <c r="F289" s="125">
        <v>36802.230000000003</v>
      </c>
      <c r="G289" s="193">
        <f t="shared" si="10"/>
        <v>36802230</v>
      </c>
    </row>
    <row r="290" spans="1:7" ht="12" customHeight="1">
      <c r="A290" s="122" t="s">
        <v>690</v>
      </c>
      <c r="B290" s="123">
        <v>42760304</v>
      </c>
      <c r="C290" s="124" t="s">
        <v>691</v>
      </c>
      <c r="D290" s="123" t="s">
        <v>152</v>
      </c>
      <c r="E290" s="320">
        <v>713</v>
      </c>
      <c r="F290" s="125">
        <v>66772.39</v>
      </c>
      <c r="G290" s="193">
        <f t="shared" si="10"/>
        <v>47608714.07</v>
      </c>
    </row>
    <row r="291" spans="1:7" ht="12" customHeight="1">
      <c r="A291" s="122" t="s">
        <v>692</v>
      </c>
      <c r="B291" s="123">
        <v>42760305</v>
      </c>
      <c r="C291" s="124" t="s">
        <v>693</v>
      </c>
      <c r="D291" s="123" t="s">
        <v>333</v>
      </c>
      <c r="E291" s="125">
        <v>1000</v>
      </c>
      <c r="F291" s="125">
        <v>7933</v>
      </c>
      <c r="G291" s="193">
        <f t="shared" si="10"/>
        <v>7933000</v>
      </c>
    </row>
    <row r="292" spans="1:7" ht="45">
      <c r="A292" s="122" t="s">
        <v>694</v>
      </c>
      <c r="B292" s="123">
        <v>42760306</v>
      </c>
      <c r="C292" s="124" t="s">
        <v>695</v>
      </c>
      <c r="D292" s="123" t="s">
        <v>149</v>
      </c>
      <c r="E292" s="122">
        <v>12</v>
      </c>
      <c r="F292" s="125">
        <v>49045</v>
      </c>
      <c r="G292" s="193">
        <f t="shared" si="10"/>
        <v>588540</v>
      </c>
    </row>
    <row r="293" spans="1:7" ht="56.25">
      <c r="A293" s="122" t="s">
        <v>696</v>
      </c>
      <c r="B293" s="123">
        <v>42760307</v>
      </c>
      <c r="C293" s="124" t="s">
        <v>697</v>
      </c>
      <c r="D293" s="123" t="s">
        <v>149</v>
      </c>
      <c r="E293" s="122">
        <v>4</v>
      </c>
      <c r="F293" s="125">
        <v>55326</v>
      </c>
      <c r="G293" s="193">
        <f t="shared" si="10"/>
        <v>221304</v>
      </c>
    </row>
    <row r="294" spans="1:7" ht="45">
      <c r="A294" s="122" t="s">
        <v>698</v>
      </c>
      <c r="B294" s="123">
        <v>42760308</v>
      </c>
      <c r="C294" s="124" t="s">
        <v>699</v>
      </c>
      <c r="D294" s="123" t="s">
        <v>333</v>
      </c>
      <c r="E294" s="122">
        <v>66</v>
      </c>
      <c r="F294" s="125">
        <v>7933</v>
      </c>
      <c r="G294" s="193">
        <f t="shared" si="10"/>
        <v>523578</v>
      </c>
    </row>
    <row r="295" spans="1:7" ht="56.25">
      <c r="A295" s="122" t="s">
        <v>700</v>
      </c>
      <c r="B295" s="123">
        <v>42760309</v>
      </c>
      <c r="C295" s="124" t="s">
        <v>701</v>
      </c>
      <c r="D295" s="123" t="s">
        <v>333</v>
      </c>
      <c r="E295" s="122">
        <v>600</v>
      </c>
      <c r="F295" s="125">
        <v>7233</v>
      </c>
      <c r="G295" s="193">
        <f t="shared" si="10"/>
        <v>4339800</v>
      </c>
    </row>
    <row r="296" spans="1:7" ht="56.25">
      <c r="A296" s="122" t="s">
        <v>702</v>
      </c>
      <c r="B296" s="123">
        <v>42760310</v>
      </c>
      <c r="C296" s="124" t="s">
        <v>703</v>
      </c>
      <c r="D296" s="123" t="s">
        <v>149</v>
      </c>
      <c r="E296" s="320">
        <v>70</v>
      </c>
      <c r="F296" s="125">
        <v>102985.61</v>
      </c>
      <c r="G296" s="193">
        <f t="shared" si="10"/>
        <v>7208992.7000000002</v>
      </c>
    </row>
    <row r="297" spans="1:7" ht="12" customHeight="1">
      <c r="A297" s="275" t="s">
        <v>704</v>
      </c>
      <c r="B297" s="275"/>
      <c r="C297" s="275"/>
      <c r="D297" s="275"/>
      <c r="E297" s="275"/>
      <c r="F297" s="224"/>
      <c r="G297" s="194">
        <f>SUM(G283:G296)</f>
        <v>281121395.94</v>
      </c>
    </row>
    <row r="298" spans="1:7" ht="12" customHeight="1">
      <c r="A298" s="276" t="s">
        <v>705</v>
      </c>
      <c r="B298" s="276"/>
      <c r="C298" s="276"/>
      <c r="D298" s="276"/>
      <c r="E298" s="276"/>
      <c r="F298" s="276"/>
      <c r="G298" s="276"/>
    </row>
    <row r="299" spans="1:7" ht="45">
      <c r="A299" s="122" t="s">
        <v>706</v>
      </c>
      <c r="B299" s="123">
        <v>42760311</v>
      </c>
      <c r="C299" s="124" t="s">
        <v>707</v>
      </c>
      <c r="D299" s="123" t="s">
        <v>149</v>
      </c>
      <c r="E299" s="122">
        <v>4</v>
      </c>
      <c r="F299" s="125">
        <v>183073840</v>
      </c>
      <c r="G299" s="193">
        <f>E299*F299</f>
        <v>732295360</v>
      </c>
    </row>
    <row r="300" spans="1:7" ht="45">
      <c r="A300" s="122" t="s">
        <v>708</v>
      </c>
      <c r="B300" s="123">
        <v>42760312</v>
      </c>
      <c r="C300" s="124" t="s">
        <v>709</v>
      </c>
      <c r="D300" s="123" t="s">
        <v>149</v>
      </c>
      <c r="E300" s="122">
        <v>2</v>
      </c>
      <c r="F300" s="125">
        <v>86628000</v>
      </c>
      <c r="G300" s="193">
        <f t="shared" ref="G300:G306" si="11">E300*F300</f>
        <v>173256000</v>
      </c>
    </row>
    <row r="301" spans="1:7" ht="45">
      <c r="A301" s="122" t="s">
        <v>710</v>
      </c>
      <c r="B301" s="123">
        <v>42760313</v>
      </c>
      <c r="C301" s="124" t="s">
        <v>711</v>
      </c>
      <c r="D301" s="123" t="s">
        <v>149</v>
      </c>
      <c r="E301" s="122">
        <v>1</v>
      </c>
      <c r="F301" s="125">
        <v>147845120</v>
      </c>
      <c r="G301" s="193">
        <f t="shared" si="11"/>
        <v>147845120</v>
      </c>
    </row>
    <row r="302" spans="1:7" ht="56.25">
      <c r="A302" s="122" t="s">
        <v>712</v>
      </c>
      <c r="B302" s="123">
        <v>42760314</v>
      </c>
      <c r="C302" s="124" t="s">
        <v>713</v>
      </c>
      <c r="D302" s="123" t="s">
        <v>149</v>
      </c>
      <c r="E302" s="122">
        <v>1</v>
      </c>
      <c r="F302" s="125">
        <v>76232640</v>
      </c>
      <c r="G302" s="193">
        <f t="shared" si="11"/>
        <v>76232640</v>
      </c>
    </row>
    <row r="303" spans="1:7" ht="45">
      <c r="A303" s="122" t="s">
        <v>714</v>
      </c>
      <c r="B303" s="123">
        <v>42760315</v>
      </c>
      <c r="C303" s="124" t="s">
        <v>715</v>
      </c>
      <c r="D303" s="123" t="s">
        <v>140</v>
      </c>
      <c r="E303" s="122">
        <v>1</v>
      </c>
      <c r="F303" s="125">
        <v>967033865</v>
      </c>
      <c r="G303" s="193">
        <f t="shared" si="11"/>
        <v>967033865</v>
      </c>
    </row>
    <row r="304" spans="1:7" ht="56.25">
      <c r="A304" s="122" t="s">
        <v>716</v>
      </c>
      <c r="B304" s="123">
        <v>42760316</v>
      </c>
      <c r="C304" s="124" t="s">
        <v>717</v>
      </c>
      <c r="D304" s="123" t="s">
        <v>140</v>
      </c>
      <c r="E304" s="122">
        <v>1</v>
      </c>
      <c r="F304" s="125">
        <v>138144853</v>
      </c>
      <c r="G304" s="193">
        <f t="shared" si="11"/>
        <v>138144853</v>
      </c>
    </row>
    <row r="305" spans="1:7" ht="45">
      <c r="A305" s="122" t="s">
        <v>718</v>
      </c>
      <c r="B305" s="123">
        <v>42760317</v>
      </c>
      <c r="C305" s="124" t="s">
        <v>719</v>
      </c>
      <c r="D305" s="123" t="s">
        <v>149</v>
      </c>
      <c r="E305" s="122">
        <v>2</v>
      </c>
      <c r="F305" s="125">
        <v>6155000</v>
      </c>
      <c r="G305" s="193">
        <f t="shared" si="11"/>
        <v>12310000</v>
      </c>
    </row>
    <row r="306" spans="1:7" ht="12" customHeight="1">
      <c r="A306" s="122" t="s">
        <v>720</v>
      </c>
      <c r="B306" s="123">
        <v>42760318</v>
      </c>
      <c r="C306" s="124" t="s">
        <v>721</v>
      </c>
      <c r="D306" s="123" t="s">
        <v>149</v>
      </c>
      <c r="E306" s="122">
        <v>4</v>
      </c>
      <c r="F306" s="125">
        <v>148869000</v>
      </c>
      <c r="G306" s="193">
        <f t="shared" si="11"/>
        <v>595476000</v>
      </c>
    </row>
    <row r="307" spans="1:7" ht="12" customHeight="1">
      <c r="A307" s="275" t="s">
        <v>722</v>
      </c>
      <c r="B307" s="275"/>
      <c r="C307" s="275"/>
      <c r="D307" s="275"/>
      <c r="E307" s="275"/>
      <c r="F307" s="224"/>
      <c r="G307" s="194">
        <f>SUM(G299:G306)</f>
        <v>2842593838</v>
      </c>
    </row>
    <row r="308" spans="1:7" ht="12" customHeight="1">
      <c r="A308" s="276" t="s">
        <v>723</v>
      </c>
      <c r="B308" s="276"/>
      <c r="C308" s="276"/>
      <c r="D308" s="276"/>
      <c r="E308" s="276"/>
      <c r="F308" s="276"/>
      <c r="G308" s="276"/>
    </row>
    <row r="309" spans="1:7" ht="22.5">
      <c r="A309" s="122" t="s">
        <v>724</v>
      </c>
      <c r="B309" s="123">
        <v>42760319</v>
      </c>
      <c r="C309" s="124" t="s">
        <v>725</v>
      </c>
      <c r="D309" s="123" t="s">
        <v>137</v>
      </c>
      <c r="E309" s="125">
        <v>11040</v>
      </c>
      <c r="F309" s="125">
        <v>2395.0100000000002</v>
      </c>
      <c r="G309" s="193">
        <f>E309*F309</f>
        <v>26440910.400000002</v>
      </c>
    </row>
    <row r="310" spans="1:7" ht="22.5">
      <c r="A310" s="122" t="s">
        <v>726</v>
      </c>
      <c r="B310" s="123">
        <v>42760320</v>
      </c>
      <c r="C310" s="124" t="s">
        <v>727</v>
      </c>
      <c r="D310" s="123" t="s">
        <v>137</v>
      </c>
      <c r="E310" s="125">
        <v>9450</v>
      </c>
      <c r="F310" s="125">
        <v>4873.38</v>
      </c>
      <c r="G310" s="193">
        <f t="shared" ref="G310:G322" si="12">E310*F310</f>
        <v>46053441</v>
      </c>
    </row>
    <row r="311" spans="1:7" ht="22.5">
      <c r="A311" s="122" t="s">
        <v>728</v>
      </c>
      <c r="B311" s="123">
        <v>42760321</v>
      </c>
      <c r="C311" s="124" t="s">
        <v>729</v>
      </c>
      <c r="D311" s="123" t="s">
        <v>730</v>
      </c>
      <c r="E311" s="122">
        <v>1</v>
      </c>
      <c r="F311" s="125">
        <v>1407770</v>
      </c>
      <c r="G311" s="193">
        <f t="shared" si="12"/>
        <v>1407770</v>
      </c>
    </row>
    <row r="312" spans="1:7" ht="22.5">
      <c r="A312" s="122" t="s">
        <v>731</v>
      </c>
      <c r="B312" s="123">
        <v>42760323</v>
      </c>
      <c r="C312" s="124" t="s">
        <v>732</v>
      </c>
      <c r="D312" s="123" t="s">
        <v>730</v>
      </c>
      <c r="E312" s="320">
        <v>2</v>
      </c>
      <c r="F312" s="125">
        <v>6444713.0999999996</v>
      </c>
      <c r="G312" s="193">
        <f t="shared" si="12"/>
        <v>12889426.199999999</v>
      </c>
    </row>
    <row r="313" spans="1:7" ht="22.5">
      <c r="A313" s="122" t="s">
        <v>733</v>
      </c>
      <c r="B313" s="123">
        <v>42760324</v>
      </c>
      <c r="C313" s="124" t="s">
        <v>734</v>
      </c>
      <c r="D313" s="123" t="s">
        <v>730</v>
      </c>
      <c r="E313" s="122">
        <v>1</v>
      </c>
      <c r="F313" s="125">
        <v>4081700</v>
      </c>
      <c r="G313" s="193">
        <f t="shared" si="12"/>
        <v>4081700</v>
      </c>
    </row>
    <row r="314" spans="1:7" ht="22.5">
      <c r="A314" s="122" t="s">
        <v>735</v>
      </c>
      <c r="B314" s="123">
        <v>42760325</v>
      </c>
      <c r="C314" s="124" t="s">
        <v>736</v>
      </c>
      <c r="D314" s="123" t="s">
        <v>730</v>
      </c>
      <c r="E314" s="122">
        <v>6</v>
      </c>
      <c r="F314" s="125">
        <v>485520</v>
      </c>
      <c r="G314" s="193">
        <f t="shared" si="12"/>
        <v>2913120</v>
      </c>
    </row>
    <row r="315" spans="1:7" ht="22.5">
      <c r="A315" s="122" t="s">
        <v>737</v>
      </c>
      <c r="B315" s="123">
        <v>42760326</v>
      </c>
      <c r="C315" s="124" t="s">
        <v>738</v>
      </c>
      <c r="D315" s="123" t="s">
        <v>739</v>
      </c>
      <c r="E315" s="122">
        <v>20</v>
      </c>
      <c r="F315" s="125">
        <v>1200000</v>
      </c>
      <c r="G315" s="193">
        <f t="shared" si="12"/>
        <v>24000000</v>
      </c>
    </row>
    <row r="316" spans="1:7" ht="12" customHeight="1">
      <c r="A316" s="122" t="s">
        <v>740</v>
      </c>
      <c r="B316" s="123">
        <v>42760327</v>
      </c>
      <c r="C316" s="124" t="s">
        <v>741</v>
      </c>
      <c r="D316" s="123" t="s">
        <v>739</v>
      </c>
      <c r="E316" s="122">
        <v>16</v>
      </c>
      <c r="F316" s="125">
        <v>1603620</v>
      </c>
      <c r="G316" s="193">
        <f t="shared" si="12"/>
        <v>25657920</v>
      </c>
    </row>
    <row r="317" spans="1:7" ht="12" customHeight="1">
      <c r="A317" s="122" t="s">
        <v>742</v>
      </c>
      <c r="B317" s="123">
        <v>42760328</v>
      </c>
      <c r="C317" s="124" t="s">
        <v>743</v>
      </c>
      <c r="D317" s="123" t="s">
        <v>730</v>
      </c>
      <c r="E317" s="122">
        <v>2</v>
      </c>
      <c r="F317" s="125">
        <v>4063765.4</v>
      </c>
      <c r="G317" s="193">
        <f t="shared" si="12"/>
        <v>8127530.7999999998</v>
      </c>
    </row>
    <row r="318" spans="1:7" ht="22.5">
      <c r="A318" s="122" t="s">
        <v>744</v>
      </c>
      <c r="B318" s="123">
        <v>42760329</v>
      </c>
      <c r="C318" s="124" t="s">
        <v>745</v>
      </c>
      <c r="D318" s="123" t="s">
        <v>730</v>
      </c>
      <c r="E318" s="122">
        <v>3</v>
      </c>
      <c r="F318" s="125">
        <v>2427530.15</v>
      </c>
      <c r="G318" s="193">
        <f t="shared" si="12"/>
        <v>7282590.4499999993</v>
      </c>
    </row>
    <row r="319" spans="1:7" ht="33.75">
      <c r="A319" s="122" t="s">
        <v>746</v>
      </c>
      <c r="B319" s="123">
        <v>42760330</v>
      </c>
      <c r="C319" s="124" t="s">
        <v>747</v>
      </c>
      <c r="D319" s="123" t="s">
        <v>739</v>
      </c>
      <c r="E319" s="122">
        <v>13</v>
      </c>
      <c r="F319" s="125">
        <v>23560975</v>
      </c>
      <c r="G319" s="193">
        <f t="shared" si="12"/>
        <v>306292675</v>
      </c>
    </row>
    <row r="320" spans="1:7" ht="22.5">
      <c r="A320" s="122" t="s">
        <v>748</v>
      </c>
      <c r="B320" s="123">
        <v>42760331</v>
      </c>
      <c r="C320" s="124" t="s">
        <v>749</v>
      </c>
      <c r="D320" s="123" t="s">
        <v>739</v>
      </c>
      <c r="E320" s="122">
        <v>20</v>
      </c>
      <c r="F320" s="125">
        <v>5426044</v>
      </c>
      <c r="G320" s="193">
        <f t="shared" si="12"/>
        <v>108520880</v>
      </c>
    </row>
    <row r="321" spans="1:7" ht="22.5">
      <c r="A321" s="122" t="s">
        <v>750</v>
      </c>
      <c r="B321" s="123">
        <v>42760332</v>
      </c>
      <c r="C321" s="124" t="s">
        <v>751</v>
      </c>
      <c r="D321" s="123" t="s">
        <v>739</v>
      </c>
      <c r="E321" s="122">
        <v>20</v>
      </c>
      <c r="F321" s="125">
        <v>4979948.5</v>
      </c>
      <c r="G321" s="193">
        <f t="shared" si="12"/>
        <v>99598970</v>
      </c>
    </row>
    <row r="322" spans="1:7" ht="22.5">
      <c r="A322" s="122" t="s">
        <v>752</v>
      </c>
      <c r="B322" s="123">
        <v>42760333</v>
      </c>
      <c r="C322" s="124" t="s">
        <v>753</v>
      </c>
      <c r="D322" s="123" t="s">
        <v>739</v>
      </c>
      <c r="E322" s="122">
        <v>20</v>
      </c>
      <c r="F322" s="125">
        <v>4586650</v>
      </c>
      <c r="G322" s="193">
        <f t="shared" si="12"/>
        <v>91733000</v>
      </c>
    </row>
    <row r="323" spans="1:7" ht="12" customHeight="1">
      <c r="A323" s="275" t="s">
        <v>754</v>
      </c>
      <c r="B323" s="275"/>
      <c r="C323" s="275"/>
      <c r="D323" s="275"/>
      <c r="E323" s="275"/>
      <c r="F323" s="224"/>
      <c r="G323" s="194">
        <f>SUM(G309:G322)</f>
        <v>764999933.85000002</v>
      </c>
    </row>
    <row r="324" spans="1:7" ht="12" customHeight="1">
      <c r="A324" s="276" t="s">
        <v>755</v>
      </c>
      <c r="B324" s="276"/>
      <c r="C324" s="276"/>
      <c r="D324" s="276"/>
      <c r="E324" s="276"/>
      <c r="F324" s="276"/>
      <c r="G324" s="276"/>
    </row>
    <row r="325" spans="1:7" ht="33.75">
      <c r="A325" s="122" t="s">
        <v>756</v>
      </c>
      <c r="B325" s="123">
        <v>42760334</v>
      </c>
      <c r="C325" s="124" t="s">
        <v>757</v>
      </c>
      <c r="D325" s="123" t="s">
        <v>140</v>
      </c>
      <c r="E325" s="122">
        <v>1</v>
      </c>
      <c r="F325" s="125">
        <v>250144574</v>
      </c>
      <c r="G325" s="193">
        <f>E325*F325</f>
        <v>250144574</v>
      </c>
    </row>
    <row r="326" spans="1:7" ht="22.5">
      <c r="A326" s="122" t="s">
        <v>758</v>
      </c>
      <c r="B326" s="123">
        <v>42760335</v>
      </c>
      <c r="C326" s="124" t="s">
        <v>759</v>
      </c>
      <c r="D326" s="123" t="s">
        <v>140</v>
      </c>
      <c r="E326" s="122">
        <v>1</v>
      </c>
      <c r="F326" s="125">
        <v>206056439</v>
      </c>
      <c r="G326" s="193">
        <f t="shared" ref="G326:G347" si="13">E326*F326</f>
        <v>206056439</v>
      </c>
    </row>
    <row r="327" spans="1:7" ht="33.75">
      <c r="A327" s="122" t="s">
        <v>760</v>
      </c>
      <c r="B327" s="123">
        <v>42760336</v>
      </c>
      <c r="C327" s="124" t="s">
        <v>761</v>
      </c>
      <c r="D327" s="123" t="s">
        <v>140</v>
      </c>
      <c r="E327" s="122">
        <v>1</v>
      </c>
      <c r="F327" s="125">
        <v>185588744</v>
      </c>
      <c r="G327" s="193">
        <f t="shared" si="13"/>
        <v>185588744</v>
      </c>
    </row>
    <row r="328" spans="1:7" ht="33.75">
      <c r="A328" s="122" t="s">
        <v>762</v>
      </c>
      <c r="B328" s="123">
        <v>42760337</v>
      </c>
      <c r="C328" s="124" t="s">
        <v>763</v>
      </c>
      <c r="D328" s="123" t="s">
        <v>140</v>
      </c>
      <c r="E328" s="122">
        <v>1</v>
      </c>
      <c r="F328" s="125">
        <v>16659980</v>
      </c>
      <c r="G328" s="193">
        <f t="shared" si="13"/>
        <v>16659980</v>
      </c>
    </row>
    <row r="329" spans="1:7" ht="33.75">
      <c r="A329" s="122" t="s">
        <v>764</v>
      </c>
      <c r="B329" s="123">
        <v>42760338</v>
      </c>
      <c r="C329" s="124" t="s">
        <v>765</v>
      </c>
      <c r="D329" s="123" t="s">
        <v>140</v>
      </c>
      <c r="E329" s="122">
        <v>1</v>
      </c>
      <c r="F329" s="125">
        <v>30276263</v>
      </c>
      <c r="G329" s="193">
        <f t="shared" si="13"/>
        <v>30276263</v>
      </c>
    </row>
    <row r="330" spans="1:7" ht="45">
      <c r="A330" s="122" t="s">
        <v>766</v>
      </c>
      <c r="B330" s="123">
        <v>42760339</v>
      </c>
      <c r="C330" s="124" t="s">
        <v>767</v>
      </c>
      <c r="D330" s="123" t="s">
        <v>149</v>
      </c>
      <c r="E330" s="320">
        <v>40</v>
      </c>
      <c r="F330" s="125">
        <v>556079.22</v>
      </c>
      <c r="G330" s="193">
        <f t="shared" si="13"/>
        <v>22243168.799999997</v>
      </c>
    </row>
    <row r="331" spans="1:7" ht="56.25">
      <c r="A331" s="122" t="s">
        <v>768</v>
      </c>
      <c r="B331" s="123">
        <v>42760340</v>
      </c>
      <c r="C331" s="124" t="s">
        <v>769</v>
      </c>
      <c r="D331" s="123" t="s">
        <v>149</v>
      </c>
      <c r="E331" s="320">
        <v>41</v>
      </c>
      <c r="F331" s="125">
        <v>99745.86</v>
      </c>
      <c r="G331" s="193">
        <f t="shared" si="13"/>
        <v>4089580.2600000002</v>
      </c>
    </row>
    <row r="332" spans="1:7" ht="12" customHeight="1">
      <c r="A332" s="122" t="s">
        <v>770</v>
      </c>
      <c r="B332" s="123">
        <v>42760341</v>
      </c>
      <c r="C332" s="124" t="s">
        <v>771</v>
      </c>
      <c r="D332" s="123" t="s">
        <v>149</v>
      </c>
      <c r="E332" s="122">
        <v>2</v>
      </c>
      <c r="F332" s="125">
        <v>371278.5</v>
      </c>
      <c r="G332" s="193">
        <f t="shared" si="13"/>
        <v>742557</v>
      </c>
    </row>
    <row r="333" spans="1:7" ht="12" customHeight="1">
      <c r="A333" s="122" t="s">
        <v>772</v>
      </c>
      <c r="B333" s="123">
        <v>42760342</v>
      </c>
      <c r="C333" s="124" t="s">
        <v>773</v>
      </c>
      <c r="D333" s="123" t="s">
        <v>149</v>
      </c>
      <c r="E333" s="320">
        <v>58</v>
      </c>
      <c r="F333" s="125">
        <v>225675</v>
      </c>
      <c r="G333" s="193">
        <f t="shared" si="13"/>
        <v>13089150</v>
      </c>
    </row>
    <row r="334" spans="1:7" ht="56.25">
      <c r="A334" s="122" t="s">
        <v>774</v>
      </c>
      <c r="B334" s="123">
        <v>42760343</v>
      </c>
      <c r="C334" s="124" t="s">
        <v>775</v>
      </c>
      <c r="D334" s="123" t="s">
        <v>149</v>
      </c>
      <c r="E334" s="320">
        <v>63</v>
      </c>
      <c r="F334" s="125">
        <v>306375</v>
      </c>
      <c r="G334" s="193">
        <f t="shared" si="13"/>
        <v>19301625</v>
      </c>
    </row>
    <row r="335" spans="1:7" ht="45">
      <c r="A335" s="122" t="s">
        <v>776</v>
      </c>
      <c r="B335" s="123">
        <v>42760344</v>
      </c>
      <c r="C335" s="124" t="s">
        <v>777</v>
      </c>
      <c r="D335" s="123" t="s">
        <v>149</v>
      </c>
      <c r="E335" s="320">
        <v>15</v>
      </c>
      <c r="F335" s="125">
        <v>93099.09</v>
      </c>
      <c r="G335" s="193">
        <f t="shared" si="13"/>
        <v>1396486.3499999999</v>
      </c>
    </row>
    <row r="336" spans="1:7" ht="56.25">
      <c r="A336" s="122" t="s">
        <v>778</v>
      </c>
      <c r="B336" s="123">
        <v>42760345</v>
      </c>
      <c r="C336" s="124" t="s">
        <v>779</v>
      </c>
      <c r="D336" s="123" t="s">
        <v>149</v>
      </c>
      <c r="E336" s="320">
        <v>4</v>
      </c>
      <c r="F336" s="125">
        <v>298982.76</v>
      </c>
      <c r="G336" s="193">
        <f t="shared" si="13"/>
        <v>1195931.04</v>
      </c>
    </row>
    <row r="337" spans="1:8" ht="45">
      <c r="A337" s="122" t="s">
        <v>780</v>
      </c>
      <c r="B337" s="123">
        <v>42760346</v>
      </c>
      <c r="C337" s="124" t="s">
        <v>781</v>
      </c>
      <c r="D337" s="123" t="s">
        <v>149</v>
      </c>
      <c r="E337" s="122">
        <v>1</v>
      </c>
      <c r="F337" s="125">
        <v>139982.76</v>
      </c>
      <c r="G337" s="193">
        <f t="shared" si="13"/>
        <v>139982.76</v>
      </c>
    </row>
    <row r="338" spans="1:8" ht="45">
      <c r="A338" s="122" t="s">
        <v>782</v>
      </c>
      <c r="B338" s="123">
        <v>42760347</v>
      </c>
      <c r="C338" s="124" t="s">
        <v>783</v>
      </c>
      <c r="D338" s="123" t="s">
        <v>149</v>
      </c>
      <c r="E338" s="122">
        <v>14</v>
      </c>
      <c r="F338" s="125">
        <v>397738.98</v>
      </c>
      <c r="G338" s="193">
        <f t="shared" si="13"/>
        <v>5568345.7199999997</v>
      </c>
    </row>
    <row r="339" spans="1:8" ht="67.5">
      <c r="A339" s="122" t="s">
        <v>784</v>
      </c>
      <c r="B339" s="123">
        <v>42760348</v>
      </c>
      <c r="C339" s="124" t="s">
        <v>785</v>
      </c>
      <c r="D339" s="123" t="s">
        <v>149</v>
      </c>
      <c r="E339" s="320">
        <v>60</v>
      </c>
      <c r="F339" s="125">
        <v>552779.31000000006</v>
      </c>
      <c r="G339" s="193">
        <f t="shared" si="13"/>
        <v>33166758.600000001</v>
      </c>
      <c r="H339" s="117">
        <v>88</v>
      </c>
    </row>
    <row r="340" spans="1:8" ht="56.25">
      <c r="A340" s="122" t="s">
        <v>786</v>
      </c>
      <c r="B340" s="123">
        <v>42760349</v>
      </c>
      <c r="C340" s="124" t="s">
        <v>787</v>
      </c>
      <c r="D340" s="123" t="s">
        <v>149</v>
      </c>
      <c r="E340" s="320">
        <v>20</v>
      </c>
      <c r="F340" s="125">
        <v>309691.94</v>
      </c>
      <c r="G340" s="193">
        <f t="shared" si="13"/>
        <v>6193838.7999999998</v>
      </c>
    </row>
    <row r="341" spans="1:8" ht="67.5">
      <c r="A341" s="122" t="s">
        <v>788</v>
      </c>
      <c r="B341" s="123">
        <v>42760350</v>
      </c>
      <c r="C341" s="124" t="s">
        <v>789</v>
      </c>
      <c r="D341" s="123" t="s">
        <v>149</v>
      </c>
      <c r="E341" s="320">
        <v>85</v>
      </c>
      <c r="F341" s="125">
        <v>241695</v>
      </c>
      <c r="G341" s="193">
        <f t="shared" si="13"/>
        <v>20544075</v>
      </c>
    </row>
    <row r="342" spans="1:8" ht="56.25">
      <c r="A342" s="122" t="s">
        <v>790</v>
      </c>
      <c r="B342" s="123">
        <v>42760351</v>
      </c>
      <c r="C342" s="124" t="s">
        <v>791</v>
      </c>
      <c r="D342" s="123" t="s">
        <v>149</v>
      </c>
      <c r="E342" s="320">
        <v>20</v>
      </c>
      <c r="F342" s="125">
        <v>170487.43</v>
      </c>
      <c r="G342" s="193">
        <f t="shared" si="13"/>
        <v>3409748.5999999996</v>
      </c>
    </row>
    <row r="343" spans="1:8" ht="56.25">
      <c r="A343" s="122" t="s">
        <v>792</v>
      </c>
      <c r="B343" s="123">
        <v>42760352</v>
      </c>
      <c r="C343" s="124" t="s">
        <v>793</v>
      </c>
      <c r="D343" s="123" t="s">
        <v>149</v>
      </c>
      <c r="E343" s="320">
        <v>20</v>
      </c>
      <c r="F343" s="125">
        <v>168841.27</v>
      </c>
      <c r="G343" s="193">
        <f t="shared" si="13"/>
        <v>3376825.4</v>
      </c>
    </row>
    <row r="344" spans="1:8" ht="33.75">
      <c r="A344" s="122" t="s">
        <v>794</v>
      </c>
      <c r="B344" s="123">
        <v>42760353</v>
      </c>
      <c r="C344" s="124" t="s">
        <v>795</v>
      </c>
      <c r="D344" s="123" t="s">
        <v>149</v>
      </c>
      <c r="E344" s="320">
        <v>67</v>
      </c>
      <c r="F344" s="125">
        <v>8151.43</v>
      </c>
      <c r="G344" s="193">
        <f t="shared" si="13"/>
        <v>546145.81000000006</v>
      </c>
    </row>
    <row r="345" spans="1:8" ht="33.75">
      <c r="A345" s="122" t="s">
        <v>796</v>
      </c>
      <c r="B345" s="123">
        <v>42760354</v>
      </c>
      <c r="C345" s="124" t="s">
        <v>797</v>
      </c>
      <c r="D345" s="123" t="s">
        <v>149</v>
      </c>
      <c r="E345" s="320">
        <v>14</v>
      </c>
      <c r="F345" s="125">
        <v>34409.35</v>
      </c>
      <c r="G345" s="193">
        <f t="shared" si="13"/>
        <v>481730.89999999997</v>
      </c>
    </row>
    <row r="346" spans="1:8" ht="33.75">
      <c r="A346" s="122" t="s">
        <v>798</v>
      </c>
      <c r="B346" s="123">
        <v>42760355</v>
      </c>
      <c r="C346" s="124" t="s">
        <v>799</v>
      </c>
      <c r="D346" s="123" t="s">
        <v>149</v>
      </c>
      <c r="E346" s="320">
        <v>55</v>
      </c>
      <c r="F346" s="125">
        <v>39751.449999999997</v>
      </c>
      <c r="G346" s="193">
        <f t="shared" si="13"/>
        <v>2186329.75</v>
      </c>
    </row>
    <row r="347" spans="1:8" ht="22.5">
      <c r="A347" s="122" t="s">
        <v>800</v>
      </c>
      <c r="B347" s="123">
        <v>42760379</v>
      </c>
      <c r="C347" s="124" t="s">
        <v>801</v>
      </c>
      <c r="D347" s="123" t="s">
        <v>333</v>
      </c>
      <c r="E347" s="320">
        <v>63</v>
      </c>
      <c r="F347" s="125">
        <v>196336</v>
      </c>
      <c r="G347" s="193">
        <f t="shared" si="13"/>
        <v>12369168</v>
      </c>
    </row>
    <row r="348" spans="1:8" ht="12" customHeight="1">
      <c r="A348" s="275" t="s">
        <v>802</v>
      </c>
      <c r="B348" s="275"/>
      <c r="C348" s="275"/>
      <c r="D348" s="275"/>
      <c r="E348" s="275"/>
      <c r="F348" s="224"/>
      <c r="G348" s="194">
        <f>SUM(G325:G347)</f>
        <v>838767447.78999984</v>
      </c>
    </row>
    <row r="349" spans="1:8" ht="12" customHeight="1">
      <c r="A349" s="276" t="s">
        <v>803</v>
      </c>
      <c r="B349" s="276"/>
      <c r="C349" s="276"/>
      <c r="D349" s="276"/>
      <c r="E349" s="276"/>
      <c r="F349" s="276"/>
      <c r="G349" s="276"/>
    </row>
    <row r="350" spans="1:8" ht="22.5">
      <c r="A350" s="122" t="s">
        <v>804</v>
      </c>
      <c r="B350" s="123">
        <v>42760356</v>
      </c>
      <c r="C350" s="124" t="s">
        <v>805</v>
      </c>
      <c r="D350" s="123" t="s">
        <v>140</v>
      </c>
      <c r="E350" s="122">
        <v>1</v>
      </c>
      <c r="F350" s="125">
        <v>6990099280</v>
      </c>
      <c r="G350" s="193">
        <f>E350*F350</f>
        <v>6990099280</v>
      </c>
    </row>
    <row r="351" spans="1:8" ht="12" customHeight="1">
      <c r="A351" s="275" t="s">
        <v>806</v>
      </c>
      <c r="B351" s="275"/>
      <c r="C351" s="275"/>
      <c r="D351" s="275"/>
      <c r="E351" s="275"/>
      <c r="F351" s="224"/>
      <c r="G351" s="194">
        <f>G350</f>
        <v>6990099280</v>
      </c>
    </row>
    <row r="352" spans="1:8" ht="12" customHeight="1">
      <c r="A352" s="276" t="s">
        <v>807</v>
      </c>
      <c r="B352" s="276"/>
      <c r="C352" s="276"/>
      <c r="D352" s="276"/>
      <c r="E352" s="276"/>
      <c r="F352" s="276"/>
      <c r="G352" s="276"/>
    </row>
    <row r="353" spans="1:7" ht="22.5">
      <c r="A353" s="122" t="s">
        <v>808</v>
      </c>
      <c r="B353" s="123">
        <v>42760357</v>
      </c>
      <c r="C353" s="124" t="s">
        <v>809</v>
      </c>
      <c r="D353" s="123" t="s">
        <v>140</v>
      </c>
      <c r="E353" s="122">
        <v>1</v>
      </c>
      <c r="F353" s="125">
        <v>13442675</v>
      </c>
      <c r="G353" s="193">
        <f>E353*F353</f>
        <v>13442675</v>
      </c>
    </row>
    <row r="354" spans="1:7" ht="12" customHeight="1">
      <c r="A354" s="275" t="s">
        <v>810</v>
      </c>
      <c r="B354" s="275"/>
      <c r="C354" s="275"/>
      <c r="D354" s="275"/>
      <c r="E354" s="275"/>
      <c r="F354" s="224"/>
      <c r="G354" s="194">
        <f>G353</f>
        <v>13442675</v>
      </c>
    </row>
    <row r="355" spans="1:7" ht="12" customHeight="1">
      <c r="A355" s="276" t="s">
        <v>811</v>
      </c>
      <c r="B355" s="276"/>
      <c r="C355" s="276"/>
      <c r="D355" s="276"/>
      <c r="E355" s="276"/>
      <c r="F355" s="276"/>
      <c r="G355" s="276"/>
    </row>
    <row r="356" spans="1:7" ht="22.5">
      <c r="A356" s="122" t="s">
        <v>812</v>
      </c>
      <c r="B356" s="123">
        <v>42760358</v>
      </c>
      <c r="C356" s="124" t="s">
        <v>813</v>
      </c>
      <c r="D356" s="123" t="s">
        <v>140</v>
      </c>
      <c r="E356" s="122">
        <v>1</v>
      </c>
      <c r="F356" s="125">
        <v>307340352</v>
      </c>
      <c r="G356" s="193">
        <f>E356*F356</f>
        <v>307340352</v>
      </c>
    </row>
    <row r="357" spans="1:7" ht="12" customHeight="1">
      <c r="A357" s="122" t="s">
        <v>814</v>
      </c>
      <c r="B357" s="123">
        <v>42760359</v>
      </c>
      <c r="C357" s="124" t="s">
        <v>815</v>
      </c>
      <c r="D357" s="123" t="s">
        <v>140</v>
      </c>
      <c r="E357" s="122">
        <v>1</v>
      </c>
      <c r="F357" s="125">
        <v>135616093</v>
      </c>
      <c r="G357" s="193">
        <f t="shared" ref="G357:G361" si="14">E357*F357</f>
        <v>135616093</v>
      </c>
    </row>
    <row r="358" spans="1:7" ht="12" customHeight="1">
      <c r="A358" s="122" t="s">
        <v>816</v>
      </c>
      <c r="B358" s="123">
        <v>42760360</v>
      </c>
      <c r="C358" s="124" t="s">
        <v>817</v>
      </c>
      <c r="D358" s="123" t="s">
        <v>140</v>
      </c>
      <c r="E358" s="122">
        <v>1</v>
      </c>
      <c r="F358" s="125">
        <v>353880100</v>
      </c>
      <c r="G358" s="193">
        <f t="shared" si="14"/>
        <v>353880100</v>
      </c>
    </row>
    <row r="359" spans="1:7" ht="22.5">
      <c r="A359" s="122" t="s">
        <v>818</v>
      </c>
      <c r="B359" s="123">
        <v>42760361</v>
      </c>
      <c r="C359" s="124" t="s">
        <v>819</v>
      </c>
      <c r="D359" s="123" t="s">
        <v>140</v>
      </c>
      <c r="E359" s="122">
        <v>1</v>
      </c>
      <c r="F359" s="125">
        <v>409850841</v>
      </c>
      <c r="G359" s="193">
        <f t="shared" si="14"/>
        <v>409850841</v>
      </c>
    </row>
    <row r="360" spans="1:7" ht="12" customHeight="1">
      <c r="A360" s="122" t="s">
        <v>820</v>
      </c>
      <c r="B360" s="123">
        <v>42760362</v>
      </c>
      <c r="C360" s="124" t="s">
        <v>821</v>
      </c>
      <c r="D360" s="123" t="s">
        <v>140</v>
      </c>
      <c r="E360" s="122">
        <v>1</v>
      </c>
      <c r="F360" s="125">
        <v>209717064</v>
      </c>
      <c r="G360" s="193">
        <f t="shared" si="14"/>
        <v>209717064</v>
      </c>
    </row>
    <row r="361" spans="1:7" ht="12" customHeight="1">
      <c r="A361" s="122" t="s">
        <v>822</v>
      </c>
      <c r="B361" s="123">
        <v>42760363</v>
      </c>
      <c r="C361" s="124" t="s">
        <v>823</v>
      </c>
      <c r="D361" s="123" t="s">
        <v>140</v>
      </c>
      <c r="E361" s="122">
        <v>1</v>
      </c>
      <c r="F361" s="125">
        <v>26629412.314645387</v>
      </c>
      <c r="G361" s="193">
        <f t="shared" si="14"/>
        <v>26629412.314645387</v>
      </c>
    </row>
    <row r="362" spans="1:7" ht="12" customHeight="1">
      <c r="A362" s="275" t="s">
        <v>824</v>
      </c>
      <c r="B362" s="275"/>
      <c r="C362" s="275"/>
      <c r="D362" s="275"/>
      <c r="E362" s="275"/>
      <c r="F362" s="224"/>
      <c r="G362" s="194">
        <f>SUM(G356:G361)</f>
        <v>1443033862.3146453</v>
      </c>
    </row>
    <row r="363" spans="1:7" ht="12" customHeight="1">
      <c r="A363" s="276" t="s">
        <v>825</v>
      </c>
      <c r="B363" s="276"/>
      <c r="C363" s="276"/>
      <c r="D363" s="276"/>
      <c r="E363" s="276"/>
      <c r="F363" s="276"/>
      <c r="G363" s="276"/>
    </row>
    <row r="364" spans="1:7" ht="12" customHeight="1">
      <c r="A364" s="122" t="s">
        <v>826</v>
      </c>
      <c r="B364" s="123">
        <v>42760364</v>
      </c>
      <c r="C364" s="124" t="s">
        <v>827</v>
      </c>
      <c r="D364" s="123" t="s">
        <v>140</v>
      </c>
      <c r="E364" s="122">
        <v>1</v>
      </c>
      <c r="F364" s="125">
        <v>5006526763</v>
      </c>
      <c r="G364" s="193">
        <f>E364*F364</f>
        <v>5006526763</v>
      </c>
    </row>
    <row r="365" spans="1:7" ht="12" customHeight="1">
      <c r="A365" s="275" t="s">
        <v>828</v>
      </c>
      <c r="B365" s="275"/>
      <c r="C365" s="275"/>
      <c r="D365" s="275"/>
      <c r="E365" s="275"/>
      <c r="F365" s="224"/>
      <c r="G365" s="194">
        <f>G364</f>
        <v>5006526763</v>
      </c>
    </row>
    <row r="366" spans="1:7" ht="12" customHeight="1">
      <c r="A366" s="276" t="s">
        <v>829</v>
      </c>
      <c r="B366" s="276"/>
      <c r="C366" s="276"/>
      <c r="D366" s="276"/>
      <c r="E366" s="276"/>
      <c r="F366" s="276"/>
      <c r="G366" s="276"/>
    </row>
    <row r="367" spans="1:7" ht="33.75">
      <c r="A367" s="122" t="s">
        <v>830</v>
      </c>
      <c r="B367" s="123">
        <v>42760365</v>
      </c>
      <c r="C367" s="124" t="s">
        <v>831</v>
      </c>
      <c r="D367" s="123" t="s">
        <v>140</v>
      </c>
      <c r="E367" s="122">
        <v>1</v>
      </c>
      <c r="F367" s="125">
        <v>10579069950</v>
      </c>
      <c r="G367" s="193">
        <f>E367*F367</f>
        <v>10579069950</v>
      </c>
    </row>
    <row r="368" spans="1:7" ht="12" customHeight="1">
      <c r="A368" s="275" t="s">
        <v>956</v>
      </c>
      <c r="B368" s="275"/>
      <c r="C368" s="275"/>
      <c r="D368" s="275"/>
      <c r="E368" s="275"/>
      <c r="F368" s="224"/>
      <c r="G368" s="194">
        <f>G367</f>
        <v>10579069950</v>
      </c>
    </row>
    <row r="369" spans="1:9">
      <c r="A369" s="277" t="s">
        <v>832</v>
      </c>
      <c r="B369" s="277"/>
      <c r="C369" s="277"/>
      <c r="D369" s="277"/>
      <c r="E369" s="277"/>
      <c r="F369" s="225"/>
      <c r="G369" s="195">
        <f>+G368+G365+G362+G354+G351+G348+G323+G307+G297+G281+G250+G205+G164+G136+G119+G98+G71+G50+G23</f>
        <v>67010601043.417648</v>
      </c>
    </row>
    <row r="370" spans="1:9">
      <c r="G370" s="196"/>
    </row>
    <row r="371" spans="1:9" ht="12" customHeight="1">
      <c r="A371" s="322" t="s">
        <v>833</v>
      </c>
      <c r="B371" s="322"/>
      <c r="C371" s="322"/>
      <c r="D371" s="322"/>
      <c r="E371" s="322"/>
      <c r="F371" s="323"/>
      <c r="G371" s="324">
        <f>+G369</f>
        <v>67010601043.417648</v>
      </c>
    </row>
    <row r="372" spans="1:9" ht="12" customHeight="1">
      <c r="A372" s="322" t="s">
        <v>957</v>
      </c>
      <c r="B372" s="322"/>
      <c r="C372" s="322"/>
      <c r="D372" s="322"/>
      <c r="E372" s="322"/>
      <c r="F372" s="323"/>
      <c r="G372" s="325">
        <f>G373/G371</f>
        <v>0.24933487324154077</v>
      </c>
    </row>
    <row r="373" spans="1:9">
      <c r="A373" s="322" t="s">
        <v>958</v>
      </c>
      <c r="B373" s="322"/>
      <c r="C373" s="322"/>
      <c r="D373" s="322"/>
      <c r="E373" s="322"/>
      <c r="F373" s="323"/>
      <c r="G373" s="324">
        <f>[3]AU!I79</f>
        <v>16708079717</v>
      </c>
    </row>
    <row r="374" spans="1:9" ht="12" customHeight="1">
      <c r="A374" s="322" t="s">
        <v>835</v>
      </c>
      <c r="B374" s="322"/>
      <c r="C374" s="322"/>
      <c r="D374" s="322"/>
      <c r="E374" s="322"/>
      <c r="F374" s="323"/>
      <c r="G374" s="324">
        <f xml:space="preserve"> G371+G373</f>
        <v>83718680760.417648</v>
      </c>
    </row>
    <row r="375" spans="1:9" ht="12" customHeight="1">
      <c r="A375" s="326" t="s">
        <v>959</v>
      </c>
      <c r="B375" s="326"/>
      <c r="C375" s="326"/>
      <c r="D375" s="326"/>
      <c r="E375" s="326"/>
      <c r="F375" s="327"/>
      <c r="G375" s="328">
        <f>G371*5.5%</f>
        <v>3685583057.3879704</v>
      </c>
    </row>
    <row r="376" spans="1:9">
      <c r="A376" s="329" t="s">
        <v>906</v>
      </c>
      <c r="B376" s="329"/>
      <c r="C376" s="329"/>
      <c r="D376" s="329"/>
      <c r="E376" s="329"/>
      <c r="F376" s="330"/>
      <c r="G376" s="336">
        <f>G374+G375</f>
        <v>87404263817.805618</v>
      </c>
    </row>
    <row r="377" spans="1:9" ht="12" customHeight="1">
      <c r="F377" s="132"/>
      <c r="G377" s="196"/>
    </row>
    <row r="378" spans="1:9">
      <c r="F378" s="197"/>
      <c r="G378" s="196"/>
    </row>
    <row r="380" spans="1:9">
      <c r="I380" s="128"/>
    </row>
    <row r="381" spans="1:9">
      <c r="H381" s="129"/>
    </row>
    <row r="384" spans="1:9">
      <c r="I384" s="130"/>
    </row>
    <row r="385" spans="8:10">
      <c r="H385" s="127"/>
      <c r="I385" s="131"/>
      <c r="J385" s="132"/>
    </row>
    <row r="386" spans="8:10">
      <c r="H386" s="129"/>
      <c r="I386" s="129"/>
    </row>
  </sheetData>
  <mergeCells count="50">
    <mergeCell ref="A376:F376"/>
    <mergeCell ref="A371:F371"/>
    <mergeCell ref="A372:F372"/>
    <mergeCell ref="A373:F373"/>
    <mergeCell ref="A374:F374"/>
    <mergeCell ref="A375:F375"/>
    <mergeCell ref="A365:E365"/>
    <mergeCell ref="A366:G366"/>
    <mergeCell ref="A348:E348"/>
    <mergeCell ref="A349:G349"/>
    <mergeCell ref="A351:E351"/>
    <mergeCell ref="A352:G352"/>
    <mergeCell ref="A354:E354"/>
    <mergeCell ref="A355:G355"/>
    <mergeCell ref="A362:E362"/>
    <mergeCell ref="A363:G363"/>
    <mergeCell ref="A368:E368"/>
    <mergeCell ref="A369:E369"/>
    <mergeCell ref="A1:G1"/>
    <mergeCell ref="A2:F2"/>
    <mergeCell ref="A3:E3"/>
    <mergeCell ref="A4:G4"/>
    <mergeCell ref="A6:G6"/>
    <mergeCell ref="A7:G7"/>
    <mergeCell ref="A206:G206"/>
    <mergeCell ref="A250:E250"/>
    <mergeCell ref="A251:G251"/>
    <mergeCell ref="A281:E281"/>
    <mergeCell ref="A282:G282"/>
    <mergeCell ref="A297:E297"/>
    <mergeCell ref="A23:E23"/>
    <mergeCell ref="A24:G24"/>
    <mergeCell ref="A50:E50"/>
    <mergeCell ref="A51:G51"/>
    <mergeCell ref="A71:E71"/>
    <mergeCell ref="A72:G72"/>
    <mergeCell ref="A98:E98"/>
    <mergeCell ref="A99:G99"/>
    <mergeCell ref="A119:E119"/>
    <mergeCell ref="A120:G120"/>
    <mergeCell ref="A136:E136"/>
    <mergeCell ref="A137:G137"/>
    <mergeCell ref="A164:E164"/>
    <mergeCell ref="A165:G165"/>
    <mergeCell ref="A205:E205"/>
    <mergeCell ref="A323:E323"/>
    <mergeCell ref="A324:G324"/>
    <mergeCell ref="A298:G298"/>
    <mergeCell ref="A307:E307"/>
    <mergeCell ref="A308:G308"/>
  </mergeCells>
  <pageMargins left="0.4699999988079071" right="0.35333332419395447" top="0.47999998927116394" bottom="0.47333332896232605" header="0.3" footer="0.3"/>
  <pageSetup scale="70" orientation="portrait" errors="blank"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01"/>
  <sheetViews>
    <sheetView showGridLines="0" showZeros="0" view="pageBreakPreview" topLeftCell="A85" zoomScaleNormal="100" zoomScaleSheetLayoutView="100" workbookViewId="0">
      <selection activeCell="G100" sqref="G100"/>
    </sheetView>
  </sheetViews>
  <sheetFormatPr baseColWidth="10" defaultColWidth="11.42578125" defaultRowHeight="15"/>
  <cols>
    <col min="1" max="1" width="11.42578125" style="94"/>
    <col min="2" max="2" width="23.5703125" style="95" customWidth="1"/>
    <col min="3" max="3" width="30.42578125" style="95" customWidth="1"/>
    <col min="4" max="4" width="16" style="94" bestFit="1" customWidth="1"/>
    <col min="5" max="5" width="26.28515625" style="94" customWidth="1"/>
    <col min="6" max="6" width="19.28515625" style="94" customWidth="1"/>
    <col min="7" max="7" width="18.140625" style="94" customWidth="1"/>
    <col min="8" max="8" width="25.7109375" style="94" customWidth="1"/>
    <col min="9" max="9" width="32.85546875" style="94" customWidth="1"/>
    <col min="10" max="16384" width="11.42578125" style="94"/>
  </cols>
  <sheetData>
    <row r="1" spans="1:8" ht="15" customHeight="1">
      <c r="A1" s="301" t="s">
        <v>126</v>
      </c>
      <c r="B1" s="301"/>
      <c r="C1" s="301"/>
      <c r="D1" s="301"/>
      <c r="E1" s="301"/>
      <c r="F1" s="301"/>
      <c r="G1" s="301"/>
    </row>
    <row r="2" spans="1:8" ht="15" customHeight="1">
      <c r="A2" s="301"/>
      <c r="B2" s="301"/>
      <c r="C2" s="301"/>
      <c r="D2" s="301"/>
      <c r="E2" s="301"/>
      <c r="F2" s="301"/>
      <c r="G2" s="301"/>
    </row>
    <row r="3" spans="1:8" ht="15.75" customHeight="1">
      <c r="A3" s="297" t="s">
        <v>836</v>
      </c>
      <c r="B3" s="297"/>
      <c r="C3" s="302" t="s">
        <v>837</v>
      </c>
      <c r="D3" s="303"/>
      <c r="E3" s="303"/>
      <c r="F3" s="303"/>
      <c r="G3" s="304"/>
    </row>
    <row r="4" spans="1:8" ht="15.75">
      <c r="A4" s="297" t="s">
        <v>838</v>
      </c>
      <c r="B4" s="297"/>
      <c r="C4" s="305">
        <v>23</v>
      </c>
      <c r="D4" s="306"/>
      <c r="E4" s="306"/>
      <c r="F4" s="306"/>
      <c r="G4" s="307"/>
    </row>
    <row r="6" spans="1:8" ht="15" customHeight="1">
      <c r="A6" s="282" t="s">
        <v>839</v>
      </c>
      <c r="B6" s="282"/>
      <c r="C6" s="282"/>
      <c r="D6" s="282"/>
      <c r="E6" s="282"/>
      <c r="F6" s="282"/>
      <c r="G6" s="282"/>
      <c r="H6" s="282"/>
    </row>
    <row r="7" spans="1:8" ht="15" customHeight="1">
      <c r="A7" s="282"/>
      <c r="B7" s="282"/>
      <c r="C7" s="282"/>
      <c r="D7" s="282"/>
      <c r="E7" s="282"/>
      <c r="F7" s="282"/>
      <c r="G7" s="282"/>
      <c r="H7" s="282"/>
    </row>
    <row r="8" spans="1:8" ht="31.5">
      <c r="A8" s="133" t="s">
        <v>2</v>
      </c>
      <c r="B8" s="133" t="s">
        <v>34</v>
      </c>
      <c r="C8" s="133" t="s">
        <v>840</v>
      </c>
      <c r="D8" s="133" t="s">
        <v>841</v>
      </c>
      <c r="E8" s="133" t="s">
        <v>842</v>
      </c>
      <c r="F8" s="133" t="s">
        <v>843</v>
      </c>
      <c r="G8" s="133" t="s">
        <v>844</v>
      </c>
      <c r="H8" s="133" t="s">
        <v>845</v>
      </c>
    </row>
    <row r="9" spans="1:8" ht="30">
      <c r="A9" s="134">
        <v>1</v>
      </c>
      <c r="B9" s="135" t="s">
        <v>846</v>
      </c>
      <c r="C9" s="136" t="s">
        <v>847</v>
      </c>
      <c r="D9" s="136">
        <v>1</v>
      </c>
      <c r="E9" s="230">
        <v>1</v>
      </c>
      <c r="F9" s="137">
        <f>+'[2]TABLA SALARIAL'!F11</f>
        <v>9183720.9684328102</v>
      </c>
      <c r="G9" s="138">
        <f>+C$4</f>
        <v>23</v>
      </c>
      <c r="H9" s="137">
        <f t="shared" ref="H9:H18" si="0">E9*F9*G9*D9</f>
        <v>211225582.27395463</v>
      </c>
    </row>
    <row r="10" spans="1:8" ht="30">
      <c r="A10" s="134">
        <v>2</v>
      </c>
      <c r="B10" s="135" t="s">
        <v>848</v>
      </c>
      <c r="C10" s="136" t="s">
        <v>847</v>
      </c>
      <c r="D10" s="136">
        <v>2</v>
      </c>
      <c r="E10" s="230">
        <v>1</v>
      </c>
      <c r="F10" s="137">
        <v>4773598.22</v>
      </c>
      <c r="G10" s="138">
        <f t="shared" ref="G10:G18" si="1">+C$4</f>
        <v>23</v>
      </c>
      <c r="H10" s="137">
        <f t="shared" si="0"/>
        <v>219585518.11999997</v>
      </c>
    </row>
    <row r="11" spans="1:8">
      <c r="A11" s="134">
        <v>3</v>
      </c>
      <c r="B11" s="135" t="s">
        <v>849</v>
      </c>
      <c r="C11" s="136" t="s">
        <v>847</v>
      </c>
      <c r="D11" s="136">
        <v>2</v>
      </c>
      <c r="E11" s="230">
        <v>1</v>
      </c>
      <c r="F11" s="137">
        <f>+'[2]TABLA SALARIAL'!F20</f>
        <v>2008938.9618446773</v>
      </c>
      <c r="G11" s="138">
        <f t="shared" si="1"/>
        <v>23</v>
      </c>
      <c r="H11" s="137">
        <f t="shared" si="0"/>
        <v>92411192.244855151</v>
      </c>
    </row>
    <row r="12" spans="1:8" ht="30">
      <c r="A12" s="134">
        <v>4</v>
      </c>
      <c r="B12" s="135" t="s">
        <v>850</v>
      </c>
      <c r="C12" s="136" t="s">
        <v>851</v>
      </c>
      <c r="D12" s="136">
        <v>2</v>
      </c>
      <c r="E12" s="230">
        <v>1</v>
      </c>
      <c r="F12" s="137">
        <f>+'[2]TABLA SALARIAL'!F19</f>
        <v>2295930.2421082025</v>
      </c>
      <c r="G12" s="138">
        <f t="shared" si="1"/>
        <v>23</v>
      </c>
      <c r="H12" s="137">
        <f t="shared" si="0"/>
        <v>105612791.13697731</v>
      </c>
    </row>
    <row r="13" spans="1:8">
      <c r="A13" s="134">
        <v>5</v>
      </c>
      <c r="B13" s="135" t="s">
        <v>852</v>
      </c>
      <c r="C13" s="136" t="s">
        <v>853</v>
      </c>
      <c r="D13" s="136">
        <v>1</v>
      </c>
      <c r="E13" s="230">
        <v>1</v>
      </c>
      <c r="F13" s="137">
        <v>3500000.0126817143</v>
      </c>
      <c r="G13" s="138">
        <f t="shared" si="1"/>
        <v>23</v>
      </c>
      <c r="H13" s="137">
        <f t="shared" si="0"/>
        <v>80500000.291679427</v>
      </c>
    </row>
    <row r="14" spans="1:8">
      <c r="A14" s="134">
        <v>6</v>
      </c>
      <c r="B14" s="135" t="s">
        <v>854</v>
      </c>
      <c r="C14" s="136" t="s">
        <v>855</v>
      </c>
      <c r="D14" s="136">
        <v>1</v>
      </c>
      <c r="E14" s="230">
        <v>1</v>
      </c>
      <c r="F14" s="137">
        <f>+'[2]TABLA SALARIAL'!F14</f>
        <v>4591860.4842164051</v>
      </c>
      <c r="G14" s="138">
        <f t="shared" si="1"/>
        <v>23</v>
      </c>
      <c r="H14" s="137">
        <f t="shared" si="0"/>
        <v>105612791.13697731</v>
      </c>
    </row>
    <row r="15" spans="1:8" ht="30">
      <c r="A15" s="134">
        <v>7</v>
      </c>
      <c r="B15" s="135" t="s">
        <v>856</v>
      </c>
      <c r="C15" s="136" t="s">
        <v>857</v>
      </c>
      <c r="D15" s="136">
        <v>2</v>
      </c>
      <c r="E15" s="230">
        <v>1</v>
      </c>
      <c r="F15" s="137">
        <v>4500000</v>
      </c>
      <c r="G15" s="138">
        <v>19</v>
      </c>
      <c r="H15" s="137">
        <f t="shared" si="0"/>
        <v>171000000</v>
      </c>
    </row>
    <row r="16" spans="1:8" ht="60">
      <c r="A16" s="134">
        <v>8</v>
      </c>
      <c r="B16" s="135" t="s">
        <v>858</v>
      </c>
      <c r="C16" s="136" t="s">
        <v>847</v>
      </c>
      <c r="D16" s="136">
        <v>1</v>
      </c>
      <c r="E16" s="230">
        <v>1</v>
      </c>
      <c r="F16" s="137">
        <f>+'[2]TABLA SALARIAL'!F14</f>
        <v>4591860.4842164051</v>
      </c>
      <c r="G16" s="138">
        <f t="shared" si="1"/>
        <v>23</v>
      </c>
      <c r="H16" s="137">
        <f t="shared" si="0"/>
        <v>105612791.13697731</v>
      </c>
    </row>
    <row r="17" spans="1:8" ht="30">
      <c r="A17" s="134">
        <v>9</v>
      </c>
      <c r="B17" s="135" t="s">
        <v>859</v>
      </c>
      <c r="C17" s="136" t="s">
        <v>860</v>
      </c>
      <c r="D17" s="136">
        <v>2</v>
      </c>
      <c r="E17" s="230">
        <v>1</v>
      </c>
      <c r="F17" s="137">
        <f>+'[2]TABLA SALARIAL'!F14</f>
        <v>4591860.4842164051</v>
      </c>
      <c r="G17" s="138">
        <v>19</v>
      </c>
      <c r="H17" s="137">
        <f t="shared" si="0"/>
        <v>174490698.4002234</v>
      </c>
    </row>
    <row r="18" spans="1:8" ht="30">
      <c r="A18" s="134">
        <v>10</v>
      </c>
      <c r="B18" s="135" t="s">
        <v>861</v>
      </c>
      <c r="C18" s="136" t="s">
        <v>862</v>
      </c>
      <c r="D18" s="136">
        <v>1</v>
      </c>
      <c r="E18" s="230">
        <v>1</v>
      </c>
      <c r="F18" s="137">
        <v>3500000</v>
      </c>
      <c r="G18" s="138">
        <f t="shared" si="1"/>
        <v>23</v>
      </c>
      <c r="H18" s="137">
        <f t="shared" si="0"/>
        <v>80500000</v>
      </c>
    </row>
    <row r="19" spans="1:8" ht="15.75">
      <c r="A19" s="288" t="s">
        <v>863</v>
      </c>
      <c r="B19" s="288"/>
      <c r="C19" s="288"/>
      <c r="D19" s="288"/>
      <c r="E19" s="288"/>
      <c r="F19" s="288"/>
      <c r="G19" s="288"/>
      <c r="H19" s="139">
        <f>SUM(H9:H18)</f>
        <v>1346551364.7416446</v>
      </c>
    </row>
    <row r="20" spans="1:8">
      <c r="A20" s="134">
        <v>11</v>
      </c>
      <c r="B20" s="135" t="s">
        <v>864</v>
      </c>
      <c r="C20" s="136" t="s">
        <v>847</v>
      </c>
      <c r="D20" s="136">
        <v>2</v>
      </c>
      <c r="E20" s="230">
        <v>1</v>
      </c>
      <c r="F20" s="137">
        <v>6500012.3679999998</v>
      </c>
      <c r="G20" s="138">
        <v>23</v>
      </c>
      <c r="H20" s="137">
        <f>+D20*E20*F20*G20</f>
        <v>299000568.92799997</v>
      </c>
    </row>
    <row r="21" spans="1:8" ht="15.75">
      <c r="A21" s="288" t="s">
        <v>865</v>
      </c>
      <c r="B21" s="288"/>
      <c r="C21" s="288"/>
      <c r="D21" s="288"/>
      <c r="E21" s="288"/>
      <c r="F21" s="288"/>
      <c r="G21" s="288"/>
      <c r="H21" s="139">
        <f>+H19+H20</f>
        <v>1645551933.6696446</v>
      </c>
    </row>
    <row r="23" spans="1:8" ht="15" customHeight="1">
      <c r="A23" s="282" t="s">
        <v>866</v>
      </c>
      <c r="B23" s="282"/>
      <c r="C23" s="282"/>
      <c r="D23" s="282"/>
      <c r="E23" s="282"/>
    </row>
    <row r="24" spans="1:8" ht="15" customHeight="1">
      <c r="A24" s="282"/>
      <c r="B24" s="282"/>
      <c r="C24" s="282"/>
      <c r="D24" s="282"/>
      <c r="E24" s="282"/>
    </row>
    <row r="25" spans="1:8" ht="15.75">
      <c r="A25" s="226" t="s">
        <v>2</v>
      </c>
      <c r="B25" s="140" t="s">
        <v>3</v>
      </c>
      <c r="C25" s="297" t="s">
        <v>867</v>
      </c>
      <c r="D25" s="297"/>
      <c r="E25" s="297"/>
    </row>
    <row r="26" spans="1:8" ht="15.75">
      <c r="A26" s="141">
        <v>1</v>
      </c>
      <c r="B26" s="142" t="s">
        <v>63</v>
      </c>
      <c r="C26" s="298">
        <v>1</v>
      </c>
      <c r="D26" s="298"/>
      <c r="E26" s="298"/>
      <c r="G26" s="143"/>
    </row>
    <row r="27" spans="1:8" ht="31.5">
      <c r="A27" s="141">
        <v>2</v>
      </c>
      <c r="B27" s="144" t="s">
        <v>64</v>
      </c>
      <c r="C27" s="299"/>
      <c r="D27" s="299"/>
      <c r="E27" s="299"/>
    </row>
    <row r="28" spans="1:8" ht="31.5">
      <c r="A28" s="145" t="s">
        <v>13</v>
      </c>
      <c r="B28" s="146" t="s">
        <v>65</v>
      </c>
      <c r="C28" s="294">
        <f>SUM(C29:E32)</f>
        <v>0.21829999999999999</v>
      </c>
      <c r="D28" s="294"/>
      <c r="E28" s="294"/>
    </row>
    <row r="29" spans="1:8" ht="30">
      <c r="A29" s="147"/>
      <c r="B29" s="148" t="s">
        <v>67</v>
      </c>
      <c r="C29" s="300">
        <v>8.3299999999999999E-2</v>
      </c>
      <c r="D29" s="300"/>
      <c r="E29" s="300"/>
      <c r="F29" s="149"/>
    </row>
    <row r="30" spans="1:8" ht="30">
      <c r="A30" s="147"/>
      <c r="B30" s="148" t="s">
        <v>868</v>
      </c>
      <c r="C30" s="300">
        <v>0.01</v>
      </c>
      <c r="D30" s="300"/>
      <c r="E30" s="300"/>
      <c r="F30" s="149"/>
    </row>
    <row r="31" spans="1:8" ht="30">
      <c r="A31" s="147"/>
      <c r="B31" s="148" t="s">
        <v>71</v>
      </c>
      <c r="C31" s="300">
        <v>4.1700000000000001E-2</v>
      </c>
      <c r="D31" s="300"/>
      <c r="E31" s="300"/>
      <c r="F31" s="149"/>
    </row>
    <row r="32" spans="1:8" ht="30">
      <c r="A32" s="147"/>
      <c r="B32" s="148" t="s">
        <v>75</v>
      </c>
      <c r="C32" s="300">
        <v>8.3299999999999999E-2</v>
      </c>
      <c r="D32" s="300"/>
      <c r="E32" s="300"/>
      <c r="F32" s="149"/>
    </row>
    <row r="33" spans="1:5" ht="31.5">
      <c r="A33" s="145" t="s">
        <v>15</v>
      </c>
      <c r="B33" s="146" t="s">
        <v>82</v>
      </c>
      <c r="C33" s="294">
        <f>C34</f>
        <v>0.04</v>
      </c>
      <c r="D33" s="294"/>
      <c r="E33" s="294"/>
    </row>
    <row r="34" spans="1:5" ht="30">
      <c r="A34" s="147"/>
      <c r="B34" s="148" t="s">
        <v>84</v>
      </c>
      <c r="C34" s="290">
        <v>0.04</v>
      </c>
      <c r="D34" s="290"/>
      <c r="E34" s="290"/>
    </row>
    <row r="35" spans="1:5" ht="31.5">
      <c r="A35" s="145" t="s">
        <v>85</v>
      </c>
      <c r="B35" s="146" t="s">
        <v>86</v>
      </c>
      <c r="C35" s="294">
        <f>SUM(C36:E38)</f>
        <v>0.27460000000000001</v>
      </c>
      <c r="D35" s="294"/>
      <c r="E35" s="294"/>
    </row>
    <row r="36" spans="1:5" ht="45">
      <c r="A36" s="147"/>
      <c r="B36" s="148" t="s">
        <v>88</v>
      </c>
      <c r="C36" s="290">
        <v>8.5000000000000006E-2</v>
      </c>
      <c r="D36" s="290"/>
      <c r="E36" s="290"/>
    </row>
    <row r="37" spans="1:5" ht="45">
      <c r="A37" s="147"/>
      <c r="B37" s="148" t="s">
        <v>90</v>
      </c>
      <c r="C37" s="290">
        <v>0.12</v>
      </c>
      <c r="D37" s="290"/>
      <c r="E37" s="290"/>
    </row>
    <row r="38" spans="1:5" ht="30">
      <c r="A38" s="147"/>
      <c r="B38" s="148" t="s">
        <v>92</v>
      </c>
      <c r="C38" s="290">
        <v>6.9599999999999995E-2</v>
      </c>
      <c r="D38" s="290"/>
      <c r="E38" s="290"/>
    </row>
    <row r="39" spans="1:5" ht="31.5">
      <c r="A39" s="145" t="s">
        <v>869</v>
      </c>
      <c r="B39" s="146" t="s">
        <v>870</v>
      </c>
      <c r="C39" s="294">
        <f>C40+C41</f>
        <v>6.0000000000000005E-2</v>
      </c>
      <c r="D39" s="294"/>
      <c r="E39" s="294"/>
    </row>
    <row r="40" spans="1:5" ht="45">
      <c r="A40" s="147"/>
      <c r="B40" s="148" t="s">
        <v>871</v>
      </c>
      <c r="C40" s="290">
        <v>0.05</v>
      </c>
      <c r="D40" s="290"/>
      <c r="E40" s="290"/>
    </row>
    <row r="41" spans="1:5">
      <c r="A41" s="147"/>
      <c r="B41" s="148" t="s">
        <v>872</v>
      </c>
      <c r="C41" s="290">
        <v>0.01</v>
      </c>
      <c r="D41" s="290"/>
      <c r="E41" s="290"/>
    </row>
    <row r="42" spans="1:5" ht="30">
      <c r="A42" s="147"/>
      <c r="B42" s="148" t="s">
        <v>873</v>
      </c>
      <c r="C42" s="290">
        <v>0</v>
      </c>
      <c r="D42" s="290"/>
      <c r="E42" s="290"/>
    </row>
    <row r="43" spans="1:5" ht="30">
      <c r="A43" s="134"/>
      <c r="B43" s="150" t="s">
        <v>873</v>
      </c>
      <c r="C43" s="295">
        <v>0</v>
      </c>
      <c r="D43" s="295"/>
      <c r="E43" s="295"/>
    </row>
    <row r="44" spans="1:5" ht="15.75">
      <c r="A44" s="151">
        <v>3</v>
      </c>
      <c r="B44" s="152" t="s">
        <v>874</v>
      </c>
      <c r="C44" s="296">
        <v>0.3</v>
      </c>
      <c r="D44" s="296"/>
      <c r="E44" s="296"/>
    </row>
    <row r="45" spans="1:5" ht="15.75">
      <c r="A45" s="282" t="s">
        <v>875</v>
      </c>
      <c r="B45" s="282"/>
      <c r="C45" s="282"/>
      <c r="D45" s="286">
        <f>C26+C28+C33+C35+C39+C44</f>
        <v>1.8929</v>
      </c>
      <c r="E45" s="286"/>
    </row>
    <row r="46" spans="1:5" ht="15.75">
      <c r="A46" s="282"/>
      <c r="B46" s="282"/>
      <c r="C46" s="282"/>
      <c r="D46" s="287">
        <f>ROUNDUP(D45,2)</f>
        <v>1.9</v>
      </c>
      <c r="E46" s="287"/>
    </row>
    <row r="47" spans="1:5" ht="15.75">
      <c r="A47" s="288" t="s">
        <v>876</v>
      </c>
      <c r="B47" s="288"/>
      <c r="C47" s="288"/>
      <c r="D47" s="289">
        <f>+$D$46*$H$21</f>
        <v>3126548673.9723244</v>
      </c>
      <c r="E47" s="289"/>
    </row>
    <row r="48" spans="1:5">
      <c r="A48" s="153"/>
      <c r="B48" s="154"/>
      <c r="C48" s="155"/>
      <c r="D48" s="155"/>
      <c r="E48" s="155"/>
    </row>
    <row r="49" spans="1:8" ht="15" customHeight="1">
      <c r="A49" s="282" t="s">
        <v>877</v>
      </c>
      <c r="B49" s="282"/>
      <c r="C49" s="282"/>
      <c r="D49" s="282"/>
      <c r="E49" s="282"/>
      <c r="F49" s="282"/>
      <c r="G49" s="282"/>
    </row>
    <row r="50" spans="1:8" ht="15" customHeight="1">
      <c r="A50" s="282"/>
      <c r="B50" s="282"/>
      <c r="C50" s="282"/>
      <c r="D50" s="282"/>
      <c r="E50" s="282"/>
      <c r="F50" s="282"/>
      <c r="G50" s="282"/>
    </row>
    <row r="51" spans="1:8" ht="31.5">
      <c r="A51" s="140" t="s">
        <v>2</v>
      </c>
      <c r="B51" s="140" t="s">
        <v>3</v>
      </c>
      <c r="C51" s="140" t="s">
        <v>878</v>
      </c>
      <c r="D51" s="140" t="s">
        <v>879</v>
      </c>
      <c r="E51" s="140" t="s">
        <v>880</v>
      </c>
      <c r="F51" s="140" t="s">
        <v>844</v>
      </c>
      <c r="G51" s="140" t="s">
        <v>845</v>
      </c>
    </row>
    <row r="52" spans="1:8" ht="15.75">
      <c r="A52" s="156">
        <v>1</v>
      </c>
      <c r="B52" s="157" t="s">
        <v>881</v>
      </c>
      <c r="C52" s="158"/>
      <c r="D52" s="158"/>
      <c r="E52" s="159"/>
      <c r="F52" s="160"/>
      <c r="G52" s="160"/>
    </row>
    <row r="53" spans="1:8" ht="75">
      <c r="A53" s="134" t="s">
        <v>8</v>
      </c>
      <c r="B53" s="161" t="s">
        <v>882</v>
      </c>
      <c r="C53" s="136">
        <v>1</v>
      </c>
      <c r="D53" s="136" t="s">
        <v>883</v>
      </c>
      <c r="E53" s="137">
        <v>500000</v>
      </c>
      <c r="F53" s="162">
        <v>23</v>
      </c>
      <c r="G53" s="137">
        <f>E53*F53*C53</f>
        <v>11500000</v>
      </c>
    </row>
    <row r="54" spans="1:8" ht="30">
      <c r="A54" s="134" t="s">
        <v>9</v>
      </c>
      <c r="B54" s="161" t="s">
        <v>884</v>
      </c>
      <c r="C54" s="136">
        <v>4</v>
      </c>
      <c r="D54" s="136" t="s">
        <v>883</v>
      </c>
      <c r="E54" s="137">
        <v>75000</v>
      </c>
      <c r="F54" s="162">
        <v>23</v>
      </c>
      <c r="G54" s="137">
        <f>E54*F54*C54</f>
        <v>6900000</v>
      </c>
    </row>
    <row r="55" spans="1:8" ht="15.75">
      <c r="A55" s="156">
        <v>2</v>
      </c>
      <c r="B55" s="157" t="s">
        <v>885</v>
      </c>
      <c r="C55" s="163"/>
      <c r="D55" s="163"/>
      <c r="E55" s="164"/>
      <c r="F55" s="165"/>
      <c r="G55" s="164"/>
    </row>
    <row r="56" spans="1:8" ht="90">
      <c r="A56" s="134" t="s">
        <v>13</v>
      </c>
      <c r="B56" s="166" t="s">
        <v>886</v>
      </c>
      <c r="C56" s="136">
        <v>13</v>
      </c>
      <c r="D56" s="136" t="s">
        <v>883</v>
      </c>
      <c r="E56" s="137">
        <v>2200000</v>
      </c>
      <c r="F56" s="162">
        <v>1</v>
      </c>
      <c r="G56" s="137">
        <f>E56*F56*C56</f>
        <v>28600000</v>
      </c>
      <c r="H56" s="167"/>
    </row>
    <row r="57" spans="1:8" ht="63">
      <c r="A57" s="156">
        <v>3</v>
      </c>
      <c r="B57" s="157" t="s">
        <v>887</v>
      </c>
      <c r="C57" s="163"/>
      <c r="D57" s="163"/>
      <c r="E57" s="164"/>
      <c r="F57" s="165"/>
      <c r="G57" s="164">
        <f>E57*F57*C57</f>
        <v>0</v>
      </c>
    </row>
    <row r="58" spans="1:8" ht="165">
      <c r="A58" s="134">
        <v>3.1</v>
      </c>
      <c r="B58" s="168" t="s">
        <v>888</v>
      </c>
      <c r="C58" s="169">
        <v>15</v>
      </c>
      <c r="D58" s="170" t="s">
        <v>889</v>
      </c>
      <c r="E58" s="137">
        <v>555041</v>
      </c>
      <c r="F58" s="162">
        <v>23</v>
      </c>
      <c r="G58" s="137">
        <f t="shared" ref="G58:G61" si="2">E58*F58*C58</f>
        <v>191489145</v>
      </c>
    </row>
    <row r="59" spans="1:8" ht="45">
      <c r="A59" s="134">
        <v>3.2</v>
      </c>
      <c r="B59" s="168" t="s">
        <v>890</v>
      </c>
      <c r="C59" s="170">
        <v>0</v>
      </c>
      <c r="D59" s="170" t="s">
        <v>891</v>
      </c>
      <c r="E59" s="137">
        <v>1000000</v>
      </c>
      <c r="F59" s="162">
        <f>C4</f>
        <v>23</v>
      </c>
      <c r="G59" s="137">
        <f t="shared" si="2"/>
        <v>0</v>
      </c>
    </row>
    <row r="60" spans="1:8" ht="105">
      <c r="A60" s="134">
        <v>3.3</v>
      </c>
      <c r="B60" s="168" t="s">
        <v>892</v>
      </c>
      <c r="C60" s="136">
        <v>10</v>
      </c>
      <c r="D60" s="136" t="s">
        <v>739</v>
      </c>
      <c r="E60" s="137">
        <v>500000</v>
      </c>
      <c r="F60" s="162">
        <v>23</v>
      </c>
      <c r="G60" s="137">
        <f t="shared" si="2"/>
        <v>115000000</v>
      </c>
    </row>
    <row r="61" spans="1:8" ht="75">
      <c r="A61" s="134">
        <v>3.4</v>
      </c>
      <c r="B61" s="168" t="s">
        <v>893</v>
      </c>
      <c r="C61" s="136">
        <v>30</v>
      </c>
      <c r="D61" s="136" t="s">
        <v>894</v>
      </c>
      <c r="E61" s="137">
        <v>230000</v>
      </c>
      <c r="F61" s="162">
        <v>23</v>
      </c>
      <c r="G61" s="137">
        <f t="shared" si="2"/>
        <v>158700000</v>
      </c>
    </row>
    <row r="62" spans="1:8" ht="15.75">
      <c r="A62" s="291" t="s">
        <v>895</v>
      </c>
      <c r="B62" s="291"/>
      <c r="C62" s="291"/>
      <c r="D62" s="291"/>
      <c r="E62" s="291"/>
      <c r="F62" s="291"/>
      <c r="G62" s="171">
        <f>SUM(G53:G61)</f>
        <v>512189145</v>
      </c>
    </row>
    <row r="63" spans="1:8" ht="15.75">
      <c r="A63" s="291" t="s">
        <v>896</v>
      </c>
      <c r="B63" s="291"/>
      <c r="C63" s="291"/>
      <c r="D63" s="291"/>
      <c r="E63" s="291"/>
      <c r="F63" s="291"/>
      <c r="G63" s="227">
        <v>0.05</v>
      </c>
    </row>
    <row r="64" spans="1:8" ht="15.75">
      <c r="A64" s="291" t="s">
        <v>897</v>
      </c>
      <c r="B64" s="291"/>
      <c r="C64" s="291"/>
      <c r="D64" s="291"/>
      <c r="E64" s="291"/>
      <c r="F64" s="291"/>
      <c r="G64" s="171">
        <f>G62*G63</f>
        <v>25609457.25</v>
      </c>
    </row>
    <row r="65" spans="1:7" ht="15.75">
      <c r="A65" s="291" t="s">
        <v>898</v>
      </c>
      <c r="B65" s="291"/>
      <c r="C65" s="291"/>
      <c r="D65" s="291"/>
      <c r="E65" s="291"/>
      <c r="F65" s="291"/>
      <c r="G65" s="171">
        <f>SUM(G62:G64)</f>
        <v>537798602.29999995</v>
      </c>
    </row>
    <row r="66" spans="1:7">
      <c r="A66" s="153"/>
      <c r="B66" s="154"/>
      <c r="C66" s="172"/>
      <c r="D66" s="172"/>
      <c r="E66" s="172"/>
    </row>
    <row r="67" spans="1:7" ht="15.75">
      <c r="A67" s="288" t="s">
        <v>899</v>
      </c>
      <c r="B67" s="288"/>
      <c r="C67" s="288"/>
      <c r="D67" s="288"/>
      <c r="E67" s="288"/>
      <c r="F67" s="288"/>
      <c r="G67" s="139">
        <f>G65+D47</f>
        <v>3664347276.2723246</v>
      </c>
    </row>
    <row r="68" spans="1:7">
      <c r="A68" s="153"/>
      <c r="B68" s="154"/>
      <c r="C68" s="155"/>
      <c r="D68" s="155"/>
      <c r="E68" s="155"/>
    </row>
    <row r="69" spans="1:7" ht="15.75">
      <c r="A69" s="282" t="s">
        <v>900</v>
      </c>
      <c r="B69" s="282"/>
      <c r="C69" s="282"/>
      <c r="D69" s="282"/>
      <c r="E69" s="282"/>
      <c r="F69" s="173"/>
      <c r="G69" s="173"/>
    </row>
    <row r="70" spans="1:7" ht="15" customHeight="1">
      <c r="A70" s="282"/>
      <c r="B70" s="282"/>
      <c r="C70" s="282"/>
      <c r="D70" s="282"/>
      <c r="E70" s="282"/>
    </row>
    <row r="71" spans="1:7" ht="63">
      <c r="A71" s="174">
        <v>4</v>
      </c>
      <c r="B71" s="175" t="s">
        <v>901</v>
      </c>
      <c r="C71" s="292">
        <f>C72+C85</f>
        <v>6.2960183190477831E-2</v>
      </c>
      <c r="D71" s="292"/>
      <c r="E71" s="292"/>
    </row>
    <row r="72" spans="1:7" ht="15.75">
      <c r="A72" s="151" t="s">
        <v>902</v>
      </c>
      <c r="B72" s="176" t="s">
        <v>834</v>
      </c>
      <c r="C72" s="293">
        <f>$E$84/$G$67</f>
        <v>1.7760183190477841E-2</v>
      </c>
      <c r="D72" s="293"/>
      <c r="E72" s="293"/>
    </row>
    <row r="73" spans="1:7" ht="15.75">
      <c r="A73" s="134"/>
      <c r="B73" s="177" t="s">
        <v>903</v>
      </c>
      <c r="C73" s="177" t="s">
        <v>904</v>
      </c>
      <c r="D73" s="178" t="s">
        <v>905</v>
      </c>
      <c r="E73" s="229" t="s">
        <v>906</v>
      </c>
    </row>
    <row r="74" spans="1:7">
      <c r="A74" s="134"/>
      <c r="B74" s="150" t="s">
        <v>122</v>
      </c>
      <c r="C74" s="179">
        <f>1.0161*9067203</f>
        <v>9213184.9682999998</v>
      </c>
      <c r="D74" s="228">
        <v>0.25</v>
      </c>
      <c r="E74" s="180">
        <f>C74*$D$74*$C$4</f>
        <v>52975813.567725003</v>
      </c>
    </row>
    <row r="75" spans="1:7">
      <c r="A75" s="181"/>
      <c r="B75" s="150" t="s">
        <v>907</v>
      </c>
      <c r="C75" s="179">
        <f>1.0161*1147536</f>
        <v>1166011.3296000001</v>
      </c>
      <c r="D75" s="290">
        <v>0.25</v>
      </c>
      <c r="E75" s="180">
        <f>C75*$D$75</f>
        <v>291502.83240000001</v>
      </c>
    </row>
    <row r="76" spans="1:7">
      <c r="A76" s="181"/>
      <c r="B76" s="150" t="s">
        <v>908</v>
      </c>
      <c r="C76" s="179">
        <f>1.0161*2500000</f>
        <v>2540250</v>
      </c>
      <c r="D76" s="290"/>
      <c r="E76" s="180">
        <f t="shared" ref="E76:E79" si="3">C76*$D$75</f>
        <v>635062.5</v>
      </c>
    </row>
    <row r="77" spans="1:7">
      <c r="A77" s="181"/>
      <c r="B77" s="150" t="s">
        <v>909</v>
      </c>
      <c r="C77" s="179">
        <f>1.0161*1000000</f>
        <v>1016100</v>
      </c>
      <c r="D77" s="290"/>
      <c r="E77" s="180">
        <f t="shared" si="3"/>
        <v>254025</v>
      </c>
    </row>
    <row r="78" spans="1:7" ht="30">
      <c r="A78" s="181"/>
      <c r="B78" s="150" t="s">
        <v>910</v>
      </c>
      <c r="C78" s="179">
        <f>1.0161*1200000</f>
        <v>1219320</v>
      </c>
      <c r="D78" s="290"/>
      <c r="E78" s="180">
        <f t="shared" si="3"/>
        <v>304830</v>
      </c>
    </row>
    <row r="79" spans="1:7" ht="30">
      <c r="A79" s="181"/>
      <c r="B79" s="150" t="s">
        <v>911</v>
      </c>
      <c r="C79" s="179">
        <f>1.0161*400000</f>
        <v>406440</v>
      </c>
      <c r="D79" s="290"/>
      <c r="E79" s="180">
        <f t="shared" si="3"/>
        <v>101610</v>
      </c>
    </row>
    <row r="80" spans="1:7" ht="15.75">
      <c r="A80" s="181"/>
      <c r="B80" s="177" t="s">
        <v>903</v>
      </c>
      <c r="C80" s="177" t="s">
        <v>912</v>
      </c>
      <c r="D80" s="178" t="s">
        <v>913</v>
      </c>
      <c r="E80" s="229" t="s">
        <v>906</v>
      </c>
    </row>
    <row r="81" spans="1:7" ht="30">
      <c r="A81" s="181"/>
      <c r="B81" s="150" t="s">
        <v>914</v>
      </c>
      <c r="C81" s="179">
        <f>1.0161*150000</f>
        <v>152415</v>
      </c>
      <c r="D81" s="182">
        <v>23</v>
      </c>
      <c r="E81" s="180">
        <f>C81*D81</f>
        <v>3505545</v>
      </c>
    </row>
    <row r="82" spans="1:7">
      <c r="A82" s="181"/>
      <c r="B82" s="150" t="s">
        <v>915</v>
      </c>
      <c r="C82" s="179">
        <f t="shared" ref="C82:C83" si="4">1.0161*150000</f>
        <v>152415</v>
      </c>
      <c r="D82" s="182">
        <v>23</v>
      </c>
      <c r="E82" s="180">
        <f t="shared" ref="E82:E83" si="5">C82*D82</f>
        <v>3505545</v>
      </c>
    </row>
    <row r="83" spans="1:7" ht="30">
      <c r="A83" s="181"/>
      <c r="B83" s="150" t="s">
        <v>916</v>
      </c>
      <c r="C83" s="179">
        <f t="shared" si="4"/>
        <v>152415</v>
      </c>
      <c r="D83" s="182">
        <v>23</v>
      </c>
      <c r="E83" s="180">
        <f t="shared" si="5"/>
        <v>3505545</v>
      </c>
    </row>
    <row r="84" spans="1:7" ht="31.5">
      <c r="A84" s="134"/>
      <c r="B84" s="177" t="s">
        <v>917</v>
      </c>
      <c r="C84" s="177"/>
      <c r="D84" s="178"/>
      <c r="E84" s="183">
        <f>SUM(E74:E79,E81:E83)</f>
        <v>65079478.900125004</v>
      </c>
    </row>
    <row r="85" spans="1:7" ht="15.75">
      <c r="A85" s="151" t="s">
        <v>918</v>
      </c>
      <c r="B85" s="176" t="s">
        <v>919</v>
      </c>
      <c r="C85" s="284">
        <f>SUM(C86:C86)</f>
        <v>4.5199999999999997E-2</v>
      </c>
      <c r="D85" s="284"/>
      <c r="E85" s="284"/>
    </row>
    <row r="86" spans="1:7" ht="30">
      <c r="A86" s="134"/>
      <c r="B86" s="150" t="s">
        <v>920</v>
      </c>
      <c r="C86" s="285">
        <v>4.5199999999999997E-2</v>
      </c>
      <c r="D86" s="285"/>
      <c r="E86" s="285"/>
    </row>
    <row r="87" spans="1:7" ht="15.75">
      <c r="A87" s="282" t="s">
        <v>921</v>
      </c>
      <c r="B87" s="282"/>
      <c r="C87" s="282"/>
      <c r="D87" s="286">
        <f>+C72+C85</f>
        <v>6.2960183190477831E-2</v>
      </c>
      <c r="E87" s="286"/>
    </row>
    <row r="88" spans="1:7" ht="15.75">
      <c r="A88" s="282"/>
      <c r="B88" s="282"/>
      <c r="C88" s="282"/>
      <c r="D88" s="287">
        <f>ROUNDUP(D87,2)</f>
        <v>6.9999999999999993E-2</v>
      </c>
      <c r="E88" s="287"/>
    </row>
    <row r="89" spans="1:7" ht="15.75">
      <c r="A89" s="288" t="s">
        <v>922</v>
      </c>
      <c r="B89" s="288"/>
      <c r="C89" s="288"/>
      <c r="D89" s="289">
        <f>$D$88*$G$67</f>
        <v>256504309.33906269</v>
      </c>
      <c r="E89" s="289"/>
    </row>
    <row r="90" spans="1:7">
      <c r="A90" s="184"/>
      <c r="B90" s="184"/>
      <c r="C90" s="184"/>
      <c r="D90" s="185"/>
    </row>
    <row r="91" spans="1:7" ht="15.75">
      <c r="A91" s="282" t="s">
        <v>923</v>
      </c>
      <c r="B91" s="282"/>
      <c r="C91" s="282"/>
      <c r="D91" s="173"/>
      <c r="E91" s="173"/>
      <c r="F91" s="173"/>
      <c r="G91" s="173"/>
    </row>
    <row r="92" spans="1:7" ht="15" customHeight="1">
      <c r="A92" s="282"/>
      <c r="B92" s="282"/>
      <c r="C92" s="282"/>
      <c r="D92" s="185"/>
    </row>
    <row r="93" spans="1:7" ht="15.75">
      <c r="A93" s="186" t="s">
        <v>2</v>
      </c>
      <c r="B93" s="187" t="s">
        <v>3</v>
      </c>
      <c r="C93" s="187" t="s">
        <v>924</v>
      </c>
    </row>
    <row r="94" spans="1:7" ht="41.25" customHeight="1">
      <c r="A94" s="134">
        <v>1</v>
      </c>
      <c r="B94" s="168" t="s">
        <v>925</v>
      </c>
      <c r="C94" s="188">
        <f>ROUND(D47,0)</f>
        <v>3126548674</v>
      </c>
    </row>
    <row r="95" spans="1:7" ht="38.25" customHeight="1">
      <c r="A95" s="134">
        <v>2</v>
      </c>
      <c r="B95" s="168" t="s">
        <v>895</v>
      </c>
      <c r="C95" s="188">
        <f>ROUND(G65,0)</f>
        <v>537798602</v>
      </c>
    </row>
    <row r="96" spans="1:7" ht="33" customHeight="1">
      <c r="A96" s="134">
        <v>3</v>
      </c>
      <c r="B96" s="168" t="s">
        <v>926</v>
      </c>
      <c r="C96" s="188">
        <f>+C94+C95</f>
        <v>3664347276</v>
      </c>
    </row>
    <row r="97" spans="1:7" ht="36" customHeight="1">
      <c r="A97" s="134">
        <v>4</v>
      </c>
      <c r="B97" s="168" t="s">
        <v>927</v>
      </c>
      <c r="C97" s="189">
        <f>+D88</f>
        <v>6.9999999999999993E-2</v>
      </c>
    </row>
    <row r="98" spans="1:7" ht="34.5" customHeight="1">
      <c r="A98" s="134">
        <v>5</v>
      </c>
      <c r="B98" s="168" t="s">
        <v>928</v>
      </c>
      <c r="C98" s="188">
        <f>ROUND(D89,0)</f>
        <v>256504309</v>
      </c>
    </row>
    <row r="99" spans="1:7" ht="32.25" customHeight="1">
      <c r="A99" s="134">
        <v>6</v>
      </c>
      <c r="B99" s="168" t="s">
        <v>929</v>
      </c>
      <c r="C99" s="188">
        <f>+C98+C96</f>
        <v>3920851585</v>
      </c>
    </row>
    <row r="100" spans="1:7">
      <c r="A100" s="134">
        <v>7</v>
      </c>
      <c r="B100" s="168" t="s">
        <v>44</v>
      </c>
      <c r="C100" s="188">
        <f>+C99*0.19</f>
        <v>744961801.14999998</v>
      </c>
    </row>
    <row r="101" spans="1:7" ht="15.75">
      <c r="A101" s="283" t="s">
        <v>930</v>
      </c>
      <c r="B101" s="283"/>
      <c r="C101" s="331">
        <f>+C99+C100</f>
        <v>4665813386.1499996</v>
      </c>
      <c r="D101" s="332">
        <f>C101-E101</f>
        <v>9.149169921875E-2</v>
      </c>
      <c r="E101" s="333">
        <v>4665813386.0585079</v>
      </c>
      <c r="F101" s="190"/>
      <c r="G101" s="190"/>
    </row>
  </sheetData>
  <mergeCells count="53">
    <mergeCell ref="A6:H7"/>
    <mergeCell ref="A1:G2"/>
    <mergeCell ref="A3:B3"/>
    <mergeCell ref="C3:G3"/>
    <mergeCell ref="A4:B4"/>
    <mergeCell ref="C4:G4"/>
    <mergeCell ref="C33:E33"/>
    <mergeCell ref="A19:G19"/>
    <mergeCell ref="A21:G21"/>
    <mergeCell ref="A23:E24"/>
    <mergeCell ref="C25:E25"/>
    <mergeCell ref="C26:E26"/>
    <mergeCell ref="C27:E27"/>
    <mergeCell ref="C28:E28"/>
    <mergeCell ref="C29:E29"/>
    <mergeCell ref="C30:E30"/>
    <mergeCell ref="C31:E31"/>
    <mergeCell ref="C32:E32"/>
    <mergeCell ref="A45:C46"/>
    <mergeCell ref="D45:E45"/>
    <mergeCell ref="D46:E46"/>
    <mergeCell ref="C34:E34"/>
    <mergeCell ref="C35:E35"/>
    <mergeCell ref="C36:E36"/>
    <mergeCell ref="C37:E37"/>
    <mergeCell ref="C38:E38"/>
    <mergeCell ref="C39:E39"/>
    <mergeCell ref="C40:E40"/>
    <mergeCell ref="C41:E41"/>
    <mergeCell ref="C42:E42"/>
    <mergeCell ref="C43:E43"/>
    <mergeCell ref="C44:E44"/>
    <mergeCell ref="D75:D79"/>
    <mergeCell ref="A47:C47"/>
    <mergeCell ref="D47:E47"/>
    <mergeCell ref="A49:G50"/>
    <mergeCell ref="A62:F62"/>
    <mergeCell ref="A63:F63"/>
    <mergeCell ref="A64:F64"/>
    <mergeCell ref="A65:F65"/>
    <mergeCell ref="A67:F67"/>
    <mergeCell ref="A69:E70"/>
    <mergeCell ref="C71:E71"/>
    <mergeCell ref="C72:E72"/>
    <mergeCell ref="A91:C92"/>
    <mergeCell ref="A101:B101"/>
    <mergeCell ref="C85:E85"/>
    <mergeCell ref="C86:E86"/>
    <mergeCell ref="A87:C88"/>
    <mergeCell ref="D87:E87"/>
    <mergeCell ref="D88:E88"/>
    <mergeCell ref="A89:C89"/>
    <mergeCell ref="D89:E89"/>
  </mergeCells>
  <printOptions horizontalCentered="1" verticalCentered="1"/>
  <pageMargins left="0.70866141732283505" right="0.70866141732283505" top="0.74803149606299202" bottom="0.74803149606299202" header="0.31496062992126" footer="0.31496062992126"/>
  <pageSetup scale="52"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I17"/>
  <sheetViews>
    <sheetView workbookViewId="0">
      <selection activeCell="A4" sqref="A4:XFD17"/>
    </sheetView>
  </sheetViews>
  <sheetFormatPr baseColWidth="10" defaultColWidth="11.42578125" defaultRowHeight="15"/>
  <cols>
    <col min="1" max="1" width="43" bestFit="1" customWidth="1"/>
  </cols>
  <sheetData>
    <row r="4" spans="1:9" s="30" customFormat="1" ht="15.75">
      <c r="A4" s="80" t="s">
        <v>931</v>
      </c>
      <c r="B4" s="81"/>
      <c r="C4" s="82"/>
      <c r="H4" s="83"/>
      <c r="I4" s="83"/>
    </row>
    <row r="5" spans="1:9" s="30" customFormat="1" ht="15.75">
      <c r="A5" s="84" t="s">
        <v>932</v>
      </c>
      <c r="B5" s="85"/>
      <c r="C5" s="86"/>
      <c r="H5" s="83"/>
      <c r="I5" s="83"/>
    </row>
    <row r="6" spans="1:9" s="30" customFormat="1" ht="15" customHeight="1">
      <c r="A6" s="87" t="s">
        <v>933</v>
      </c>
      <c r="B6" s="88"/>
      <c r="C6" s="89"/>
    </row>
    <row r="7" spans="1:9" s="30" customFormat="1" ht="15" customHeight="1">
      <c r="A7" s="90" t="s">
        <v>934</v>
      </c>
      <c r="B7" s="308"/>
      <c r="C7" s="309"/>
    </row>
    <row r="8" spans="1:9" s="30" customFormat="1" ht="15" customHeight="1">
      <c r="B8" s="88"/>
      <c r="C8" s="88"/>
    </row>
    <row r="9" spans="1:9" s="30" customFormat="1" ht="15" customHeight="1">
      <c r="A9" s="80" t="s">
        <v>935</v>
      </c>
      <c r="B9" s="81"/>
      <c r="C9" s="82"/>
    </row>
    <row r="10" spans="1:9" s="30" customFormat="1" ht="15" customHeight="1">
      <c r="A10" s="91" t="s">
        <v>936</v>
      </c>
      <c r="B10" s="85"/>
      <c r="C10" s="86"/>
    </row>
    <row r="11" spans="1:9" s="30" customFormat="1" ht="15" customHeight="1">
      <c r="A11" s="92" t="s">
        <v>937</v>
      </c>
      <c r="B11" s="88"/>
      <c r="C11" s="89"/>
    </row>
    <row r="12" spans="1:9" s="30" customFormat="1" ht="15" customHeight="1">
      <c r="A12" s="93" t="s">
        <v>934</v>
      </c>
      <c r="B12" s="310">
        <f>+B7</f>
        <v>0</v>
      </c>
      <c r="C12" s="311"/>
    </row>
    <row r="13" spans="1:9" s="30" customFormat="1" ht="15" customHeight="1">
      <c r="A13" s="88"/>
      <c r="B13" s="88"/>
      <c r="C13" s="88"/>
    </row>
    <row r="14" spans="1:9" s="30" customFormat="1" ht="15" customHeight="1">
      <c r="A14" s="80" t="s">
        <v>938</v>
      </c>
      <c r="B14" s="81"/>
      <c r="C14" s="82"/>
    </row>
    <row r="15" spans="1:9" s="30" customFormat="1" ht="15" customHeight="1">
      <c r="A15" s="91" t="s">
        <v>939</v>
      </c>
      <c r="B15" s="85"/>
      <c r="C15" s="86"/>
    </row>
    <row r="16" spans="1:9" s="30" customFormat="1" ht="15" customHeight="1">
      <c r="A16" s="92" t="s">
        <v>940</v>
      </c>
      <c r="B16" s="88"/>
      <c r="C16" s="89"/>
    </row>
    <row r="17" spans="1:3" s="30" customFormat="1" ht="15" customHeight="1">
      <c r="A17" s="93" t="s">
        <v>934</v>
      </c>
      <c r="B17" s="310">
        <f>+B12</f>
        <v>0</v>
      </c>
      <c r="C17" s="311"/>
    </row>
  </sheetData>
  <mergeCells count="3">
    <mergeCell ref="B7:C7"/>
    <mergeCell ref="B12:C12"/>
    <mergeCell ref="B17:C17"/>
  </mergeCells>
  <dataValidations count="1">
    <dataValidation type="list" allowBlank="1" showInputMessage="1" showErrorMessage="1" sqref="A5">
      <formula1>#REF!</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2"/>
  <sheetViews>
    <sheetView view="pageBreakPreview" topLeftCell="A10" zoomScale="98" zoomScaleNormal="100" zoomScaleSheetLayoutView="98" workbookViewId="0">
      <selection activeCell="D30" sqref="D30"/>
    </sheetView>
  </sheetViews>
  <sheetFormatPr baseColWidth="10" defaultColWidth="11.42578125" defaultRowHeight="15.75"/>
  <cols>
    <col min="1" max="1" width="11.42578125" style="30"/>
    <col min="2" max="2" width="40.42578125" style="30" customWidth="1"/>
    <col min="3" max="3" width="58.42578125" style="30" customWidth="1"/>
    <col min="4" max="4" width="25.7109375" style="30" customWidth="1"/>
    <col min="5" max="5" width="31.5703125" style="30" customWidth="1"/>
    <col min="6" max="16384" width="11.42578125" style="30"/>
  </cols>
  <sheetData>
    <row r="1" spans="1:5" ht="16.5" thickBot="1">
      <c r="A1" s="198"/>
      <c r="B1" s="94"/>
      <c r="C1" s="94"/>
      <c r="D1" s="202"/>
      <c r="E1" s="202"/>
    </row>
    <row r="2" spans="1:5" ht="16.5">
      <c r="A2" s="312" t="s">
        <v>947</v>
      </c>
      <c r="B2" s="313"/>
      <c r="C2" s="314"/>
      <c r="D2" s="202"/>
      <c r="E2" s="202"/>
    </row>
    <row r="3" spans="1:5" ht="16.5">
      <c r="A3" s="212" t="s">
        <v>948</v>
      </c>
      <c r="B3" s="212" t="s">
        <v>924</v>
      </c>
      <c r="C3" s="213" t="s">
        <v>949</v>
      </c>
      <c r="D3" s="202"/>
      <c r="E3" s="202"/>
    </row>
    <row r="4" spans="1:5" ht="16.5">
      <c r="A4" s="214">
        <v>2021</v>
      </c>
      <c r="B4" s="215">
        <v>14000000000</v>
      </c>
      <c r="C4" s="216" t="s">
        <v>950</v>
      </c>
      <c r="D4" s="202"/>
      <c r="E4" s="202"/>
    </row>
    <row r="5" spans="1:5" ht="16.5">
      <c r="A5" s="214">
        <v>2021</v>
      </c>
      <c r="B5" s="215">
        <v>778582720</v>
      </c>
      <c r="C5" s="216" t="s">
        <v>951</v>
      </c>
      <c r="D5" s="202"/>
      <c r="E5" s="202"/>
    </row>
    <row r="6" spans="1:5" ht="16.5">
      <c r="A6" s="214">
        <v>2021</v>
      </c>
      <c r="B6" s="217">
        <v>12000000000</v>
      </c>
      <c r="C6" s="216" t="s">
        <v>952</v>
      </c>
      <c r="D6" s="202"/>
      <c r="E6" s="202"/>
    </row>
    <row r="7" spans="1:5" ht="16.5">
      <c r="A7" s="214">
        <v>2022</v>
      </c>
      <c r="B7" s="217">
        <v>32000000000</v>
      </c>
      <c r="C7" s="216" t="s">
        <v>952</v>
      </c>
      <c r="D7" s="202"/>
      <c r="E7" s="337"/>
    </row>
    <row r="8" spans="1:5" ht="16.5">
      <c r="A8" s="214">
        <v>2023</v>
      </c>
      <c r="B8" s="217">
        <v>30392739786</v>
      </c>
      <c r="C8" s="216" t="s">
        <v>952</v>
      </c>
      <c r="D8" s="202"/>
      <c r="E8" s="338"/>
    </row>
    <row r="9" spans="1:5" ht="16.5">
      <c r="A9" s="214">
        <v>2023</v>
      </c>
      <c r="B9" s="217">
        <v>9352562249</v>
      </c>
      <c r="C9" s="216" t="s">
        <v>951</v>
      </c>
      <c r="D9" s="202"/>
      <c r="E9" s="339"/>
    </row>
    <row r="10" spans="1:5" ht="15.75" customHeight="1" thickBot="1">
      <c r="A10" s="218" t="s">
        <v>906</v>
      </c>
      <c r="B10" s="218">
        <f>SUM(B4:B9)</f>
        <v>98523884755</v>
      </c>
      <c r="C10"/>
      <c r="D10" s="202"/>
      <c r="E10" s="202"/>
    </row>
    <row r="11" spans="1:5">
      <c r="A11" s="219" t="s">
        <v>953</v>
      </c>
      <c r="B11"/>
      <c r="C11"/>
      <c r="D11" s="202"/>
      <c r="E11" s="202"/>
    </row>
    <row r="12" spans="1:5">
      <c r="A12" s="199"/>
      <c r="B12" s="200"/>
      <c r="C12" s="201"/>
      <c r="D12" s="202"/>
      <c r="E12" s="202"/>
    </row>
    <row r="13" spans="1:5">
      <c r="A13" s="202"/>
      <c r="B13" s="202"/>
      <c r="C13" s="202"/>
      <c r="D13" s="202"/>
      <c r="E13" s="202"/>
    </row>
    <row r="14" spans="1:5">
      <c r="A14" s="202"/>
      <c r="B14" s="203" t="s">
        <v>941</v>
      </c>
      <c r="C14" s="204">
        <f>'PRESUPUESTO RESUMEN'!E26</f>
        <v>92990924732.955612</v>
      </c>
      <c r="D14" s="202"/>
      <c r="E14" s="202"/>
    </row>
    <row r="15" spans="1:5">
      <c r="A15" s="202"/>
      <c r="B15" s="203" t="s">
        <v>942</v>
      </c>
      <c r="C15" s="204">
        <f>'PRESUPUESTO RESUMEN'!E29</f>
        <v>5532960022</v>
      </c>
      <c r="D15" s="205"/>
      <c r="E15" s="202"/>
    </row>
    <row r="16" spans="1:5">
      <c r="A16" s="202"/>
      <c r="B16" s="203" t="s">
        <v>29</v>
      </c>
      <c r="C16" s="204">
        <f>C14+C15</f>
        <v>98523884754.955612</v>
      </c>
      <c r="D16" s="202"/>
      <c r="E16" s="202"/>
    </row>
    <row r="17" spans="1:5">
      <c r="A17" s="94"/>
      <c r="B17" s="94"/>
      <c r="C17" s="94"/>
      <c r="D17" s="94"/>
      <c r="E17" s="94"/>
    </row>
    <row r="18" spans="1:5">
      <c r="A18" s="94"/>
      <c r="B18" s="94"/>
      <c r="C18" s="94"/>
      <c r="D18" s="94"/>
      <c r="E18" s="94"/>
    </row>
    <row r="19" spans="1:5">
      <c r="A19" s="315" t="s">
        <v>943</v>
      </c>
      <c r="B19" s="315"/>
      <c r="C19" s="315"/>
      <c r="D19" s="315"/>
      <c r="E19" s="315"/>
    </row>
    <row r="20" spans="1:5" ht="16.5">
      <c r="A20" s="94"/>
      <c r="B20" s="206"/>
      <c r="C20" s="206"/>
      <c r="D20" s="94"/>
      <c r="E20" s="94"/>
    </row>
    <row r="21" spans="1:5" ht="16.5">
      <c r="A21" s="94"/>
      <c r="B21" s="316" t="s">
        <v>942</v>
      </c>
      <c r="C21" s="317"/>
      <c r="D21" s="221"/>
      <c r="E21" s="94"/>
    </row>
    <row r="22" spans="1:5" ht="16.5">
      <c r="A22" s="94"/>
      <c r="B22" s="207" t="s">
        <v>944</v>
      </c>
      <c r="C22" s="207" t="s">
        <v>924</v>
      </c>
      <c r="D22" s="207" t="s">
        <v>945</v>
      </c>
      <c r="E22" s="94"/>
    </row>
    <row r="23" spans="1:5" ht="54.75" customHeight="1">
      <c r="A23" s="94"/>
      <c r="B23" s="208" t="s">
        <v>946</v>
      </c>
      <c r="C23" s="209">
        <f>C15</f>
        <v>5532960022</v>
      </c>
      <c r="D23" s="210" t="s">
        <v>971</v>
      </c>
      <c r="E23" s="94"/>
    </row>
    <row r="24" spans="1:5" ht="16.5">
      <c r="A24" s="94"/>
      <c r="B24" s="211" t="s">
        <v>906</v>
      </c>
      <c r="C24" s="209">
        <f>C23</f>
        <v>5532960022</v>
      </c>
      <c r="D24" s="206"/>
      <c r="E24" s="94"/>
    </row>
    <row r="25" spans="1:5" ht="16.5">
      <c r="A25" s="94"/>
      <c r="B25" s="222"/>
      <c r="C25" s="223"/>
      <c r="D25" s="206"/>
      <c r="E25" s="94"/>
    </row>
    <row r="26" spans="1:5" ht="16.5">
      <c r="A26" s="94"/>
      <c r="B26" s="334" t="s">
        <v>960</v>
      </c>
      <c r="C26" s="334"/>
      <c r="D26" s="206"/>
      <c r="E26" s="94"/>
    </row>
    <row r="27" spans="1:5" ht="16.5">
      <c r="A27" s="94"/>
      <c r="B27" s="335" t="s">
        <v>961</v>
      </c>
      <c r="C27" s="335" t="s">
        <v>962</v>
      </c>
      <c r="D27" s="206"/>
      <c r="E27" s="94"/>
    </row>
    <row r="28" spans="1:5" ht="16.5">
      <c r="A28" s="94"/>
      <c r="B28" s="216" t="s">
        <v>978</v>
      </c>
      <c r="C28" s="216" t="s">
        <v>967</v>
      </c>
      <c r="D28" s="206"/>
      <c r="E28" s="94"/>
    </row>
    <row r="29" spans="1:5" ht="16.5">
      <c r="A29" s="94"/>
      <c r="B29" s="216" t="s">
        <v>963</v>
      </c>
      <c r="C29" s="216" t="s">
        <v>964</v>
      </c>
      <c r="D29" s="206"/>
      <c r="E29" s="94"/>
    </row>
    <row r="30" spans="1:5" ht="16.5">
      <c r="A30" s="94"/>
      <c r="B30" s="216" t="s">
        <v>965</v>
      </c>
      <c r="C30" s="216" t="s">
        <v>966</v>
      </c>
      <c r="D30" s="206"/>
      <c r="E30" s="94"/>
    </row>
    <row r="31" spans="1:5" ht="16.5">
      <c r="A31" s="94"/>
      <c r="B31" s="216" t="s">
        <v>976</v>
      </c>
      <c r="C31" s="216" t="s">
        <v>977</v>
      </c>
      <c r="D31" s="206"/>
      <c r="E31" s="94"/>
    </row>
    <row r="32" spans="1:5" ht="16.5">
      <c r="A32" s="94"/>
      <c r="B32" s="345"/>
      <c r="C32" s="345"/>
      <c r="D32" s="206"/>
      <c r="E32" s="94"/>
    </row>
    <row r="33" spans="1:5" ht="16.5">
      <c r="A33" s="94"/>
      <c r="B33" s="334" t="s">
        <v>947</v>
      </c>
      <c r="C33" s="334"/>
      <c r="D33" s="206"/>
      <c r="E33" s="94"/>
    </row>
    <row r="34" spans="1:5" ht="16.5">
      <c r="A34" s="94"/>
      <c r="B34" s="335" t="s">
        <v>944</v>
      </c>
      <c r="C34" s="335" t="s">
        <v>924</v>
      </c>
      <c r="D34" s="206"/>
      <c r="E34" s="94"/>
    </row>
    <row r="35" spans="1:5" ht="31.5">
      <c r="A35" s="94"/>
      <c r="B35" s="343" t="s">
        <v>968</v>
      </c>
      <c r="C35" s="344">
        <v>3118025896.6666679</v>
      </c>
      <c r="D35" s="206"/>
      <c r="E35" s="341"/>
    </row>
    <row r="36" spans="1:5" ht="16.5">
      <c r="A36" s="94"/>
      <c r="B36" s="343" t="s">
        <v>969</v>
      </c>
      <c r="C36" s="344">
        <v>6127596801.3333321</v>
      </c>
      <c r="D36" s="206"/>
      <c r="E36" s="94"/>
    </row>
    <row r="37" spans="1:5" ht="16.5">
      <c r="A37" s="94"/>
      <c r="B37" s="343" t="s">
        <v>970</v>
      </c>
      <c r="C37" s="344">
        <f>B6</f>
        <v>12000000000</v>
      </c>
      <c r="D37" s="206"/>
      <c r="E37" s="341"/>
    </row>
    <row r="38" spans="1:5" ht="16.5">
      <c r="A38" s="94"/>
      <c r="B38" s="343" t="s">
        <v>973</v>
      </c>
      <c r="C38" s="344">
        <f>B7/2</f>
        <v>16000000000</v>
      </c>
      <c r="D38" s="206"/>
      <c r="E38" s="94"/>
    </row>
    <row r="39" spans="1:5" ht="16.5">
      <c r="A39" s="94"/>
      <c r="B39" s="343" t="s">
        <v>972</v>
      </c>
      <c r="C39" s="344">
        <v>16000000000</v>
      </c>
      <c r="D39" s="206"/>
      <c r="E39" s="94"/>
    </row>
    <row r="40" spans="1:5">
      <c r="B40" s="343" t="s">
        <v>974</v>
      </c>
      <c r="C40" s="344">
        <v>19872651017.5</v>
      </c>
    </row>
    <row r="41" spans="1:5">
      <c r="B41" s="343" t="s">
        <v>975</v>
      </c>
      <c r="C41" s="344">
        <v>19872651017.5</v>
      </c>
    </row>
    <row r="42" spans="1:5">
      <c r="B42" s="30" t="s">
        <v>906</v>
      </c>
      <c r="C42" s="340">
        <f>SUM(C35:C41)</f>
        <v>92990924733</v>
      </c>
    </row>
  </sheetData>
  <mergeCells count="5">
    <mergeCell ref="A19:E19"/>
    <mergeCell ref="B21:C21"/>
    <mergeCell ref="B26:C26"/>
    <mergeCell ref="A2:C2"/>
    <mergeCell ref="B33:C33"/>
  </mergeCells>
  <pageMargins left="0.7" right="0.7" top="0.75" bottom="0.75" header="0.3" footer="0.3"/>
  <pageSetup scale="6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5</vt:i4>
      </vt:variant>
    </vt:vector>
  </HeadingPairs>
  <TitlesOfParts>
    <vt:vector size="12" baseType="lpstr">
      <vt:lpstr>PRESUPUESTO RESUMEN</vt:lpstr>
      <vt:lpstr>A4-PRESUPUESTO COMPONENTES</vt:lpstr>
      <vt:lpstr>CRONOGRAMA</vt:lpstr>
      <vt:lpstr>2.1 PRESUPUESTO CONSTRUCCIÓN</vt:lpstr>
      <vt:lpstr>2.2 PRESUPUESTO INTERVENTORÍA</vt:lpstr>
      <vt:lpstr>firmas</vt:lpstr>
      <vt:lpstr>FORMA DE PAGO</vt:lpstr>
      <vt:lpstr>'2.1 PRESUPUESTO CONSTRUCCIÓN'!Área_de_impresión</vt:lpstr>
      <vt:lpstr>'2.2 PRESUPUESTO INTERVENTORÍA'!Área_de_impresión</vt:lpstr>
      <vt:lpstr>'A4-PRESUPUESTO COMPONENTES'!Área_de_impresión</vt:lpstr>
      <vt:lpstr>'FORMA DE PAGO'!Área_de_impresión</vt:lpstr>
      <vt:lpstr>'PRESUPUESTO RESUMEN'!Área_de_impresión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2006-09-16T00:00:00Z</dcterms:created>
  <dcterms:modified xsi:type="dcterms:W3CDTF">2021-10-28T20:41:32Z</dcterms:modified>
  <cp:category/>
  <cp:contentStatus/>
</cp:coreProperties>
</file>