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GC\Procesos 2021\MTO Bogota\Definitivos Financiera\"/>
    </mc:Choice>
  </mc:AlternateContent>
  <xr:revisionPtr revIDLastSave="0" documentId="13_ncr:1_{60E07777-032F-4B4C-8F09-04B767A3EF3C}" xr6:coauthVersionLast="47" xr6:coauthVersionMax="47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Anexo Oferta Economica" sheetId="18" r:id="rId1"/>
    <sheet name="HISTORICOS EN CONTRATACIÓN SGC" sheetId="10" r:id="rId2"/>
    <sheet name="DEMANDA" sheetId="16" r:id="rId3"/>
    <sheet name="PRESUPUESTO" sheetId="1" r:id="rId4"/>
    <sheet name="PRESUPUESTO _" sheetId="19" r:id="rId5"/>
    <sheet name="COMPARATIVO" sheetId="11" r:id="rId6"/>
    <sheet name="Cotización 1" sheetId="13" r:id="rId7"/>
    <sheet name="Cotización 2" sheetId="12" r:id="rId8"/>
    <sheet name="Cotización 3" sheetId="14" r:id="rId9"/>
    <sheet name="AIU" sheetId="15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19" l="1"/>
  <c r="M13" i="19"/>
  <c r="O14" i="19"/>
  <c r="O15" i="19"/>
  <c r="O16" i="19"/>
  <c r="J27" i="19"/>
  <c r="M14" i="19"/>
  <c r="N6" i="19"/>
  <c r="N12" i="19" s="1"/>
  <c r="N17" i="19" s="1"/>
  <c r="O17" i="19" s="1"/>
  <c r="N7" i="19"/>
  <c r="N8" i="19"/>
  <c r="N9" i="19"/>
  <c r="N10" i="19"/>
  <c r="N11" i="19"/>
  <c r="N5" i="19"/>
  <c r="M12" i="19"/>
  <c r="M15" i="19" s="1"/>
  <c r="M16" i="19" s="1"/>
  <c r="K12" i="19"/>
  <c r="K13" i="19" s="1"/>
  <c r="I12" i="19"/>
  <c r="I13" i="19" s="1"/>
  <c r="G12" i="19"/>
  <c r="G15" i="19" s="1"/>
  <c r="G16" i="19" s="1"/>
  <c r="E10" i="19"/>
  <c r="I14" i="19" l="1"/>
  <c r="G13" i="19"/>
  <c r="L27" i="19" s="1"/>
  <c r="L29" i="19" s="1"/>
  <c r="I15" i="19"/>
  <c r="I16" i="19" s="1"/>
  <c r="G14" i="19"/>
  <c r="K15" i="19"/>
  <c r="K16" i="19" s="1"/>
  <c r="K14" i="19"/>
  <c r="G17" i="19"/>
  <c r="M17" i="19"/>
  <c r="K17" i="19" l="1"/>
  <c r="I17" i="19"/>
  <c r="E50" i="15" l="1"/>
  <c r="H9" i="15"/>
  <c r="G8" i="15"/>
  <c r="H8" i="15" s="1"/>
  <c r="D9" i="1" l="1"/>
  <c r="G7" i="18"/>
  <c r="G8" i="18"/>
  <c r="G9" i="18"/>
  <c r="G10" i="18"/>
  <c r="G11" i="18"/>
  <c r="G12" i="18"/>
  <c r="E4" i="11" l="1"/>
  <c r="E4" i="1" s="1"/>
  <c r="E5" i="11"/>
  <c r="E5" i="1" s="1"/>
  <c r="E6" i="11"/>
  <c r="E6" i="1" s="1"/>
  <c r="E7" i="11"/>
  <c r="E7" i="1" s="1"/>
  <c r="E8" i="11"/>
  <c r="E8" i="1" s="1"/>
  <c r="E9" i="11"/>
  <c r="E9" i="1" s="1"/>
  <c r="E10" i="11"/>
  <c r="E10" i="1" s="1"/>
  <c r="D9" i="11"/>
  <c r="L6" i="11"/>
  <c r="J6" i="11"/>
  <c r="H6" i="11"/>
  <c r="F6" i="11" l="1"/>
  <c r="H5" i="11"/>
  <c r="H7" i="11"/>
  <c r="H8" i="11"/>
  <c r="H9" i="11"/>
  <c r="H10" i="11"/>
  <c r="J10" i="11"/>
  <c r="J9" i="11"/>
  <c r="J8" i="11"/>
  <c r="J7" i="11"/>
  <c r="L7" i="11"/>
  <c r="L8" i="11"/>
  <c r="L9" i="11"/>
  <c r="L10" i="11"/>
  <c r="H17" i="15"/>
  <c r="F9" i="11" l="1"/>
  <c r="F8" i="11"/>
  <c r="F10" i="1"/>
  <c r="F10" i="11"/>
  <c r="F7" i="11"/>
  <c r="F9" i="1"/>
  <c r="F8" i="1"/>
  <c r="G6" i="18"/>
  <c r="G14" i="18" l="1"/>
  <c r="G16" i="18" s="1"/>
  <c r="G15" i="18" l="1"/>
  <c r="G17" i="18"/>
  <c r="G18" i="18" s="1"/>
  <c r="G19" i="18" l="1"/>
  <c r="F4" i="11" l="1"/>
  <c r="F7" i="1"/>
  <c r="F6" i="1"/>
  <c r="F5" i="1"/>
  <c r="F4" i="1"/>
  <c r="J4" i="11"/>
  <c r="J5" i="11"/>
  <c r="H4" i="11"/>
  <c r="H11" i="11" s="1"/>
  <c r="G43" i="15"/>
  <c r="H43" i="15" s="1"/>
  <c r="L38" i="15"/>
  <c r="G35" i="15"/>
  <c r="G19" i="15"/>
  <c r="H19" i="15" s="1"/>
  <c r="H16" i="15"/>
  <c r="H15" i="15"/>
  <c r="G14" i="15"/>
  <c r="H14" i="15" s="1"/>
  <c r="G13" i="15"/>
  <c r="H13" i="15" s="1"/>
  <c r="G12" i="15"/>
  <c r="H12" i="15" s="1"/>
  <c r="G11" i="15"/>
  <c r="H11" i="15" s="1"/>
  <c r="J11" i="11" l="1"/>
  <c r="F12" i="1"/>
  <c r="F15" i="1" s="1"/>
  <c r="F16" i="1" s="1"/>
  <c r="F5" i="11"/>
  <c r="F11" i="11" s="1"/>
  <c r="L4" i="11"/>
  <c r="L5" i="11"/>
  <c r="F12" i="11" l="1"/>
  <c r="F14" i="11"/>
  <c r="F15" i="11" s="1"/>
  <c r="F13" i="11"/>
  <c r="L11" i="11"/>
  <c r="F13" i="1"/>
  <c r="F14" i="1"/>
  <c r="F18" i="1" l="1"/>
  <c r="H2" i="15"/>
  <c r="M27" i="15" s="1"/>
  <c r="F16" i="11" l="1"/>
  <c r="E51" i="15"/>
  <c r="E52" i="15" s="1"/>
  <c r="M14" i="15"/>
  <c r="M11" i="15"/>
  <c r="M15" i="15"/>
  <c r="H24" i="15"/>
  <c r="H26" i="15" s="1"/>
  <c r="H31" i="15" s="1"/>
  <c r="M16" i="15"/>
  <c r="M33" i="15"/>
  <c r="M28" i="15"/>
  <c r="M17" i="15"/>
  <c r="M22" i="15"/>
  <c r="M10" i="15"/>
  <c r="M24" i="15"/>
  <c r="M20" i="15"/>
  <c r="M26" i="15"/>
  <c r="M32" i="15"/>
  <c r="M19" i="15"/>
  <c r="M29" i="15"/>
  <c r="M30" i="15"/>
  <c r="H3" i="15"/>
  <c r="H21" i="15" s="1"/>
  <c r="H23" i="15" s="1"/>
  <c r="M31" i="15"/>
  <c r="M23" i="15"/>
  <c r="M13" i="15"/>
  <c r="H27" i="15" l="1"/>
  <c r="G25" i="15"/>
  <c r="G41" i="15" s="1"/>
  <c r="H25" i="15" l="1"/>
  <c r="H29" i="15" s="1"/>
  <c r="G28" i="15"/>
  <c r="G31" i="15" l="1"/>
  <c r="H36" i="15"/>
  <c r="H35" i="15"/>
  <c r="H28" i="15"/>
  <c r="H34" i="15"/>
  <c r="H32" i="15"/>
  <c r="H33" i="15"/>
  <c r="G37" i="15" l="1"/>
  <c r="G39" i="15" s="1"/>
  <c r="H39" i="15" s="1"/>
  <c r="G44" i="15"/>
  <c r="H41" i="15" s="1"/>
  <c r="H44" i="15" s="1"/>
  <c r="H37" i="15"/>
  <c r="H40" i="15" s="1"/>
</calcChain>
</file>

<file path=xl/sharedStrings.xml><?xml version="1.0" encoding="utf-8"?>
<sst xmlns="http://schemas.openxmlformats.org/spreadsheetml/2006/main" count="289" uniqueCount="171">
  <si>
    <t>ITEMS</t>
  </si>
  <si>
    <t>DESCRIPCIÓN</t>
  </si>
  <si>
    <t>UND</t>
  </si>
  <si>
    <t>CANTIDAD</t>
  </si>
  <si>
    <t>VR. UNITARIO</t>
  </si>
  <si>
    <t>VR. TOTAL</t>
  </si>
  <si>
    <t>COSTO DIRECTO TOTAL</t>
  </si>
  <si>
    <t>COSTO TOTAL</t>
  </si>
  <si>
    <t>Administración</t>
  </si>
  <si>
    <t>Imprevistos</t>
  </si>
  <si>
    <t>Utilidad</t>
  </si>
  <si>
    <t>IVA/Utilidad</t>
  </si>
  <si>
    <t>m2</t>
  </si>
  <si>
    <t>Numero de Proceso</t>
  </si>
  <si>
    <t>Objeto</t>
  </si>
  <si>
    <t xml:space="preserve">Valor </t>
  </si>
  <si>
    <t>Empresa - Contratista</t>
  </si>
  <si>
    <t>SELECCIONAR EN IGUALDAD DE OPORTUNIDADES AL PROPONENTE QUE OFREZCA LAS MEJORES CONDICIONES TÉCNICAS Y COMERCIALES PARA REALIZAR LAS LABORES DE MANTENIMIENTO Y ADECUACION DE INFRAESTRUCTURA EN LA SEDE DEL INSTITUTO COLOMBIANO DE GEOLOGIA Y MINERIA - INGEOMINAS PARA EL OBSERVATORIO VULCANOLOGICO Y SISMOLOGICO DE LA CIUDAD DE MANIZALES.</t>
  </si>
  <si>
    <t>LIC 002 DE 2010</t>
  </si>
  <si>
    <t>$ 241,000,000</t>
  </si>
  <si>
    <t>CONSORCIO ANDES 2010</t>
  </si>
  <si>
    <t>SELECCIONAR EN IGUALDAD DE OPORTUNIDADES AL PROPONENTE QUE OFREZCA LAS MEJORES DE CONDICIONES TECNICAS Y COMERCIALES PARA REALIZAR LAS LABORES DE MANTENIMIENTO DE LA SEDE DEL OBSERVATORIO VULCANOLOGICO Y SISMOLOGICO DE MANIZALES DEL SERVICIO GEOLOGICO COLOMBIANO</t>
  </si>
  <si>
    <t>$ 22,525,000</t>
  </si>
  <si>
    <t>SMC 054 DE 2013</t>
  </si>
  <si>
    <t>DANIEL HORACIO LESMES OSORIO</t>
  </si>
  <si>
    <t>SMC 076 DE 2014</t>
  </si>
  <si>
    <t>CONTRATAR EN IGUALDAD DE OPORTUNIDADES AL PROPONENTE QUE OFREZCA LAS MEJORES CONDICIONES PARA EFECTUAR EL MANTENIMIENTO DE LA SEDE DEL OBSERVATORIO VULCANOLÓGICO Y SISMOLÓGICO DE MANIZALES</t>
  </si>
  <si>
    <t>$ 23,935,858</t>
  </si>
  <si>
    <t>SIPCO LTDA.</t>
  </si>
  <si>
    <t>EFECTUAR LAS OBRAS DE MANTENIMIENTO DEL OBSERVATORIO VULCANOLOGICO Y SISMOLOGICO DE MANIZALES DEL SERVICIO GEOLOGICO COLOMBIANO</t>
  </si>
  <si>
    <t>SMC 075 DE 2015</t>
  </si>
  <si>
    <t>$ 17,292,409</t>
  </si>
  <si>
    <t>INGENIERIA &amp; DISEÑOS INTEGRALES S.A.S.</t>
  </si>
  <si>
    <t>NOTA</t>
  </si>
  <si>
    <t xml:space="preserve">No se tendrán en cuenta propuesta que se presenten superando los Precios Unitarios previstos por la entidad en el presente </t>
  </si>
  <si>
    <t xml:space="preserve">proceso de contratación; así mismo, el proponente no podrá modificar los porcentajes de AIU establecidos, los cuales son: </t>
  </si>
  <si>
    <t>Valor Obra Directa</t>
  </si>
  <si>
    <t xml:space="preserve">Valor Obra </t>
  </si>
  <si>
    <t>Plazo de ejecución</t>
  </si>
  <si>
    <t>Descripcion</t>
  </si>
  <si>
    <t>Cantidad</t>
  </si>
  <si>
    <t>% Participación en el Proyecto</t>
  </si>
  <si>
    <t>Sueldo</t>
  </si>
  <si>
    <t>% Prestacional</t>
  </si>
  <si>
    <t>Plazo (meses)</t>
  </si>
  <si>
    <t>Vr. Total</t>
  </si>
  <si>
    <t>Personal</t>
  </si>
  <si>
    <t>Ingeniero Residente de Obra Civil</t>
  </si>
  <si>
    <t>Papeleria y Equipos de Oficina</t>
  </si>
  <si>
    <t>Ingeniero eléctro mecánico</t>
  </si>
  <si>
    <t>Oficina Central</t>
  </si>
  <si>
    <t>Laboratorios</t>
  </si>
  <si>
    <t>Papeleria, fotocopias y otros</t>
  </si>
  <si>
    <t>Computadores e Impresora</t>
  </si>
  <si>
    <t>Equipos de comunicación</t>
  </si>
  <si>
    <t>Transportes varios</t>
  </si>
  <si>
    <t>Bancarios</t>
  </si>
  <si>
    <t>Transporte</t>
  </si>
  <si>
    <t>Transferencias</t>
  </si>
  <si>
    <t>Gastos Financieros</t>
  </si>
  <si>
    <t>Legalizacion del contrato</t>
  </si>
  <si>
    <t>Polizas</t>
  </si>
  <si>
    <t>Manejo del Anticipo</t>
  </si>
  <si>
    <t>1% valor contrato</t>
  </si>
  <si>
    <t>Subtotal Costos Administracion</t>
  </si>
  <si>
    <t>Garantías</t>
  </si>
  <si>
    <t>Costo Directo de obra</t>
  </si>
  <si>
    <t xml:space="preserve"> </t>
  </si>
  <si>
    <t>Campamento y otros</t>
  </si>
  <si>
    <t>Porcentaje Administracion</t>
  </si>
  <si>
    <t>Vigilancia de obra</t>
  </si>
  <si>
    <t>Impuestos</t>
  </si>
  <si>
    <t>Impuesto (IVA/Utilidad )</t>
  </si>
  <si>
    <t>SUBTOTAL A.I.U.</t>
  </si>
  <si>
    <t>Impuesto (4/1000)</t>
  </si>
  <si>
    <t>SUBTOTAL COSTO DE OBRA</t>
  </si>
  <si>
    <t>Imp. Industria y Comercio (6/1000)</t>
  </si>
  <si>
    <t>Retefuente</t>
  </si>
  <si>
    <t>Reteica (6*1000)</t>
  </si>
  <si>
    <t>Estampilla Pro Universidad de Nariño</t>
  </si>
  <si>
    <t>SENA y FIC</t>
  </si>
  <si>
    <t>Contribucion Especial  (5%)</t>
  </si>
  <si>
    <t>Salud y Pensión del contratista</t>
  </si>
  <si>
    <t xml:space="preserve">Contribucion Especial UNAL </t>
  </si>
  <si>
    <t>UTILIDAD</t>
  </si>
  <si>
    <t xml:space="preserve">Utilidad </t>
  </si>
  <si>
    <t>SUBTOTAL IMPUESTOS</t>
  </si>
  <si>
    <t>IMPREVISTOS</t>
  </si>
  <si>
    <t>TOTAL AIU</t>
  </si>
  <si>
    <t>Administracion</t>
  </si>
  <si>
    <t>SALARIO MINIMO</t>
  </si>
  <si>
    <t>COSTO OBRA</t>
  </si>
  <si>
    <t>SMMLV DEL PRESENTE PROYECTO</t>
  </si>
  <si>
    <t>%</t>
  </si>
  <si>
    <t>SMMLV</t>
  </si>
  <si>
    <t>BASE GRAVABLE</t>
  </si>
  <si>
    <t>AÑO</t>
  </si>
  <si>
    <t>Concepto</t>
  </si>
  <si>
    <t>Detalle</t>
  </si>
  <si>
    <t>Objeto a Contratar</t>
  </si>
  <si>
    <t xml:space="preserve">Modalidad de selección </t>
  </si>
  <si>
    <t>Detalle del proceso No de invitación</t>
  </si>
  <si>
    <t xml:space="preserve">Cuantía a contratar </t>
  </si>
  <si>
    <t>Entidad contratante</t>
  </si>
  <si>
    <t>Nombre del contratista</t>
  </si>
  <si>
    <t>Fecha de Inicio de ejecución del contrato</t>
  </si>
  <si>
    <t>Plazo de ejecución del contrato</t>
  </si>
  <si>
    <t>Contratación Mínima Cuantía</t>
  </si>
  <si>
    <t>Administración 17%, Imprevistos 3%, Utilidad 5% e IVA sobre la utilidad 19%, so pena de rechazo de la propuesta.</t>
  </si>
  <si>
    <t xml:space="preserve">No se tendrán en cuenta propuesta que se presenten superando los Precios Unitarios previstos por la entidad en el presente proceso de contratación; así mismo, el proponente no podrá modificar los porcentajes de AIU establecidos, los cuales son: </t>
  </si>
  <si>
    <t>und</t>
  </si>
  <si>
    <t>CUADRO CANTIDADES DE OBRA</t>
  </si>
  <si>
    <t>ADECUACION Y MANTENIMIENTO OVS POPAYAN</t>
  </si>
  <si>
    <t xml:space="preserve">ANEXO PROPUESTA ECONÓMICA </t>
  </si>
  <si>
    <t>NOTA 2</t>
  </si>
  <si>
    <t>PARA EL CORRECTO DILIGENCIAMIENTO DEL PRESENTE ANEXO, EL PROPONENTE DEBERÁ DILIGENCIAR UNICAMENTE LAS CELDAS DE COLOR AZUL</t>
  </si>
  <si>
    <t>PRECIOS UNITARIOS MAXIMOS</t>
  </si>
  <si>
    <t>Pintura vinilo tipo 1 sobre muros interiores</t>
  </si>
  <si>
    <t>Pintura puerta principal con acabado en laca similar al existente</t>
  </si>
  <si>
    <t>SMC 033 DE 2018</t>
  </si>
  <si>
    <t>CONTRATAR EN IGUALDAD DE OPORTUNIDADES AL PROPONENTE QUE OFREZCA LAS MEJORES CONDICIONES PARA EFECTUAR LAS OBRAS DE MANTENIMIENTO Y ADECUACIÓN DEL OBSERVATORIO VULCANOLÓGICO Y SISMOLÓGICO DE POPAYÁN DEL SERVICIO GEOLÓGICO COLOMBIANO</t>
  </si>
  <si>
    <t>ARQ. RAIMUR AGUIRRE ZAPATA</t>
  </si>
  <si>
    <t>Elementos de Protección y Bioseguridad</t>
  </si>
  <si>
    <t>Ajuste al peso</t>
  </si>
  <si>
    <t>Cotización 3
M&amp;C Urban Solution</t>
  </si>
  <si>
    <t>Retiro de manto asfaltico existente, incluye disposición final</t>
  </si>
  <si>
    <t>Suministro e instalación de manto asfaltico con foil de aluminio</t>
  </si>
  <si>
    <t xml:space="preserve">Demolición de piso existente y colocación nuevamente de piso en gravilla mona con pendientado </t>
  </si>
  <si>
    <t>Arreglo de canal existente, adecuación de bajantes, cambios de elementos en mal estado, impermeabilización total de la canal con manto</t>
  </si>
  <si>
    <t>ml</t>
  </si>
  <si>
    <t>Reparación de ventanas tragaluces existentes</t>
  </si>
  <si>
    <t>Cotización 1
Servicios Generales</t>
  </si>
  <si>
    <t xml:space="preserve">“MANTENIMIENTO CONSISTENTE EN ACTIVIDADES DE IMPERMEABILIZACION DE LA CUBIERTA DE LAS INSTALACIONES DE LA ESE CENTRO DE SALUD DE USIACURI JOSE MARIA FEREZ FARAH”	 </t>
  </si>
  <si>
    <t>MC-030-2020</t>
  </si>
  <si>
    <t>24.161.033 COP</t>
  </si>
  <si>
    <t>DEPARTAMENTO DEL ATLANTICO</t>
  </si>
  <si>
    <t xml:space="preserve">	LEODEGAR RAFAEL ROYS MEJIA</t>
  </si>
  <si>
    <t>6 de octubre de 2020</t>
  </si>
  <si>
    <t>1 mes</t>
  </si>
  <si>
    <t>MANTENIMIENTO E IMPERMEABILIZACION DE VENTANAS</t>
  </si>
  <si>
    <t>Contratación régimen especial</t>
  </si>
  <si>
    <t>OF-058-20</t>
  </si>
  <si>
    <t>41.434.849 COP</t>
  </si>
  <si>
    <t>FONDO NACIONAL DE GARANTIAS S.A. - FNG</t>
  </si>
  <si>
    <t>CL SERVICIOS OPERACIONALES S.A.S</t>
  </si>
  <si>
    <t>3 de agosto de 2020</t>
  </si>
  <si>
    <t>2 meses</t>
  </si>
  <si>
    <t>COSTO DIRECTO</t>
  </si>
  <si>
    <t>Pintura vinilo tipo 1 sobre muros</t>
  </si>
  <si>
    <t>Cotización 2
Construasociados</t>
  </si>
  <si>
    <t>PRESUPUESTO OBRAS DE MANTENIMIENTO CUBIERTAS SEDE PRINCIPAL - LABORATORIO DE AGUAS</t>
  </si>
  <si>
    <t>Profesional STT</t>
  </si>
  <si>
    <t>Administración 18%, Imprevisots 3%, Utilidad 5% e IVA sobre la utilidad 19%, so pena de rechazo de la propuesta.</t>
  </si>
  <si>
    <t>Administración 18%, Imprevistos 3%, Utilidad 5% e IVA sobre la utilidad 19%, so pena de rechazo de la propuesta.</t>
  </si>
  <si>
    <t>Item</t>
  </si>
  <si>
    <t xml:space="preserve">Descripción </t>
  </si>
  <si>
    <t>APUS</t>
  </si>
  <si>
    <t>Cotizacion Nº1</t>
  </si>
  <si>
    <t>Cotizacion Nº2</t>
  </si>
  <si>
    <t>Cotizacion Nº3</t>
  </si>
  <si>
    <t>Promedio
Presupuesto Oficial</t>
  </si>
  <si>
    <t>Valor Total</t>
  </si>
  <si>
    <t>Costos Directos</t>
  </si>
  <si>
    <t>Utilidad 5 %</t>
  </si>
  <si>
    <t xml:space="preserve"> Iva 19% Sobre Utilidad</t>
  </si>
  <si>
    <t>Valor Total Proceso Incluido Iva.</t>
  </si>
  <si>
    <t>Valor Unitario</t>
  </si>
  <si>
    <t>Imprevistos 3%</t>
  </si>
  <si>
    <r>
      <t xml:space="preserve">No se tendrán en cuenta propuesta que se presenten superando los Precios Unitarios previstos por la entidad en el presente proceso de contratación; así mismo, el proponente no podrá modificar los porcentajes de AIU establecidos, los cuales son: </t>
    </r>
    <r>
      <rPr>
        <b/>
        <u/>
        <sz val="10"/>
        <color rgb="FF0070C0"/>
        <rFont val="Calibri"/>
        <family val="2"/>
        <scheme val="minor"/>
      </rPr>
      <t>Administración 17%</t>
    </r>
    <r>
      <rPr>
        <b/>
        <u/>
        <sz val="10"/>
        <color theme="1"/>
        <rFont val="Calibri"/>
        <family val="2"/>
        <scheme val="minor"/>
      </rPr>
      <t>,</t>
    </r>
    <r>
      <rPr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5" tint="-0.249977111117893"/>
        <rFont val="Calibri"/>
        <family val="2"/>
        <scheme val="minor"/>
      </rPr>
      <t>Imprevistos 3%</t>
    </r>
    <r>
      <rPr>
        <sz val="10"/>
        <color theme="1"/>
        <rFont val="Calibri"/>
        <family val="2"/>
        <scheme val="minor"/>
      </rPr>
      <t xml:space="preserve">, </t>
    </r>
    <r>
      <rPr>
        <b/>
        <u/>
        <sz val="10"/>
        <color rgb="FF00B050"/>
        <rFont val="Calibri"/>
        <family val="2"/>
        <scheme val="minor"/>
      </rPr>
      <t>Utilidad 5%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7" tint="-0.249977111117893"/>
        <rFont val="Calibri"/>
        <family val="2"/>
        <scheme val="minor"/>
      </rPr>
      <t>IVA  del 19% sobre la utilidad</t>
    </r>
    <r>
      <rPr>
        <sz val="10"/>
        <color theme="1"/>
        <rFont val="Calibri"/>
        <family val="2"/>
        <scheme val="minor"/>
      </rPr>
      <t>, so pena de rechazo de la propuesta.</t>
    </r>
  </si>
  <si>
    <t>Administración 17 %</t>
  </si>
  <si>
    <t>Presupuesto Oficial mantenimiento y adecuación de las cubiertas de la sede principal y las instalaciones 
del Laboratorio de Aguas de la sede Edificio Químico Químico del Servicio Geológico Colombiano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</si>
</sst>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[$$-240A]\ * #,##0.00_ ;_-[$$-240A]\ * \-#,##0.00\ ;_-[$$-240A]\ * &quot;-&quot;??_ ;_-@_ "/>
    <numFmt numFmtId="169" formatCode="_ * #,##0.00_ \ [$$-240A]_ ;_ * \-#,##0.00\ \ [$$-240A]_ ;_ * &quot;-&quot;??_ \ [$$-240A]_ ;_ @_ "/>
    <numFmt numFmtId="170" formatCode="0.0%"/>
    <numFmt numFmtId="171" formatCode="0.000"/>
    <numFmt numFmtId="172" formatCode="_([$$-240A]\ * #,##0.00_);_([$$-240A]\ * \(#,##0.00\);_([$$-240A]\ * &quot;-&quot;??_);_(@_)"/>
    <numFmt numFmtId="173" formatCode="#,##0.00\ &quot;€&quot;;\-#,##0.00\ &quot;€&quot;"/>
    <numFmt numFmtId="174" formatCode="_-* #,##0.00\ &quot;€&quot;_-;\-* #,##0.00\ &quot;€&quot;_-;_-* &quot;-&quot;??\ &quot;€&quot;_-;_-@_-"/>
    <numFmt numFmtId="175" formatCode="_-* #,##0.00\ _€_-;\-* #,##0.00\ _€_-;_-* &quot;-&quot;??\ _€_-;_-@_-"/>
    <numFmt numFmtId="176" formatCode="0.0"/>
    <numFmt numFmtId="177" formatCode="_-* #,##0\ _P_t_s_-;\-* #,##0\ _P_t_s_-;_-* &quot;-&quot;\ _P_t_s_-;_-@_-"/>
    <numFmt numFmtId="178" formatCode="#,##0.0;\-#,##0.0"/>
    <numFmt numFmtId="179" formatCode="_ * #,##0.00_ ;_ * \-#,##0.00_ ;_ * &quot;-&quot;??_ ;_ @_ "/>
    <numFmt numFmtId="180" formatCode="_ &quot;$&quot;\ * #,##0.00_ ;_ &quot;$&quot;\ * \-#,##0.00_ ;_ &quot;$&quot;\ * &quot;-&quot;??_ ;_ @_ "/>
    <numFmt numFmtId="181" formatCode="_([$€]* #,##0.00_);_([$€]* \(#,##0.00\);_([$€]* &quot;-&quot;??_);_(@_)"/>
    <numFmt numFmtId="182" formatCode="[$-C0A]dd\-mmm\-yy;@"/>
    <numFmt numFmtId="183" formatCode="_-[$$-240A]\ * #,##0.00_-;\-[$$-240A]\ * #,##0.00_-;_-[$$-240A]\ * &quot;-&quot;??_-;_-@_-"/>
    <numFmt numFmtId="184" formatCode="_-&quot;$&quot;* #,##0_-;\-&quot;$&quot;* #,##0_-;_-&quot;$&quot;* &quot;-&quot;_-;_-@_-"/>
    <numFmt numFmtId="185" formatCode="_-&quot;$&quot;* #,##0.00_-;\-&quot;$&quot;* #,##0.00_-;_-&quot;$&quot;* &quot;-&quot;_-;_-@_-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1"/>
      <color rgb="FF3D3D3D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8"/>
      <name val="Arial"/>
      <family val="2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11"/>
      <color indexed="20"/>
      <name val="Calibri"/>
      <family val="2"/>
    </font>
    <font>
      <sz val="8"/>
      <color indexed="8"/>
      <name val="Times New Roman"/>
      <family val="1"/>
    </font>
    <font>
      <sz val="11"/>
      <color indexed="60"/>
      <name val="Calibri"/>
      <family val="2"/>
    </font>
    <font>
      <sz val="12"/>
      <color theme="1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name val="Tahoma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0"/>
      <color rgb="FF0070C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color theme="5" tint="-0.249977111117893"/>
      <name val="Calibri"/>
      <family val="2"/>
      <scheme val="minor"/>
    </font>
    <font>
      <b/>
      <u/>
      <sz val="10"/>
      <color rgb="FF00B050"/>
      <name val="Calibri"/>
      <family val="2"/>
      <scheme val="minor"/>
    </font>
    <font>
      <b/>
      <u/>
      <sz val="10"/>
      <color theme="7" tint="-0.249977111117893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9">
    <xf numFmtId="0" fontId="0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" fillId="0" borderId="0">
      <alignment vertical="center"/>
    </xf>
    <xf numFmtId="16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75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" fillId="0" borderId="0"/>
    <xf numFmtId="0" fontId="3" fillId="0" borderId="0"/>
    <xf numFmtId="9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11" borderId="0" applyNumberFormat="0" applyBorder="0" applyAlignment="0" applyProtection="0"/>
    <xf numFmtId="0" fontId="16" fillId="23" borderId="7" applyNumberFormat="0" applyAlignment="0" applyProtection="0"/>
    <xf numFmtId="0" fontId="17" fillId="24" borderId="8" applyNumberFormat="0" applyAlignment="0" applyProtection="0"/>
    <xf numFmtId="0" fontId="18" fillId="0" borderId="9" applyNumberFormat="0" applyFill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9" fillId="0" borderId="0" applyFill="0" applyBorder="0" applyAlignment="0" applyProtection="0"/>
    <xf numFmtId="0" fontId="20" fillId="0" borderId="0" applyNumberFormat="0" applyFill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8" borderId="0" applyNumberFormat="0" applyBorder="0" applyAlignment="0" applyProtection="0"/>
    <xf numFmtId="0" fontId="21" fillId="14" borderId="7" applyNumberFormat="0" applyAlignment="0" applyProtection="0"/>
    <xf numFmtId="2" fontId="19" fillId="0" borderId="0" applyFill="0" applyBorder="0" applyAlignment="0" applyProtection="0"/>
    <xf numFmtId="0" fontId="2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0" borderId="0" applyNumberFormat="0" applyBorder="0" applyAlignment="0" applyProtection="0"/>
    <xf numFmtId="165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5" fontId="19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7" fillId="29" borderId="0" applyNumberFormat="0" applyBorder="0" applyAlignment="0" applyProtection="0"/>
    <xf numFmtId="0" fontId="3" fillId="0" borderId="0"/>
    <xf numFmtId="0" fontId="28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3" fillId="0" borderId="0"/>
    <xf numFmtId="0" fontId="3" fillId="0" borderId="0"/>
    <xf numFmtId="0" fontId="12" fillId="0" borderId="0"/>
    <xf numFmtId="0" fontId="2" fillId="0" borderId="0"/>
    <xf numFmtId="0" fontId="19" fillId="0" borderId="0"/>
    <xf numFmtId="0" fontId="3" fillId="0" borderId="0"/>
    <xf numFmtId="0" fontId="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9" fillId="0" borderId="0"/>
    <xf numFmtId="182" fontId="3" fillId="0" borderId="0"/>
    <xf numFmtId="0" fontId="3" fillId="0" borderId="0"/>
    <xf numFmtId="0" fontId="19" fillId="0" borderId="0"/>
    <xf numFmtId="0" fontId="3" fillId="30" borderId="10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1" fillId="23" borderId="11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34" fillId="0" borderId="12" applyNumberFormat="0" applyFill="0" applyAlignment="0" applyProtection="0"/>
    <xf numFmtId="0" fontId="20" fillId="0" borderId="13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42" fontId="2" fillId="0" borderId="0" applyFont="0" applyFill="0" applyBorder="0" applyAlignment="0" applyProtection="0"/>
  </cellStyleXfs>
  <cellXfs count="187">
    <xf numFmtId="0" fontId="0" fillId="0" borderId="0" xfId="0"/>
    <xf numFmtId="0" fontId="4" fillId="2" borderId="0" xfId="3" applyFont="1" applyFill="1" applyAlignment="1">
      <alignment horizontal="right" vertical="center"/>
    </xf>
    <xf numFmtId="10" fontId="4" fillId="2" borderId="0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166" fontId="0" fillId="0" borderId="1" xfId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6" fontId="1" fillId="0" borderId="1" xfId="1" applyFont="1" applyBorder="1" applyAlignment="1">
      <alignment vertical="center"/>
    </xf>
    <xf numFmtId="0" fontId="0" fillId="0" borderId="0" xfId="0" applyFont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7" fontId="0" fillId="0" borderId="5" xfId="2" applyFont="1" applyBorder="1" applyAlignment="1">
      <alignment horizontal="right" vertical="center"/>
    </xf>
    <xf numFmtId="167" fontId="6" fillId="0" borderId="5" xfId="2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8" fontId="7" fillId="0" borderId="0" xfId="0" applyNumberFormat="1" applyFont="1" applyAlignment="1">
      <alignment vertical="center"/>
    </xf>
    <xf numFmtId="168" fontId="7" fillId="4" borderId="1" xfId="0" applyNumberFormat="1" applyFont="1" applyFill="1" applyBorder="1" applyAlignment="1">
      <alignment vertical="center"/>
    </xf>
    <xf numFmtId="166" fontId="7" fillId="0" borderId="0" xfId="0" applyNumberFormat="1" applyFont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8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9" fontId="7" fillId="0" borderId="1" xfId="5" applyFont="1" applyBorder="1" applyAlignment="1">
      <alignment horizontal="center" vertical="center"/>
    </xf>
    <xf numFmtId="9" fontId="10" fillId="0" borderId="1" xfId="5" applyFont="1" applyBorder="1" applyAlignment="1">
      <alignment horizontal="center" vertical="center"/>
    </xf>
    <xf numFmtId="169" fontId="7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70" fontId="10" fillId="0" borderId="1" xfId="5" applyNumberFormat="1" applyFont="1" applyBorder="1" applyAlignment="1">
      <alignment horizontal="center" vertical="center"/>
    </xf>
    <xf numFmtId="10" fontId="10" fillId="0" borderId="1" xfId="5" applyNumberFormat="1" applyFont="1" applyBorder="1" applyAlignment="1">
      <alignment horizontal="center" vertical="center"/>
    </xf>
    <xf numFmtId="168" fontId="7" fillId="6" borderId="1" xfId="0" applyNumberFormat="1" applyFont="1" applyFill="1" applyBorder="1" applyAlignment="1">
      <alignment vertical="center"/>
    </xf>
    <xf numFmtId="10" fontId="7" fillId="0" borderId="1" xfId="5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vertical="center"/>
    </xf>
    <xf numFmtId="168" fontId="7" fillId="7" borderId="1" xfId="0" applyNumberFormat="1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168" fontId="8" fillId="7" borderId="1" xfId="0" applyNumberFormat="1" applyFont="1" applyFill="1" applyBorder="1" applyAlignment="1">
      <alignment vertical="center"/>
    </xf>
    <xf numFmtId="10" fontId="7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71" fontId="7" fillId="0" borderId="1" xfId="0" applyNumberFormat="1" applyFont="1" applyBorder="1" applyAlignment="1">
      <alignment horizontal="center" vertical="center"/>
    </xf>
    <xf numFmtId="170" fontId="7" fillId="0" borderId="1" xfId="5" applyNumberFormat="1" applyFont="1" applyBorder="1" applyAlignment="1">
      <alignment horizontal="center" vertical="center"/>
    </xf>
    <xf numFmtId="9" fontId="7" fillId="0" borderId="1" xfId="5" applyFont="1" applyBorder="1" applyAlignment="1">
      <alignment horizontal="left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9" fontId="8" fillId="0" borderId="1" xfId="5" applyFont="1" applyBorder="1" applyAlignment="1">
      <alignment horizontal="center" vertical="center"/>
    </xf>
    <xf numFmtId="10" fontId="8" fillId="7" borderId="1" xfId="0" applyNumberFormat="1" applyFont="1" applyFill="1" applyBorder="1" applyAlignment="1">
      <alignment horizontal="center" vertical="center"/>
    </xf>
    <xf numFmtId="171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168" fontId="7" fillId="5" borderId="1" xfId="0" applyNumberFormat="1" applyFont="1" applyFill="1" applyBorder="1" applyAlignment="1">
      <alignment vertical="center"/>
    </xf>
    <xf numFmtId="171" fontId="8" fillId="5" borderId="1" xfId="0" applyNumberFormat="1" applyFont="1" applyFill="1" applyBorder="1" applyAlignment="1">
      <alignment horizontal="center" vertical="center"/>
    </xf>
    <xf numFmtId="9" fontId="8" fillId="5" borderId="1" xfId="0" applyNumberFormat="1" applyFont="1" applyFill="1" applyBorder="1" applyAlignment="1">
      <alignment horizontal="center" vertical="center"/>
    </xf>
    <xf numFmtId="9" fontId="8" fillId="5" borderId="1" xfId="5" applyFont="1" applyFill="1" applyBorder="1" applyAlignment="1">
      <alignment horizontal="center" vertical="center"/>
    </xf>
    <xf numFmtId="172" fontId="7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0" fontId="7" fillId="0" borderId="1" xfId="0" applyNumberFormat="1" applyFont="1" applyBorder="1" applyAlignment="1">
      <alignment vertical="center"/>
    </xf>
    <xf numFmtId="0" fontId="7" fillId="7" borderId="0" xfId="0" applyFont="1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168" fontId="7" fillId="7" borderId="0" xfId="0" applyNumberFormat="1" applyFont="1" applyFill="1" applyAlignment="1">
      <alignment vertical="center"/>
    </xf>
    <xf numFmtId="167" fontId="0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166" fontId="0" fillId="31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2" fontId="0" fillId="0" borderId="28" xfId="0" applyNumberFormat="1" applyBorder="1" applyAlignment="1">
      <alignment vertical="center"/>
    </xf>
    <xf numFmtId="166" fontId="0" fillId="0" borderId="28" xfId="1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168" fontId="7" fillId="0" borderId="28" xfId="0" applyNumberFormat="1" applyFont="1" applyBorder="1" applyAlignment="1">
      <alignment vertical="center"/>
    </xf>
    <xf numFmtId="166" fontId="1" fillId="0" borderId="0" xfId="1" applyFont="1" applyBorder="1" applyAlignment="1">
      <alignment vertical="center"/>
    </xf>
    <xf numFmtId="166" fontId="0" fillId="0" borderId="0" xfId="1" applyFont="1" applyBorder="1" applyAlignment="1">
      <alignment vertical="center"/>
    </xf>
    <xf numFmtId="166" fontId="0" fillId="31" borderId="28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3" fontId="7" fillId="0" borderId="1" xfId="0" applyNumberFormat="1" applyFont="1" applyBorder="1" applyAlignment="1">
      <alignment vertical="center"/>
    </xf>
    <xf numFmtId="9" fontId="7" fillId="0" borderId="28" xfId="0" applyNumberFormat="1" applyFont="1" applyBorder="1" applyAlignment="1">
      <alignment horizontal="center" vertical="center"/>
    </xf>
    <xf numFmtId="3" fontId="9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9" fontId="7" fillId="0" borderId="28" xfId="5" applyFont="1" applyBorder="1" applyAlignment="1">
      <alignment horizontal="center" vertical="center"/>
    </xf>
    <xf numFmtId="0" fontId="8" fillId="35" borderId="1" xfId="0" applyFont="1" applyFill="1" applyBorder="1" applyAlignment="1">
      <alignment horizontal="center" vertical="center"/>
    </xf>
    <xf numFmtId="0" fontId="7" fillId="32" borderId="35" xfId="0" applyFont="1" applyFill="1" applyBorder="1" applyAlignment="1">
      <alignment horizontal="center" vertical="center"/>
    </xf>
    <xf numFmtId="184" fontId="7" fillId="0" borderId="28" xfId="218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84" fontId="7" fillId="0" borderId="1" xfId="218" applyNumberFormat="1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84" fontId="7" fillId="0" borderId="38" xfId="218" applyNumberFormat="1" applyFont="1" applyBorder="1" applyAlignment="1">
      <alignment horizontal="center" vertical="center"/>
    </xf>
    <xf numFmtId="184" fontId="46" fillId="35" borderId="30" xfId="218" applyNumberFormat="1" applyFont="1" applyFill="1" applyBorder="1" applyAlignment="1">
      <alignment vertical="center"/>
    </xf>
    <xf numFmtId="184" fontId="46" fillId="35" borderId="31" xfId="218" applyNumberFormat="1" applyFont="1" applyFill="1" applyBorder="1" applyAlignment="1">
      <alignment horizontal="center" vertical="center"/>
    </xf>
    <xf numFmtId="167" fontId="7" fillId="0" borderId="0" xfId="2" applyFont="1" applyAlignment="1">
      <alignment vertical="center"/>
    </xf>
    <xf numFmtId="42" fontId="7" fillId="0" borderId="0" xfId="218" applyFont="1" applyAlignment="1">
      <alignment vertical="center"/>
    </xf>
    <xf numFmtId="184" fontId="7" fillId="0" borderId="0" xfId="0" applyNumberFormat="1" applyFont="1" applyAlignment="1">
      <alignment vertical="center"/>
    </xf>
    <xf numFmtId="0" fontId="7" fillId="32" borderId="28" xfId="0" applyFont="1" applyFill="1" applyBorder="1" applyAlignment="1">
      <alignment horizontal="center" vertical="center" wrapText="1"/>
    </xf>
    <xf numFmtId="0" fontId="7" fillId="32" borderId="38" xfId="0" applyFont="1" applyFill="1" applyBorder="1" applyAlignment="1">
      <alignment horizontal="center" vertical="center" wrapText="1"/>
    </xf>
    <xf numFmtId="0" fontId="8" fillId="33" borderId="40" xfId="0" applyFont="1" applyFill="1" applyBorder="1" applyAlignment="1">
      <alignment horizontal="center" vertical="center"/>
    </xf>
    <xf numFmtId="0" fontId="8" fillId="33" borderId="41" xfId="0" applyFont="1" applyFill="1" applyBorder="1" applyAlignment="1">
      <alignment horizontal="center" vertical="center"/>
    </xf>
    <xf numFmtId="0" fontId="8" fillId="35" borderId="28" xfId="0" applyFont="1" applyFill="1" applyBorder="1" applyAlignment="1">
      <alignment horizontal="center" vertical="center"/>
    </xf>
    <xf numFmtId="0" fontId="8" fillId="32" borderId="35" xfId="0" applyFont="1" applyFill="1" applyBorder="1" applyAlignment="1">
      <alignment horizontal="center" vertical="center"/>
    </xf>
    <xf numFmtId="0" fontId="7" fillId="32" borderId="1" xfId="0" applyFont="1" applyFill="1" applyBorder="1" applyAlignment="1">
      <alignment horizontal="center" vertical="center" wrapText="1"/>
    </xf>
    <xf numFmtId="0" fontId="0" fillId="32" borderId="1" xfId="0" applyFill="1" applyBorder="1" applyAlignment="1">
      <alignment horizontal="center" vertical="center"/>
    </xf>
    <xf numFmtId="0" fontId="0" fillId="32" borderId="28" xfId="0" applyFill="1" applyBorder="1" applyAlignment="1">
      <alignment horizontal="center" vertical="center"/>
    </xf>
    <xf numFmtId="1" fontId="0" fillId="32" borderId="1" xfId="0" applyNumberFormat="1" applyFill="1" applyBorder="1" applyAlignment="1">
      <alignment horizontal="center" vertical="center"/>
    </xf>
    <xf numFmtId="1" fontId="0" fillId="32" borderId="28" xfId="0" applyNumberFormat="1" applyFill="1" applyBorder="1" applyAlignment="1">
      <alignment horizontal="center" vertical="center"/>
    </xf>
    <xf numFmtId="166" fontId="8" fillId="32" borderId="28" xfId="1" applyFont="1" applyFill="1" applyBorder="1" applyAlignment="1">
      <alignment horizontal="center" vertical="center"/>
    </xf>
    <xf numFmtId="166" fontId="7" fillId="32" borderId="28" xfId="1" applyFont="1" applyFill="1" applyBorder="1" applyAlignment="1">
      <alignment horizontal="center" vertical="center"/>
    </xf>
    <xf numFmtId="166" fontId="8" fillId="35" borderId="1" xfId="1" applyFont="1" applyFill="1" applyBorder="1" applyAlignment="1">
      <alignment horizontal="center" vertical="center" wrapText="1"/>
    </xf>
    <xf numFmtId="166" fontId="8" fillId="35" borderId="28" xfId="1" applyFont="1" applyFill="1" applyBorder="1" applyAlignment="1">
      <alignment horizontal="center" vertical="center"/>
    </xf>
    <xf numFmtId="166" fontId="40" fillId="32" borderId="36" xfId="0" applyNumberFormat="1" applyFont="1" applyFill="1" applyBorder="1" applyAlignment="1">
      <alignment horizontal="center" vertical="center" wrapText="1"/>
    </xf>
    <xf numFmtId="184" fontId="1" fillId="36" borderId="36" xfId="0" applyNumberFormat="1" applyFont="1" applyFill="1" applyBorder="1" applyAlignment="1">
      <alignment horizontal="center" vertical="center"/>
    </xf>
    <xf numFmtId="166" fontId="7" fillId="0" borderId="0" xfId="1" applyFont="1" applyAlignment="1">
      <alignment vertical="center"/>
    </xf>
    <xf numFmtId="9" fontId="7" fillId="0" borderId="0" xfId="0" applyNumberFormat="1" applyFont="1" applyAlignment="1">
      <alignment vertical="center"/>
    </xf>
    <xf numFmtId="9" fontId="7" fillId="0" borderId="0" xfId="5" applyFont="1" applyAlignment="1">
      <alignment vertical="center"/>
    </xf>
    <xf numFmtId="44" fontId="7" fillId="0" borderId="0" xfId="0" applyNumberFormat="1" applyFont="1" applyAlignment="1">
      <alignment vertical="center"/>
    </xf>
    <xf numFmtId="185" fontId="7" fillId="0" borderId="36" xfId="0" applyNumberFormat="1" applyFont="1" applyFill="1" applyBorder="1" applyAlignment="1">
      <alignment horizontal="center" vertical="center"/>
    </xf>
    <xf numFmtId="185" fontId="7" fillId="0" borderId="39" xfId="0" applyNumberFormat="1" applyFont="1" applyFill="1" applyBorder="1" applyAlignment="1">
      <alignment horizontal="center" vertical="center"/>
    </xf>
    <xf numFmtId="185" fontId="7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37" fillId="0" borderId="15" xfId="193" applyFont="1" applyBorder="1" applyAlignment="1">
      <alignment horizontal="center" vertical="center"/>
    </xf>
    <xf numFmtId="0" fontId="37" fillId="0" borderId="16" xfId="193" applyFont="1" applyBorder="1" applyAlignment="1">
      <alignment horizontal="center" vertical="center"/>
    </xf>
    <xf numFmtId="0" fontId="37" fillId="0" borderId="1" xfId="193" applyFont="1" applyBorder="1" applyAlignment="1">
      <alignment horizontal="center" vertical="center"/>
    </xf>
    <xf numFmtId="0" fontId="37" fillId="0" borderId="17" xfId="193" applyFont="1" applyBorder="1" applyAlignment="1">
      <alignment horizontal="center" vertical="center"/>
    </xf>
    <xf numFmtId="0" fontId="37" fillId="0" borderId="18" xfId="193" applyFont="1" applyBorder="1" applyAlignment="1">
      <alignment horizontal="center" vertical="center"/>
    </xf>
    <xf numFmtId="0" fontId="37" fillId="0" borderId="19" xfId="193" applyFont="1" applyBorder="1" applyAlignment="1">
      <alignment horizontal="center" vertical="center"/>
    </xf>
    <xf numFmtId="0" fontId="37" fillId="0" borderId="21" xfId="193" applyFont="1" applyBorder="1" applyAlignment="1">
      <alignment horizontal="center" vertical="center"/>
    </xf>
    <xf numFmtId="0" fontId="37" fillId="0" borderId="22" xfId="193" applyFont="1" applyBorder="1" applyAlignment="1">
      <alignment horizontal="center" vertical="center"/>
    </xf>
    <xf numFmtId="0" fontId="37" fillId="0" borderId="23" xfId="193" applyFont="1" applyBorder="1" applyAlignment="1">
      <alignment horizontal="center" vertical="center"/>
    </xf>
    <xf numFmtId="0" fontId="37" fillId="0" borderId="24" xfId="193" applyFont="1" applyBorder="1" applyAlignment="1">
      <alignment horizontal="center" vertical="center" wrapText="1"/>
    </xf>
    <xf numFmtId="0" fontId="37" fillId="0" borderId="2" xfId="193" applyFont="1" applyBorder="1" applyAlignment="1">
      <alignment horizontal="center" vertical="center" wrapText="1"/>
    </xf>
    <xf numFmtId="0" fontId="37" fillId="0" borderId="3" xfId="193" applyFont="1" applyBorder="1" applyAlignment="1">
      <alignment horizontal="center" vertical="center" wrapText="1"/>
    </xf>
    <xf numFmtId="0" fontId="37" fillId="0" borderId="25" xfId="193" applyFont="1" applyBorder="1" applyAlignment="1">
      <alignment horizontal="center" vertical="center"/>
    </xf>
    <xf numFmtId="0" fontId="37" fillId="0" borderId="26" xfId="193" applyFont="1" applyBorder="1" applyAlignment="1">
      <alignment horizontal="center" vertical="center"/>
    </xf>
    <xf numFmtId="0" fontId="37" fillId="0" borderId="27" xfId="193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6" fillId="35" borderId="29" xfId="0" applyFont="1" applyFill="1" applyBorder="1" applyAlignment="1">
      <alignment horizontal="center" vertical="center"/>
    </xf>
    <xf numFmtId="0" fontId="46" fillId="35" borderId="30" xfId="0" applyFont="1" applyFill="1" applyBorder="1" applyAlignment="1">
      <alignment horizontal="center" vertical="center"/>
    </xf>
    <xf numFmtId="0" fontId="8" fillId="33" borderId="40" xfId="0" applyFont="1" applyFill="1" applyBorder="1" applyAlignment="1">
      <alignment horizontal="center" vertical="center"/>
    </xf>
    <xf numFmtId="0" fontId="8" fillId="33" borderId="41" xfId="0" applyFont="1" applyFill="1" applyBorder="1" applyAlignment="1">
      <alignment horizontal="center" vertical="center"/>
    </xf>
    <xf numFmtId="0" fontId="8" fillId="33" borderId="42" xfId="0" applyFont="1" applyFill="1" applyBorder="1" applyAlignment="1">
      <alignment horizontal="center" vertical="center" wrapText="1"/>
    </xf>
    <xf numFmtId="0" fontId="8" fillId="33" borderId="43" xfId="0" applyFont="1" applyFill="1" applyBorder="1" applyAlignment="1">
      <alignment horizontal="center" vertical="center" wrapText="1"/>
    </xf>
    <xf numFmtId="0" fontId="1" fillId="32" borderId="44" xfId="0" applyFont="1" applyFill="1" applyBorder="1" applyAlignment="1">
      <alignment horizontal="center" vertical="center"/>
    </xf>
    <xf numFmtId="0" fontId="1" fillId="32" borderId="45" xfId="0" applyFont="1" applyFill="1" applyBorder="1" applyAlignment="1">
      <alignment horizontal="center" vertical="center"/>
    </xf>
    <xf numFmtId="0" fontId="39" fillId="32" borderId="30" xfId="0" applyFont="1" applyFill="1" applyBorder="1" applyAlignment="1">
      <alignment horizontal="center" vertical="center"/>
    </xf>
    <xf numFmtId="0" fontId="39" fillId="32" borderId="31" xfId="0" applyFont="1" applyFill="1" applyBorder="1" applyAlignment="1">
      <alignment horizontal="center" vertical="center"/>
    </xf>
    <xf numFmtId="0" fontId="8" fillId="33" borderId="32" xfId="0" applyFont="1" applyFill="1" applyBorder="1" applyAlignment="1">
      <alignment horizontal="center" vertical="center"/>
    </xf>
    <xf numFmtId="0" fontId="8" fillId="33" borderId="35" xfId="0" applyFont="1" applyFill="1" applyBorder="1" applyAlignment="1">
      <alignment horizontal="center" vertical="center"/>
    </xf>
    <xf numFmtId="0" fontId="8" fillId="33" borderId="33" xfId="0" applyFont="1" applyFill="1" applyBorder="1" applyAlignment="1">
      <alignment horizontal="center" vertical="center"/>
    </xf>
    <xf numFmtId="0" fontId="8" fillId="33" borderId="1" xfId="0" applyFont="1" applyFill="1" applyBorder="1" applyAlignment="1">
      <alignment horizontal="center" vertical="center"/>
    </xf>
    <xf numFmtId="0" fontId="40" fillId="34" borderId="34" xfId="0" applyFont="1" applyFill="1" applyBorder="1" applyAlignment="1">
      <alignment horizontal="center" vertical="center" wrapText="1"/>
    </xf>
    <xf numFmtId="0" fontId="40" fillId="34" borderId="36" xfId="0" applyFont="1" applyFill="1" applyBorder="1" applyAlignment="1">
      <alignment horizontal="center" vertical="center" wrapText="1"/>
    </xf>
    <xf numFmtId="0" fontId="7" fillId="32" borderId="35" xfId="0" applyFont="1" applyFill="1" applyBorder="1" applyAlignment="1">
      <alignment horizontal="center" vertical="center" wrapText="1"/>
    </xf>
    <xf numFmtId="0" fontId="7" fillId="32" borderId="1" xfId="0" applyFont="1" applyFill="1" applyBorder="1" applyAlignment="1">
      <alignment horizontal="center" vertical="center" wrapText="1"/>
    </xf>
    <xf numFmtId="0" fontId="7" fillId="32" borderId="37" xfId="0" applyFont="1" applyFill="1" applyBorder="1" applyAlignment="1">
      <alignment horizontal="center" vertical="center" wrapText="1"/>
    </xf>
    <xf numFmtId="0" fontId="7" fillId="32" borderId="3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39" fillId="32" borderId="2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166" fontId="8" fillId="32" borderId="1" xfId="1" applyFont="1" applyFill="1" applyBorder="1" applyAlignment="1">
      <alignment horizontal="center" vertical="center" wrapText="1"/>
    </xf>
  </cellXfs>
  <cellStyles count="219">
    <cellStyle name="20% - Énfasis1 2" xfId="19" xr:uid="{00000000-0005-0000-0000-000000000000}"/>
    <cellStyle name="20% - Énfasis2 2" xfId="20" xr:uid="{00000000-0005-0000-0000-000001000000}"/>
    <cellStyle name="20% - Énfasis3 2" xfId="21" xr:uid="{00000000-0005-0000-0000-000002000000}"/>
    <cellStyle name="20% - Énfasis4 2" xfId="22" xr:uid="{00000000-0005-0000-0000-000003000000}"/>
    <cellStyle name="20% - Énfasis5 2" xfId="23" xr:uid="{00000000-0005-0000-0000-000004000000}"/>
    <cellStyle name="20% - Énfasis6 2" xfId="24" xr:uid="{00000000-0005-0000-0000-000005000000}"/>
    <cellStyle name="40% - Énfasis1 2" xfId="25" xr:uid="{00000000-0005-0000-0000-000006000000}"/>
    <cellStyle name="40% - Énfasis2 2" xfId="26" xr:uid="{00000000-0005-0000-0000-000007000000}"/>
    <cellStyle name="40% - Énfasis3 2" xfId="27" xr:uid="{00000000-0005-0000-0000-000008000000}"/>
    <cellStyle name="40% - Énfasis4 2" xfId="28" xr:uid="{00000000-0005-0000-0000-000009000000}"/>
    <cellStyle name="40% - Énfasis5 2" xfId="29" xr:uid="{00000000-0005-0000-0000-00000A000000}"/>
    <cellStyle name="40% - Énfasis6 2" xfId="30" xr:uid="{00000000-0005-0000-0000-00000B000000}"/>
    <cellStyle name="60% - Énfasis1 2" xfId="31" xr:uid="{00000000-0005-0000-0000-00000C000000}"/>
    <cellStyle name="60% - Énfasis2 2" xfId="32" xr:uid="{00000000-0005-0000-0000-00000D000000}"/>
    <cellStyle name="60% - Énfasis3 2" xfId="33" xr:uid="{00000000-0005-0000-0000-00000E000000}"/>
    <cellStyle name="60% - Énfasis4 2" xfId="34" xr:uid="{00000000-0005-0000-0000-00000F000000}"/>
    <cellStyle name="60% - Énfasis5 2" xfId="35" xr:uid="{00000000-0005-0000-0000-000010000000}"/>
    <cellStyle name="60% - Énfasis6 2" xfId="36" xr:uid="{00000000-0005-0000-0000-000011000000}"/>
    <cellStyle name="Buena 2" xfId="37" xr:uid="{00000000-0005-0000-0000-000012000000}"/>
    <cellStyle name="Cálculo 2" xfId="38" xr:uid="{00000000-0005-0000-0000-000013000000}"/>
    <cellStyle name="Celda de comprobación 2" xfId="39" xr:uid="{00000000-0005-0000-0000-000014000000}"/>
    <cellStyle name="Celda vinculada 2" xfId="40" xr:uid="{00000000-0005-0000-0000-000015000000}"/>
    <cellStyle name="Comma 2" xfId="41" xr:uid="{00000000-0005-0000-0000-000016000000}"/>
    <cellStyle name="Comma_ACTA Mod 1 puente UNION_1" xfId="42" xr:uid="{00000000-0005-0000-0000-000017000000}"/>
    <cellStyle name="Date" xfId="43" xr:uid="{00000000-0005-0000-0000-000018000000}"/>
    <cellStyle name="Encabezado 4 2" xfId="44" xr:uid="{00000000-0005-0000-0000-000019000000}"/>
    <cellStyle name="Énfasis1 2" xfId="45" xr:uid="{00000000-0005-0000-0000-00001A000000}"/>
    <cellStyle name="Énfasis2 2" xfId="46" xr:uid="{00000000-0005-0000-0000-00001B000000}"/>
    <cellStyle name="Énfasis3 2" xfId="47" xr:uid="{00000000-0005-0000-0000-00001C000000}"/>
    <cellStyle name="Énfasis4 2" xfId="48" xr:uid="{00000000-0005-0000-0000-00001D000000}"/>
    <cellStyle name="Énfasis5 2" xfId="49" xr:uid="{00000000-0005-0000-0000-00001E000000}"/>
    <cellStyle name="Énfasis6 2" xfId="50" xr:uid="{00000000-0005-0000-0000-00001F000000}"/>
    <cellStyle name="Entrada 2" xfId="51" xr:uid="{00000000-0005-0000-0000-000020000000}"/>
    <cellStyle name="Euro" xfId="8" xr:uid="{00000000-0005-0000-0000-000021000000}"/>
    <cellStyle name="Euro 2" xfId="17" xr:uid="{00000000-0005-0000-0000-000022000000}"/>
    <cellStyle name="Fixed" xfId="52" xr:uid="{00000000-0005-0000-0000-000023000000}"/>
    <cellStyle name="HEADING1" xfId="53" xr:uid="{00000000-0005-0000-0000-000024000000}"/>
    <cellStyle name="HEADING2" xfId="54" xr:uid="{00000000-0005-0000-0000-000025000000}"/>
    <cellStyle name="Hipervínculo 2" xfId="55" xr:uid="{00000000-0005-0000-0000-000026000000}"/>
    <cellStyle name="Hipervínculo visitado 2" xfId="56" xr:uid="{00000000-0005-0000-0000-000027000000}"/>
    <cellStyle name="Incorrecto 2" xfId="57" xr:uid="{00000000-0005-0000-0000-000028000000}"/>
    <cellStyle name="Millares" xfId="2" builtinId="3"/>
    <cellStyle name="Millares [0] 4 4" xfId="58" xr:uid="{00000000-0005-0000-0000-00002A000000}"/>
    <cellStyle name="Millares [0] 6" xfId="59" xr:uid="{00000000-0005-0000-0000-00002B000000}"/>
    <cellStyle name="Millares 10" xfId="60" xr:uid="{00000000-0005-0000-0000-00002C000000}"/>
    <cellStyle name="Millares 11" xfId="61" xr:uid="{00000000-0005-0000-0000-00002D000000}"/>
    <cellStyle name="Millares 12" xfId="62" xr:uid="{00000000-0005-0000-0000-00002E000000}"/>
    <cellStyle name="Millares 13" xfId="63" xr:uid="{00000000-0005-0000-0000-00002F000000}"/>
    <cellStyle name="Millares 14" xfId="64" xr:uid="{00000000-0005-0000-0000-000030000000}"/>
    <cellStyle name="Millares 15" xfId="65" xr:uid="{00000000-0005-0000-0000-000031000000}"/>
    <cellStyle name="Millares 16" xfId="66" xr:uid="{00000000-0005-0000-0000-000032000000}"/>
    <cellStyle name="Millares 17" xfId="67" xr:uid="{00000000-0005-0000-0000-000033000000}"/>
    <cellStyle name="Millares 18" xfId="68" xr:uid="{00000000-0005-0000-0000-000034000000}"/>
    <cellStyle name="Millares 19" xfId="69" xr:uid="{00000000-0005-0000-0000-000035000000}"/>
    <cellStyle name="Millares 2" xfId="18" xr:uid="{00000000-0005-0000-0000-000036000000}"/>
    <cellStyle name="Millares 2 2" xfId="70" xr:uid="{00000000-0005-0000-0000-000037000000}"/>
    <cellStyle name="Millares 2 2 2" xfId="71" xr:uid="{00000000-0005-0000-0000-000038000000}"/>
    <cellStyle name="Millares 2 2 3_Libro1 2" xfId="72" xr:uid="{00000000-0005-0000-0000-000039000000}"/>
    <cellStyle name="Millares 2 3" xfId="73" xr:uid="{00000000-0005-0000-0000-00003A000000}"/>
    <cellStyle name="Millares 2 4" xfId="74" xr:uid="{00000000-0005-0000-0000-00003B000000}"/>
    <cellStyle name="Millares 2 4 3 2" xfId="75" xr:uid="{00000000-0005-0000-0000-00003C000000}"/>
    <cellStyle name="Millares 2 5" xfId="76" xr:uid="{00000000-0005-0000-0000-00003D000000}"/>
    <cellStyle name="Millares 20" xfId="77" xr:uid="{00000000-0005-0000-0000-00003E000000}"/>
    <cellStyle name="Millares 21" xfId="78" xr:uid="{00000000-0005-0000-0000-00003F000000}"/>
    <cellStyle name="Millares 22" xfId="79" xr:uid="{00000000-0005-0000-0000-000040000000}"/>
    <cellStyle name="Millares 23" xfId="80" xr:uid="{00000000-0005-0000-0000-000041000000}"/>
    <cellStyle name="Millares 24" xfId="81" xr:uid="{00000000-0005-0000-0000-000042000000}"/>
    <cellStyle name="Millares 24 2" xfId="82" xr:uid="{00000000-0005-0000-0000-000043000000}"/>
    <cellStyle name="Millares 25" xfId="83" xr:uid="{00000000-0005-0000-0000-000044000000}"/>
    <cellStyle name="Millares 26" xfId="84" xr:uid="{00000000-0005-0000-0000-000045000000}"/>
    <cellStyle name="Millares 27" xfId="85" xr:uid="{00000000-0005-0000-0000-000046000000}"/>
    <cellStyle name="Millares 28" xfId="86" xr:uid="{00000000-0005-0000-0000-000047000000}"/>
    <cellStyle name="Millares 29" xfId="87" xr:uid="{00000000-0005-0000-0000-000048000000}"/>
    <cellStyle name="Millares 3" xfId="16" xr:uid="{00000000-0005-0000-0000-000049000000}"/>
    <cellStyle name="Millares 3 2" xfId="88" xr:uid="{00000000-0005-0000-0000-00004A000000}"/>
    <cellStyle name="Millares 3 3" xfId="89" xr:uid="{00000000-0005-0000-0000-00004B000000}"/>
    <cellStyle name="Millares 30" xfId="90" xr:uid="{00000000-0005-0000-0000-00004C000000}"/>
    <cellStyle name="Millares 31" xfId="91" xr:uid="{00000000-0005-0000-0000-00004D000000}"/>
    <cellStyle name="Millares 32" xfId="92" xr:uid="{00000000-0005-0000-0000-00004E000000}"/>
    <cellStyle name="Millares 33" xfId="93" xr:uid="{00000000-0005-0000-0000-00004F000000}"/>
    <cellStyle name="Millares 34" xfId="94" xr:uid="{00000000-0005-0000-0000-000050000000}"/>
    <cellStyle name="Millares 35" xfId="95" xr:uid="{00000000-0005-0000-0000-000051000000}"/>
    <cellStyle name="Millares 36" xfId="96" xr:uid="{00000000-0005-0000-0000-000052000000}"/>
    <cellStyle name="Millares 37" xfId="97" xr:uid="{00000000-0005-0000-0000-000053000000}"/>
    <cellStyle name="Millares 38" xfId="98" xr:uid="{00000000-0005-0000-0000-000054000000}"/>
    <cellStyle name="Millares 39" xfId="99" xr:uid="{00000000-0005-0000-0000-000055000000}"/>
    <cellStyle name="Millares 4" xfId="100" xr:uid="{00000000-0005-0000-0000-000056000000}"/>
    <cellStyle name="Millares 4 2" xfId="101" xr:uid="{00000000-0005-0000-0000-000057000000}"/>
    <cellStyle name="Millares 4 2 2" xfId="102" xr:uid="{00000000-0005-0000-0000-000058000000}"/>
    <cellStyle name="Millares 40" xfId="103" xr:uid="{00000000-0005-0000-0000-000059000000}"/>
    <cellStyle name="Millares 41" xfId="104" xr:uid="{00000000-0005-0000-0000-00005A000000}"/>
    <cellStyle name="Millares 42" xfId="105" xr:uid="{00000000-0005-0000-0000-00005B000000}"/>
    <cellStyle name="Millares 43" xfId="106" xr:uid="{00000000-0005-0000-0000-00005C000000}"/>
    <cellStyle name="Millares 43 2" xfId="107" xr:uid="{00000000-0005-0000-0000-00005D000000}"/>
    <cellStyle name="Millares 44" xfId="108" xr:uid="{00000000-0005-0000-0000-00005E000000}"/>
    <cellStyle name="Millares 45" xfId="109" xr:uid="{00000000-0005-0000-0000-00005F000000}"/>
    <cellStyle name="Millares 46" xfId="110" xr:uid="{00000000-0005-0000-0000-000060000000}"/>
    <cellStyle name="Millares 47" xfId="111" xr:uid="{00000000-0005-0000-0000-000061000000}"/>
    <cellStyle name="Millares 48" xfId="112" xr:uid="{00000000-0005-0000-0000-000062000000}"/>
    <cellStyle name="Millares 49" xfId="113" xr:uid="{00000000-0005-0000-0000-000063000000}"/>
    <cellStyle name="Millares 5" xfId="114" xr:uid="{00000000-0005-0000-0000-000064000000}"/>
    <cellStyle name="Millares 50" xfId="115" xr:uid="{00000000-0005-0000-0000-000065000000}"/>
    <cellStyle name="Millares 51" xfId="116" xr:uid="{00000000-0005-0000-0000-000066000000}"/>
    <cellStyle name="Millares 52" xfId="117" xr:uid="{00000000-0005-0000-0000-000067000000}"/>
    <cellStyle name="Millares 53" xfId="118" xr:uid="{00000000-0005-0000-0000-000068000000}"/>
    <cellStyle name="Millares 54" xfId="119" xr:uid="{00000000-0005-0000-0000-000069000000}"/>
    <cellStyle name="Millares 55" xfId="120" xr:uid="{00000000-0005-0000-0000-00006A000000}"/>
    <cellStyle name="Millares 56" xfId="121" xr:uid="{00000000-0005-0000-0000-00006B000000}"/>
    <cellStyle name="Millares 57" xfId="122" xr:uid="{00000000-0005-0000-0000-00006C000000}"/>
    <cellStyle name="Millares 58" xfId="123" xr:uid="{00000000-0005-0000-0000-00006D000000}"/>
    <cellStyle name="Millares 59" xfId="124" xr:uid="{00000000-0005-0000-0000-00006E000000}"/>
    <cellStyle name="Millares 6" xfId="125" xr:uid="{00000000-0005-0000-0000-00006F000000}"/>
    <cellStyle name="Millares 60" xfId="126" xr:uid="{00000000-0005-0000-0000-000070000000}"/>
    <cellStyle name="Millares 61" xfId="127" xr:uid="{00000000-0005-0000-0000-000071000000}"/>
    <cellStyle name="Millares 62" xfId="128" xr:uid="{00000000-0005-0000-0000-000072000000}"/>
    <cellStyle name="Millares 63" xfId="129" xr:uid="{00000000-0005-0000-0000-000073000000}"/>
    <cellStyle name="Millares 64" xfId="130" xr:uid="{00000000-0005-0000-0000-000074000000}"/>
    <cellStyle name="Millares 65" xfId="131" xr:uid="{00000000-0005-0000-0000-000075000000}"/>
    <cellStyle name="Millares 66" xfId="132" xr:uid="{00000000-0005-0000-0000-000076000000}"/>
    <cellStyle name="Millares 67" xfId="133" xr:uid="{00000000-0005-0000-0000-000077000000}"/>
    <cellStyle name="Millares 68" xfId="134" xr:uid="{00000000-0005-0000-0000-000078000000}"/>
    <cellStyle name="Millares 69" xfId="135" xr:uid="{00000000-0005-0000-0000-000079000000}"/>
    <cellStyle name="Millares 7" xfId="136" xr:uid="{00000000-0005-0000-0000-00007A000000}"/>
    <cellStyle name="Millares 70" xfId="137" xr:uid="{00000000-0005-0000-0000-00007B000000}"/>
    <cellStyle name="Millares 71" xfId="138" xr:uid="{00000000-0005-0000-0000-00007C000000}"/>
    <cellStyle name="Millares 72" xfId="139" xr:uid="{00000000-0005-0000-0000-00007D000000}"/>
    <cellStyle name="Millares 73" xfId="140" xr:uid="{00000000-0005-0000-0000-00007E000000}"/>
    <cellStyle name="Millares 74" xfId="141" xr:uid="{00000000-0005-0000-0000-00007F000000}"/>
    <cellStyle name="Millares 75" xfId="142" xr:uid="{00000000-0005-0000-0000-000080000000}"/>
    <cellStyle name="Millares 76" xfId="143" xr:uid="{00000000-0005-0000-0000-000081000000}"/>
    <cellStyle name="Millares 77" xfId="144" xr:uid="{00000000-0005-0000-0000-000082000000}"/>
    <cellStyle name="Millares 78" xfId="145" xr:uid="{00000000-0005-0000-0000-000083000000}"/>
    <cellStyle name="Millares 79" xfId="146" xr:uid="{00000000-0005-0000-0000-000084000000}"/>
    <cellStyle name="Millares 8" xfId="147" xr:uid="{00000000-0005-0000-0000-000085000000}"/>
    <cellStyle name="Millares 80" xfId="148" xr:uid="{00000000-0005-0000-0000-000086000000}"/>
    <cellStyle name="Millares 81" xfId="149" xr:uid="{00000000-0005-0000-0000-000087000000}"/>
    <cellStyle name="Millares 9" xfId="150" xr:uid="{00000000-0005-0000-0000-000088000000}"/>
    <cellStyle name="Moneda" xfId="1" builtinId="4"/>
    <cellStyle name="Moneda [0]" xfId="218" builtinId="7"/>
    <cellStyle name="Moneda 10" xfId="15" xr:uid="{00000000-0005-0000-0000-00008B000000}"/>
    <cellStyle name="Moneda 10 2" xfId="151" xr:uid="{00000000-0005-0000-0000-00008C000000}"/>
    <cellStyle name="Moneda 13" xfId="152" xr:uid="{00000000-0005-0000-0000-00008D000000}"/>
    <cellStyle name="Moneda 2" xfId="4" xr:uid="{00000000-0005-0000-0000-00008E000000}"/>
    <cellStyle name="Moneda 2 19" xfId="153" xr:uid="{00000000-0005-0000-0000-00008F000000}"/>
    <cellStyle name="Moneda 2 2" xfId="7" xr:uid="{00000000-0005-0000-0000-000090000000}"/>
    <cellStyle name="Moneda 2 2 2" xfId="9" xr:uid="{00000000-0005-0000-0000-000091000000}"/>
    <cellStyle name="Moneda 2 2 3" xfId="154" xr:uid="{00000000-0005-0000-0000-000092000000}"/>
    <cellStyle name="Moneda 2 3" xfId="10" xr:uid="{00000000-0005-0000-0000-000093000000}"/>
    <cellStyle name="Moneda 2 3 5" xfId="155" xr:uid="{00000000-0005-0000-0000-000094000000}"/>
    <cellStyle name="Moneda 2 4" xfId="156" xr:uid="{00000000-0005-0000-0000-000095000000}"/>
    <cellStyle name="Moneda 2 5" xfId="6" xr:uid="{00000000-0005-0000-0000-000096000000}"/>
    <cellStyle name="Moneda 3" xfId="11" xr:uid="{00000000-0005-0000-0000-000097000000}"/>
    <cellStyle name="Moneda 3 2" xfId="157" xr:uid="{00000000-0005-0000-0000-000098000000}"/>
    <cellStyle name="Moneda 4" xfId="158" xr:uid="{00000000-0005-0000-0000-000099000000}"/>
    <cellStyle name="Moneda 5" xfId="159" xr:uid="{00000000-0005-0000-0000-00009A000000}"/>
    <cellStyle name="Moneda 6" xfId="160" xr:uid="{00000000-0005-0000-0000-00009B000000}"/>
    <cellStyle name="Moneda 7" xfId="161" xr:uid="{00000000-0005-0000-0000-00009C000000}"/>
    <cellStyle name="Moneda 8" xfId="162" xr:uid="{00000000-0005-0000-0000-00009D000000}"/>
    <cellStyle name="Moneda 9" xfId="163" xr:uid="{00000000-0005-0000-0000-00009E000000}"/>
    <cellStyle name="Neutral 2" xfId="164" xr:uid="{00000000-0005-0000-0000-00009F000000}"/>
    <cellStyle name="Normal" xfId="0" builtinId="0"/>
    <cellStyle name="Normal 10" xfId="165" xr:uid="{00000000-0005-0000-0000-0000A1000000}"/>
    <cellStyle name="Normal 11" xfId="166" xr:uid="{00000000-0005-0000-0000-0000A2000000}"/>
    <cellStyle name="Normal 12" xfId="167" xr:uid="{00000000-0005-0000-0000-0000A3000000}"/>
    <cellStyle name="Normal 13" xfId="168" xr:uid="{00000000-0005-0000-0000-0000A4000000}"/>
    <cellStyle name="Normal 2" xfId="12" xr:uid="{00000000-0005-0000-0000-0000A5000000}"/>
    <cellStyle name="Normal 2 10" xfId="169" xr:uid="{00000000-0005-0000-0000-0000A6000000}"/>
    <cellStyle name="Normal 2 10 2" xfId="170" xr:uid="{00000000-0005-0000-0000-0000A7000000}"/>
    <cellStyle name="Normal 2 10 3" xfId="171" xr:uid="{00000000-0005-0000-0000-0000A8000000}"/>
    <cellStyle name="Normal 2 2" xfId="172" xr:uid="{00000000-0005-0000-0000-0000A9000000}"/>
    <cellStyle name="Normal 2 2 2" xfId="173" xr:uid="{00000000-0005-0000-0000-0000AA000000}"/>
    <cellStyle name="Normal 2 2 3" xfId="174" xr:uid="{00000000-0005-0000-0000-0000AB000000}"/>
    <cellStyle name="Normal 2 2 50 2" xfId="175" xr:uid="{00000000-0005-0000-0000-0000AC000000}"/>
    <cellStyle name="Normal 2 4" xfId="176" xr:uid="{00000000-0005-0000-0000-0000AD000000}"/>
    <cellStyle name="Normal 2 4 2" xfId="177" xr:uid="{00000000-0005-0000-0000-0000AE000000}"/>
    <cellStyle name="Normal 2 5" xfId="178" xr:uid="{00000000-0005-0000-0000-0000AF000000}"/>
    <cellStyle name="Normal 2 5 3" xfId="179" xr:uid="{00000000-0005-0000-0000-0000B0000000}"/>
    <cellStyle name="Normal 2_DOBLECALZADA-BMANGA-CUCUTA-16-03-09" xfId="180" xr:uid="{00000000-0005-0000-0000-0000B1000000}"/>
    <cellStyle name="Normal 3" xfId="13" xr:uid="{00000000-0005-0000-0000-0000B2000000}"/>
    <cellStyle name="Normal 3 11" xfId="181" xr:uid="{00000000-0005-0000-0000-0000B3000000}"/>
    <cellStyle name="Normal 3 2" xfId="182" xr:uid="{00000000-0005-0000-0000-0000B4000000}"/>
    <cellStyle name="Normal 3 2 14" xfId="183" xr:uid="{00000000-0005-0000-0000-0000B5000000}"/>
    <cellStyle name="Normal 3 30" xfId="184" xr:uid="{00000000-0005-0000-0000-0000B6000000}"/>
    <cellStyle name="Normal 3_Formato 7 Multas y Sanciones" xfId="185" xr:uid="{00000000-0005-0000-0000-0000B7000000}"/>
    <cellStyle name="Normal 4" xfId="186" xr:uid="{00000000-0005-0000-0000-0000B8000000}"/>
    <cellStyle name="Normal 4 2" xfId="187" xr:uid="{00000000-0005-0000-0000-0000B9000000}"/>
    <cellStyle name="Normal 4 2 9" xfId="188" xr:uid="{00000000-0005-0000-0000-0000BA000000}"/>
    <cellStyle name="Normal 5" xfId="189" xr:uid="{00000000-0005-0000-0000-0000BB000000}"/>
    <cellStyle name="Normal 5 2" xfId="190" xr:uid="{00000000-0005-0000-0000-0000BC000000}"/>
    <cellStyle name="Normal 6" xfId="191" xr:uid="{00000000-0005-0000-0000-0000BD000000}"/>
    <cellStyle name="Normal 68 2" xfId="192" xr:uid="{00000000-0005-0000-0000-0000BE000000}"/>
    <cellStyle name="Normal 7" xfId="193" xr:uid="{00000000-0005-0000-0000-0000BF000000}"/>
    <cellStyle name="Normal 7 2" xfId="194" xr:uid="{00000000-0005-0000-0000-0000C0000000}"/>
    <cellStyle name="Normal 8" xfId="195" xr:uid="{00000000-0005-0000-0000-0000C1000000}"/>
    <cellStyle name="Normal 9" xfId="196" xr:uid="{00000000-0005-0000-0000-0000C2000000}"/>
    <cellStyle name="Normal_cantidades" xfId="3" xr:uid="{00000000-0005-0000-0000-0000C3000000}"/>
    <cellStyle name="Notas 2" xfId="197" xr:uid="{00000000-0005-0000-0000-0000C4000000}"/>
    <cellStyle name="Porcentaje" xfId="5" builtinId="5"/>
    <cellStyle name="Porcentaje 2" xfId="198" xr:uid="{00000000-0005-0000-0000-0000C6000000}"/>
    <cellStyle name="Porcentaje 2 2" xfId="199" xr:uid="{00000000-0005-0000-0000-0000C7000000}"/>
    <cellStyle name="Porcentaje 3" xfId="200" xr:uid="{00000000-0005-0000-0000-0000C8000000}"/>
    <cellStyle name="Porcentaje 4" xfId="201" xr:uid="{00000000-0005-0000-0000-0000C9000000}"/>
    <cellStyle name="Porcentaje 5" xfId="202" xr:uid="{00000000-0005-0000-0000-0000CA000000}"/>
    <cellStyle name="Porcentual 10" xfId="203" xr:uid="{00000000-0005-0000-0000-0000CB000000}"/>
    <cellStyle name="Porcentual 2" xfId="204" xr:uid="{00000000-0005-0000-0000-0000CC000000}"/>
    <cellStyle name="Porcentual 2 2" xfId="14" xr:uid="{00000000-0005-0000-0000-0000CD000000}"/>
    <cellStyle name="Porcentual 2 25" xfId="205" xr:uid="{00000000-0005-0000-0000-0000CE000000}"/>
    <cellStyle name="Porcentual 2 3 3" xfId="206" xr:uid="{00000000-0005-0000-0000-0000CF000000}"/>
    <cellStyle name="Porcentual 3" xfId="207" xr:uid="{00000000-0005-0000-0000-0000D0000000}"/>
    <cellStyle name="Porcentual 4" xfId="208" xr:uid="{00000000-0005-0000-0000-0000D1000000}"/>
    <cellStyle name="Porcentual 6 2" xfId="209" xr:uid="{00000000-0005-0000-0000-0000D2000000}"/>
    <cellStyle name="Salida 2" xfId="210" xr:uid="{00000000-0005-0000-0000-0000D3000000}"/>
    <cellStyle name="Texto de advertencia 2" xfId="211" xr:uid="{00000000-0005-0000-0000-0000D4000000}"/>
    <cellStyle name="Texto explicativo 2" xfId="212" xr:uid="{00000000-0005-0000-0000-0000D5000000}"/>
    <cellStyle name="Título 1 2" xfId="213" xr:uid="{00000000-0005-0000-0000-0000D6000000}"/>
    <cellStyle name="Título 2 2" xfId="214" xr:uid="{00000000-0005-0000-0000-0000D7000000}"/>
    <cellStyle name="Título 3 2" xfId="215" xr:uid="{00000000-0005-0000-0000-0000D8000000}"/>
    <cellStyle name="Título 4" xfId="216" xr:uid="{00000000-0005-0000-0000-0000D9000000}"/>
    <cellStyle name="Total 2" xfId="217" xr:uid="{00000000-0005-0000-0000-0000D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380999</xdr:colOff>
      <xdr:row>0</xdr:row>
      <xdr:rowOff>209550</xdr:rowOff>
    </xdr:from>
    <xdr:to>
      <xdr:col>7</xdr:col>
      <xdr:colOff>57149</xdr:colOff>
      <xdr:row>2</xdr:row>
      <xdr:rowOff>168965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lum/>
        </a:blip>
        <a:srcRect r="28896"/>
        <a:stretch/>
      </xdr:blipFill>
      <xdr:spPr>
        <a:xfrm>
          <a:off x="7534274" y="523875"/>
          <a:ext cx="2133600" cy="923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41275</xdr:rowOff>
    </xdr:from>
    <xdr:to>
      <xdr:col>2</xdr:col>
      <xdr:colOff>1366672</xdr:colOff>
      <xdr:row>1</xdr:row>
      <xdr:rowOff>523875</xdr:rowOff>
    </xdr:to>
    <xdr:pic>
      <xdr:nvPicPr>
        <xdr:cNvPr id="2" name="Imagen 1" descr="Logo-SGC.jpg">
          <a:extLst>
            <a:ext uri="{FF2B5EF4-FFF2-40B4-BE49-F238E27FC236}">
              <a16:creationId xmlns:a16="http://schemas.microsoft.com/office/drawing/2014/main" id="{3B88A730-E5EF-4735-9BC2-B9B47BC0B2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12725"/>
          <a:ext cx="1728622" cy="482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435429</xdr:colOff>
      <xdr:row>39</xdr:row>
      <xdr:rowOff>130528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D8FD347-B838-4397-931A-B23513047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93429" cy="756002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103908</xdr:colOff>
      <xdr:row>38</xdr:row>
      <xdr:rowOff>96766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58316D-E833-4D04-85DE-0043E2D3F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771908" cy="733576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302559</xdr:colOff>
      <xdr:row>43</xdr:row>
      <xdr:rowOff>19984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8084F85-5189-491B-A07A-AE7AC6B63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98559" cy="8211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opLeftCell="B1" zoomScale="115" zoomScaleNormal="115" zoomScaleSheetLayoutView="100" workbookViewId="0">
      <selection activeCell="D6" sqref="D6:D12"/>
    </sheetView>
  </sheetViews>
  <sheetFormatPr baseColWidth="10" defaultRowHeight="15" x14ac:dyDescent="0.25"/>
  <cols>
    <col min="1" max="1" width="8.7109375" style="3" customWidth="1"/>
    <col min="2" max="2" width="86" style="3" customWidth="1"/>
    <col min="3" max="3" width="11.140625" style="78" customWidth="1"/>
    <col min="4" max="4" width="11.42578125" style="3"/>
    <col min="5" max="5" width="19.7109375" style="3" customWidth="1"/>
    <col min="6" max="6" width="16.7109375" style="3" customWidth="1"/>
    <col min="7" max="7" width="20.140625" style="3" customWidth="1"/>
    <col min="8" max="8" width="14" style="3" customWidth="1"/>
    <col min="9" max="16384" width="11.42578125" style="3"/>
  </cols>
  <sheetData>
    <row r="1" spans="1:7" ht="60.75" customHeight="1" thickTop="1" x14ac:dyDescent="0.25">
      <c r="A1" s="149" t="s">
        <v>111</v>
      </c>
      <c r="B1" s="150"/>
      <c r="C1" s="150"/>
      <c r="D1" s="150"/>
      <c r="E1" s="151"/>
      <c r="F1" s="143"/>
      <c r="G1" s="144"/>
    </row>
    <row r="2" spans="1:7" ht="15" customHeight="1" x14ac:dyDescent="0.25">
      <c r="A2" s="152" t="s">
        <v>112</v>
      </c>
      <c r="B2" s="153"/>
      <c r="C2" s="153"/>
      <c r="D2" s="153"/>
      <c r="E2" s="154"/>
      <c r="F2" s="145"/>
      <c r="G2" s="146"/>
    </row>
    <row r="3" spans="1:7" s="6" customFormat="1" ht="21.75" customHeight="1" thickBot="1" x14ac:dyDescent="0.3">
      <c r="A3" s="155" t="s">
        <v>113</v>
      </c>
      <c r="B3" s="156"/>
      <c r="C3" s="156"/>
      <c r="D3" s="156"/>
      <c r="E3" s="157"/>
      <c r="F3" s="147"/>
      <c r="G3" s="148"/>
    </row>
    <row r="4" spans="1:7" ht="22.5" customHeight="1" thickTop="1" x14ac:dyDescent="0.25"/>
    <row r="5" spans="1:7" ht="61.5" customHeight="1" x14ac:dyDescent="0.25">
      <c r="A5" s="4" t="s">
        <v>0</v>
      </c>
      <c r="B5" s="4" t="s">
        <v>1</v>
      </c>
      <c r="C5" s="4" t="s">
        <v>2</v>
      </c>
      <c r="D5" s="4" t="s">
        <v>3</v>
      </c>
      <c r="E5" s="81" t="s">
        <v>116</v>
      </c>
      <c r="F5" s="4" t="s">
        <v>4</v>
      </c>
      <c r="G5" s="4" t="s">
        <v>5</v>
      </c>
    </row>
    <row r="6" spans="1:7" x14ac:dyDescent="0.25">
      <c r="A6" s="93">
        <v>1</v>
      </c>
      <c r="B6" s="12" t="s">
        <v>125</v>
      </c>
      <c r="C6" s="93" t="s">
        <v>12</v>
      </c>
      <c r="D6" s="10">
        <v>302</v>
      </c>
      <c r="E6" s="5">
        <v>8933</v>
      </c>
      <c r="F6" s="79"/>
      <c r="G6" s="5">
        <f>+D6*F6</f>
        <v>0</v>
      </c>
    </row>
    <row r="7" spans="1:7" ht="33" customHeight="1" x14ac:dyDescent="0.25">
      <c r="A7" s="93">
        <v>2</v>
      </c>
      <c r="B7" s="12" t="s">
        <v>126</v>
      </c>
      <c r="C7" s="93" t="s">
        <v>12</v>
      </c>
      <c r="D7" s="10">
        <v>302</v>
      </c>
      <c r="E7" s="5">
        <v>32400</v>
      </c>
      <c r="F7" s="79"/>
      <c r="G7" s="5">
        <f t="shared" ref="G7:G12" si="0">+D7*F7</f>
        <v>0</v>
      </c>
    </row>
    <row r="8" spans="1:7" ht="33" customHeight="1" x14ac:dyDescent="0.25">
      <c r="A8" s="93">
        <v>9</v>
      </c>
      <c r="B8" s="12" t="s">
        <v>117</v>
      </c>
      <c r="C8" s="93" t="s">
        <v>12</v>
      </c>
      <c r="D8" s="10">
        <v>370</v>
      </c>
      <c r="E8" s="5">
        <v>8333</v>
      </c>
      <c r="F8" s="79"/>
      <c r="G8" s="5">
        <f t="shared" si="0"/>
        <v>0</v>
      </c>
    </row>
    <row r="9" spans="1:7" ht="33" customHeight="1" x14ac:dyDescent="0.25">
      <c r="A9" s="82">
        <v>6</v>
      </c>
      <c r="B9" s="83" t="s">
        <v>118</v>
      </c>
      <c r="C9" s="82" t="s">
        <v>110</v>
      </c>
      <c r="D9" s="84">
        <v>2</v>
      </c>
      <c r="E9" s="85">
        <v>140000</v>
      </c>
      <c r="F9" s="91"/>
      <c r="G9" s="85">
        <f t="shared" si="0"/>
        <v>0</v>
      </c>
    </row>
    <row r="10" spans="1:7" ht="33" customHeight="1" x14ac:dyDescent="0.25">
      <c r="A10" s="82">
        <v>7</v>
      </c>
      <c r="B10" s="12" t="s">
        <v>127</v>
      </c>
      <c r="C10" s="82" t="s">
        <v>12</v>
      </c>
      <c r="D10" s="84">
        <v>4</v>
      </c>
      <c r="E10" s="85">
        <v>163333</v>
      </c>
      <c r="F10" s="91"/>
      <c r="G10" s="85">
        <f t="shared" si="0"/>
        <v>0</v>
      </c>
    </row>
    <row r="11" spans="1:7" ht="33" customHeight="1" x14ac:dyDescent="0.25">
      <c r="A11" s="82">
        <v>8</v>
      </c>
      <c r="B11" s="12" t="s">
        <v>128</v>
      </c>
      <c r="C11" s="82" t="s">
        <v>129</v>
      </c>
      <c r="D11" s="84">
        <v>116</v>
      </c>
      <c r="E11" s="85">
        <v>13160</v>
      </c>
      <c r="F11" s="91"/>
      <c r="G11" s="85">
        <f t="shared" si="0"/>
        <v>0</v>
      </c>
    </row>
    <row r="12" spans="1:7" ht="33" customHeight="1" x14ac:dyDescent="0.25">
      <c r="A12" s="93">
        <v>9</v>
      </c>
      <c r="B12" s="12" t="s">
        <v>130</v>
      </c>
      <c r="C12" s="93" t="s">
        <v>110</v>
      </c>
      <c r="D12" s="10">
        <v>10</v>
      </c>
      <c r="E12" s="85">
        <v>134267</v>
      </c>
      <c r="F12" s="91"/>
      <c r="G12" s="85">
        <f t="shared" si="0"/>
        <v>0</v>
      </c>
    </row>
    <row r="14" spans="1:7" x14ac:dyDescent="0.25">
      <c r="C14" s="13"/>
      <c r="D14" s="6"/>
      <c r="E14" s="6"/>
      <c r="F14" s="7" t="s">
        <v>6</v>
      </c>
      <c r="G14" s="8">
        <f>SUM(G6:G13)</f>
        <v>0</v>
      </c>
    </row>
    <row r="15" spans="1:7" x14ac:dyDescent="0.25">
      <c r="C15" s="13"/>
      <c r="D15" s="1" t="s">
        <v>8</v>
      </c>
      <c r="E15" s="1"/>
      <c r="F15" s="2">
        <v>0.17</v>
      </c>
      <c r="G15" s="5">
        <f>+F15*$G$14</f>
        <v>0</v>
      </c>
    </row>
    <row r="16" spans="1:7" x14ac:dyDescent="0.25">
      <c r="C16" s="13"/>
      <c r="D16" s="1" t="s">
        <v>9</v>
      </c>
      <c r="E16" s="1"/>
      <c r="F16" s="2">
        <v>0.03</v>
      </c>
      <c r="G16" s="5">
        <f>+F16*$G$14</f>
        <v>0</v>
      </c>
    </row>
    <row r="17" spans="1:7" x14ac:dyDescent="0.25">
      <c r="C17" s="13"/>
      <c r="D17" s="1" t="s">
        <v>10</v>
      </c>
      <c r="E17" s="1"/>
      <c r="F17" s="2">
        <v>0.05</v>
      </c>
      <c r="G17" s="5">
        <f>+F17*$G$14</f>
        <v>0</v>
      </c>
    </row>
    <row r="18" spans="1:7" x14ac:dyDescent="0.25">
      <c r="C18" s="13"/>
      <c r="D18" s="1" t="s">
        <v>11</v>
      </c>
      <c r="E18" s="1"/>
      <c r="F18" s="2">
        <v>0.19</v>
      </c>
      <c r="G18" s="5">
        <f>+F18*G17</f>
        <v>0</v>
      </c>
    </row>
    <row r="19" spans="1:7" x14ac:dyDescent="0.25">
      <c r="C19" s="13"/>
      <c r="D19" s="6"/>
      <c r="E19" s="6"/>
      <c r="F19" s="7" t="s">
        <v>7</v>
      </c>
      <c r="G19" s="8">
        <f>SUM(G14:G18)</f>
        <v>0</v>
      </c>
    </row>
    <row r="20" spans="1:7" x14ac:dyDescent="0.25">
      <c r="C20" s="13"/>
      <c r="D20" s="9"/>
      <c r="E20" s="9"/>
      <c r="F20" s="9"/>
      <c r="G20" s="9"/>
    </row>
    <row r="21" spans="1:7" x14ac:dyDescent="0.25">
      <c r="A21" s="6" t="s">
        <v>33</v>
      </c>
      <c r="B21" s="142" t="s">
        <v>34</v>
      </c>
      <c r="C21" s="142"/>
      <c r="D21" s="142"/>
      <c r="E21" s="142"/>
      <c r="F21" s="142"/>
      <c r="G21" s="142"/>
    </row>
    <row r="22" spans="1:7" x14ac:dyDescent="0.25">
      <c r="A22" s="6"/>
      <c r="B22" s="142" t="s">
        <v>35</v>
      </c>
      <c r="C22" s="142"/>
      <c r="D22" s="142"/>
      <c r="E22" s="142"/>
      <c r="F22" s="142"/>
      <c r="G22" s="142"/>
    </row>
    <row r="23" spans="1:7" x14ac:dyDescent="0.25">
      <c r="A23" s="6"/>
      <c r="B23" s="142" t="s">
        <v>108</v>
      </c>
      <c r="C23" s="142"/>
      <c r="D23" s="142"/>
      <c r="E23" s="142"/>
      <c r="F23" s="142"/>
      <c r="G23" s="142"/>
    </row>
    <row r="25" spans="1:7" x14ac:dyDescent="0.25">
      <c r="A25" s="6" t="s">
        <v>114</v>
      </c>
      <c r="B25" s="6" t="s">
        <v>115</v>
      </c>
    </row>
  </sheetData>
  <mergeCells count="7">
    <mergeCell ref="B21:G21"/>
    <mergeCell ref="B22:G22"/>
    <mergeCell ref="B23:G23"/>
    <mergeCell ref="F1:G3"/>
    <mergeCell ref="A1:E1"/>
    <mergeCell ref="A2:E2"/>
    <mergeCell ref="A3:E3"/>
  </mergeCells>
  <pageMargins left="0.7" right="0.7" top="0.75" bottom="0.75" header="0.3" footer="0.3"/>
  <pageSetup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4" workbookViewId="0">
      <selection activeCell="D20" sqref="D20"/>
    </sheetView>
  </sheetViews>
  <sheetFormatPr baseColWidth="10" defaultColWidth="19.140625" defaultRowHeight="15" x14ac:dyDescent="0.25"/>
  <cols>
    <col min="2" max="2" width="60.42578125" customWidth="1"/>
    <col min="4" max="4" width="34.7109375" customWidth="1"/>
  </cols>
  <sheetData>
    <row r="1" spans="1:4" ht="29.25" customHeight="1" thickBot="1" x14ac:dyDescent="0.3">
      <c r="A1" s="14" t="s">
        <v>13</v>
      </c>
      <c r="B1" s="14" t="s">
        <v>14</v>
      </c>
      <c r="C1" s="14" t="s">
        <v>15</v>
      </c>
      <c r="D1" s="14" t="s">
        <v>16</v>
      </c>
    </row>
    <row r="2" spans="1:4" ht="105.75" thickBot="1" x14ac:dyDescent="0.3">
      <c r="A2" s="15" t="s">
        <v>18</v>
      </c>
      <c r="B2" s="16" t="s">
        <v>17</v>
      </c>
      <c r="C2" s="19" t="s">
        <v>19</v>
      </c>
      <c r="D2" s="17" t="s">
        <v>20</v>
      </c>
    </row>
    <row r="3" spans="1:4" ht="75.75" thickBot="1" x14ac:dyDescent="0.3">
      <c r="A3" s="15" t="s">
        <v>23</v>
      </c>
      <c r="B3" s="16" t="s">
        <v>21</v>
      </c>
      <c r="C3" s="20" t="s">
        <v>22</v>
      </c>
      <c r="D3" s="18" t="s">
        <v>24</v>
      </c>
    </row>
    <row r="4" spans="1:4" ht="60.75" thickBot="1" x14ac:dyDescent="0.3">
      <c r="A4" s="15" t="s">
        <v>25</v>
      </c>
      <c r="B4" s="16" t="s">
        <v>26</v>
      </c>
      <c r="C4" s="20" t="s">
        <v>27</v>
      </c>
      <c r="D4" s="18" t="s">
        <v>28</v>
      </c>
    </row>
    <row r="5" spans="1:4" ht="62.25" customHeight="1" thickBot="1" x14ac:dyDescent="0.3">
      <c r="A5" s="15" t="s">
        <v>30</v>
      </c>
      <c r="B5" s="16" t="s">
        <v>29</v>
      </c>
      <c r="C5" s="20" t="s">
        <v>31</v>
      </c>
      <c r="D5" s="18" t="s">
        <v>32</v>
      </c>
    </row>
    <row r="6" spans="1:4" ht="86.25" customHeight="1" thickBot="1" x14ac:dyDescent="0.3">
      <c r="A6" s="15" t="s">
        <v>119</v>
      </c>
      <c r="B6" s="16" t="s">
        <v>120</v>
      </c>
      <c r="C6" s="20">
        <v>14908483.73</v>
      </c>
      <c r="D6" s="18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>
      <selection activeCell="G17" sqref="G17"/>
    </sheetView>
  </sheetViews>
  <sheetFormatPr baseColWidth="10" defaultRowHeight="15" x14ac:dyDescent="0.25"/>
  <cols>
    <col min="1" max="1" width="34" style="95" customWidth="1"/>
    <col min="2" max="2" width="72.7109375" style="95" customWidth="1"/>
    <col min="3" max="16384" width="11.42578125" style="95"/>
  </cols>
  <sheetData>
    <row r="1" spans="1:2" ht="42" customHeight="1" x14ac:dyDescent="0.25">
      <c r="A1" s="94" t="s">
        <v>97</v>
      </c>
      <c r="B1" s="94" t="s">
        <v>98</v>
      </c>
    </row>
    <row r="2" spans="1:2" ht="45" x14ac:dyDescent="0.25">
      <c r="A2" s="96" t="s">
        <v>99</v>
      </c>
      <c r="B2" s="97" t="s">
        <v>132</v>
      </c>
    </row>
    <row r="3" spans="1:2" x14ac:dyDescent="0.25">
      <c r="A3" s="96" t="s">
        <v>100</v>
      </c>
      <c r="B3" s="97" t="s">
        <v>107</v>
      </c>
    </row>
    <row r="4" spans="1:2" x14ac:dyDescent="0.25">
      <c r="A4" s="96" t="s">
        <v>101</v>
      </c>
      <c r="B4" s="98" t="s">
        <v>133</v>
      </c>
    </row>
    <row r="5" spans="1:2" x14ac:dyDescent="0.25">
      <c r="A5" s="96" t="s">
        <v>102</v>
      </c>
      <c r="B5" s="97" t="s">
        <v>134</v>
      </c>
    </row>
    <row r="6" spans="1:2" x14ac:dyDescent="0.25">
      <c r="A6" s="96" t="s">
        <v>103</v>
      </c>
      <c r="B6" s="97" t="s">
        <v>135</v>
      </c>
    </row>
    <row r="7" spans="1:2" x14ac:dyDescent="0.25">
      <c r="A7" s="96" t="s">
        <v>104</v>
      </c>
      <c r="B7" s="97" t="s">
        <v>136</v>
      </c>
    </row>
    <row r="8" spans="1:2" ht="30" x14ac:dyDescent="0.25">
      <c r="A8" s="96" t="s">
        <v>105</v>
      </c>
      <c r="B8" s="97" t="s">
        <v>137</v>
      </c>
    </row>
    <row r="9" spans="1:2" x14ac:dyDescent="0.25">
      <c r="A9" s="96" t="s">
        <v>106</v>
      </c>
      <c r="B9" s="97" t="s">
        <v>138</v>
      </c>
    </row>
    <row r="11" spans="1:2" ht="42" customHeight="1" x14ac:dyDescent="0.25">
      <c r="A11" s="94" t="s">
        <v>97</v>
      </c>
      <c r="B11" s="94" t="s">
        <v>98</v>
      </c>
    </row>
    <row r="12" spans="1:2" x14ac:dyDescent="0.25">
      <c r="A12" s="96" t="s">
        <v>99</v>
      </c>
      <c r="B12" s="97" t="s">
        <v>139</v>
      </c>
    </row>
    <row r="13" spans="1:2" x14ac:dyDescent="0.25">
      <c r="A13" s="96" t="s">
        <v>100</v>
      </c>
      <c r="B13" s="97" t="s">
        <v>140</v>
      </c>
    </row>
    <row r="14" spans="1:2" x14ac:dyDescent="0.25">
      <c r="A14" s="96" t="s">
        <v>101</v>
      </c>
      <c r="B14" s="97" t="s">
        <v>141</v>
      </c>
    </row>
    <row r="15" spans="1:2" x14ac:dyDescent="0.25">
      <c r="A15" s="96" t="s">
        <v>102</v>
      </c>
      <c r="B15" s="97" t="s">
        <v>142</v>
      </c>
    </row>
    <row r="16" spans="1:2" x14ac:dyDescent="0.25">
      <c r="A16" s="96" t="s">
        <v>103</v>
      </c>
      <c r="B16" s="97" t="s">
        <v>143</v>
      </c>
    </row>
    <row r="17" spans="1:2" x14ac:dyDescent="0.25">
      <c r="A17" s="96" t="s">
        <v>104</v>
      </c>
      <c r="B17" s="97" t="s">
        <v>144</v>
      </c>
    </row>
    <row r="18" spans="1:2" ht="30" x14ac:dyDescent="0.25">
      <c r="A18" s="96" t="s">
        <v>105</v>
      </c>
      <c r="B18" s="97" t="s">
        <v>145</v>
      </c>
    </row>
    <row r="19" spans="1:2" x14ac:dyDescent="0.25">
      <c r="A19" s="96" t="s">
        <v>106</v>
      </c>
      <c r="B19" s="97" t="s">
        <v>146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"/>
  <sheetViews>
    <sheetView showGridLines="0" zoomScaleNormal="100" zoomScaleSheetLayoutView="100" workbookViewId="0">
      <selection activeCell="G26" sqref="G26"/>
    </sheetView>
  </sheetViews>
  <sheetFormatPr baseColWidth="10" defaultRowHeight="15" x14ac:dyDescent="0.25"/>
  <cols>
    <col min="1" max="1" width="6.85546875" style="3" customWidth="1"/>
    <col min="2" max="2" width="61" style="3" bestFit="1" customWidth="1"/>
    <col min="3" max="3" width="11.140625" style="11" customWidth="1"/>
    <col min="4" max="4" width="11.42578125" style="3"/>
    <col min="5" max="5" width="16.7109375" style="3" customWidth="1"/>
    <col min="6" max="6" width="20.140625" style="3" customWidth="1"/>
    <col min="7" max="7" width="14" style="3" customWidth="1"/>
    <col min="8" max="8" width="15.28515625" style="3" customWidth="1"/>
    <col min="9" max="9" width="31.42578125" style="3" customWidth="1"/>
    <col min="10" max="16384" width="11.42578125" style="3"/>
  </cols>
  <sheetData>
    <row r="1" spans="1:6" x14ac:dyDescent="0.25">
      <c r="A1" s="158" t="s">
        <v>150</v>
      </c>
      <c r="B1" s="158"/>
      <c r="C1" s="158"/>
      <c r="D1" s="158"/>
      <c r="E1" s="158"/>
      <c r="F1" s="158"/>
    </row>
    <row r="3" spans="1:6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s="6" customFormat="1" x14ac:dyDescent="0.25">
      <c r="A4" s="99">
        <v>1</v>
      </c>
      <c r="B4" s="12" t="s">
        <v>125</v>
      </c>
      <c r="C4" s="99" t="s">
        <v>12</v>
      </c>
      <c r="D4" s="10">
        <v>640</v>
      </c>
      <c r="E4" s="5">
        <f>+COMPARATIVO!E4</f>
        <v>8933</v>
      </c>
      <c r="F4" s="5">
        <f>+D4*E4</f>
        <v>5717120</v>
      </c>
    </row>
    <row r="5" spans="1:6" x14ac:dyDescent="0.25">
      <c r="A5" s="99">
        <v>2</v>
      </c>
      <c r="B5" s="12" t="s">
        <v>126</v>
      </c>
      <c r="C5" s="99" t="s">
        <v>12</v>
      </c>
      <c r="D5" s="10">
        <v>640</v>
      </c>
      <c r="E5" s="5">
        <f>+COMPARATIVO!E5</f>
        <v>32400</v>
      </c>
      <c r="F5" s="5">
        <f t="shared" ref="F5:F7" si="0">+D5*E5</f>
        <v>20736000</v>
      </c>
    </row>
    <row r="6" spans="1:6" x14ac:dyDescent="0.25">
      <c r="A6" s="100">
        <v>3</v>
      </c>
      <c r="B6" s="12" t="s">
        <v>148</v>
      </c>
      <c r="C6" s="99" t="s">
        <v>12</v>
      </c>
      <c r="D6" s="10">
        <v>200</v>
      </c>
      <c r="E6" s="5">
        <f>+COMPARATIVO!E6</f>
        <v>8333</v>
      </c>
      <c r="F6" s="5">
        <f t="shared" si="0"/>
        <v>1666600</v>
      </c>
    </row>
    <row r="7" spans="1:6" x14ac:dyDescent="0.25">
      <c r="A7" s="100">
        <v>4</v>
      </c>
      <c r="B7" s="83" t="s">
        <v>118</v>
      </c>
      <c r="C7" s="82" t="s">
        <v>110</v>
      </c>
      <c r="D7" s="84">
        <v>2</v>
      </c>
      <c r="E7" s="5">
        <f>+COMPARATIVO!E7</f>
        <v>140000</v>
      </c>
      <c r="F7" s="5">
        <f t="shared" si="0"/>
        <v>280000</v>
      </c>
    </row>
    <row r="8" spans="1:6" ht="30" x14ac:dyDescent="0.25">
      <c r="A8" s="100">
        <v>5</v>
      </c>
      <c r="B8" s="12" t="s">
        <v>127</v>
      </c>
      <c r="C8" s="82" t="s">
        <v>12</v>
      </c>
      <c r="D8" s="84">
        <v>4</v>
      </c>
      <c r="E8" s="5">
        <f>+COMPARATIVO!E8</f>
        <v>163333</v>
      </c>
      <c r="F8" s="85">
        <f t="shared" ref="F8:F10" si="1">+D8*E8</f>
        <v>653332</v>
      </c>
    </row>
    <row r="9" spans="1:6" ht="45" x14ac:dyDescent="0.25">
      <c r="A9" s="100">
        <v>6</v>
      </c>
      <c r="B9" s="12" t="s">
        <v>128</v>
      </c>
      <c r="C9" s="82" t="s">
        <v>129</v>
      </c>
      <c r="D9" s="84">
        <f>45+45+8+8+10</f>
        <v>116</v>
      </c>
      <c r="E9" s="5">
        <f>+COMPARATIVO!E9</f>
        <v>13160</v>
      </c>
      <c r="F9" s="85">
        <f t="shared" si="1"/>
        <v>1526560</v>
      </c>
    </row>
    <row r="10" spans="1:6" x14ac:dyDescent="0.25">
      <c r="A10" s="100">
        <v>7</v>
      </c>
      <c r="B10" s="12" t="s">
        <v>130</v>
      </c>
      <c r="C10" s="99" t="s">
        <v>110</v>
      </c>
      <c r="D10" s="10">
        <v>10</v>
      </c>
      <c r="E10" s="5">
        <f>+COMPARATIVO!E10</f>
        <v>134267</v>
      </c>
      <c r="F10" s="85">
        <f t="shared" si="1"/>
        <v>1342670</v>
      </c>
    </row>
    <row r="12" spans="1:6" x14ac:dyDescent="0.25">
      <c r="C12" s="13"/>
      <c r="D12" s="6"/>
      <c r="E12" s="7" t="s">
        <v>6</v>
      </c>
      <c r="F12" s="8">
        <f>SUM(F4:F11)</f>
        <v>31922282</v>
      </c>
    </row>
    <row r="13" spans="1:6" x14ac:dyDescent="0.25">
      <c r="C13" s="13"/>
      <c r="D13" s="1" t="s">
        <v>8</v>
      </c>
      <c r="E13" s="2">
        <v>0.18</v>
      </c>
      <c r="F13" s="5">
        <f>+E13*$F$12</f>
        <v>5746010.7599999998</v>
      </c>
    </row>
    <row r="14" spans="1:6" x14ac:dyDescent="0.25">
      <c r="C14" s="13"/>
      <c r="D14" s="1" t="s">
        <v>9</v>
      </c>
      <c r="E14" s="2">
        <v>0.03</v>
      </c>
      <c r="F14" s="5">
        <f>+E14*$F$12</f>
        <v>957668.46</v>
      </c>
    </row>
    <row r="15" spans="1:6" x14ac:dyDescent="0.25">
      <c r="C15" s="13"/>
      <c r="D15" s="1" t="s">
        <v>10</v>
      </c>
      <c r="E15" s="2">
        <v>0.05</v>
      </c>
      <c r="F15" s="5">
        <f>+E15*$F$12</f>
        <v>1596114.1</v>
      </c>
    </row>
    <row r="16" spans="1:6" x14ac:dyDescent="0.25">
      <c r="C16" s="13"/>
      <c r="D16" s="1" t="s">
        <v>11</v>
      </c>
      <c r="E16" s="2">
        <v>0.19</v>
      </c>
      <c r="F16" s="5">
        <f>+E16*F15</f>
        <v>303261.679</v>
      </c>
    </row>
    <row r="17" spans="1:6" x14ac:dyDescent="0.25">
      <c r="C17" s="13"/>
      <c r="D17" s="1"/>
      <c r="E17" s="2" t="s">
        <v>123</v>
      </c>
      <c r="F17" s="85"/>
    </row>
    <row r="18" spans="1:6" x14ac:dyDescent="0.25">
      <c r="C18" s="13"/>
      <c r="D18" s="6"/>
      <c r="E18" s="7" t="s">
        <v>7</v>
      </c>
      <c r="F18" s="8">
        <f>SUM(F12:F16)+F17</f>
        <v>40525336.998999998</v>
      </c>
    </row>
    <row r="19" spans="1:6" x14ac:dyDescent="0.25">
      <c r="C19" s="13"/>
      <c r="D19" s="9"/>
      <c r="E19" s="9"/>
      <c r="F19" s="9"/>
    </row>
    <row r="20" spans="1:6" x14ac:dyDescent="0.25">
      <c r="A20" s="3" t="s">
        <v>33</v>
      </c>
      <c r="B20" s="3" t="s">
        <v>34</v>
      </c>
    </row>
    <row r="21" spans="1:6" x14ac:dyDescent="0.25">
      <c r="B21" s="3" t="s">
        <v>35</v>
      </c>
    </row>
    <row r="22" spans="1:6" x14ac:dyDescent="0.25">
      <c r="B22" s="3" t="s">
        <v>153</v>
      </c>
    </row>
  </sheetData>
  <mergeCells count="1">
    <mergeCell ref="A1:F1"/>
  </mergeCells>
  <pageMargins left="0.7" right="0.7" top="0.75" bottom="0.75" header="0.3" footer="0.3"/>
  <pageSetup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B1:R29"/>
  <sheetViews>
    <sheetView showGridLines="0" tabSelected="1" topLeftCell="D1" workbookViewId="0">
      <selection activeCell="F11" sqref="F11"/>
    </sheetView>
  </sheetViews>
  <sheetFormatPr baseColWidth="10" defaultColWidth="11.42578125" defaultRowHeight="12.75" x14ac:dyDescent="0.25"/>
  <cols>
    <col min="1" max="1" width="4.140625" style="22" customWidth="1"/>
    <col min="2" max="2" width="6.28515625" style="21" customWidth="1"/>
    <col min="3" max="3" width="67.140625" style="22" customWidth="1"/>
    <col min="4" max="4" width="5.28515625" style="22" customWidth="1"/>
    <col min="5" max="5" width="10.28515625" style="22" customWidth="1"/>
    <col min="6" max="6" width="22.7109375" style="21" customWidth="1"/>
    <col min="7" max="8" width="15.7109375" style="22" customWidth="1"/>
    <col min="9" max="10" width="16.85546875" style="22" customWidth="1"/>
    <col min="11" max="12" width="15.140625" style="22" customWidth="1"/>
    <col min="13" max="13" width="17.85546875" style="22" customWidth="1"/>
    <col min="14" max="14" width="18.28515625" style="22" customWidth="1"/>
    <col min="15" max="15" width="19.5703125" style="22" bestFit="1" customWidth="1"/>
    <col min="16" max="16" width="11.5703125" style="22" bestFit="1" customWidth="1"/>
    <col min="17" max="17" width="19.5703125" style="22" bestFit="1" customWidth="1"/>
    <col min="18" max="16384" width="11.42578125" style="22"/>
  </cols>
  <sheetData>
    <row r="1" spans="2:18" ht="13.5" thickBot="1" x14ac:dyDescent="0.3"/>
    <row r="2" spans="2:18" ht="44.25" customHeight="1" thickBot="1" x14ac:dyDescent="0.3">
      <c r="B2" s="183" t="s">
        <v>170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8"/>
    </row>
    <row r="3" spans="2:18" ht="15" customHeight="1" x14ac:dyDescent="0.25">
      <c r="B3" s="169" t="s">
        <v>154</v>
      </c>
      <c r="C3" s="171" t="s">
        <v>155</v>
      </c>
      <c r="D3" s="161" t="s">
        <v>2</v>
      </c>
      <c r="E3" s="120"/>
      <c r="F3" s="163" t="s">
        <v>156</v>
      </c>
      <c r="G3" s="164"/>
      <c r="H3" s="163" t="s">
        <v>157</v>
      </c>
      <c r="I3" s="164"/>
      <c r="J3" s="163" t="s">
        <v>158</v>
      </c>
      <c r="K3" s="164"/>
      <c r="L3" s="163" t="s">
        <v>159</v>
      </c>
      <c r="M3" s="164"/>
      <c r="N3" s="173" t="s">
        <v>160</v>
      </c>
    </row>
    <row r="4" spans="2:18" x14ac:dyDescent="0.25">
      <c r="B4" s="170"/>
      <c r="C4" s="172"/>
      <c r="D4" s="162"/>
      <c r="E4" s="121" t="s">
        <v>40</v>
      </c>
      <c r="F4" s="106" t="s">
        <v>166</v>
      </c>
      <c r="G4" s="106" t="s">
        <v>161</v>
      </c>
      <c r="H4" s="122" t="s">
        <v>166</v>
      </c>
      <c r="I4" s="106" t="s">
        <v>161</v>
      </c>
      <c r="J4" s="122" t="s">
        <v>166</v>
      </c>
      <c r="K4" s="106" t="s">
        <v>161</v>
      </c>
      <c r="L4" s="122" t="s">
        <v>166</v>
      </c>
      <c r="M4" s="106" t="s">
        <v>161</v>
      </c>
      <c r="N4" s="174"/>
      <c r="P4" s="21"/>
    </row>
    <row r="5" spans="2:18" ht="15" x14ac:dyDescent="0.25">
      <c r="B5" s="123">
        <v>1</v>
      </c>
      <c r="C5" s="184" t="s">
        <v>125</v>
      </c>
      <c r="D5" s="125" t="s">
        <v>12</v>
      </c>
      <c r="E5" s="127">
        <v>640</v>
      </c>
      <c r="F5" s="129">
        <v>8933</v>
      </c>
      <c r="G5" s="129">
        <v>5717120</v>
      </c>
      <c r="H5" s="129">
        <v>8700</v>
      </c>
      <c r="I5" s="129">
        <v>5568000</v>
      </c>
      <c r="J5" s="129">
        <v>9100</v>
      </c>
      <c r="K5" s="129">
        <v>5824000</v>
      </c>
      <c r="L5" s="129">
        <v>9000</v>
      </c>
      <c r="M5" s="129">
        <v>5760000</v>
      </c>
      <c r="N5" s="133">
        <f>+AVERAGE(G5,I5,K5,M5)</f>
        <v>5717280</v>
      </c>
      <c r="P5" s="21"/>
    </row>
    <row r="6" spans="2:18" ht="15" x14ac:dyDescent="0.25">
      <c r="B6" s="123">
        <v>2</v>
      </c>
      <c r="C6" s="184" t="s">
        <v>126</v>
      </c>
      <c r="D6" s="125" t="s">
        <v>12</v>
      </c>
      <c r="E6" s="127">
        <v>640</v>
      </c>
      <c r="F6" s="129">
        <v>32400</v>
      </c>
      <c r="G6" s="129">
        <v>20736000</v>
      </c>
      <c r="H6" s="129">
        <v>30000</v>
      </c>
      <c r="I6" s="129">
        <v>19200000</v>
      </c>
      <c r="J6" s="129">
        <v>32200</v>
      </c>
      <c r="K6" s="129">
        <v>20608000</v>
      </c>
      <c r="L6" s="129">
        <v>35000</v>
      </c>
      <c r="M6" s="129">
        <v>22400000</v>
      </c>
      <c r="N6" s="133">
        <f t="shared" ref="N6:N11" si="0">+AVERAGE(G6,I6,K6,M6)</f>
        <v>20736000</v>
      </c>
      <c r="P6" s="21"/>
    </row>
    <row r="7" spans="2:18" ht="15" x14ac:dyDescent="0.25">
      <c r="B7" s="123">
        <v>3</v>
      </c>
      <c r="C7" s="184" t="s">
        <v>148</v>
      </c>
      <c r="D7" s="125" t="s">
        <v>12</v>
      </c>
      <c r="E7" s="127">
        <v>200</v>
      </c>
      <c r="F7" s="129">
        <v>8333</v>
      </c>
      <c r="G7" s="129">
        <v>1666600</v>
      </c>
      <c r="H7" s="129">
        <v>7000</v>
      </c>
      <c r="I7" s="129">
        <v>1400000</v>
      </c>
      <c r="J7" s="129">
        <v>8000</v>
      </c>
      <c r="K7" s="129">
        <v>1600000</v>
      </c>
      <c r="L7" s="129">
        <v>10000</v>
      </c>
      <c r="M7" s="129">
        <v>2000000</v>
      </c>
      <c r="N7" s="133">
        <f t="shared" si="0"/>
        <v>1666650</v>
      </c>
      <c r="P7" s="21"/>
    </row>
    <row r="8" spans="2:18" ht="15" x14ac:dyDescent="0.25">
      <c r="B8" s="123">
        <v>4</v>
      </c>
      <c r="C8" s="185" t="s">
        <v>118</v>
      </c>
      <c r="D8" s="126" t="s">
        <v>110</v>
      </c>
      <c r="E8" s="128">
        <v>2</v>
      </c>
      <c r="F8" s="129">
        <v>140000</v>
      </c>
      <c r="G8" s="129">
        <v>280000</v>
      </c>
      <c r="H8" s="129">
        <v>125000</v>
      </c>
      <c r="I8" s="129">
        <v>250000</v>
      </c>
      <c r="J8" s="129">
        <v>145000</v>
      </c>
      <c r="K8" s="129">
        <v>290000</v>
      </c>
      <c r="L8" s="129">
        <v>150000</v>
      </c>
      <c r="M8" s="129">
        <v>300000</v>
      </c>
      <c r="N8" s="133">
        <f t="shared" si="0"/>
        <v>280000</v>
      </c>
      <c r="P8" s="21"/>
    </row>
    <row r="9" spans="2:18" ht="25.5" x14ac:dyDescent="0.25">
      <c r="B9" s="123">
        <v>5</v>
      </c>
      <c r="C9" s="184" t="s">
        <v>127</v>
      </c>
      <c r="D9" s="126" t="s">
        <v>12</v>
      </c>
      <c r="E9" s="128">
        <v>4</v>
      </c>
      <c r="F9" s="129">
        <v>163333</v>
      </c>
      <c r="G9" s="129">
        <v>653332</v>
      </c>
      <c r="H9" s="129">
        <v>160000</v>
      </c>
      <c r="I9" s="129">
        <v>640000</v>
      </c>
      <c r="J9" s="129">
        <v>150000</v>
      </c>
      <c r="K9" s="129">
        <v>600000</v>
      </c>
      <c r="L9" s="129">
        <v>180000</v>
      </c>
      <c r="M9" s="129">
        <v>720000</v>
      </c>
      <c r="N9" s="133">
        <f t="shared" si="0"/>
        <v>653333</v>
      </c>
      <c r="P9" s="21"/>
    </row>
    <row r="10" spans="2:18" ht="25.5" x14ac:dyDescent="0.25">
      <c r="B10" s="123">
        <v>6</v>
      </c>
      <c r="C10" s="184" t="s">
        <v>128</v>
      </c>
      <c r="D10" s="126" t="s">
        <v>129</v>
      </c>
      <c r="E10" s="128">
        <f>45+45+8+8+10</f>
        <v>116</v>
      </c>
      <c r="F10" s="129">
        <v>13160</v>
      </c>
      <c r="G10" s="129">
        <v>1526560</v>
      </c>
      <c r="H10" s="129">
        <v>12500</v>
      </c>
      <c r="I10" s="129">
        <v>1450000</v>
      </c>
      <c r="J10" s="129">
        <v>14000</v>
      </c>
      <c r="K10" s="129">
        <v>1624000</v>
      </c>
      <c r="L10" s="129">
        <v>12980</v>
      </c>
      <c r="M10" s="129">
        <v>1505680</v>
      </c>
      <c r="N10" s="133">
        <f t="shared" si="0"/>
        <v>1526560</v>
      </c>
      <c r="P10" s="21"/>
    </row>
    <row r="11" spans="2:18" ht="15" x14ac:dyDescent="0.25">
      <c r="B11" s="123">
        <v>7</v>
      </c>
      <c r="C11" s="184" t="s">
        <v>130</v>
      </c>
      <c r="D11" s="125" t="s">
        <v>110</v>
      </c>
      <c r="E11" s="127">
        <v>10</v>
      </c>
      <c r="F11" s="186">
        <v>134267</v>
      </c>
      <c r="G11" s="130">
        <v>1342670</v>
      </c>
      <c r="H11" s="130">
        <v>97800</v>
      </c>
      <c r="I11" s="129">
        <v>978000</v>
      </c>
      <c r="J11" s="129">
        <v>145000</v>
      </c>
      <c r="K11" s="129">
        <v>1450000</v>
      </c>
      <c r="L11" s="129">
        <v>160000</v>
      </c>
      <c r="M11" s="129">
        <v>1600000</v>
      </c>
      <c r="N11" s="133">
        <f t="shared" si="0"/>
        <v>1342667.5</v>
      </c>
      <c r="P11" s="21"/>
    </row>
    <row r="12" spans="2:18" ht="15" x14ac:dyDescent="0.25">
      <c r="B12" s="107"/>
      <c r="C12" s="124"/>
      <c r="D12" s="165" t="s">
        <v>162</v>
      </c>
      <c r="E12" s="166"/>
      <c r="F12" s="131"/>
      <c r="G12" s="132">
        <f>SUM(G5:G11)</f>
        <v>31922282</v>
      </c>
      <c r="H12" s="131"/>
      <c r="I12" s="132">
        <f t="shared" ref="I12:M12" si="1">SUM(I5:I11)</f>
        <v>29486000</v>
      </c>
      <c r="J12" s="131"/>
      <c r="K12" s="132">
        <f t="shared" si="1"/>
        <v>31996000</v>
      </c>
      <c r="L12" s="131"/>
      <c r="M12" s="132">
        <f t="shared" si="1"/>
        <v>34285680</v>
      </c>
      <c r="N12" s="134">
        <f>SUM(N5:N11)</f>
        <v>31922490.5</v>
      </c>
      <c r="P12" s="21"/>
      <c r="R12" s="21"/>
    </row>
    <row r="13" spans="2:18" x14ac:dyDescent="0.25">
      <c r="B13" s="175" t="s">
        <v>168</v>
      </c>
      <c r="C13" s="176"/>
      <c r="D13" s="118"/>
      <c r="E13" s="118"/>
      <c r="F13" s="109" t="s">
        <v>169</v>
      </c>
      <c r="G13" s="110">
        <f>+G12*17%</f>
        <v>5426787.9400000004</v>
      </c>
      <c r="H13" s="108"/>
      <c r="I13" s="110">
        <f>+I12*17%</f>
        <v>5012620</v>
      </c>
      <c r="J13" s="108"/>
      <c r="K13" s="110">
        <f>+K12*17%</f>
        <v>5439320</v>
      </c>
      <c r="L13" s="108"/>
      <c r="M13" s="110">
        <f>+M12*17%</f>
        <v>5828565.6000000006</v>
      </c>
      <c r="N13" s="139">
        <v>5426823</v>
      </c>
      <c r="O13" s="141">
        <f>+ROUND(N13,0)</f>
        <v>5426823</v>
      </c>
      <c r="P13" s="21"/>
    </row>
    <row r="14" spans="2:18" x14ac:dyDescent="0.25">
      <c r="B14" s="175"/>
      <c r="C14" s="176"/>
      <c r="D14" s="118"/>
      <c r="E14" s="118"/>
      <c r="F14" s="109" t="s">
        <v>167</v>
      </c>
      <c r="G14" s="110">
        <f>+G12*3%</f>
        <v>957668.46</v>
      </c>
      <c r="H14" s="108"/>
      <c r="I14" s="110">
        <f>+I12*3%</f>
        <v>884580</v>
      </c>
      <c r="J14" s="108"/>
      <c r="K14" s="110">
        <f>+K12*3%</f>
        <v>959880</v>
      </c>
      <c r="L14" s="108"/>
      <c r="M14" s="110">
        <f>+M12*3%</f>
        <v>1028570.3999999999</v>
      </c>
      <c r="N14" s="139">
        <v>957675</v>
      </c>
      <c r="O14" s="141">
        <f t="shared" ref="O14:O16" si="2">+ROUND(N14,0)</f>
        <v>957675</v>
      </c>
      <c r="P14" s="21"/>
    </row>
    <row r="15" spans="2:18" x14ac:dyDescent="0.25">
      <c r="B15" s="175"/>
      <c r="C15" s="176"/>
      <c r="D15" s="118"/>
      <c r="E15" s="118"/>
      <c r="F15" s="109" t="s">
        <v>163</v>
      </c>
      <c r="G15" s="110">
        <f>+G12*5%</f>
        <v>1596114.1</v>
      </c>
      <c r="H15" s="108"/>
      <c r="I15" s="110">
        <f>+I12*5%</f>
        <v>1474300</v>
      </c>
      <c r="J15" s="108"/>
      <c r="K15" s="110">
        <f>+K12*5%</f>
        <v>1599800</v>
      </c>
      <c r="L15" s="108"/>
      <c r="M15" s="110">
        <f>+M12*5%</f>
        <v>1714284</v>
      </c>
      <c r="N15" s="139">
        <v>1596125</v>
      </c>
      <c r="O15" s="141">
        <f t="shared" si="2"/>
        <v>1596125</v>
      </c>
      <c r="P15" s="21"/>
    </row>
    <row r="16" spans="2:18" ht="13.5" thickBot="1" x14ac:dyDescent="0.3">
      <c r="B16" s="177"/>
      <c r="C16" s="178"/>
      <c r="D16" s="119"/>
      <c r="E16" s="119"/>
      <c r="F16" s="111" t="s">
        <v>164</v>
      </c>
      <c r="G16" s="112">
        <f>+G15*19%</f>
        <v>303261.679</v>
      </c>
      <c r="H16" s="112"/>
      <c r="I16" s="112">
        <f>+I15*19%</f>
        <v>280117</v>
      </c>
      <c r="J16" s="112"/>
      <c r="K16" s="112">
        <f>+K15*19%</f>
        <v>303962</v>
      </c>
      <c r="L16" s="112"/>
      <c r="M16" s="112">
        <f>+M15*19%</f>
        <v>325713.96000000002</v>
      </c>
      <c r="N16" s="140">
        <v>303264</v>
      </c>
      <c r="O16" s="141">
        <f t="shared" si="2"/>
        <v>303264</v>
      </c>
      <c r="P16" s="21"/>
    </row>
    <row r="17" spans="2:18" ht="15.75" thickBot="1" x14ac:dyDescent="0.3">
      <c r="B17" s="159" t="s">
        <v>165</v>
      </c>
      <c r="C17" s="160"/>
      <c r="D17" s="160"/>
      <c r="E17" s="160"/>
      <c r="F17" s="160"/>
      <c r="G17" s="113">
        <f>SUM(G12:G16)</f>
        <v>40206114.178999998</v>
      </c>
      <c r="H17" s="113"/>
      <c r="I17" s="113">
        <f>SUM(I12:I16)</f>
        <v>37137617</v>
      </c>
      <c r="J17" s="113"/>
      <c r="K17" s="113">
        <f>SUM(K12:K16)</f>
        <v>40298962</v>
      </c>
      <c r="L17" s="113"/>
      <c r="M17" s="113">
        <f>SUM(M12:M16)</f>
        <v>43182813.960000001</v>
      </c>
      <c r="N17" s="114">
        <f>SUM(N12:N16)</f>
        <v>40206377.5</v>
      </c>
      <c r="O17" s="117">
        <f>+ROUND(N17,0)</f>
        <v>40206378</v>
      </c>
    </row>
    <row r="18" spans="2:18" x14ac:dyDescent="0.25">
      <c r="G18" s="115"/>
      <c r="H18" s="115"/>
      <c r="I18" s="115"/>
      <c r="J18" s="115"/>
    </row>
    <row r="19" spans="2:18" x14ac:dyDescent="0.25">
      <c r="F19" s="22"/>
    </row>
    <row r="21" spans="2:18" x14ac:dyDescent="0.25">
      <c r="I21" s="116"/>
      <c r="J21" s="116"/>
      <c r="K21" s="116"/>
      <c r="L21" s="116"/>
      <c r="M21" s="116"/>
      <c r="N21" s="116"/>
      <c r="O21" s="116"/>
      <c r="P21" s="116"/>
      <c r="Q21" s="116"/>
      <c r="R21" s="116"/>
    </row>
    <row r="23" spans="2:18" x14ac:dyDescent="0.25">
      <c r="I23" s="117"/>
      <c r="J23" s="117"/>
      <c r="M23" s="117"/>
    </row>
    <row r="24" spans="2:18" x14ac:dyDescent="0.25">
      <c r="O24" s="117"/>
    </row>
    <row r="25" spans="2:18" x14ac:dyDescent="0.25">
      <c r="Q25" s="117"/>
    </row>
    <row r="26" spans="2:18" x14ac:dyDescent="0.25">
      <c r="I26" s="135">
        <v>292611856</v>
      </c>
      <c r="J26" s="137">
        <v>1</v>
      </c>
    </row>
    <row r="27" spans="2:18" x14ac:dyDescent="0.25">
      <c r="I27" s="136">
        <v>0.2</v>
      </c>
      <c r="J27" s="138">
        <f>+I27*J26/I26</f>
        <v>6.8349930427972821E-10</v>
      </c>
      <c r="L27" s="141">
        <f>+AVERAGE(G13,I13,K13,M13)</f>
        <v>5426823.3850000007</v>
      </c>
    </row>
    <row r="29" spans="2:18" x14ac:dyDescent="0.25">
      <c r="L29" s="141">
        <f>+ROUND(L27,0)</f>
        <v>5426823</v>
      </c>
    </row>
  </sheetData>
  <mergeCells count="12">
    <mergeCell ref="J3:K3"/>
    <mergeCell ref="B2:N2"/>
    <mergeCell ref="B3:B4"/>
    <mergeCell ref="C3:C4"/>
    <mergeCell ref="N3:N4"/>
    <mergeCell ref="L3:M3"/>
    <mergeCell ref="B17:F17"/>
    <mergeCell ref="D3:D4"/>
    <mergeCell ref="F3:G3"/>
    <mergeCell ref="D12:E12"/>
    <mergeCell ref="H3:I3"/>
    <mergeCell ref="B13:C1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  <pageSetUpPr fitToPage="1"/>
  </sheetPr>
  <dimension ref="A1:P19"/>
  <sheetViews>
    <sheetView showGridLines="0" topLeftCell="B1" zoomScaleNormal="100" zoomScaleSheetLayoutView="100" workbookViewId="0">
      <selection activeCell="B4" sqref="B4:B10"/>
    </sheetView>
  </sheetViews>
  <sheetFormatPr baseColWidth="10" defaultRowHeight="15" x14ac:dyDescent="0.25"/>
  <cols>
    <col min="1" max="1" width="6.85546875" style="3" customWidth="1"/>
    <col min="2" max="2" width="61" style="3" bestFit="1" customWidth="1"/>
    <col min="3" max="3" width="8.7109375" style="11" customWidth="1"/>
    <col min="4" max="4" width="11.42578125" style="3"/>
    <col min="5" max="5" width="16.7109375" style="3" customWidth="1"/>
    <col min="6" max="10" width="20.140625" style="3" customWidth="1"/>
    <col min="11" max="11" width="16.140625" style="3" customWidth="1"/>
    <col min="12" max="12" width="18" style="3" customWidth="1"/>
    <col min="13" max="13" width="16.7109375" style="3" bestFit="1" customWidth="1"/>
    <col min="14" max="14" width="18" style="3" customWidth="1"/>
    <col min="15" max="15" width="15.42578125" style="3" customWidth="1"/>
    <col min="16" max="16" width="18" style="3" customWidth="1"/>
    <col min="17" max="16384" width="11.42578125" style="3"/>
  </cols>
  <sheetData>
    <row r="1" spans="1:12" x14ac:dyDescent="0.25">
      <c r="A1" s="158" t="s">
        <v>150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1:12" ht="32.25" customHeight="1" x14ac:dyDescent="0.25">
      <c r="G2" s="180" t="s">
        <v>131</v>
      </c>
      <c r="H2" s="181"/>
      <c r="I2" s="180" t="s">
        <v>149</v>
      </c>
      <c r="J2" s="181"/>
      <c r="K2" s="180" t="s">
        <v>124</v>
      </c>
      <c r="L2" s="181"/>
    </row>
    <row r="3" spans="1:12" s="6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4</v>
      </c>
      <c r="H3" s="4" t="s">
        <v>5</v>
      </c>
      <c r="I3" s="4" t="s">
        <v>4</v>
      </c>
      <c r="J3" s="4" t="s">
        <v>5</v>
      </c>
      <c r="K3" s="4" t="s">
        <v>4</v>
      </c>
      <c r="L3" s="4" t="s">
        <v>5</v>
      </c>
    </row>
    <row r="4" spans="1:12" x14ac:dyDescent="0.25">
      <c r="A4" s="80">
        <v>1</v>
      </c>
      <c r="B4" s="12" t="s">
        <v>125</v>
      </c>
      <c r="C4" s="80" t="s">
        <v>12</v>
      </c>
      <c r="D4" s="10">
        <v>640</v>
      </c>
      <c r="E4" s="5">
        <f t="shared" ref="E4:E10" si="0">+ROUND(AVERAGE(G4,I4,K4),0)</f>
        <v>8933</v>
      </c>
      <c r="F4" s="5">
        <f>+D4*E4</f>
        <v>5717120</v>
      </c>
      <c r="G4" s="5">
        <v>8700</v>
      </c>
      <c r="H4" s="5">
        <f t="shared" ref="H4:H10" si="1">+G4*D4</f>
        <v>5568000</v>
      </c>
      <c r="I4" s="5">
        <v>9100</v>
      </c>
      <c r="J4" s="5">
        <f t="shared" ref="J4:J10" si="2">+I4*D4</f>
        <v>5824000</v>
      </c>
      <c r="K4" s="5">
        <v>9000</v>
      </c>
      <c r="L4" s="5">
        <f t="shared" ref="L4:L10" si="3">+K4*D4</f>
        <v>5760000</v>
      </c>
    </row>
    <row r="5" spans="1:12" x14ac:dyDescent="0.25">
      <c r="A5" s="80">
        <v>2</v>
      </c>
      <c r="B5" s="12" t="s">
        <v>126</v>
      </c>
      <c r="C5" s="80" t="s">
        <v>12</v>
      </c>
      <c r="D5" s="10">
        <v>640</v>
      </c>
      <c r="E5" s="5">
        <f t="shared" si="0"/>
        <v>32400</v>
      </c>
      <c r="F5" s="5">
        <f t="shared" ref="F5:F10" si="4">+D5*E5</f>
        <v>20736000</v>
      </c>
      <c r="G5" s="5">
        <v>30000</v>
      </c>
      <c r="H5" s="5">
        <f t="shared" si="1"/>
        <v>19200000</v>
      </c>
      <c r="I5" s="5">
        <v>32200</v>
      </c>
      <c r="J5" s="5">
        <f t="shared" si="2"/>
        <v>20608000</v>
      </c>
      <c r="K5" s="5">
        <v>35000</v>
      </c>
      <c r="L5" s="5">
        <f t="shared" si="3"/>
        <v>22400000</v>
      </c>
    </row>
    <row r="6" spans="1:12" x14ac:dyDescent="0.25">
      <c r="A6" s="92">
        <v>9</v>
      </c>
      <c r="B6" s="12" t="s">
        <v>148</v>
      </c>
      <c r="C6" s="92" t="s">
        <v>12</v>
      </c>
      <c r="D6" s="10">
        <v>200</v>
      </c>
      <c r="E6" s="5">
        <f t="shared" si="0"/>
        <v>8333</v>
      </c>
      <c r="F6" s="5">
        <f t="shared" ref="F6" si="5">+D6*E6</f>
        <v>1666600</v>
      </c>
      <c r="G6" s="5">
        <v>7000</v>
      </c>
      <c r="H6" s="5">
        <f t="shared" ref="H6" si="6">+G6*D6</f>
        <v>1400000</v>
      </c>
      <c r="I6" s="5">
        <v>8000</v>
      </c>
      <c r="J6" s="85">
        <f t="shared" ref="J6" si="7">+I6*D6</f>
        <v>1600000</v>
      </c>
      <c r="K6" s="5">
        <v>10000</v>
      </c>
      <c r="L6" s="5">
        <f t="shared" ref="L6" si="8">+K6*D6</f>
        <v>2000000</v>
      </c>
    </row>
    <row r="7" spans="1:12" x14ac:dyDescent="0.25">
      <c r="A7" s="82">
        <v>6</v>
      </c>
      <c r="B7" s="83" t="s">
        <v>118</v>
      </c>
      <c r="C7" s="82" t="s">
        <v>110</v>
      </c>
      <c r="D7" s="84">
        <v>2</v>
      </c>
      <c r="E7" s="5">
        <f t="shared" si="0"/>
        <v>140000</v>
      </c>
      <c r="F7" s="5">
        <f t="shared" si="4"/>
        <v>280000</v>
      </c>
      <c r="G7" s="5">
        <v>125000</v>
      </c>
      <c r="H7" s="5">
        <f t="shared" si="1"/>
        <v>250000</v>
      </c>
      <c r="I7" s="5">
        <v>145000</v>
      </c>
      <c r="J7" s="85">
        <f t="shared" si="2"/>
        <v>290000</v>
      </c>
      <c r="K7" s="5">
        <v>150000</v>
      </c>
      <c r="L7" s="5">
        <f t="shared" si="3"/>
        <v>300000</v>
      </c>
    </row>
    <row r="8" spans="1:12" ht="30" x14ac:dyDescent="0.25">
      <c r="A8" s="82">
        <v>7</v>
      </c>
      <c r="B8" s="12" t="s">
        <v>127</v>
      </c>
      <c r="C8" s="82" t="s">
        <v>12</v>
      </c>
      <c r="D8" s="84">
        <v>4</v>
      </c>
      <c r="E8" s="5">
        <f t="shared" si="0"/>
        <v>163333</v>
      </c>
      <c r="F8" s="5">
        <f t="shared" si="4"/>
        <v>653332</v>
      </c>
      <c r="G8" s="5">
        <v>160000</v>
      </c>
      <c r="H8" s="5">
        <f t="shared" si="1"/>
        <v>640000</v>
      </c>
      <c r="I8" s="5">
        <v>150000</v>
      </c>
      <c r="J8" s="85">
        <f t="shared" si="2"/>
        <v>600000</v>
      </c>
      <c r="K8" s="5">
        <v>180000</v>
      </c>
      <c r="L8" s="5">
        <f t="shared" si="3"/>
        <v>720000</v>
      </c>
    </row>
    <row r="9" spans="1:12" ht="45" x14ac:dyDescent="0.25">
      <c r="A9" s="82">
        <v>8</v>
      </c>
      <c r="B9" s="12" t="s">
        <v>128</v>
      </c>
      <c r="C9" s="82" t="s">
        <v>129</v>
      </c>
      <c r="D9" s="84">
        <f>45+45+8+8+10</f>
        <v>116</v>
      </c>
      <c r="E9" s="5">
        <f t="shared" si="0"/>
        <v>13160</v>
      </c>
      <c r="F9" s="5">
        <f t="shared" si="4"/>
        <v>1526560</v>
      </c>
      <c r="G9" s="5">
        <v>12500</v>
      </c>
      <c r="H9" s="5">
        <f t="shared" si="1"/>
        <v>1450000</v>
      </c>
      <c r="I9" s="5">
        <v>14000</v>
      </c>
      <c r="J9" s="85">
        <f t="shared" si="2"/>
        <v>1624000</v>
      </c>
      <c r="K9" s="5">
        <v>12980</v>
      </c>
      <c r="L9" s="5">
        <f t="shared" si="3"/>
        <v>1505680</v>
      </c>
    </row>
    <row r="10" spans="1:12" x14ac:dyDescent="0.25">
      <c r="A10" s="80">
        <v>9</v>
      </c>
      <c r="B10" s="12" t="s">
        <v>130</v>
      </c>
      <c r="C10" s="80" t="s">
        <v>110</v>
      </c>
      <c r="D10" s="10">
        <v>10</v>
      </c>
      <c r="E10" s="5">
        <f t="shared" si="0"/>
        <v>134267</v>
      </c>
      <c r="F10" s="5">
        <f t="shared" si="4"/>
        <v>1342670</v>
      </c>
      <c r="G10" s="5">
        <v>97800</v>
      </c>
      <c r="H10" s="5">
        <f t="shared" si="1"/>
        <v>978000</v>
      </c>
      <c r="I10" s="5">
        <v>145000</v>
      </c>
      <c r="J10" s="85">
        <f t="shared" si="2"/>
        <v>1450000</v>
      </c>
      <c r="K10" s="5">
        <v>160000</v>
      </c>
      <c r="L10" s="5">
        <f t="shared" si="3"/>
        <v>1600000</v>
      </c>
    </row>
    <row r="11" spans="1:12" x14ac:dyDescent="0.25">
      <c r="C11" s="13"/>
      <c r="D11" s="6"/>
      <c r="E11" s="7" t="s">
        <v>6</v>
      </c>
      <c r="F11" s="8">
        <f>SUM(F4:F10)</f>
        <v>31922282</v>
      </c>
      <c r="G11" s="89" t="s">
        <v>147</v>
      </c>
      <c r="H11" s="89">
        <f>SUM(H4:H10)</f>
        <v>29486000</v>
      </c>
      <c r="I11" s="89"/>
      <c r="J11" s="89">
        <f>SUM(J4:J10)</f>
        <v>31996000</v>
      </c>
      <c r="L11" s="89">
        <f>SUM(L4:L10)</f>
        <v>34285680</v>
      </c>
    </row>
    <row r="12" spans="1:12" x14ac:dyDescent="0.25">
      <c r="C12" s="13"/>
      <c r="D12" s="1" t="s">
        <v>8</v>
      </c>
      <c r="E12" s="2">
        <v>0.18</v>
      </c>
      <c r="F12" s="5">
        <f>+E12*$F$11</f>
        <v>5746010.7599999998</v>
      </c>
      <c r="G12" s="90"/>
      <c r="H12" s="90"/>
      <c r="I12" s="90"/>
      <c r="J12" s="90"/>
    </row>
    <row r="13" spans="1:12" x14ac:dyDescent="0.25">
      <c r="C13" s="13"/>
      <c r="D13" s="1" t="s">
        <v>9</v>
      </c>
      <c r="E13" s="2">
        <v>0.03</v>
      </c>
      <c r="F13" s="5">
        <f>+E13*$F$11</f>
        <v>957668.46</v>
      </c>
      <c r="G13" s="90"/>
      <c r="H13" s="90"/>
      <c r="I13" s="90"/>
      <c r="J13" s="90"/>
    </row>
    <row r="14" spans="1:12" x14ac:dyDescent="0.25">
      <c r="C14" s="13"/>
      <c r="D14" s="1" t="s">
        <v>10</v>
      </c>
      <c r="E14" s="2">
        <v>0.05</v>
      </c>
      <c r="F14" s="5">
        <f>+E14*$F$11</f>
        <v>1596114.1</v>
      </c>
      <c r="G14" s="90"/>
      <c r="H14" s="90"/>
      <c r="I14" s="90"/>
      <c r="J14" s="90"/>
    </row>
    <row r="15" spans="1:12" x14ac:dyDescent="0.25">
      <c r="C15" s="13"/>
      <c r="D15" s="1" t="s">
        <v>11</v>
      </c>
      <c r="E15" s="2">
        <v>0.19</v>
      </c>
      <c r="F15" s="5">
        <f>+E15*F14</f>
        <v>303261.679</v>
      </c>
      <c r="G15" s="90"/>
      <c r="H15" s="90"/>
      <c r="I15" s="90"/>
      <c r="J15" s="90"/>
    </row>
    <row r="16" spans="1:12" x14ac:dyDescent="0.25">
      <c r="C16" s="13"/>
      <c r="D16" s="6"/>
      <c r="E16" s="7" t="s">
        <v>7</v>
      </c>
      <c r="F16" s="8">
        <f>+F11+F12+F13+F14+F15</f>
        <v>40525336.998999998</v>
      </c>
      <c r="G16" s="89"/>
      <c r="H16" s="89"/>
      <c r="I16" s="89"/>
      <c r="J16" s="89"/>
      <c r="L16" s="77"/>
    </row>
    <row r="17" spans="1:16" x14ac:dyDescent="0.25">
      <c r="C17" s="13"/>
      <c r="D17" s="9"/>
      <c r="E17" s="9"/>
      <c r="F17" s="9"/>
      <c r="G17" s="9"/>
      <c r="H17" s="9"/>
      <c r="I17" s="9"/>
      <c r="J17" s="9"/>
      <c r="L17" s="77"/>
    </row>
    <row r="18" spans="1:16" x14ac:dyDescent="0.25">
      <c r="A18" s="3" t="s">
        <v>33</v>
      </c>
      <c r="B18" s="3" t="s">
        <v>109</v>
      </c>
      <c r="C18" s="3"/>
    </row>
    <row r="19" spans="1:16" x14ac:dyDescent="0.25">
      <c r="B19" s="179" t="s">
        <v>152</v>
      </c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</row>
  </sheetData>
  <mergeCells count="5">
    <mergeCell ref="B19:P19"/>
    <mergeCell ref="K2:L2"/>
    <mergeCell ref="I2:J2"/>
    <mergeCell ref="G2:H2"/>
    <mergeCell ref="A1:L1"/>
  </mergeCells>
  <pageMargins left="0.7" right="0.7" top="0.75" bottom="0.75" header="0.3" footer="0.3"/>
  <pageSetup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"/>
  <sheetViews>
    <sheetView zoomScale="70" zoomScaleNormal="70" workbookViewId="0">
      <selection activeCell="P32" sqref="P32"/>
    </sheetView>
  </sheetViews>
  <sheetFormatPr baseColWidth="10" defaultRowHeight="15" x14ac:dyDescent="0.25"/>
  <cols>
    <col min="1" max="16384" width="11.42578125" style="3"/>
  </cols>
  <sheetData>
    <row r="3" s="6" customFormat="1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"/>
  <sheetViews>
    <sheetView topLeftCell="A4" zoomScale="55" zoomScaleNormal="55" workbookViewId="0">
      <selection activeCell="Y42" sqref="Y42"/>
    </sheetView>
  </sheetViews>
  <sheetFormatPr baseColWidth="10" defaultRowHeight="15" x14ac:dyDescent="0.25"/>
  <cols>
    <col min="1" max="16384" width="11.42578125" style="3"/>
  </cols>
  <sheetData>
    <row r="3" s="6" customFormat="1" x14ac:dyDescent="0.25"/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"/>
  <sheetViews>
    <sheetView topLeftCell="A16" zoomScale="85" zoomScaleNormal="85" workbookViewId="0">
      <selection activeCell="O44" sqref="O44"/>
    </sheetView>
  </sheetViews>
  <sheetFormatPr baseColWidth="10" defaultRowHeight="15" x14ac:dyDescent="0.25"/>
  <cols>
    <col min="1" max="16384" width="11.42578125" style="3"/>
  </cols>
  <sheetData>
    <row r="3" s="6" customFormat="1" x14ac:dyDescent="0.25"/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102"/>
  <sheetViews>
    <sheetView topLeftCell="B17" workbookViewId="0">
      <selection activeCell="E17" sqref="E17"/>
    </sheetView>
  </sheetViews>
  <sheetFormatPr baseColWidth="10" defaultColWidth="10.85546875" defaultRowHeight="12.75" x14ac:dyDescent="0.25"/>
  <cols>
    <col min="1" max="1" width="5.28515625" style="21" customWidth="1"/>
    <col min="2" max="2" width="25.140625" style="22" bestFit="1" customWidth="1"/>
    <col min="3" max="3" width="7.28515625" style="22" bestFit="1" customWidth="1"/>
    <col min="4" max="4" width="17.85546875" style="22" customWidth="1"/>
    <col min="5" max="5" width="17.7109375" style="23" bestFit="1" customWidth="1"/>
    <col min="6" max="6" width="11.42578125" style="22" bestFit="1" customWidth="1"/>
    <col min="7" max="7" width="7.7109375" style="21" bestFit="1" customWidth="1"/>
    <col min="8" max="8" width="16.140625" style="22" customWidth="1"/>
    <col min="9" max="9" width="14.85546875" style="22" bestFit="1" customWidth="1"/>
    <col min="10" max="10" width="8.7109375" style="22" customWidth="1"/>
    <col min="11" max="11" width="21.5703125" style="22" customWidth="1"/>
    <col min="12" max="12" width="10.85546875" style="22"/>
    <col min="13" max="13" width="15.85546875" style="22" customWidth="1"/>
    <col min="14" max="14" width="17.140625" style="22" customWidth="1"/>
    <col min="15" max="15" width="10.85546875" style="22"/>
    <col min="16" max="16" width="12.42578125" style="22" bestFit="1" customWidth="1"/>
    <col min="17" max="16384" width="10.85546875" style="22"/>
  </cols>
  <sheetData>
    <row r="1" spans="1:13" x14ac:dyDescent="0.25">
      <c r="G1" s="22"/>
    </row>
    <row r="2" spans="1:13" x14ac:dyDescent="0.25">
      <c r="E2" s="22"/>
      <c r="F2" s="182" t="s">
        <v>36</v>
      </c>
      <c r="G2" s="182"/>
      <c r="H2" s="24">
        <f>+COMPARATIVO!F11</f>
        <v>31922282</v>
      </c>
      <c r="I2" s="25"/>
      <c r="J2" s="24"/>
    </row>
    <row r="3" spans="1:13" x14ac:dyDescent="0.25">
      <c r="E3" s="22"/>
      <c r="F3" s="182" t="s">
        <v>37</v>
      </c>
      <c r="G3" s="182"/>
      <c r="H3" s="24">
        <f>+H2</f>
        <v>31922282</v>
      </c>
      <c r="I3" s="25"/>
      <c r="J3" s="25"/>
    </row>
    <row r="4" spans="1:13" x14ac:dyDescent="0.25">
      <c r="E4" s="22"/>
      <c r="F4" s="182" t="s">
        <v>38</v>
      </c>
      <c r="G4" s="182"/>
      <c r="H4" s="26">
        <v>1</v>
      </c>
    </row>
    <row r="6" spans="1:13" s="21" customFormat="1" ht="32.25" customHeight="1" x14ac:dyDescent="0.25">
      <c r="A6" s="27"/>
      <c r="B6" s="27" t="s">
        <v>39</v>
      </c>
      <c r="C6" s="27" t="s">
        <v>40</v>
      </c>
      <c r="D6" s="28" t="s">
        <v>41</v>
      </c>
      <c r="E6" s="29" t="s">
        <v>42</v>
      </c>
      <c r="F6" s="27" t="s">
        <v>43</v>
      </c>
      <c r="G6" s="28" t="s">
        <v>44</v>
      </c>
      <c r="H6" s="27" t="s">
        <v>45</v>
      </c>
    </row>
    <row r="7" spans="1:13" x14ac:dyDescent="0.25">
      <c r="A7" s="30"/>
      <c r="B7" s="31" t="s">
        <v>46</v>
      </c>
      <c r="C7" s="31"/>
      <c r="D7" s="31"/>
      <c r="E7" s="32"/>
      <c r="F7" s="33"/>
      <c r="G7" s="30"/>
      <c r="H7" s="33"/>
    </row>
    <row r="8" spans="1:13" x14ac:dyDescent="0.25">
      <c r="A8" s="30">
        <v>2</v>
      </c>
      <c r="B8" s="33" t="s">
        <v>47</v>
      </c>
      <c r="C8" s="30">
        <v>1</v>
      </c>
      <c r="D8" s="34">
        <v>0.25</v>
      </c>
      <c r="E8" s="88">
        <v>1800000</v>
      </c>
      <c r="F8" s="87">
        <v>1.65</v>
      </c>
      <c r="G8" s="35">
        <f t="shared" ref="G8:G19" si="0">$H$4</f>
        <v>1</v>
      </c>
      <c r="H8" s="32">
        <f t="shared" ref="H8:H9" si="1">+C8*E8*F8*G8*D8</f>
        <v>742500</v>
      </c>
      <c r="J8" s="30"/>
      <c r="K8" s="31" t="s">
        <v>46</v>
      </c>
      <c r="L8" s="36"/>
    </row>
    <row r="9" spans="1:13" x14ac:dyDescent="0.25">
      <c r="A9" s="86"/>
      <c r="B9" s="87" t="s">
        <v>151</v>
      </c>
      <c r="C9" s="86">
        <v>1</v>
      </c>
      <c r="D9" s="102">
        <v>0.5</v>
      </c>
      <c r="E9" s="88">
        <v>1500000</v>
      </c>
      <c r="F9" s="87">
        <v>1.65</v>
      </c>
      <c r="G9" s="103">
        <v>1</v>
      </c>
      <c r="H9" s="88">
        <f t="shared" si="1"/>
        <v>1237500</v>
      </c>
      <c r="J9" s="86"/>
      <c r="K9" s="104"/>
      <c r="L9" s="105"/>
    </row>
    <row r="10" spans="1:13" x14ac:dyDescent="0.25">
      <c r="A10" s="30"/>
      <c r="B10" s="31" t="s">
        <v>48</v>
      </c>
      <c r="C10" s="30"/>
      <c r="D10" s="30"/>
      <c r="E10" s="32"/>
      <c r="F10" s="33"/>
      <c r="G10" s="39"/>
      <c r="H10" s="33"/>
      <c r="J10" s="30">
        <v>5</v>
      </c>
      <c r="K10" s="33" t="s">
        <v>49</v>
      </c>
      <c r="L10" s="37">
        <v>7.0000000000000001E-3</v>
      </c>
      <c r="M10" s="38">
        <f t="shared" ref="M10:M33" si="2">+L10*$H$2</f>
        <v>223455.97400000002</v>
      </c>
    </row>
    <row r="11" spans="1:13" x14ac:dyDescent="0.25">
      <c r="A11" s="30">
        <v>7</v>
      </c>
      <c r="B11" s="33" t="s">
        <v>50</v>
      </c>
      <c r="C11" s="30">
        <v>1</v>
      </c>
      <c r="D11" s="30"/>
      <c r="E11" s="32">
        <v>40000</v>
      </c>
      <c r="F11" s="33">
        <v>1</v>
      </c>
      <c r="G11" s="35">
        <f t="shared" si="0"/>
        <v>1</v>
      </c>
      <c r="H11" s="32">
        <f t="shared" ref="H11:H17" si="3">+C11*E11*G11</f>
        <v>40000</v>
      </c>
      <c r="J11" s="30">
        <v>6</v>
      </c>
      <c r="K11" s="33" t="s">
        <v>51</v>
      </c>
      <c r="L11" s="40">
        <v>4.0000000000000001E-3</v>
      </c>
      <c r="M11" s="38">
        <f t="shared" si="2"/>
        <v>127689.128</v>
      </c>
    </row>
    <row r="12" spans="1:13" x14ac:dyDescent="0.25">
      <c r="A12" s="30">
        <v>8</v>
      </c>
      <c r="B12" s="33" t="s">
        <v>52</v>
      </c>
      <c r="C12" s="30">
        <v>1</v>
      </c>
      <c r="D12" s="30"/>
      <c r="E12" s="32">
        <v>40000</v>
      </c>
      <c r="F12" s="33">
        <v>1</v>
      </c>
      <c r="G12" s="35">
        <f t="shared" si="0"/>
        <v>1</v>
      </c>
      <c r="H12" s="32">
        <f t="shared" si="3"/>
        <v>40000</v>
      </c>
      <c r="J12" s="30"/>
      <c r="K12" s="31" t="s">
        <v>48</v>
      </c>
      <c r="L12" s="37"/>
      <c r="M12" s="38"/>
    </row>
    <row r="13" spans="1:13" x14ac:dyDescent="0.25">
      <c r="A13" s="30">
        <v>9</v>
      </c>
      <c r="B13" s="33" t="s">
        <v>53</v>
      </c>
      <c r="C13" s="30">
        <v>1</v>
      </c>
      <c r="D13" s="30"/>
      <c r="E13" s="32">
        <v>80000</v>
      </c>
      <c r="F13" s="33">
        <v>1</v>
      </c>
      <c r="G13" s="35">
        <f t="shared" si="0"/>
        <v>1</v>
      </c>
      <c r="H13" s="32">
        <f t="shared" si="3"/>
        <v>80000</v>
      </c>
      <c r="J13" s="30">
        <v>7</v>
      </c>
      <c r="K13" s="33" t="s">
        <v>50</v>
      </c>
      <c r="L13" s="41">
        <v>1.4E-3</v>
      </c>
      <c r="M13" s="38">
        <f t="shared" si="2"/>
        <v>44691.194799999997</v>
      </c>
    </row>
    <row r="14" spans="1:13" x14ac:dyDescent="0.25">
      <c r="A14" s="30">
        <v>10</v>
      </c>
      <c r="B14" s="33" t="s">
        <v>54</v>
      </c>
      <c r="C14" s="30">
        <v>1</v>
      </c>
      <c r="D14" s="30"/>
      <c r="E14" s="32">
        <v>70000</v>
      </c>
      <c r="F14" s="33">
        <v>1</v>
      </c>
      <c r="G14" s="35">
        <f t="shared" si="0"/>
        <v>1</v>
      </c>
      <c r="H14" s="32">
        <f t="shared" si="3"/>
        <v>70000</v>
      </c>
      <c r="J14" s="30">
        <v>8</v>
      </c>
      <c r="K14" s="33" t="s">
        <v>52</v>
      </c>
      <c r="L14" s="41">
        <v>1.4E-3</v>
      </c>
      <c r="M14" s="38">
        <f t="shared" si="2"/>
        <v>44691.194799999997</v>
      </c>
    </row>
    <row r="15" spans="1:13" x14ac:dyDescent="0.25">
      <c r="A15" s="30">
        <v>11</v>
      </c>
      <c r="B15" s="33" t="s">
        <v>55</v>
      </c>
      <c r="C15" s="30">
        <v>1</v>
      </c>
      <c r="D15" s="30"/>
      <c r="E15" s="32">
        <v>20000</v>
      </c>
      <c r="F15" s="33">
        <v>1</v>
      </c>
      <c r="G15" s="35">
        <v>1</v>
      </c>
      <c r="H15" s="32">
        <f t="shared" si="3"/>
        <v>20000</v>
      </c>
      <c r="J15" s="30">
        <v>9</v>
      </c>
      <c r="K15" s="33" t="s">
        <v>53</v>
      </c>
      <c r="L15" s="41">
        <v>2.0999999999999999E-3</v>
      </c>
      <c r="M15" s="38">
        <f t="shared" si="2"/>
        <v>67036.792199999996</v>
      </c>
    </row>
    <row r="16" spans="1:13" x14ac:dyDescent="0.25">
      <c r="A16" s="30">
        <v>12</v>
      </c>
      <c r="B16" s="33" t="s">
        <v>51</v>
      </c>
      <c r="C16" s="30">
        <v>1</v>
      </c>
      <c r="D16" s="30"/>
      <c r="E16" s="32"/>
      <c r="F16" s="33">
        <v>1</v>
      </c>
      <c r="G16" s="35">
        <v>1</v>
      </c>
      <c r="H16" s="32">
        <f t="shared" si="3"/>
        <v>0</v>
      </c>
      <c r="J16" s="30">
        <v>10</v>
      </c>
      <c r="K16" s="33" t="s">
        <v>54</v>
      </c>
      <c r="L16" s="41">
        <v>2.5000000000000001E-3</v>
      </c>
      <c r="M16" s="38">
        <f t="shared" si="2"/>
        <v>79805.705000000002</v>
      </c>
    </row>
    <row r="17" spans="1:13" x14ac:dyDescent="0.25">
      <c r="A17" s="86">
        <v>13</v>
      </c>
      <c r="B17" s="87" t="s">
        <v>122</v>
      </c>
      <c r="C17" s="86">
        <v>1</v>
      </c>
      <c r="D17" s="86"/>
      <c r="E17" s="88">
        <v>250000</v>
      </c>
      <c r="F17" s="33">
        <v>1</v>
      </c>
      <c r="G17" s="35">
        <v>1</v>
      </c>
      <c r="H17" s="32">
        <f t="shared" si="3"/>
        <v>250000</v>
      </c>
      <c r="J17" s="30">
        <v>11</v>
      </c>
      <c r="K17" s="33" t="s">
        <v>57</v>
      </c>
      <c r="L17" s="41">
        <v>2E-3</v>
      </c>
      <c r="M17" s="38">
        <f t="shared" si="2"/>
        <v>63844.563999999998</v>
      </c>
    </row>
    <row r="18" spans="1:13" x14ac:dyDescent="0.25">
      <c r="A18" s="30"/>
      <c r="B18" s="31" t="s">
        <v>56</v>
      </c>
      <c r="C18" s="30"/>
      <c r="D18" s="30"/>
      <c r="E18" s="32"/>
      <c r="F18" s="33"/>
      <c r="G18" s="39"/>
      <c r="H18" s="33"/>
      <c r="J18" s="30"/>
      <c r="K18" s="31" t="s">
        <v>59</v>
      </c>
      <c r="L18" s="41"/>
      <c r="M18" s="38"/>
    </row>
    <row r="19" spans="1:13" x14ac:dyDescent="0.25">
      <c r="A19" s="30">
        <v>14</v>
      </c>
      <c r="B19" s="33" t="s">
        <v>58</v>
      </c>
      <c r="C19" s="30">
        <v>1</v>
      </c>
      <c r="D19" s="30"/>
      <c r="E19" s="32">
        <v>20000</v>
      </c>
      <c r="F19" s="33">
        <v>1</v>
      </c>
      <c r="G19" s="35">
        <f t="shared" si="0"/>
        <v>1</v>
      </c>
      <c r="H19" s="32">
        <f>+C19*E19*F19*G19</f>
        <v>20000</v>
      </c>
      <c r="J19" s="30">
        <v>12</v>
      </c>
      <c r="K19" s="33" t="s">
        <v>58</v>
      </c>
      <c r="L19" s="41">
        <v>1.4E-3</v>
      </c>
      <c r="M19" s="38">
        <f t="shared" si="2"/>
        <v>44691.194799999997</v>
      </c>
    </row>
    <row r="20" spans="1:13" x14ac:dyDescent="0.25">
      <c r="A20" s="30"/>
      <c r="B20" s="31" t="s">
        <v>60</v>
      </c>
      <c r="C20" s="33"/>
      <c r="D20" s="33"/>
      <c r="E20" s="32"/>
      <c r="F20" s="33"/>
      <c r="G20" s="30"/>
      <c r="H20" s="33"/>
      <c r="J20" s="30">
        <v>13</v>
      </c>
      <c r="K20" s="33" t="s">
        <v>62</v>
      </c>
      <c r="L20" s="41">
        <v>2.0000000000000001E-4</v>
      </c>
      <c r="M20" s="38">
        <f t="shared" si="2"/>
        <v>6384.4564</v>
      </c>
    </row>
    <row r="21" spans="1:13" x14ac:dyDescent="0.25">
      <c r="A21" s="30">
        <v>15</v>
      </c>
      <c r="B21" s="33" t="s">
        <v>61</v>
      </c>
      <c r="C21" s="33"/>
      <c r="D21" s="33"/>
      <c r="E21" s="32"/>
      <c r="F21" s="33"/>
      <c r="G21" s="30"/>
      <c r="H21" s="42">
        <f>+H3*0.01</f>
        <v>319222.82</v>
      </c>
      <c r="I21" s="22" t="s">
        <v>63</v>
      </c>
      <c r="J21" s="30"/>
      <c r="K21" s="31" t="s">
        <v>60</v>
      </c>
      <c r="L21" s="43"/>
      <c r="M21" s="38"/>
    </row>
    <row r="22" spans="1:13" x14ac:dyDescent="0.25">
      <c r="A22" s="30"/>
      <c r="B22" s="33"/>
      <c r="C22" s="33"/>
      <c r="D22" s="33"/>
      <c r="E22" s="32"/>
      <c r="F22" s="33"/>
      <c r="G22" s="30"/>
      <c r="H22" s="33"/>
      <c r="J22" s="30">
        <v>14</v>
      </c>
      <c r="K22" s="33" t="s">
        <v>65</v>
      </c>
      <c r="L22" s="43">
        <v>0.01</v>
      </c>
      <c r="M22" s="38">
        <f t="shared" si="2"/>
        <v>319222.82</v>
      </c>
    </row>
    <row r="23" spans="1:13" x14ac:dyDescent="0.25">
      <c r="A23" s="30"/>
      <c r="B23" s="31" t="s">
        <v>64</v>
      </c>
      <c r="C23" s="33"/>
      <c r="D23" s="33"/>
      <c r="E23" s="32"/>
      <c r="F23" s="33"/>
      <c r="G23" s="30"/>
      <c r="H23" s="32">
        <f>SUM(H8:H21)</f>
        <v>2819222.82</v>
      </c>
      <c r="J23" s="30">
        <v>15</v>
      </c>
      <c r="K23" s="33" t="s">
        <v>68</v>
      </c>
      <c r="L23" s="43">
        <v>4.0000000000000001E-3</v>
      </c>
      <c r="M23" s="38">
        <f t="shared" si="2"/>
        <v>127689.128</v>
      </c>
    </row>
    <row r="24" spans="1:13" x14ac:dyDescent="0.25">
      <c r="A24" s="30"/>
      <c r="B24" s="44" t="s">
        <v>66</v>
      </c>
      <c r="C24" s="45" t="s">
        <v>67</v>
      </c>
      <c r="D24" s="45"/>
      <c r="E24" s="46"/>
      <c r="F24" s="45"/>
      <c r="G24" s="47"/>
      <c r="H24" s="48">
        <f>+H2</f>
        <v>31922282</v>
      </c>
      <c r="J24" s="30">
        <v>16</v>
      </c>
      <c r="K24" s="33" t="s">
        <v>70</v>
      </c>
      <c r="L24" s="43">
        <v>1.32E-2</v>
      </c>
      <c r="M24" s="38">
        <f t="shared" si="2"/>
        <v>421374.12239999999</v>
      </c>
    </row>
    <row r="25" spans="1:13" x14ac:dyDescent="0.25">
      <c r="A25" s="30"/>
      <c r="B25" s="31" t="s">
        <v>69</v>
      </c>
      <c r="C25" s="33"/>
      <c r="D25" s="33"/>
      <c r="E25" s="32"/>
      <c r="F25" s="33"/>
      <c r="G25" s="49">
        <f>H23/H24</f>
        <v>8.8315203154962413E-2</v>
      </c>
      <c r="H25" s="32">
        <f>+H24*G25</f>
        <v>2819222.82</v>
      </c>
      <c r="J25" s="30"/>
      <c r="K25" s="31" t="s">
        <v>71</v>
      </c>
      <c r="L25" s="36"/>
      <c r="M25" s="38"/>
    </row>
    <row r="26" spans="1:13" x14ac:dyDescent="0.25">
      <c r="A26" s="30"/>
      <c r="B26" s="31" t="s">
        <v>10</v>
      </c>
      <c r="C26" s="33"/>
      <c r="D26" s="33"/>
      <c r="E26" s="32"/>
      <c r="F26" s="33"/>
      <c r="G26" s="49">
        <v>0.05</v>
      </c>
      <c r="H26" s="32">
        <f>+H24*G26</f>
        <v>1596114.1</v>
      </c>
      <c r="J26" s="30">
        <v>17</v>
      </c>
      <c r="K26" s="33" t="s">
        <v>72</v>
      </c>
      <c r="L26" s="36">
        <v>6.7165465012359593E-3</v>
      </c>
      <c r="M26" s="38">
        <f t="shared" si="2"/>
        <v>214407.49147856765</v>
      </c>
    </row>
    <row r="27" spans="1:13" x14ac:dyDescent="0.25">
      <c r="A27" s="30"/>
      <c r="B27" s="31" t="s">
        <v>9</v>
      </c>
      <c r="C27" s="33"/>
      <c r="D27" s="33"/>
      <c r="E27" s="32"/>
      <c r="F27" s="33"/>
      <c r="G27" s="49">
        <v>0.01</v>
      </c>
      <c r="H27" s="32">
        <f>+H24*G27</f>
        <v>319222.82</v>
      </c>
      <c r="J27" s="30">
        <v>18</v>
      </c>
      <c r="K27" s="33" t="s">
        <v>74</v>
      </c>
      <c r="L27" s="36">
        <v>5.0000000000000001E-3</v>
      </c>
      <c r="M27" s="38">
        <f t="shared" si="2"/>
        <v>159611.41</v>
      </c>
    </row>
    <row r="28" spans="1:13" x14ac:dyDescent="0.25">
      <c r="A28" s="30"/>
      <c r="B28" s="31" t="s">
        <v>73</v>
      </c>
      <c r="C28" s="33"/>
      <c r="D28" s="33"/>
      <c r="E28" s="32"/>
      <c r="F28" s="33"/>
      <c r="G28" s="50">
        <f>SUM(G25:G27)</f>
        <v>0.14831520315496244</v>
      </c>
      <c r="H28" s="51">
        <f>+H27+H26+H25</f>
        <v>4734559.74</v>
      </c>
      <c r="J28" s="30">
        <v>19</v>
      </c>
      <c r="K28" s="33" t="s">
        <v>76</v>
      </c>
      <c r="L28" s="43">
        <v>6.0000000000000001E-3</v>
      </c>
      <c r="M28" s="38">
        <f t="shared" si="2"/>
        <v>191533.69200000001</v>
      </c>
    </row>
    <row r="29" spans="1:13" x14ac:dyDescent="0.25">
      <c r="A29" s="30"/>
      <c r="B29" s="44" t="s">
        <v>75</v>
      </c>
      <c r="C29" s="45"/>
      <c r="D29" s="45"/>
      <c r="E29" s="46"/>
      <c r="F29" s="45"/>
      <c r="G29" s="52"/>
      <c r="H29" s="46">
        <f>+H27+H26+H25+H24</f>
        <v>36656841.740000002</v>
      </c>
      <c r="J29" s="30">
        <v>20</v>
      </c>
      <c r="K29" s="33" t="s">
        <v>77</v>
      </c>
      <c r="L29" s="36">
        <v>0.02</v>
      </c>
      <c r="M29" s="38">
        <f t="shared" si="2"/>
        <v>638445.64</v>
      </c>
    </row>
    <row r="30" spans="1:13" x14ac:dyDescent="0.25">
      <c r="A30" s="30"/>
      <c r="B30" s="31" t="s">
        <v>71</v>
      </c>
      <c r="C30" s="33"/>
      <c r="D30" s="33"/>
      <c r="E30" s="32"/>
      <c r="F30" s="33"/>
      <c r="G30" s="53"/>
      <c r="H30" s="32"/>
      <c r="J30" s="30">
        <v>21</v>
      </c>
      <c r="K30" s="33" t="s">
        <v>78</v>
      </c>
      <c r="L30" s="55">
        <v>6.0000000000000001E-3</v>
      </c>
      <c r="M30" s="38">
        <f t="shared" si="2"/>
        <v>191533.69200000001</v>
      </c>
    </row>
    <row r="31" spans="1:13" x14ac:dyDescent="0.25">
      <c r="A31" s="30">
        <v>16</v>
      </c>
      <c r="B31" s="33" t="s">
        <v>72</v>
      </c>
      <c r="C31" s="33"/>
      <c r="D31" s="33"/>
      <c r="E31" s="32"/>
      <c r="F31" s="33"/>
      <c r="G31" s="54">
        <f>+H31/H29</f>
        <v>6.9667282798488031E-3</v>
      </c>
      <c r="H31" s="32">
        <f>+H26*0.16</f>
        <v>255378.25600000002</v>
      </c>
      <c r="J31" s="30">
        <v>22</v>
      </c>
      <c r="K31" s="33" t="s">
        <v>79</v>
      </c>
      <c r="L31" s="55">
        <v>5.0000000000000001E-3</v>
      </c>
      <c r="M31" s="38">
        <f t="shared" si="2"/>
        <v>159611.41</v>
      </c>
    </row>
    <row r="32" spans="1:13" x14ac:dyDescent="0.25">
      <c r="A32" s="30">
        <v>17</v>
      </c>
      <c r="B32" s="33" t="s">
        <v>74</v>
      </c>
      <c r="C32" s="33"/>
      <c r="D32" s="33"/>
      <c r="E32" s="32"/>
      <c r="F32" s="33"/>
      <c r="G32" s="54">
        <v>5.0000000000000001E-3</v>
      </c>
      <c r="H32" s="32">
        <f>+G32*H$29</f>
        <v>183284.20870000002</v>
      </c>
      <c r="J32" s="30">
        <v>23</v>
      </c>
      <c r="K32" s="33" t="s">
        <v>80</v>
      </c>
      <c r="L32" s="43">
        <v>2.5000000000000001E-3</v>
      </c>
      <c r="M32" s="38">
        <f t="shared" si="2"/>
        <v>79805.705000000002</v>
      </c>
    </row>
    <row r="33" spans="1:24" x14ac:dyDescent="0.25">
      <c r="A33" s="30">
        <v>18</v>
      </c>
      <c r="B33" s="33" t="s">
        <v>76</v>
      </c>
      <c r="C33" s="33"/>
      <c r="D33" s="33"/>
      <c r="E33" s="32"/>
      <c r="F33" s="33"/>
      <c r="G33" s="54">
        <v>7.0000000000000001E-3</v>
      </c>
      <c r="H33" s="32">
        <f>+G33*H$29</f>
        <v>256597.89218000002</v>
      </c>
      <c r="J33" s="30">
        <v>24</v>
      </c>
      <c r="K33" s="56" t="s">
        <v>82</v>
      </c>
      <c r="L33" s="43">
        <v>5.8999999999999999E-3</v>
      </c>
      <c r="M33" s="38">
        <f t="shared" si="2"/>
        <v>188341.4638</v>
      </c>
    </row>
    <row r="34" spans="1:24" ht="14.25" customHeight="1" x14ac:dyDescent="0.25">
      <c r="A34" s="30">
        <v>19</v>
      </c>
      <c r="B34" s="33" t="s">
        <v>81</v>
      </c>
      <c r="C34" s="33"/>
      <c r="D34" s="33"/>
      <c r="E34" s="32"/>
      <c r="F34" s="33"/>
      <c r="G34" s="54">
        <v>5.8999999999999997E-2</v>
      </c>
      <c r="H34" s="32">
        <f>+G34*H$29</f>
        <v>2162753.6626599999</v>
      </c>
      <c r="J34" s="57" t="s">
        <v>84</v>
      </c>
      <c r="K34" s="58"/>
      <c r="L34" s="59"/>
    </row>
    <row r="35" spans="1:24" x14ac:dyDescent="0.25">
      <c r="A35" s="30">
        <v>20</v>
      </c>
      <c r="B35" s="33" t="s">
        <v>83</v>
      </c>
      <c r="C35" s="33"/>
      <c r="D35" s="33"/>
      <c r="E35" s="32"/>
      <c r="F35" s="33"/>
      <c r="G35" s="54">
        <f>+E53</f>
        <v>5.0000000000000001E-3</v>
      </c>
      <c r="H35" s="32">
        <f t="shared" ref="H35:H36" si="4">+G35*H$29</f>
        <v>183284.20870000002</v>
      </c>
      <c r="J35" s="30"/>
      <c r="K35" s="33" t="s">
        <v>85</v>
      </c>
      <c r="L35" s="60">
        <v>0.05</v>
      </c>
    </row>
    <row r="36" spans="1:24" x14ac:dyDescent="0.25">
      <c r="A36" s="30">
        <v>21</v>
      </c>
      <c r="B36" s="33" t="s">
        <v>78</v>
      </c>
      <c r="C36" s="55">
        <v>6.0000000000000001E-3</v>
      </c>
      <c r="D36" s="33"/>
      <c r="E36" s="32"/>
      <c r="F36" s="33"/>
      <c r="G36" s="54">
        <v>6.0000000000000001E-3</v>
      </c>
      <c r="H36" s="101">
        <f t="shared" si="4"/>
        <v>219941.05044000002</v>
      </c>
      <c r="J36" s="57" t="s">
        <v>87</v>
      </c>
      <c r="K36" s="58"/>
      <c r="L36" s="59"/>
    </row>
    <row r="37" spans="1:24" x14ac:dyDescent="0.25">
      <c r="A37" s="30"/>
      <c r="B37" s="44" t="s">
        <v>86</v>
      </c>
      <c r="C37" s="45"/>
      <c r="D37" s="45"/>
      <c r="E37" s="46"/>
      <c r="F37" s="45"/>
      <c r="G37" s="61">
        <f>SUM(G31:G35)</f>
        <v>8.29667282798488E-2</v>
      </c>
      <c r="H37" s="46">
        <f>SUM(H31:H36)</f>
        <v>3261239.2786799995</v>
      </c>
      <c r="J37" s="30"/>
      <c r="K37" s="33" t="s">
        <v>9</v>
      </c>
      <c r="L37" s="60">
        <v>0.02</v>
      </c>
    </row>
    <row r="38" spans="1:24" x14ac:dyDescent="0.25">
      <c r="A38" s="30"/>
      <c r="B38" s="31"/>
      <c r="C38" s="33"/>
      <c r="D38" s="33"/>
      <c r="E38" s="32"/>
      <c r="F38" s="33"/>
      <c r="G38" s="62"/>
      <c r="H38" s="33"/>
      <c r="J38" s="27"/>
      <c r="K38" s="63" t="s">
        <v>88</v>
      </c>
      <c r="L38" s="68">
        <f>SUM(L10:L37)</f>
        <v>0.17631654650123599</v>
      </c>
    </row>
    <row r="39" spans="1:24" x14ac:dyDescent="0.25">
      <c r="A39" s="27"/>
      <c r="B39" s="63" t="s">
        <v>88</v>
      </c>
      <c r="C39" s="64"/>
      <c r="D39" s="64"/>
      <c r="E39" s="65"/>
      <c r="F39" s="64"/>
      <c r="G39" s="66">
        <f>+G28+G37</f>
        <v>0.23128193143481124</v>
      </c>
      <c r="H39" s="67">
        <f>+G39</f>
        <v>0.23128193143481124</v>
      </c>
    </row>
    <row r="40" spans="1:24" x14ac:dyDescent="0.25">
      <c r="H40" s="23">
        <f>+H29+H37</f>
        <v>39918081.018679999</v>
      </c>
    </row>
    <row r="41" spans="1:24" x14ac:dyDescent="0.25">
      <c r="F41" s="33" t="s">
        <v>89</v>
      </c>
      <c r="G41" s="49">
        <f>+G25</f>
        <v>8.8315203154962413E-2</v>
      </c>
      <c r="H41" s="34">
        <f>+G41+G44</f>
        <v>0.17728193143481122</v>
      </c>
    </row>
    <row r="42" spans="1:24" x14ac:dyDescent="0.25">
      <c r="F42" s="33" t="s">
        <v>9</v>
      </c>
      <c r="G42" s="49">
        <v>0.03</v>
      </c>
      <c r="H42" s="34">
        <v>0.03</v>
      </c>
    </row>
    <row r="43" spans="1:24" s="21" customFormat="1" x14ac:dyDescent="0.25">
      <c r="B43" s="22"/>
      <c r="C43" s="22"/>
      <c r="D43" s="22"/>
      <c r="E43" s="23"/>
      <c r="F43" s="33" t="s">
        <v>10</v>
      </c>
      <c r="G43" s="49">
        <f>+G26</f>
        <v>0.05</v>
      </c>
      <c r="H43" s="34">
        <f>+G43</f>
        <v>0.05</v>
      </c>
      <c r="I43" s="22"/>
      <c r="J43" s="22"/>
      <c r="K43" s="22"/>
      <c r="L43" s="22"/>
      <c r="M43" s="22"/>
      <c r="Q43" s="22"/>
      <c r="R43" s="22"/>
      <c r="S43" s="22"/>
      <c r="T43" s="22"/>
      <c r="U43" s="22"/>
      <c r="V43" s="22"/>
      <c r="W43" s="22"/>
      <c r="X43" s="22"/>
    </row>
    <row r="44" spans="1:24" s="21" customFormat="1" x14ac:dyDescent="0.25">
      <c r="B44" s="22"/>
      <c r="C44" s="22"/>
      <c r="D44" s="22"/>
      <c r="E44" s="23"/>
      <c r="F44" s="22"/>
      <c r="G44" s="49">
        <f>SUM(G31:G36)</f>
        <v>8.8966728279848806E-2</v>
      </c>
      <c r="H44" s="49">
        <f>SUM(H41:H43)</f>
        <v>0.25728193143481121</v>
      </c>
      <c r="I44" s="22"/>
      <c r="J44" s="22"/>
      <c r="K44" s="22"/>
      <c r="L44" s="22"/>
      <c r="M44" s="22"/>
      <c r="Q44" s="22"/>
      <c r="R44" s="22"/>
      <c r="S44" s="22"/>
      <c r="T44" s="22"/>
      <c r="U44" s="22"/>
      <c r="V44" s="22"/>
      <c r="W44" s="22"/>
      <c r="X44" s="22"/>
    </row>
    <row r="45" spans="1:24" s="21" customFormat="1" x14ac:dyDescent="0.25">
      <c r="B45" s="22"/>
      <c r="C45" s="22"/>
      <c r="D45" s="22"/>
      <c r="E45" s="23"/>
      <c r="F45" s="22"/>
      <c r="H45" s="69"/>
      <c r="I45" s="22"/>
      <c r="J45" s="22"/>
      <c r="K45" s="22"/>
      <c r="L45" s="22"/>
      <c r="M45" s="22"/>
      <c r="Q45" s="22"/>
      <c r="R45" s="22"/>
      <c r="S45" s="22"/>
      <c r="T45" s="22"/>
      <c r="U45" s="22"/>
      <c r="V45" s="22"/>
      <c r="W45" s="22"/>
      <c r="X45" s="22"/>
    </row>
    <row r="46" spans="1:24" s="21" customFormat="1" x14ac:dyDescent="0.25">
      <c r="B46" s="22"/>
      <c r="C46" s="22"/>
      <c r="D46" s="22"/>
      <c r="E46" s="22"/>
      <c r="F46" s="22"/>
      <c r="H46" s="22"/>
      <c r="I46" s="22"/>
      <c r="J46" s="22"/>
      <c r="K46" s="22"/>
      <c r="L46" s="22"/>
      <c r="M46" s="22"/>
      <c r="Q46" s="22"/>
      <c r="R46" s="22"/>
      <c r="S46" s="22"/>
      <c r="T46" s="22"/>
      <c r="U46" s="22"/>
      <c r="V46" s="22"/>
      <c r="W46" s="22"/>
      <c r="X46" s="22"/>
    </row>
    <row r="47" spans="1:24" s="21" customFormat="1" x14ac:dyDescent="0.25">
      <c r="B47" s="22"/>
      <c r="C47" s="22"/>
      <c r="D47" s="22"/>
      <c r="E47" s="22"/>
      <c r="F47" s="22"/>
      <c r="H47" s="22"/>
      <c r="I47" s="22"/>
      <c r="J47" s="22"/>
      <c r="K47" s="22"/>
      <c r="L47" s="22"/>
      <c r="M47" s="22"/>
      <c r="Q47" s="22"/>
      <c r="R47" s="22"/>
      <c r="S47" s="22"/>
      <c r="T47" s="22"/>
      <c r="U47" s="22"/>
      <c r="V47" s="22"/>
      <c r="W47" s="22"/>
      <c r="X47" s="22"/>
    </row>
    <row r="48" spans="1:24" s="21" customFormat="1" x14ac:dyDescent="0.25">
      <c r="B48" s="22"/>
      <c r="C48" s="22"/>
      <c r="D48" s="22"/>
      <c r="E48" s="22"/>
      <c r="F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spans="2:24" s="21" customFormat="1" x14ac:dyDescent="0.25">
      <c r="B49" s="22"/>
      <c r="C49" s="22"/>
      <c r="D49" s="22"/>
      <c r="E49" s="22"/>
      <c r="F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2:24" s="21" customFormat="1" x14ac:dyDescent="0.25">
      <c r="B50" s="33" t="s">
        <v>90</v>
      </c>
      <c r="C50" s="33">
        <v>2021</v>
      </c>
      <c r="D50" s="70"/>
      <c r="E50" s="32">
        <f>+VLOOKUP(C50,W94:X105,2,FALSE)</f>
        <v>908526</v>
      </c>
      <c r="F50" s="33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spans="2:24" x14ac:dyDescent="0.25">
      <c r="B51" s="33" t="s">
        <v>91</v>
      </c>
      <c r="C51" s="33"/>
      <c r="D51" s="33"/>
      <c r="E51" s="24">
        <f>+COMPARATIVO!F16</f>
        <v>40525336.998999998</v>
      </c>
      <c r="F51" s="33"/>
    </row>
    <row r="52" spans="2:24" x14ac:dyDescent="0.25">
      <c r="B52" s="33" t="s">
        <v>92</v>
      </c>
      <c r="C52" s="30" t="s">
        <v>93</v>
      </c>
      <c r="D52" s="33"/>
      <c r="E52" s="71">
        <f>+E51/E50</f>
        <v>44.605588611663286</v>
      </c>
      <c r="F52" s="33" t="s">
        <v>94</v>
      </c>
    </row>
    <row r="53" spans="2:24" x14ac:dyDescent="0.25">
      <c r="B53" s="72" t="s">
        <v>95</v>
      </c>
      <c r="C53" s="33">
        <v>6001</v>
      </c>
      <c r="D53" s="30"/>
      <c r="E53" s="73">
        <v>5.0000000000000001E-3</v>
      </c>
      <c r="F53" s="33"/>
    </row>
    <row r="54" spans="2:24" x14ac:dyDescent="0.25">
      <c r="B54" s="33"/>
      <c r="D54" s="33"/>
      <c r="E54" s="32"/>
      <c r="F54" s="33">
        <v>2</v>
      </c>
    </row>
    <row r="93" spans="1:24" s="74" customFormat="1" x14ac:dyDescent="0.25">
      <c r="A93" s="21"/>
      <c r="B93" s="22"/>
      <c r="C93" s="22"/>
      <c r="D93" s="22"/>
      <c r="E93" s="23"/>
      <c r="F93" s="22"/>
      <c r="G93" s="21"/>
      <c r="H93" s="22"/>
      <c r="W93" s="75" t="s">
        <v>96</v>
      </c>
    </row>
    <row r="94" spans="1:24" s="74" customFormat="1" x14ac:dyDescent="0.25">
      <c r="A94" s="21"/>
      <c r="B94" s="22"/>
      <c r="C94" s="22"/>
      <c r="D94" s="22"/>
      <c r="E94" s="23"/>
      <c r="F94" s="22"/>
      <c r="G94" s="21"/>
      <c r="H94" s="22"/>
      <c r="W94" s="74">
        <v>2013</v>
      </c>
      <c r="X94" s="74">
        <v>589500</v>
      </c>
    </row>
    <row r="95" spans="1:24" s="74" customFormat="1" x14ac:dyDescent="0.25">
      <c r="A95" s="21"/>
      <c r="B95" s="22"/>
      <c r="C95" s="22"/>
      <c r="D95" s="22"/>
      <c r="E95" s="23"/>
      <c r="F95" s="22"/>
      <c r="G95" s="21"/>
      <c r="H95" s="22"/>
      <c r="W95" s="74">
        <v>2014</v>
      </c>
      <c r="X95" s="74">
        <v>616000</v>
      </c>
    </row>
    <row r="96" spans="1:24" s="74" customFormat="1" x14ac:dyDescent="0.25">
      <c r="A96" s="21"/>
      <c r="B96" s="22"/>
      <c r="D96" s="22"/>
      <c r="E96" s="23"/>
      <c r="F96" s="22"/>
      <c r="G96" s="21"/>
      <c r="H96" s="22"/>
      <c r="W96" s="74">
        <v>2015</v>
      </c>
      <c r="X96" s="74">
        <v>644350</v>
      </c>
    </row>
    <row r="97" spans="1:24" x14ac:dyDescent="0.25">
      <c r="A97" s="75"/>
      <c r="B97" s="74"/>
      <c r="C97" s="74"/>
      <c r="D97" s="74"/>
      <c r="E97" s="76"/>
      <c r="F97" s="74"/>
      <c r="G97" s="75"/>
      <c r="H97" s="74"/>
      <c r="W97" s="74">
        <v>2016</v>
      </c>
      <c r="X97" s="22">
        <v>689455</v>
      </c>
    </row>
    <row r="98" spans="1:24" x14ac:dyDescent="0.25">
      <c r="A98" s="75"/>
      <c r="B98" s="74"/>
      <c r="C98" s="74"/>
      <c r="D98" s="74"/>
      <c r="E98" s="76"/>
      <c r="F98" s="74"/>
      <c r="G98" s="75"/>
      <c r="H98" s="74"/>
      <c r="W98" s="74">
        <v>2017</v>
      </c>
      <c r="X98" s="22">
        <v>737717</v>
      </c>
    </row>
    <row r="99" spans="1:24" x14ac:dyDescent="0.25">
      <c r="A99" s="75"/>
      <c r="B99" s="74"/>
      <c r="C99" s="74"/>
      <c r="D99" s="74"/>
      <c r="E99" s="76"/>
      <c r="F99" s="74"/>
      <c r="G99" s="75"/>
      <c r="H99" s="74"/>
      <c r="W99" s="74">
        <v>2018</v>
      </c>
      <c r="X99" s="22">
        <v>781242</v>
      </c>
    </row>
    <row r="100" spans="1:24" x14ac:dyDescent="0.25">
      <c r="A100" s="75"/>
      <c r="B100" s="74"/>
      <c r="D100" s="74"/>
      <c r="E100" s="76"/>
      <c r="F100" s="74"/>
      <c r="G100" s="75"/>
      <c r="H100" s="74"/>
      <c r="W100" s="74">
        <v>2019</v>
      </c>
      <c r="X100" s="22">
        <v>828116</v>
      </c>
    </row>
    <row r="101" spans="1:24" x14ac:dyDescent="0.25">
      <c r="W101" s="74">
        <v>2020</v>
      </c>
      <c r="X101" s="22">
        <v>877803</v>
      </c>
    </row>
    <row r="102" spans="1:24" x14ac:dyDescent="0.25">
      <c r="W102" s="74">
        <v>2021</v>
      </c>
      <c r="X102" s="22">
        <v>908526</v>
      </c>
    </row>
  </sheetData>
  <mergeCells count="3">
    <mergeCell ref="F2:G2"/>
    <mergeCell ref="F3:G3"/>
    <mergeCell ref="F4:G4"/>
  </mergeCells>
  <dataValidations count="1">
    <dataValidation type="list" allowBlank="1" showInputMessage="1" showErrorMessage="1" sqref="D50" xr:uid="{00000000-0002-0000-0900-000000000000}">
      <formula1>$W$94:$W$96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Anexo Oferta Economica</vt:lpstr>
      <vt:lpstr>HISTORICOS EN CONTRATACIÓN SGC</vt:lpstr>
      <vt:lpstr>DEMANDA</vt:lpstr>
      <vt:lpstr>PRESUPUESTO</vt:lpstr>
      <vt:lpstr>PRESUPUESTO _</vt:lpstr>
      <vt:lpstr>COMPARATIVO</vt:lpstr>
      <vt:lpstr>Cotización 1</vt:lpstr>
      <vt:lpstr>Cotización 2</vt:lpstr>
      <vt:lpstr>Cotización 3</vt:lpstr>
      <vt:lpstr>AIU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funuser</dc:creator>
  <cp:lastModifiedBy>Juan</cp:lastModifiedBy>
  <cp:lastPrinted>2018-09-11T14:16:40Z</cp:lastPrinted>
  <dcterms:created xsi:type="dcterms:W3CDTF">2015-08-13T15:28:51Z</dcterms:created>
  <dcterms:modified xsi:type="dcterms:W3CDTF">2021-10-16T18:49:38Z</dcterms:modified>
</cp:coreProperties>
</file>