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GUILLERMO SANTANA\SANTANA 2021\EN PROCESO\PROCESOS NUEVOS\PN DISAN SA REACTIVOS DESIERTOS\25 OCT 2021 ESTUDIO PREVIO\"/>
    </mc:Choice>
  </mc:AlternateContent>
  <bookViews>
    <workbookView xWindow="0" yWindow="0" windowWidth="13260" windowHeight="8145" activeTab="3"/>
  </bookViews>
  <sheets>
    <sheet name="GRUPO 1" sheetId="14" r:id="rId1"/>
    <sheet name="GRUPO 2" sheetId="15" r:id="rId2"/>
    <sheet name="GRUPO 3" sheetId="3" r:id="rId3"/>
    <sheet name="GRUPO 4" sheetId="5" r:id="rId4"/>
    <sheet name="GRUPO 5" sheetId="8" r:id="rId5"/>
    <sheet name="PRESUPUESTO PROCESO INSUMOS " sheetId="13" r:id="rId6"/>
  </sheets>
  <definedNames>
    <definedName name="_xlnm._FilterDatabase" localSheetId="1" hidden="1">'GRUPO 2'!$A$2:$V$17</definedName>
  </definedNames>
  <calcPr calcId="15251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5" i="3" l="1"/>
  <c r="O5" i="3"/>
  <c r="N6" i="3"/>
  <c r="O6" i="3"/>
  <c r="N7" i="3"/>
  <c r="O7" i="3" s="1"/>
  <c r="N8" i="3"/>
  <c r="O8" i="3"/>
  <c r="N9" i="3"/>
  <c r="O9" i="3"/>
  <c r="N10" i="3"/>
  <c r="O10" i="3"/>
  <c r="O4" i="3"/>
  <c r="N4" i="3"/>
  <c r="S4" i="15" l="1"/>
  <c r="V5" i="15"/>
  <c r="V6" i="15"/>
  <c r="V7" i="15"/>
  <c r="V8" i="15"/>
  <c r="V9" i="15"/>
  <c r="V10" i="15"/>
  <c r="V11" i="15"/>
  <c r="V12" i="15"/>
  <c r="V13" i="15"/>
  <c r="V14" i="15"/>
  <c r="V15" i="15"/>
  <c r="V16" i="15"/>
  <c r="V17" i="15"/>
  <c r="U5" i="15"/>
  <c r="U6" i="15"/>
  <c r="U7" i="15"/>
  <c r="U8" i="15"/>
  <c r="U9" i="15"/>
  <c r="U10" i="15"/>
  <c r="U11" i="15"/>
  <c r="U12" i="15"/>
  <c r="U13" i="15"/>
  <c r="U14" i="15"/>
  <c r="U15" i="15"/>
  <c r="U16" i="15"/>
  <c r="U17" i="15"/>
  <c r="N5" i="14"/>
  <c r="Q5" i="14" s="1"/>
  <c r="M4" i="14"/>
  <c r="N4" i="14" s="1"/>
  <c r="Q4" i="14" s="1"/>
  <c r="M5" i="14"/>
  <c r="K6" i="14"/>
  <c r="M6" i="14" s="1"/>
  <c r="N6" i="14" s="1"/>
  <c r="Q6" i="14" s="1"/>
  <c r="K5" i="14"/>
  <c r="K4" i="14"/>
  <c r="K3" i="14"/>
  <c r="M3" i="14" s="1"/>
  <c r="N3" i="14" s="1"/>
  <c r="Q3" i="14" s="1"/>
  <c r="R4" i="14" l="1"/>
  <c r="O4" i="14" s="1"/>
  <c r="P4" i="14"/>
  <c r="R6" i="14"/>
  <c r="O6" i="14" s="1"/>
  <c r="P6" i="14"/>
  <c r="R5" i="14"/>
  <c r="O5" i="14" s="1"/>
  <c r="P5" i="14" s="1"/>
  <c r="R3" i="14"/>
  <c r="O3" i="14" s="1"/>
  <c r="P3" i="14"/>
  <c r="S6" i="15"/>
  <c r="G3" i="14" l="1"/>
  <c r="G4" i="14"/>
  <c r="N4" i="8"/>
  <c r="O4" i="8" s="1"/>
  <c r="R4" i="8" s="1"/>
  <c r="N5" i="8"/>
  <c r="O5" i="8" s="1"/>
  <c r="R5" i="8" s="1"/>
  <c r="N6" i="8"/>
  <c r="O6" i="8" s="1"/>
  <c r="R6" i="8" s="1"/>
  <c r="N3" i="8"/>
  <c r="O3" i="8" s="1"/>
  <c r="R3" i="8" s="1"/>
  <c r="O4" i="5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3" i="5"/>
  <c r="M7" i="3"/>
  <c r="L10" i="3"/>
  <c r="M10" i="3" s="1"/>
  <c r="L9" i="3"/>
  <c r="M9" i="3" s="1"/>
  <c r="L8" i="3"/>
  <c r="M8" i="3" s="1"/>
  <c r="L6" i="3"/>
  <c r="M6" i="3" s="1"/>
  <c r="L5" i="3"/>
  <c r="M5" i="3" s="1"/>
  <c r="L4" i="3"/>
  <c r="M4" i="3" s="1"/>
  <c r="T4" i="15"/>
  <c r="U4" i="15" s="1"/>
  <c r="V4" i="15" s="1"/>
  <c r="S5" i="15"/>
  <c r="T5" i="15" s="1"/>
  <c r="T6" i="15"/>
  <c r="S7" i="15"/>
  <c r="S8" i="15"/>
  <c r="S9" i="15"/>
  <c r="S10" i="15"/>
  <c r="S11" i="15"/>
  <c r="S12" i="15"/>
  <c r="S13" i="15"/>
  <c r="S14" i="15"/>
  <c r="S15" i="15"/>
  <c r="S16" i="15"/>
  <c r="S17" i="15"/>
  <c r="S3" i="15"/>
  <c r="N7" i="15"/>
  <c r="S3" i="8" l="1"/>
  <c r="P3" i="8" s="1"/>
  <c r="S4" i="8"/>
  <c r="P4" i="8" s="1"/>
  <c r="S6" i="8"/>
  <c r="P6" i="8" s="1"/>
  <c r="S5" i="8"/>
  <c r="P5" i="8" s="1"/>
  <c r="P5" i="3"/>
  <c r="P6" i="3"/>
  <c r="P7" i="3"/>
  <c r="P8" i="3"/>
  <c r="P9" i="3"/>
  <c r="P10" i="3"/>
  <c r="P11" i="3"/>
  <c r="P4" i="3"/>
  <c r="O7" i="14"/>
  <c r="Q6" i="8" l="1"/>
  <c r="Q4" i="8"/>
  <c r="Q3" i="8"/>
  <c r="P7" i="8"/>
  <c r="Q5" i="8"/>
  <c r="N7" i="14"/>
  <c r="H51" i="3"/>
  <c r="U3" i="14"/>
  <c r="G5" i="14" l="1"/>
  <c r="G6" i="14"/>
  <c r="J41" i="5"/>
  <c r="K41" i="5" s="1"/>
  <c r="P41" i="5" s="1"/>
  <c r="S41" i="5" s="1"/>
  <c r="J24" i="5"/>
  <c r="K11" i="5"/>
  <c r="P11" i="5" s="1"/>
  <c r="S11" i="5" s="1"/>
  <c r="J10" i="5"/>
  <c r="K10" i="5" s="1"/>
  <c r="P10" i="5" s="1"/>
  <c r="S10" i="5" s="1"/>
  <c r="J9" i="5"/>
  <c r="K9" i="5" s="1"/>
  <c r="P9" i="5" s="1"/>
  <c r="S9" i="5" s="1"/>
  <c r="K12" i="5"/>
  <c r="P12" i="5" s="1"/>
  <c r="S12" i="5" s="1"/>
  <c r="K8" i="5"/>
  <c r="P8" i="5" s="1"/>
  <c r="S8" i="5" s="1"/>
  <c r="J3" i="5"/>
  <c r="K3" i="5" s="1"/>
  <c r="J4" i="5"/>
  <c r="K4" i="5" s="1"/>
  <c r="P4" i="5" s="1"/>
  <c r="S4" i="5" s="1"/>
  <c r="T4" i="5" s="1"/>
  <c r="Q4" i="5" s="1"/>
  <c r="J5" i="5"/>
  <c r="K5" i="5" s="1"/>
  <c r="P5" i="5" s="1"/>
  <c r="S5" i="5" s="1"/>
  <c r="J6" i="5"/>
  <c r="K6" i="5" s="1"/>
  <c r="P6" i="5" s="1"/>
  <c r="S6" i="5" s="1"/>
  <c r="J7" i="5"/>
  <c r="K7" i="5" s="1"/>
  <c r="P7" i="5" s="1"/>
  <c r="S7" i="5" s="1"/>
  <c r="J8" i="5"/>
  <c r="J11" i="5"/>
  <c r="J12" i="5"/>
  <c r="J13" i="5"/>
  <c r="K13" i="5" s="1"/>
  <c r="P13" i="5" s="1"/>
  <c r="S13" i="5" s="1"/>
  <c r="J14" i="5"/>
  <c r="K14" i="5" s="1"/>
  <c r="P14" i="5" s="1"/>
  <c r="S14" i="5" s="1"/>
  <c r="J15" i="5"/>
  <c r="K15" i="5" s="1"/>
  <c r="P15" i="5" s="1"/>
  <c r="S15" i="5" s="1"/>
  <c r="J16" i="5"/>
  <c r="K16" i="5" s="1"/>
  <c r="P16" i="5" s="1"/>
  <c r="S16" i="5" s="1"/>
  <c r="J17" i="5"/>
  <c r="K17" i="5" s="1"/>
  <c r="P17" i="5" s="1"/>
  <c r="S17" i="5" s="1"/>
  <c r="J18" i="5"/>
  <c r="K18" i="5" s="1"/>
  <c r="P18" i="5" s="1"/>
  <c r="S18" i="5" s="1"/>
  <c r="J19" i="5"/>
  <c r="K19" i="5" s="1"/>
  <c r="P19" i="5" s="1"/>
  <c r="S19" i="5" s="1"/>
  <c r="J20" i="5"/>
  <c r="K20" i="5" s="1"/>
  <c r="P20" i="5" s="1"/>
  <c r="S20" i="5" s="1"/>
  <c r="J21" i="5"/>
  <c r="K21" i="5" s="1"/>
  <c r="P21" i="5" s="1"/>
  <c r="S21" i="5" s="1"/>
  <c r="J22" i="5"/>
  <c r="K22" i="5" s="1"/>
  <c r="P22" i="5" s="1"/>
  <c r="S22" i="5" s="1"/>
  <c r="J23" i="5"/>
  <c r="K23" i="5" s="1"/>
  <c r="P23" i="5" s="1"/>
  <c r="S23" i="5" s="1"/>
  <c r="K24" i="5"/>
  <c r="P24" i="5" s="1"/>
  <c r="S24" i="5" s="1"/>
  <c r="J25" i="5"/>
  <c r="K25" i="5" s="1"/>
  <c r="P25" i="5" s="1"/>
  <c r="S25" i="5" s="1"/>
  <c r="J26" i="5"/>
  <c r="K26" i="5" s="1"/>
  <c r="P26" i="5" s="1"/>
  <c r="S26" i="5" s="1"/>
  <c r="J27" i="5"/>
  <c r="K27" i="5" s="1"/>
  <c r="P27" i="5" s="1"/>
  <c r="S27" i="5" s="1"/>
  <c r="J28" i="5"/>
  <c r="K28" i="5" s="1"/>
  <c r="P28" i="5" s="1"/>
  <c r="S28" i="5" s="1"/>
  <c r="J29" i="5"/>
  <c r="K29" i="5" s="1"/>
  <c r="P29" i="5" s="1"/>
  <c r="S29" i="5" s="1"/>
  <c r="J30" i="5"/>
  <c r="K30" i="5" s="1"/>
  <c r="P30" i="5" s="1"/>
  <c r="S30" i="5" s="1"/>
  <c r="J31" i="5"/>
  <c r="K31" i="5" s="1"/>
  <c r="P31" i="5" s="1"/>
  <c r="S31" i="5" s="1"/>
  <c r="J32" i="5"/>
  <c r="K32" i="5" s="1"/>
  <c r="P32" i="5" s="1"/>
  <c r="S32" i="5" s="1"/>
  <c r="J33" i="5"/>
  <c r="K33" i="5" s="1"/>
  <c r="P33" i="5" s="1"/>
  <c r="S33" i="5" s="1"/>
  <c r="J34" i="5"/>
  <c r="K34" i="5" s="1"/>
  <c r="P34" i="5" s="1"/>
  <c r="S34" i="5" s="1"/>
  <c r="J35" i="5"/>
  <c r="K35" i="5" s="1"/>
  <c r="P35" i="5" s="1"/>
  <c r="S35" i="5" s="1"/>
  <c r="J36" i="5"/>
  <c r="K36" i="5" s="1"/>
  <c r="P36" i="5" s="1"/>
  <c r="S36" i="5" s="1"/>
  <c r="J37" i="5"/>
  <c r="K37" i="5" s="1"/>
  <c r="P37" i="5" s="1"/>
  <c r="S37" i="5" s="1"/>
  <c r="J38" i="5"/>
  <c r="K38" i="5" s="1"/>
  <c r="P38" i="5" s="1"/>
  <c r="S38" i="5" s="1"/>
  <c r="J39" i="5"/>
  <c r="K39" i="5" s="1"/>
  <c r="P39" i="5" s="1"/>
  <c r="S39" i="5" s="1"/>
  <c r="J40" i="5"/>
  <c r="K40" i="5" s="1"/>
  <c r="P40" i="5" s="1"/>
  <c r="S40" i="5" s="1"/>
  <c r="J42" i="5"/>
  <c r="K42" i="5" s="1"/>
  <c r="P42" i="5" s="1"/>
  <c r="S42" i="5" s="1"/>
  <c r="J43" i="5"/>
  <c r="K43" i="5" s="1"/>
  <c r="P43" i="5" s="1"/>
  <c r="S43" i="5" s="1"/>
  <c r="J44" i="5"/>
  <c r="K44" i="5" s="1"/>
  <c r="P44" i="5" s="1"/>
  <c r="S44" i="5" s="1"/>
  <c r="J45" i="5"/>
  <c r="K45" i="5" s="1"/>
  <c r="P45" i="5" s="1"/>
  <c r="S45" i="5" s="1"/>
  <c r="J46" i="5"/>
  <c r="K46" i="5" s="1"/>
  <c r="P46" i="5" s="1"/>
  <c r="S46" i="5" s="1"/>
  <c r="J47" i="5"/>
  <c r="K47" i="5" s="1"/>
  <c r="P47" i="5" s="1"/>
  <c r="S47" i="5" s="1"/>
  <c r="J48" i="5"/>
  <c r="K48" i="5" s="1"/>
  <c r="P48" i="5" s="1"/>
  <c r="S48" i="5" s="1"/>
  <c r="J49" i="5"/>
  <c r="K49" i="5" s="1"/>
  <c r="P49" i="5" s="1"/>
  <c r="S49" i="5" s="1"/>
  <c r="J50" i="5"/>
  <c r="K50" i="5" s="1"/>
  <c r="P50" i="5" s="1"/>
  <c r="S50" i="5" s="1"/>
  <c r="J51" i="5"/>
  <c r="K51" i="5" s="1"/>
  <c r="P51" i="5" s="1"/>
  <c r="S51" i="5" s="1"/>
  <c r="J52" i="5"/>
  <c r="K52" i="5" s="1"/>
  <c r="P52" i="5" s="1"/>
  <c r="S52" i="5" s="1"/>
  <c r="G5" i="15"/>
  <c r="H5" i="15" s="1"/>
  <c r="G6" i="15"/>
  <c r="H6" i="15" s="1"/>
  <c r="G7" i="15"/>
  <c r="H7" i="15" s="1"/>
  <c r="G8" i="15"/>
  <c r="H8" i="15" s="1"/>
  <c r="G9" i="15"/>
  <c r="H9" i="15" s="1"/>
  <c r="G10" i="15"/>
  <c r="H10" i="15" s="1"/>
  <c r="T10" i="15" s="1"/>
  <c r="G11" i="15"/>
  <c r="H11" i="15" s="1"/>
  <c r="T11" i="15" s="1"/>
  <c r="G12" i="15"/>
  <c r="H12" i="15" s="1"/>
  <c r="T12" i="15" s="1"/>
  <c r="G13" i="15"/>
  <c r="H13" i="15" s="1"/>
  <c r="G14" i="15"/>
  <c r="H14" i="15" s="1"/>
  <c r="T14" i="15" s="1"/>
  <c r="G15" i="15"/>
  <c r="H15" i="15" s="1"/>
  <c r="G16" i="15"/>
  <c r="H16" i="15" s="1"/>
  <c r="G17" i="15"/>
  <c r="H17" i="15" s="1"/>
  <c r="T17" i="15" s="1"/>
  <c r="T37" i="5" l="1"/>
  <c r="Q37" i="5" s="1"/>
  <c r="T46" i="5"/>
  <c r="Q46" i="5" s="1"/>
  <c r="T20" i="5"/>
  <c r="Q20" i="5" s="1"/>
  <c r="T29" i="5"/>
  <c r="Q29" i="5" s="1"/>
  <c r="T19" i="5"/>
  <c r="Q19" i="5" s="1"/>
  <c r="T51" i="5"/>
  <c r="Q51" i="5" s="1"/>
  <c r="T43" i="5"/>
  <c r="Q43" i="5" s="1"/>
  <c r="T34" i="5"/>
  <c r="Q34" i="5" s="1"/>
  <c r="T26" i="5"/>
  <c r="Q26" i="5" s="1"/>
  <c r="T18" i="5"/>
  <c r="Q18" i="5" s="1"/>
  <c r="T50" i="5"/>
  <c r="Q50" i="5" s="1"/>
  <c r="T42" i="5"/>
  <c r="Q42" i="5" s="1"/>
  <c r="T33" i="5"/>
  <c r="Q33" i="5" s="1"/>
  <c r="T25" i="5"/>
  <c r="Q25" i="5" s="1"/>
  <c r="T17" i="5"/>
  <c r="Q17" i="5" s="1"/>
  <c r="T7" i="5"/>
  <c r="Q7" i="5" s="1"/>
  <c r="T41" i="5"/>
  <c r="Q41" i="5" s="1"/>
  <c r="T35" i="5"/>
  <c r="Q35" i="5" s="1"/>
  <c r="T44" i="5"/>
  <c r="Q44" i="5" s="1"/>
  <c r="T32" i="5"/>
  <c r="Q32" i="5" s="1"/>
  <c r="T24" i="5"/>
  <c r="Q24" i="5" s="1"/>
  <c r="T16" i="5"/>
  <c r="Q16" i="5" s="1"/>
  <c r="T6" i="5"/>
  <c r="Q6" i="5" s="1"/>
  <c r="T12" i="5"/>
  <c r="Q12" i="5" s="1"/>
  <c r="T36" i="5"/>
  <c r="Q36" i="5" s="1"/>
  <c r="T31" i="5"/>
  <c r="Q31" i="5" s="1"/>
  <c r="T23" i="5"/>
  <c r="Q23" i="5" s="1"/>
  <c r="T15" i="5"/>
  <c r="Q15" i="5" s="1"/>
  <c r="T5" i="5"/>
  <c r="Q5" i="5" s="1"/>
  <c r="T45" i="5"/>
  <c r="Q45" i="5" s="1"/>
  <c r="T28" i="5"/>
  <c r="Q28" i="5" s="1"/>
  <c r="T9" i="5"/>
  <c r="Q9" i="5" s="1"/>
  <c r="R4" i="5"/>
  <c r="T8" i="5"/>
  <c r="Q8" i="5" s="1"/>
  <c r="T48" i="5"/>
  <c r="Q48" i="5" s="1"/>
  <c r="T30" i="5"/>
  <c r="Q30" i="5" s="1"/>
  <c r="T22" i="5"/>
  <c r="Q22" i="5" s="1"/>
  <c r="T14" i="5"/>
  <c r="Q14" i="5" s="1"/>
  <c r="T10" i="5"/>
  <c r="Q10" i="5" s="1"/>
  <c r="T27" i="5"/>
  <c r="Q27" i="5" s="1"/>
  <c r="T49" i="5"/>
  <c r="Q49" i="5" s="1"/>
  <c r="T39" i="5"/>
  <c r="Q39" i="5" s="1"/>
  <c r="T47" i="5"/>
  <c r="Q47" i="5" s="1"/>
  <c r="T21" i="5"/>
  <c r="Q21" i="5" s="1"/>
  <c r="P3" i="5"/>
  <c r="U3" i="5"/>
  <c r="V3" i="5" s="1"/>
  <c r="T11" i="5"/>
  <c r="Q11" i="5" s="1"/>
  <c r="T52" i="5"/>
  <c r="Q52" i="5" s="1"/>
  <c r="T40" i="5"/>
  <c r="Q40" i="5" s="1"/>
  <c r="T38" i="5"/>
  <c r="Q38" i="5" s="1"/>
  <c r="T13" i="5"/>
  <c r="Q13" i="5" s="1"/>
  <c r="O11" i="3"/>
  <c r="D5" i="13" s="1"/>
  <c r="T15" i="15"/>
  <c r="T8" i="15"/>
  <c r="T7" i="15"/>
  <c r="N17" i="15"/>
  <c r="T16" i="15"/>
  <c r="N14" i="15"/>
  <c r="N13" i="15"/>
  <c r="T13" i="15" s="1"/>
  <c r="N12" i="15"/>
  <c r="N11" i="15"/>
  <c r="N10" i="15"/>
  <c r="N6" i="15"/>
  <c r="N5" i="15"/>
  <c r="N3" i="15"/>
  <c r="T3" i="15"/>
  <c r="U3" i="15" s="1"/>
  <c r="V3" i="15" s="1"/>
  <c r="I6" i="8"/>
  <c r="I5" i="8"/>
  <c r="I4" i="8"/>
  <c r="I3" i="8"/>
  <c r="D49" i="5"/>
  <c r="D48" i="5"/>
  <c r="D47" i="5"/>
  <c r="D38" i="5"/>
  <c r="D37" i="5"/>
  <c r="D36" i="5"/>
  <c r="D35" i="5"/>
  <c r="D34" i="5"/>
  <c r="D28" i="5"/>
  <c r="D26" i="5"/>
  <c r="D15" i="5"/>
  <c r="D14" i="5"/>
  <c r="D11" i="5"/>
  <c r="D8" i="5"/>
  <c r="R38" i="5" l="1"/>
  <c r="R22" i="5"/>
  <c r="R49" i="5"/>
  <c r="R12" i="5"/>
  <c r="R32" i="5"/>
  <c r="R7" i="5"/>
  <c r="R42" i="5"/>
  <c r="R34" i="5"/>
  <c r="R29" i="5"/>
  <c r="R30" i="5"/>
  <c r="R28" i="5"/>
  <c r="R23" i="5"/>
  <c r="R6" i="5"/>
  <c r="R44" i="5"/>
  <c r="R17" i="5"/>
  <c r="R50" i="5"/>
  <c r="R43" i="5"/>
  <c r="R20" i="5"/>
  <c r="S3" i="5"/>
  <c r="P53" i="5"/>
  <c r="R9" i="5"/>
  <c r="R40" i="5"/>
  <c r="R52" i="5"/>
  <c r="R47" i="5"/>
  <c r="R10" i="5"/>
  <c r="R48" i="5"/>
  <c r="R27" i="5"/>
  <c r="R45" i="5"/>
  <c r="R31" i="5"/>
  <c r="R16" i="5"/>
  <c r="R35" i="5"/>
  <c r="R25" i="5"/>
  <c r="R18" i="5"/>
  <c r="R51" i="5"/>
  <c r="R46" i="5"/>
  <c r="R21" i="5"/>
  <c r="R13" i="5"/>
  <c r="R11" i="5"/>
  <c r="R39" i="5"/>
  <c r="R14" i="5"/>
  <c r="R8" i="5"/>
  <c r="R15" i="5"/>
  <c r="R5" i="5"/>
  <c r="R36" i="5"/>
  <c r="R24" i="5"/>
  <c r="R41" i="5"/>
  <c r="R33" i="5"/>
  <c r="R26" i="5"/>
  <c r="R19" i="5"/>
  <c r="R37" i="5"/>
  <c r="C3" i="13"/>
  <c r="P7" i="14"/>
  <c r="D3" i="13" s="1"/>
  <c r="M11" i="3"/>
  <c r="M17" i="3" s="1"/>
  <c r="N11" i="3"/>
  <c r="C5" i="13" s="1"/>
  <c r="E5" i="13" s="1"/>
  <c r="T9" i="15"/>
  <c r="T3" i="5" l="1"/>
  <c r="R3" i="5"/>
  <c r="R53" i="5" s="1"/>
  <c r="T18" i="15"/>
  <c r="U18" i="15"/>
  <c r="E3" i="13"/>
  <c r="D6" i="13"/>
  <c r="Q3" i="5" l="1"/>
  <c r="Q53" i="5" s="1"/>
  <c r="C6" i="13" s="1"/>
  <c r="E6" i="13" s="1"/>
  <c r="W3" i="5"/>
  <c r="C4" i="13"/>
  <c r="V18" i="15"/>
  <c r="D4" i="13" s="1"/>
  <c r="Q7" i="8"/>
  <c r="D7" i="13" s="1"/>
  <c r="C7" i="13" l="1"/>
  <c r="E7" i="13" s="1"/>
  <c r="O7" i="8"/>
  <c r="R7" i="8" s="1"/>
  <c r="S7" i="8" s="1"/>
  <c r="D8" i="13"/>
  <c r="E4" i="13"/>
  <c r="C8" i="13" l="1"/>
  <c r="E8" i="13" s="1"/>
</calcChain>
</file>

<file path=xl/sharedStrings.xml><?xml version="1.0" encoding="utf-8"?>
<sst xmlns="http://schemas.openxmlformats.org/spreadsheetml/2006/main" count="520" uniqueCount="225">
  <si>
    <r>
      <t>ITEM</t>
    </r>
    <r>
      <rPr>
        <sz val="8"/>
        <color rgb="FF000000"/>
        <rFont val="Arial"/>
        <family val="2"/>
      </rPr>
      <t> </t>
    </r>
  </si>
  <si>
    <r>
      <t>DESCRIPCIÓN</t>
    </r>
    <r>
      <rPr>
        <sz val="8"/>
        <color rgb="FF000000"/>
        <rFont val="Arial"/>
        <family val="2"/>
      </rPr>
      <t> </t>
    </r>
  </si>
  <si>
    <r>
      <t>UNIDAD DE MEDIDA</t>
    </r>
    <r>
      <rPr>
        <sz val="8"/>
        <color rgb="FF000000"/>
        <rFont val="Arial"/>
        <family val="2"/>
      </rPr>
      <t> </t>
    </r>
  </si>
  <si>
    <t>PRECIO SECOP II</t>
  </si>
  <si>
    <t>PROYECCIÓN HISTORICO MAS 2020 IPC(1.61%)</t>
  </si>
  <si>
    <t>BD</t>
  </si>
  <si>
    <t>BIOMERIEUX</t>
  </si>
  <si>
    <t>PRECIO ESTIMADO</t>
  </si>
  <si>
    <r>
      <t>1</t>
    </r>
    <r>
      <rPr>
        <sz val="8"/>
        <color rgb="FF000000"/>
        <rFont val="Arial"/>
        <family val="2"/>
      </rPr>
      <t> </t>
    </r>
  </si>
  <si>
    <t>PRUEBA COMPLETA </t>
  </si>
  <si>
    <r>
      <t>2</t>
    </r>
    <r>
      <rPr>
        <sz val="8"/>
        <color rgb="FF000000"/>
        <rFont val="Arial"/>
        <family val="2"/>
      </rPr>
      <t> </t>
    </r>
  </si>
  <si>
    <r>
      <t>3</t>
    </r>
    <r>
      <rPr>
        <sz val="8"/>
        <color rgb="FF000000"/>
        <rFont val="Arial"/>
        <family val="2"/>
      </rPr>
      <t> </t>
    </r>
  </si>
  <si>
    <r>
      <t>4</t>
    </r>
    <r>
      <rPr>
        <sz val="8"/>
        <color rgb="FF000000"/>
        <rFont val="Arial"/>
        <family val="2"/>
      </rPr>
      <t> </t>
    </r>
  </si>
  <si>
    <t>ANÁLISIS TÉCNICOS</t>
  </si>
  <si>
    <t>PRUEBA PARA IDENTIFICACIÓN DE GÉRMENES GRAM NEGATIVOS </t>
  </si>
  <si>
    <t>PRUEBA PARA IDENTIFICACIÓN DE GÉRMENES GRAM POSITIVOS </t>
  </si>
  <si>
    <t>PRUEBA PARA DETERMINACIÓN DE SUSCEPTIBILIDAD DE GERMENES GRAM NEGATIVOS </t>
  </si>
  <si>
    <t>PRUEBA PARA DETERMINACIÓN DE SUSCEPTIBILIDAD DE GERMENES GRAM POSITIVOS </t>
  </si>
  <si>
    <t>LABCARE</t>
  </si>
  <si>
    <t>ANNAR</t>
  </si>
  <si>
    <t>BYOSISTEMS</t>
  </si>
  <si>
    <t>QUINBERLAB</t>
  </si>
  <si>
    <t>1 </t>
  </si>
  <si>
    <t>TEST INMUNOCROMATOGRÁFICO PARA LA DETECCIÓN DE CARBAPENEMASAS </t>
  </si>
  <si>
    <t>TARJETA, PANEL, O GALERIA PARA DETERMINAR  SUSCEPTIBILIDAD DE GERMENES EXIGENTES COMO NEISSERIA Y HAEMOPHILUS </t>
  </si>
  <si>
    <t>PRUEBA </t>
  </si>
  <si>
    <t>UNIDAD </t>
  </si>
  <si>
    <t>ASA DE 1UL </t>
  </si>
  <si>
    <t>UNIDAD  </t>
  </si>
  <si>
    <t>ASA DE 10 UL </t>
  </si>
  <si>
    <t>ASA METÁLICA CURVA </t>
  </si>
  <si>
    <t>ASA METÁLICA RECTA  </t>
  </si>
  <si>
    <t>ASA METÁLICA MICOLÓGICA  </t>
  </si>
  <si>
    <t>BACTERIURITEST X 200 </t>
  </si>
  <si>
    <t>FRASCO POR 200 TIRAS </t>
  </si>
  <si>
    <t>VIAL POR 50 unidades </t>
  </si>
  <si>
    <t>PRUEBA DE SENSIDISCO PARA OXIDASA </t>
  </si>
  <si>
    <t>PRUEBA DE SENSIDISCO PARA ERTAPENEM </t>
  </si>
  <si>
    <t>PRUEBA DE SENSIDISCO PARA ÁCIDO BORÓNICO </t>
  </si>
  <si>
    <t>PRUEBA DE SENSIDISCO DE AMOXACILINA </t>
  </si>
  <si>
    <t>PRUEBA DE SENSIDISCO DE CEFRADINE </t>
  </si>
  <si>
    <t>REACTIVO DE KOVACS (INDOL) </t>
  </si>
  <si>
    <t>FRASCO POR 100 mL </t>
  </si>
  <si>
    <t>CATALASA </t>
  </si>
  <si>
    <t>FRASCO POR 100 TEST</t>
  </si>
  <si>
    <t>2 </t>
  </si>
  <si>
    <t>3 </t>
  </si>
  <si>
    <t>4 </t>
  </si>
  <si>
    <t>5 </t>
  </si>
  <si>
    <t>6 </t>
  </si>
  <si>
    <t>7 </t>
  </si>
  <si>
    <t>8 </t>
  </si>
  <si>
    <t>9 </t>
  </si>
  <si>
    <r>
      <t>GRUPO No.3 TAMIZAJE NEONATAL AMPLIADO (LABORATORIO CLÍNICO DE REFERENCIA NACIONAL - ADJUDICACIÓN PARCIAL POR GRUPO)</t>
    </r>
    <r>
      <rPr>
        <sz val="8"/>
        <color rgb="FF000000"/>
        <rFont val="Arial"/>
        <family val="2"/>
      </rPr>
      <t> </t>
    </r>
  </si>
  <si>
    <r>
      <t>ÍTEM</t>
    </r>
    <r>
      <rPr>
        <sz val="8"/>
        <color rgb="FF000000"/>
        <rFont val="Arial"/>
        <family val="2"/>
      </rPr>
      <t> </t>
    </r>
  </si>
  <si>
    <t>ROPSOHN</t>
  </si>
  <si>
    <t>TSH NEONATAL </t>
  </si>
  <si>
    <t>FENILALANINA </t>
  </si>
  <si>
    <t>GLUCOSA 6 FOSFATO DESHIDROGENASA (G6PD) </t>
  </si>
  <si>
    <t>17-HIDROXIPROGESTERONA </t>
  </si>
  <si>
    <t>GALACTOSA </t>
  </si>
  <si>
    <t>TRIPSINA INMUNOREACTIVA (IRT) </t>
  </si>
  <si>
    <t>BIOTINIDASA (BTD) </t>
  </si>
  <si>
    <t>DETERGENTE BIODEGRADABLE NEUTRO </t>
  </si>
  <si>
    <t>GALÓN </t>
  </si>
  <si>
    <t>ACEITE DE INMERSIÓN </t>
  </si>
  <si>
    <t>FRASCO POR 500 ML </t>
  </si>
  <si>
    <t>PAPEL PARAFILM </t>
  </si>
  <si>
    <t>ROLLO </t>
  </si>
  <si>
    <t>PAPEL FILTRO </t>
  </si>
  <si>
    <t>CAJA X 100 UNIDADES </t>
  </si>
  <si>
    <t>TIRA INDICADOR E PH X 100 </t>
  </si>
  <si>
    <t>CAJA POR 100 VARILLAS </t>
  </si>
  <si>
    <t>PUNTAS AMARILLAS DESECHABLES </t>
  </si>
  <si>
    <t>PUNTAS AMARILLAS CON FILTRO DESECHABLES </t>
  </si>
  <si>
    <t>RECIPIENTE RECOLECTOR PARA ORINA DE 24 HORAS </t>
  </si>
  <si>
    <t>PUNTAS PLÁSTICAS AZULES </t>
  </si>
  <si>
    <t>11 </t>
  </si>
  <si>
    <t>PUNTAS PLÁSTICAS AZULES CON FILTRO </t>
  </si>
  <si>
    <t>ANTÍGENOS FEBRILES </t>
  </si>
  <si>
    <t>KIT 6 X 5 ML </t>
  </si>
  <si>
    <t>12 </t>
  </si>
  <si>
    <t>RPR </t>
  </si>
  <si>
    <t>13 </t>
  </si>
  <si>
    <t>VDRL </t>
  </si>
  <si>
    <t>14 </t>
  </si>
  <si>
    <t>PIPETAS VSG (MANUAL) </t>
  </si>
  <si>
    <t>15 </t>
  </si>
  <si>
    <t>DETERMINACIÓN DE ANTICUERPOS HETEROFILOS </t>
  </si>
  <si>
    <t>16 </t>
  </si>
  <si>
    <t>LANCETA AUTOMÁTICA PARA TIEMPO DE SANGRÍA </t>
  </si>
  <si>
    <t>17 </t>
  </si>
  <si>
    <t>EQUIPO ALADO </t>
  </si>
  <si>
    <t>18 </t>
  </si>
  <si>
    <t>ACIDO HIPOCLOROSO </t>
  </si>
  <si>
    <t>GALON </t>
  </si>
  <si>
    <t>19 </t>
  </si>
  <si>
    <t>GLUCOSA ANHÍDRIDA </t>
  </si>
  <si>
    <t>MILILITRO </t>
  </si>
  <si>
    <t>20 </t>
  </si>
  <si>
    <t>ALCOHOL ETÍLICO 99% </t>
  </si>
  <si>
    <t>21 </t>
  </si>
  <si>
    <t>FOSFATO TRISÓDICO </t>
  </si>
  <si>
    <t>22 </t>
  </si>
  <si>
    <t>TUBO CÓNICO GRADUADO PARA CENTRÍFUGA  </t>
  </si>
  <si>
    <t>23 </t>
  </si>
  <si>
    <t>HIDRÓXIDO DE POTASIO AL 10% </t>
  </si>
  <si>
    <t>FRASCO X 100 MILILITROS</t>
  </si>
  <si>
    <t>24 </t>
  </si>
  <si>
    <t>HIDRÓXIDO DE POTASIO AL 20% </t>
  </si>
  <si>
    <t>FRASCO X 100 MILILITROS </t>
  </si>
  <si>
    <t>25 </t>
  </si>
  <si>
    <t>HIDRÓXIDO DE POTASIO AL 40% </t>
  </si>
  <si>
    <t>FRASCO 100 ML </t>
  </si>
  <si>
    <t>26 </t>
  </si>
  <si>
    <t>HIDRÓXIDO DE SODIO AL 4% </t>
  </si>
  <si>
    <t>27 </t>
  </si>
  <si>
    <t>TABLETA PARA DETERMINACIÓN DE AZUCARES REDUCTORES </t>
  </si>
  <si>
    <t>28 </t>
  </si>
  <si>
    <t>METABISULFITO DE SODIO </t>
  </si>
  <si>
    <t>FRASCO X 50 MILILITROS </t>
  </si>
  <si>
    <t>29 </t>
  </si>
  <si>
    <t>SUERO HEMOCLASIFICADOR ANTI A </t>
  </si>
  <si>
    <t>FRASCO X 10 ml </t>
  </si>
  <si>
    <t>30 </t>
  </si>
  <si>
    <t>SUERO HEMOCLASIFICADOR ANTI B </t>
  </si>
  <si>
    <t>31 </t>
  </si>
  <si>
    <t>SUERO HEMOCLASIFICADOR ANTI D </t>
  </si>
  <si>
    <t>32 </t>
  </si>
  <si>
    <t>LÁMINAS </t>
  </si>
  <si>
    <t>CAJA X 100 </t>
  </si>
  <si>
    <t>33 </t>
  </si>
  <si>
    <t>LAMINILLAS  </t>
  </si>
  <si>
    <t>CAJA X 50 </t>
  </si>
  <si>
    <t>34 </t>
  </si>
  <si>
    <t>FACTOR REUMATOIDEO SEMICUANTITATIVA  POR LATEX </t>
  </si>
  <si>
    <t>PRUEBA  </t>
  </si>
  <si>
    <t>35 </t>
  </si>
  <si>
    <t>ANTIESTREPTOLISINA O SEMICUANTITATIVA POR LÁTEX </t>
  </si>
  <si>
    <t>36 </t>
  </si>
  <si>
    <t>PROTEÍNA C REACTIVA SEMICUANTITATIVA POR LÁTEX </t>
  </si>
  <si>
    <t>37 </t>
  </si>
  <si>
    <t>COOMBS DIRECTO E INDIRECTO PRUEBA CUALITATIVA </t>
  </si>
  <si>
    <t>38 </t>
  </si>
  <si>
    <t>ALBÚMINA O LISS AL 30% </t>
  </si>
  <si>
    <t>FRASCO X 10ML </t>
  </si>
  <si>
    <t>39 </t>
  </si>
  <si>
    <t>SISTEMA KOVA </t>
  </si>
  <si>
    <t>40 </t>
  </si>
  <si>
    <t>CAPILARES CON HEPARINA </t>
  </si>
  <si>
    <t>FRASCO POR 100 ML </t>
  </si>
  <si>
    <t>41 </t>
  </si>
  <si>
    <t>CAPILARES SIN HEPARINA </t>
  </si>
  <si>
    <t>42 </t>
  </si>
  <si>
    <t>PLASTILINA SELLADORA PARA CAPILARES </t>
  </si>
  <si>
    <t>43 </t>
  </si>
  <si>
    <t>CINTA PARA ESTERILIZAR </t>
  </si>
  <si>
    <t>44 </t>
  </si>
  <si>
    <t>PAPEL DE ARROZ </t>
  </si>
  <si>
    <t>LIBRETA POR 25 HOJAS </t>
  </si>
  <si>
    <t>45 </t>
  </si>
  <si>
    <t>FRASCO RECOLECTOR DE ORINA </t>
  </si>
  <si>
    <t>46 </t>
  </si>
  <si>
    <t>RECIPIENTE RECOLECTOR DE COPROLÓGICO </t>
  </si>
  <si>
    <t>47 </t>
  </si>
  <si>
    <t>BOLSA PEDIATRICA CON ADHESIVO PARA RECOLECCIÓN DE ORINA </t>
  </si>
  <si>
    <t>48 </t>
  </si>
  <si>
    <t>TUBOS DE VIDRIO DE 20 * 75 </t>
  </si>
  <si>
    <t>49 </t>
  </si>
  <si>
    <t>TUBOS DE VIDRIO DE 13 *100 </t>
  </si>
  <si>
    <t>50 </t>
  </si>
  <si>
    <t>LAPIZ DE CERA </t>
  </si>
  <si>
    <t>TROPONINA I </t>
  </si>
  <si>
    <t>GASES ARTERIALES </t>
  </si>
  <si>
    <t>ELECTROLITOS (SODIO, POTASIO, CLORO) Y METABOLITOS (LACTOSA Y GLUCOSA) </t>
  </si>
  <si>
    <t>DIMERO D </t>
  </si>
  <si>
    <t>ITEM NUEVO, NO TIENE PRECIO HISTÓRICO</t>
  </si>
  <si>
    <t>EXCLUIDO</t>
  </si>
  <si>
    <t>EXENTO, EXCLUIDO CON IVA</t>
  </si>
  <si>
    <t>EXENTO</t>
  </si>
  <si>
    <t xml:space="preserve">EXENTO </t>
  </si>
  <si>
    <t>PRECIO HISTÓRICO 2021</t>
  </si>
  <si>
    <t>VALOR TOTAL</t>
  </si>
  <si>
    <t>PRESUPUESTO PROCESO INSUMOS Y REACTIVOS LABORATORIOS DIRECCIÓN DE SANIDAD 2021</t>
  </si>
  <si>
    <t>GRUPO</t>
  </si>
  <si>
    <t>VALOR GRUPO</t>
  </si>
  <si>
    <t>VALOR TOTAL PROCESO</t>
  </si>
  <si>
    <t>VALOR TOTAL SUBGRUPO 1.2 MICROBIOLOGÍA MEDIANA COMPLEJIDAD</t>
  </si>
  <si>
    <t>VALOR TOTAL GRUPO No.3 TAMIZAJE NEONATAL AMPLIADO</t>
  </si>
  <si>
    <t xml:space="preserve">VALOR TOTAL GRUPO No.5 OTROS INSUMOS Y REACTIVOS </t>
  </si>
  <si>
    <t>VALOR TOTAL GRUPO No. 8 MARCADORES DE INSUFICIENCIA CARDIACA, TROMBOSIS, GASES ARTERIALES</t>
  </si>
  <si>
    <t>MARCADORES DE INSUFICIENCIA CARDIACA, TROMBOSIS Y GASES ARTERIALES</t>
  </si>
  <si>
    <t xml:space="preserve">OTROS INSUMOS Y REACTIVOS </t>
  </si>
  <si>
    <t>TAMIZAJE NEONATAL AMPLIADO</t>
  </si>
  <si>
    <t>MICROBIOLOGIA MEDIANA COMPLEJIDAD</t>
  </si>
  <si>
    <t>MICROBIOLOGÍA MANUAL</t>
  </si>
  <si>
    <t>VIGENCIA 2021</t>
  </si>
  <si>
    <t>VIGENCIA 2022</t>
  </si>
  <si>
    <t>INSTITUCIÓN PRECIO SECOP</t>
  </si>
  <si>
    <t>-</t>
  </si>
  <si>
    <t>CONTRATO No. 111-02-MDN-COGFM-DIGSA-JEFSA-FAC-2020</t>
  </si>
  <si>
    <t>CONTRATO N° 108-2019 HOSPITAL MILITAR CENTRAL</t>
  </si>
  <si>
    <t>CONTRATO 265-DIGSA/CENACYOPAL-2020</t>
  </si>
  <si>
    <t>ANNAR DIAGNOSTICA</t>
  </si>
  <si>
    <r>
      <t>GRUPO 5 . MARCADORES DE INSUFICIENCIA CARDIACA, TROMBOSIS, GASES ARTERIALES, ELECTROLITOS Y METABOLITOS  (LABORATORIOS MEDIANA COMPLEJIDAD-ADJUDICACIÓN PARCIAL POR GRUPO)</t>
    </r>
    <r>
      <rPr>
        <sz val="8"/>
        <color rgb="FF000000"/>
        <rFont val="Arial"/>
        <family val="2"/>
      </rPr>
      <t> </t>
    </r>
  </si>
  <si>
    <t>MENOR VALOR COTIZADO MERCADO</t>
  </si>
  <si>
    <r>
      <t>GRUPO 1.  MICROBIOLOGÍA (LABORATORIOS MEDIANA COMPLEJIDAD-ADJUDICACIÓN PARCIAL POR GRUPO)</t>
    </r>
    <r>
      <rPr>
        <sz val="8"/>
        <color rgb="FF000000"/>
        <rFont val="Arial"/>
        <family val="2"/>
      </rPr>
      <t> </t>
    </r>
  </si>
  <si>
    <t>MENOR VALOR COTIZADO</t>
  </si>
  <si>
    <t>NOTA: no se tiene en cuenta el valor historico, teniendo en cuenta el aumento del precio del dólar.</t>
  </si>
  <si>
    <t>PROYECCIÓN HISTORICO MAS 2020 Y 2021 IPC(1.61% Y 4,4%)</t>
  </si>
  <si>
    <t>UNIDAD</t>
  </si>
  <si>
    <r>
      <t>DESCRIPCIÓN</t>
    </r>
    <r>
      <rPr>
        <sz val="8"/>
        <color theme="1"/>
        <rFont val="Arial"/>
        <family val="2"/>
      </rPr>
      <t> </t>
    </r>
  </si>
  <si>
    <t>PRECIO  HISTORICO MÀS IPC</t>
  </si>
  <si>
    <t>CANTIDAD TOTAL</t>
  </si>
  <si>
    <t>CANTIDAD POR MES</t>
  </si>
  <si>
    <t>Nº MESES</t>
  </si>
  <si>
    <t>CANTIDAD mes</t>
  </si>
  <si>
    <t>MESES</t>
  </si>
  <si>
    <t xml:space="preserve">CANTIDAD </t>
  </si>
  <si>
    <t>TOTAL</t>
  </si>
  <si>
    <t>CANTIDAD MES</t>
  </si>
  <si>
    <t>N MES</t>
  </si>
  <si>
    <t>VALOR TOTAL 6 MESES</t>
  </si>
  <si>
    <r>
      <t>GRUPO 2 MICROBIOLOGÍA MANUAL (ADJUDICACIÓN PARCIAL POR GRUPO)</t>
    </r>
    <r>
      <rPr>
        <sz val="8"/>
        <color rgb="FF000000"/>
        <rFont val="Arial"/>
        <family val="2"/>
      </rPr>
      <t> </t>
    </r>
  </si>
  <si>
    <r>
      <t>GRUPO 4. OTROS INSUMOS Y REACTIVOS (ADJUDICACIÓN PARCIAL POR GRUPO)</t>
    </r>
    <r>
      <rPr>
        <sz val="8"/>
        <color rgb="FF000000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</si>
</sst>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[Red]\-&quot;$&quot;#,##0.00"/>
    <numFmt numFmtId="165" formatCode="_-&quot;$&quot;* #,##0_-;\-&quot;$&quot;* #,##0_-;_-&quot;$&quot;* &quot;-&quot;_-;_-@_-"/>
    <numFmt numFmtId="166" formatCode="_-[$$-240A]\ * #,##0.00_-;\-[$$-240A]\ * #,##0.00_-;_-[$$-240A]\ * &quot;-&quot;??_-;_-@_-"/>
    <numFmt numFmtId="167" formatCode="_-[$$-409]* #,##0.00_ ;_-[$$-409]* \-#,##0.00\ ;_-[$$-409]* &quot;-&quot;??_ ;_-@_ "/>
    <numFmt numFmtId="168" formatCode="&quot;$&quot;#,##0.00"/>
    <numFmt numFmtId="169" formatCode="_-&quot;$&quot;* #,##0.00_-;\-&quot;$&quot;* #,##0.00_-;_-&quot;$&quot;* &quot;-&quot;_-;_-@_-"/>
  </numFmts>
  <fonts count="1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36">
    <xf numFmtId="0" fontId="0" fillId="0" borderId="0"/>
    <xf numFmtId="165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202">
    <xf numFmtId="0" fontId="0" fillId="0" borderId="0" xfId="0"/>
    <xf numFmtId="166" fontId="3" fillId="0" borderId="0" xfId="0" applyNumberFormat="1" applyFont="1" applyBorder="1" applyAlignment="1">
      <alignment horizontal="justify" vertical="center" wrapText="1"/>
    </xf>
    <xf numFmtId="0" fontId="0" fillId="0" borderId="0" xfId="0" applyBorder="1"/>
    <xf numFmtId="0" fontId="3" fillId="0" borderId="1" xfId="0" applyFont="1" applyBorder="1" applyAlignment="1">
      <alignment vertical="center" wrapText="1"/>
    </xf>
    <xf numFmtId="166" fontId="3" fillId="0" borderId="1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166" fontId="3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166" fontId="3" fillId="0" borderId="1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166" fontId="3" fillId="0" borderId="12" xfId="0" applyNumberFormat="1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168" fontId="2" fillId="2" borderId="1" xfId="0" applyNumberFormat="1" applyFont="1" applyFill="1" applyBorder="1" applyAlignment="1">
      <alignment horizontal="center" vertical="center" wrapText="1"/>
    </xf>
    <xf numFmtId="168" fontId="2" fillId="3" borderId="1" xfId="0" applyNumberFormat="1" applyFont="1" applyFill="1" applyBorder="1" applyAlignment="1">
      <alignment horizontal="center" vertical="center" wrapText="1"/>
    </xf>
    <xf numFmtId="168" fontId="3" fillId="0" borderId="1" xfId="0" applyNumberFormat="1" applyFont="1" applyBorder="1" applyAlignment="1">
      <alignment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168" fontId="6" fillId="0" borderId="1" xfId="0" applyNumberFormat="1" applyFont="1" applyBorder="1" applyAlignment="1">
      <alignment horizontal="center" vertical="center"/>
    </xf>
    <xf numFmtId="168" fontId="6" fillId="0" borderId="3" xfId="1" applyNumberFormat="1" applyFont="1" applyBorder="1" applyAlignment="1">
      <alignment vertical="center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1" xfId="0" applyNumberFormat="1" applyFont="1" applyBorder="1" applyAlignment="1">
      <alignment horizontal="left" vertical="center" wrapText="1"/>
    </xf>
    <xf numFmtId="168" fontId="3" fillId="0" borderId="1" xfId="0" applyNumberFormat="1" applyFont="1" applyFill="1" applyBorder="1" applyAlignment="1">
      <alignment vertical="center" wrapText="1"/>
    </xf>
    <xf numFmtId="168" fontId="3" fillId="0" borderId="1" xfId="0" applyNumberFormat="1" applyFont="1" applyFill="1" applyBorder="1" applyAlignment="1">
      <alignment horizontal="center" vertical="center" wrapText="1"/>
    </xf>
    <xf numFmtId="168" fontId="3" fillId="0" borderId="1" xfId="0" applyNumberFormat="1" applyFont="1" applyFill="1" applyBorder="1" applyAlignment="1">
      <alignment horizontal="justify" vertical="center" wrapText="1"/>
    </xf>
    <xf numFmtId="168" fontId="3" fillId="0" borderId="1" xfId="0" applyNumberFormat="1" applyFont="1" applyFill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vertical="center"/>
    </xf>
    <xf numFmtId="168" fontId="6" fillId="0" borderId="1" xfId="1" applyNumberFormat="1" applyFont="1" applyBorder="1" applyAlignment="1">
      <alignment vertical="center"/>
    </xf>
    <xf numFmtId="167" fontId="6" fillId="0" borderId="1" xfId="0" applyNumberFormat="1" applyFont="1" applyBorder="1" applyAlignment="1">
      <alignment horizontal="right" vertical="center"/>
    </xf>
    <xf numFmtId="167" fontId="6" fillId="0" borderId="3" xfId="0" applyNumberFormat="1" applyFont="1" applyBorder="1" applyAlignment="1">
      <alignment horizontal="right" vertical="center"/>
    </xf>
    <xf numFmtId="167" fontId="11" fillId="4" borderId="5" xfId="0" applyNumberFormat="1" applyFont="1" applyFill="1" applyBorder="1" applyAlignment="1">
      <alignment horizontal="right"/>
    </xf>
    <xf numFmtId="167" fontId="11" fillId="4" borderId="6" xfId="0" applyNumberFormat="1" applyFont="1" applyFill="1" applyBorder="1" applyAlignment="1"/>
    <xf numFmtId="166" fontId="3" fillId="0" borderId="1" xfId="0" applyNumberFormat="1" applyFont="1" applyFill="1" applyBorder="1" applyAlignment="1">
      <alignment vertical="center" wrapText="1"/>
    </xf>
    <xf numFmtId="166" fontId="11" fillId="4" borderId="5" xfId="0" applyNumberFormat="1" applyFont="1" applyFill="1" applyBorder="1" applyAlignment="1">
      <alignment vertical="center"/>
    </xf>
    <xf numFmtId="166" fontId="11" fillId="4" borderId="6" xfId="0" applyNumberFormat="1" applyFont="1" applyFill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16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3" fillId="0" borderId="1" xfId="0" applyNumberFormat="1" applyFont="1" applyFill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3" fontId="0" fillId="0" borderId="0" xfId="34" applyFont="1"/>
    <xf numFmtId="166" fontId="0" fillId="0" borderId="0" xfId="0" applyNumberFormat="1"/>
    <xf numFmtId="168" fontId="2" fillId="0" borderId="1" xfId="0" applyNumberFormat="1" applyFont="1" applyFill="1" applyBorder="1" applyAlignment="1">
      <alignment vertical="center" wrapText="1"/>
    </xf>
    <xf numFmtId="168" fontId="3" fillId="2" borderId="1" xfId="0" applyNumberFormat="1" applyFont="1" applyFill="1" applyBorder="1" applyAlignment="1">
      <alignment vertical="center" wrapText="1"/>
    </xf>
    <xf numFmtId="0" fontId="0" fillId="0" borderId="0" xfId="0" applyFont="1" applyAlignment="1"/>
    <xf numFmtId="168" fontId="2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  <xf numFmtId="168" fontId="6" fillId="0" borderId="26" xfId="1" applyNumberFormat="1" applyFont="1" applyFill="1" applyBorder="1" applyAlignment="1">
      <alignment vertical="center"/>
    </xf>
    <xf numFmtId="43" fontId="0" fillId="0" borderId="0" xfId="0" applyNumberFormat="1"/>
    <xf numFmtId="0" fontId="8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right"/>
    </xf>
    <xf numFmtId="168" fontId="6" fillId="0" borderId="1" xfId="0" applyNumberFormat="1" applyFont="1" applyFill="1" applyBorder="1" applyAlignment="1">
      <alignment horizontal="right" vertical="center" wrapText="1"/>
    </xf>
    <xf numFmtId="166" fontId="6" fillId="0" borderId="1" xfId="0" applyNumberFormat="1" applyFont="1" applyBorder="1" applyAlignment="1">
      <alignment horizontal="right"/>
    </xf>
    <xf numFmtId="168" fontId="8" fillId="4" borderId="1" xfId="0" applyNumberFormat="1" applyFont="1" applyFill="1" applyBorder="1" applyAlignment="1">
      <alignment horizontal="right"/>
    </xf>
    <xf numFmtId="164" fontId="8" fillId="4" borderId="1" xfId="0" applyNumberFormat="1" applyFont="1" applyFill="1" applyBorder="1" applyAlignment="1">
      <alignment horizontal="right"/>
    </xf>
    <xf numFmtId="43" fontId="6" fillId="0" borderId="1" xfId="34" applyFont="1" applyBorder="1" applyAlignment="1">
      <alignment horizontal="right"/>
    </xf>
    <xf numFmtId="168" fontId="6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1" fontId="2" fillId="2" borderId="2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" fontId="0" fillId="0" borderId="0" xfId="0" applyNumberFormat="1"/>
    <xf numFmtId="0" fontId="14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7" fontId="0" fillId="0" borderId="0" xfId="0" applyNumberFormat="1"/>
    <xf numFmtId="44" fontId="0" fillId="0" borderId="0" xfId="35" applyFont="1"/>
    <xf numFmtId="166" fontId="5" fillId="0" borderId="0" xfId="0" applyNumberFormat="1" applyFont="1"/>
    <xf numFmtId="167" fontId="11" fillId="0" borderId="1" xfId="0" applyNumberFormat="1" applyFont="1" applyBorder="1" applyAlignment="1">
      <alignment vertical="center"/>
    </xf>
    <xf numFmtId="0" fontId="11" fillId="4" borderId="26" xfId="0" applyFont="1" applyFill="1" applyBorder="1" applyAlignment="1">
      <alignment horizontal="center" vertical="center"/>
    </xf>
    <xf numFmtId="169" fontId="6" fillId="0" borderId="1" xfId="1" applyNumberFormat="1" applyFont="1" applyBorder="1" applyAlignment="1">
      <alignment horizontal="center" vertical="center"/>
    </xf>
    <xf numFmtId="169" fontId="9" fillId="4" borderId="23" xfId="1" applyNumberFormat="1" applyFont="1" applyFill="1" applyBorder="1" applyAlignment="1">
      <alignment horizontal="center" vertical="center"/>
    </xf>
    <xf numFmtId="165" fontId="0" fillId="0" borderId="0" xfId="0" applyNumberFormat="1"/>
    <xf numFmtId="169" fontId="6" fillId="0" borderId="3" xfId="1" applyNumberFormat="1" applyFont="1" applyBorder="1" applyAlignment="1">
      <alignment horizontal="center" vertical="center"/>
    </xf>
    <xf numFmtId="169" fontId="9" fillId="4" borderId="15" xfId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66" fontId="3" fillId="0" borderId="1" xfId="0" applyNumberFormat="1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66" fontId="3" fillId="0" borderId="3" xfId="0" applyNumberFormat="1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166" fontId="3" fillId="0" borderId="25" xfId="0" applyNumberFormat="1" applyFont="1" applyBorder="1" applyAlignment="1">
      <alignment horizontal="center" vertical="center" wrapText="1"/>
    </xf>
    <xf numFmtId="166" fontId="3" fillId="0" borderId="12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43" fontId="0" fillId="0" borderId="0" xfId="34" applyFont="1" applyAlignment="1"/>
    <xf numFmtId="43" fontId="0" fillId="0" borderId="1" xfId="34" applyFont="1" applyBorder="1" applyAlignment="1"/>
    <xf numFmtId="0" fontId="1" fillId="4" borderId="28" xfId="0" applyFont="1" applyFill="1" applyBorder="1" applyAlignment="1">
      <alignment horizontal="center" vertical="center" wrapText="1"/>
    </xf>
    <xf numFmtId="43" fontId="2" fillId="2" borderId="1" xfId="34" applyFont="1" applyFill="1" applyBorder="1" applyAlignment="1">
      <alignment horizontal="center" vertical="center" wrapText="1"/>
    </xf>
    <xf numFmtId="43" fontId="6" fillId="0" borderId="1" xfId="34" applyFont="1" applyBorder="1" applyAlignment="1">
      <alignment vertical="center"/>
    </xf>
    <xf numFmtId="43" fontId="3" fillId="0" borderId="1" xfId="34" applyFont="1" applyFill="1" applyBorder="1" applyAlignment="1">
      <alignment horizontal="right" vertical="center" wrapText="1"/>
    </xf>
    <xf numFmtId="43" fontId="6" fillId="0" borderId="1" xfId="34" applyFont="1" applyFill="1" applyBorder="1" applyAlignment="1">
      <alignment horizontal="right" vertical="center"/>
    </xf>
    <xf numFmtId="43" fontId="6" fillId="0" borderId="1" xfId="34" applyFont="1" applyFill="1" applyBorder="1" applyAlignment="1">
      <alignment horizontal="right"/>
    </xf>
    <xf numFmtId="43" fontId="11" fillId="4" borderId="5" xfId="34" applyFont="1" applyFill="1" applyBorder="1" applyAlignment="1">
      <alignment horizontal="right" vertical="center"/>
    </xf>
    <xf numFmtId="43" fontId="0" fillId="0" borderId="0" xfId="34" applyFont="1" applyAlignment="1">
      <alignment horizontal="right"/>
    </xf>
    <xf numFmtId="169" fontId="8" fillId="0" borderId="1" xfId="1" applyNumberFormat="1" applyFont="1" applyBorder="1" applyAlignment="1">
      <alignment horizontal="center" vertical="center"/>
    </xf>
    <xf numFmtId="0" fontId="0" fillId="6" borderId="0" xfId="0" applyFill="1"/>
    <xf numFmtId="0" fontId="2" fillId="6" borderId="2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43" fontId="2" fillId="6" borderId="1" xfId="34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166" fontId="0" fillId="6" borderId="0" xfId="0" applyNumberFormat="1" applyFill="1"/>
    <xf numFmtId="0" fontId="3" fillId="6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justify" vertical="center" wrapText="1"/>
    </xf>
    <xf numFmtId="0" fontId="3" fillId="6" borderId="1" xfId="0" applyFont="1" applyFill="1" applyBorder="1" applyAlignment="1">
      <alignment horizontal="center" vertical="center" wrapText="1"/>
    </xf>
    <xf numFmtId="166" fontId="3" fillId="6" borderId="1" xfId="0" applyNumberFormat="1" applyFont="1" applyFill="1" applyBorder="1" applyAlignment="1">
      <alignment horizontal="center" vertical="center" wrapText="1"/>
    </xf>
    <xf numFmtId="166" fontId="3" fillId="6" borderId="1" xfId="0" applyNumberFormat="1" applyFont="1" applyFill="1" applyBorder="1" applyAlignment="1">
      <alignment horizontal="justify" vertical="center" wrapText="1"/>
    </xf>
    <xf numFmtId="9" fontId="6" fillId="6" borderId="1" xfId="0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43" fontId="3" fillId="6" borderId="1" xfId="34" applyFont="1" applyFill="1" applyBorder="1" applyAlignment="1">
      <alignment horizontal="center" vertical="center" wrapText="1"/>
    </xf>
    <xf numFmtId="44" fontId="3" fillId="6" borderId="1" xfId="35" applyFont="1" applyFill="1" applyBorder="1" applyAlignment="1">
      <alignment horizontal="center" vertical="center" wrapText="1"/>
    </xf>
    <xf numFmtId="44" fontId="3" fillId="6" borderId="3" xfId="35" applyFont="1" applyFill="1" applyBorder="1" applyAlignment="1">
      <alignment horizontal="center" vertical="center" wrapText="1"/>
    </xf>
    <xf numFmtId="43" fontId="0" fillId="6" borderId="0" xfId="34" applyFont="1" applyFill="1"/>
    <xf numFmtId="43" fontId="0" fillId="6" borderId="0" xfId="0" applyNumberFormat="1" applyFill="1"/>
    <xf numFmtId="8" fontId="3" fillId="6" borderId="1" xfId="0" applyNumberFormat="1" applyFont="1" applyFill="1" applyBorder="1" applyAlignment="1">
      <alignment horizontal="center" vertical="center" wrapText="1"/>
    </xf>
    <xf numFmtId="9" fontId="6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vertical="center" wrapText="1"/>
    </xf>
    <xf numFmtId="166" fontId="3" fillId="6" borderId="1" xfId="0" applyNumberFormat="1" applyFont="1" applyFill="1" applyBorder="1" applyAlignment="1">
      <alignment vertical="center" wrapText="1"/>
    </xf>
    <xf numFmtId="166" fontId="3" fillId="6" borderId="1" xfId="0" applyNumberFormat="1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9" fillId="6" borderId="5" xfId="0" applyFont="1" applyFill="1" applyBorder="1" applyAlignment="1">
      <alignment horizontal="center" vertical="center"/>
    </xf>
    <xf numFmtId="43" fontId="10" fillId="6" borderId="5" xfId="34" applyFont="1" applyFill="1" applyBorder="1" applyAlignment="1">
      <alignment horizontal="center" vertical="center" wrapText="1"/>
    </xf>
    <xf numFmtId="166" fontId="10" fillId="6" borderId="5" xfId="0" applyNumberFormat="1" applyFont="1" applyFill="1" applyBorder="1" applyAlignment="1">
      <alignment horizontal="center" vertical="center" wrapText="1"/>
    </xf>
    <xf numFmtId="166" fontId="10" fillId="6" borderId="6" xfId="0" applyNumberFormat="1" applyFont="1" applyFill="1" applyBorder="1" applyAlignment="1">
      <alignment horizontal="center" vertical="center" wrapText="1"/>
    </xf>
    <xf numFmtId="1" fontId="2" fillId="6" borderId="2" xfId="0" applyNumberFormat="1" applyFont="1" applyFill="1" applyBorder="1" applyAlignment="1">
      <alignment horizontal="center" vertical="center" wrapText="1"/>
    </xf>
    <xf numFmtId="168" fontId="3" fillId="6" borderId="1" xfId="0" applyNumberFormat="1" applyFont="1" applyFill="1" applyBorder="1" applyAlignment="1">
      <alignment vertical="center" wrapText="1"/>
    </xf>
    <xf numFmtId="168" fontId="3" fillId="6" borderId="1" xfId="0" applyNumberFormat="1" applyFont="1" applyFill="1" applyBorder="1" applyAlignment="1">
      <alignment horizontal="center" vertical="center" wrapText="1"/>
    </xf>
    <xf numFmtId="168" fontId="3" fillId="6" borderId="1" xfId="0" applyNumberFormat="1" applyFont="1" applyFill="1" applyBorder="1" applyAlignment="1">
      <alignment horizontal="justify" vertical="center" wrapText="1"/>
    </xf>
    <xf numFmtId="43" fontId="0" fillId="6" borderId="1" xfId="34" applyFont="1" applyFill="1" applyBorder="1" applyAlignment="1"/>
    <xf numFmtId="168" fontId="6" fillId="6" borderId="1" xfId="0" applyNumberFormat="1" applyFont="1" applyFill="1" applyBorder="1" applyAlignment="1">
      <alignment horizontal="center" vertical="center"/>
    </xf>
    <xf numFmtId="3" fontId="0" fillId="6" borderId="1" xfId="0" applyNumberFormat="1" applyFill="1" applyBorder="1" applyAlignment="1">
      <alignment horizontal="center" vertical="center"/>
    </xf>
    <xf numFmtId="43" fontId="6" fillId="6" borderId="1" xfId="34" applyFont="1" applyFill="1" applyBorder="1" applyAlignment="1">
      <alignment vertical="center"/>
    </xf>
    <xf numFmtId="168" fontId="6" fillId="6" borderId="1" xfId="1" applyNumberFormat="1" applyFont="1" applyFill="1" applyBorder="1" applyAlignment="1">
      <alignment vertical="center"/>
    </xf>
    <xf numFmtId="168" fontId="6" fillId="6" borderId="3" xfId="1" applyNumberFormat="1" applyFont="1" applyFill="1" applyBorder="1" applyAlignment="1">
      <alignment vertical="center"/>
    </xf>
    <xf numFmtId="9" fontId="0" fillId="6" borderId="1" xfId="0" applyNumberForma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168" fontId="2" fillId="2" borderId="18" xfId="0" applyNumberFormat="1" applyFont="1" applyFill="1" applyBorder="1" applyAlignment="1">
      <alignment horizontal="center" vertical="center" wrapText="1"/>
    </xf>
    <xf numFmtId="168" fontId="2" fillId="2" borderId="19" xfId="0" applyNumberFormat="1" applyFont="1" applyFill="1" applyBorder="1" applyAlignment="1">
      <alignment horizontal="center" vertical="center" wrapText="1"/>
    </xf>
    <xf numFmtId="168" fontId="2" fillId="2" borderId="20" xfId="0" applyNumberFormat="1" applyFont="1" applyFill="1" applyBorder="1" applyAlignment="1">
      <alignment horizontal="center" vertical="center" wrapText="1"/>
    </xf>
    <xf numFmtId="43" fontId="2" fillId="2" borderId="1" xfId="34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 wrapText="1"/>
    </xf>
    <xf numFmtId="0" fontId="2" fillId="6" borderId="19" xfId="0" applyFont="1" applyFill="1" applyBorder="1" applyAlignment="1">
      <alignment horizontal="center" vertical="center" wrapText="1"/>
    </xf>
    <xf numFmtId="0" fontId="2" fillId="6" borderId="20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</cellXfs>
  <cellStyles count="36">
    <cellStyle name="Hipervínculo" xfId="2" builtinId="8" hidden="1"/>
    <cellStyle name="Hipervínculo" xfId="4" builtinId="8" hidden="1"/>
    <cellStyle name="Hipervínculo" xfId="6" builtinId="8" hidden="1"/>
    <cellStyle name="Hipervínculo" xfId="8" builtinId="8" hidden="1"/>
    <cellStyle name="Hipervínculo" xfId="10" builtinId="8" hidden="1"/>
    <cellStyle name="Hipervínculo" xfId="12" builtinId="8" hidden="1"/>
    <cellStyle name="Hipervínculo" xfId="14" builtinId="8" hidden="1"/>
    <cellStyle name="Hipervínculo" xfId="16" builtinId="8" hidden="1"/>
    <cellStyle name="Hipervínculo" xfId="18" builtinId="8" hidden="1"/>
    <cellStyle name="Hipervínculo" xfId="20" builtinId="8" hidden="1"/>
    <cellStyle name="Hipervínculo" xfId="22" builtinId="8" hidden="1"/>
    <cellStyle name="Hipervínculo" xfId="24" builtinId="8" hidden="1"/>
    <cellStyle name="Hipervínculo" xfId="26" builtinId="8" hidden="1"/>
    <cellStyle name="Hipervínculo" xfId="28" builtinId="8" hidden="1"/>
    <cellStyle name="Hipervínculo" xfId="30" builtinId="8" hidden="1"/>
    <cellStyle name="Hipervínculo" xfId="32" builtinId="8" hidden="1"/>
    <cellStyle name="Hipervínculo visitado" xfId="3" builtinId="9" hidden="1"/>
    <cellStyle name="Hipervínculo visitado" xfId="5" builtinId="9" hidden="1"/>
    <cellStyle name="Hipervínculo visitado" xfId="7" builtinId="9" hidden="1"/>
    <cellStyle name="Hipervínculo visitado" xfId="9" builtinId="9" hidden="1"/>
    <cellStyle name="Hipervínculo visitado" xfId="11" builtinId="9" hidden="1"/>
    <cellStyle name="Hipervínculo visitado" xfId="13" builtinId="9" hidden="1"/>
    <cellStyle name="Hipervínculo visitado" xfId="15" builtinId="9" hidden="1"/>
    <cellStyle name="Hipervínculo visitado" xfId="17" builtinId="9" hidden="1"/>
    <cellStyle name="Hipervínculo visitado" xfId="19" builtinId="9" hidden="1"/>
    <cellStyle name="Hipervínculo visitado" xfId="21" builtinId="9" hidden="1"/>
    <cellStyle name="Hipervínculo visitado" xfId="23" builtinId="9" hidden="1"/>
    <cellStyle name="Hipervínculo visitado" xfId="25" builtinId="9" hidden="1"/>
    <cellStyle name="Hipervínculo visitado" xfId="27" builtinId="9" hidden="1"/>
    <cellStyle name="Hipervínculo visitado" xfId="29" builtinId="9" hidden="1"/>
    <cellStyle name="Hipervínculo visitado" xfId="31" builtinId="9" hidden="1"/>
    <cellStyle name="Hipervínculo visitado" xfId="33" builtinId="9" hidden="1"/>
    <cellStyle name="Millares" xfId="34" builtinId="3"/>
    <cellStyle name="Moneda" xfId="35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opLeftCell="B1" zoomScale="120" zoomScaleNormal="120" workbookViewId="0">
      <selection activeCell="L15" sqref="L15"/>
    </sheetView>
  </sheetViews>
  <sheetFormatPr baseColWidth="10" defaultRowHeight="15" x14ac:dyDescent="0.25"/>
  <cols>
    <col min="2" max="2" width="16.28515625" customWidth="1"/>
    <col min="9" max="9" width="14.85546875" bestFit="1" customWidth="1"/>
    <col min="14" max="14" width="18.28515625" customWidth="1"/>
    <col min="15" max="15" width="20" customWidth="1"/>
    <col min="16" max="16" width="19.140625" customWidth="1"/>
    <col min="17" max="17" width="15" customWidth="1"/>
    <col min="18" max="18" width="20.28515625" customWidth="1"/>
    <col min="19" max="19" width="16.7109375" bestFit="1" customWidth="1"/>
    <col min="21" max="21" width="16.42578125" bestFit="1" customWidth="1"/>
    <col min="23" max="23" width="15.7109375" bestFit="1" customWidth="1"/>
  </cols>
  <sheetData>
    <row r="1" spans="1:23" ht="22.5" customHeight="1" x14ac:dyDescent="0.25">
      <c r="A1" s="172" t="s">
        <v>206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4"/>
    </row>
    <row r="2" spans="1:23" ht="43.5" customHeight="1" x14ac:dyDescent="0.25">
      <c r="A2" s="5" t="s">
        <v>0</v>
      </c>
      <c r="B2" s="62" t="s">
        <v>1</v>
      </c>
      <c r="C2" s="62" t="s">
        <v>2</v>
      </c>
      <c r="D2" s="62" t="s">
        <v>3</v>
      </c>
      <c r="E2" s="62" t="s">
        <v>198</v>
      </c>
      <c r="F2" s="17" t="s">
        <v>181</v>
      </c>
      <c r="G2" s="62" t="s">
        <v>4</v>
      </c>
      <c r="H2" s="62" t="s">
        <v>13</v>
      </c>
      <c r="I2" s="62" t="s">
        <v>7</v>
      </c>
      <c r="J2" s="62" t="s">
        <v>178</v>
      </c>
      <c r="K2" s="62" t="s">
        <v>220</v>
      </c>
      <c r="L2" s="114" t="s">
        <v>217</v>
      </c>
      <c r="M2" s="114" t="s">
        <v>219</v>
      </c>
      <c r="N2" s="62" t="s">
        <v>222</v>
      </c>
      <c r="O2" s="64" t="s">
        <v>196</v>
      </c>
      <c r="P2" s="65" t="s">
        <v>197</v>
      </c>
    </row>
    <row r="3" spans="1:23" ht="63" customHeight="1" x14ac:dyDescent="0.25">
      <c r="A3" s="9" t="s">
        <v>8</v>
      </c>
      <c r="B3" s="67" t="s">
        <v>14</v>
      </c>
      <c r="C3" s="68" t="s">
        <v>9</v>
      </c>
      <c r="D3" s="16">
        <v>21032</v>
      </c>
      <c r="E3" s="68" t="s">
        <v>200</v>
      </c>
      <c r="F3" s="16">
        <v>18035</v>
      </c>
      <c r="G3" s="66">
        <f>F3+793.54</f>
        <v>18828.54</v>
      </c>
      <c r="H3" s="16">
        <v>20200</v>
      </c>
      <c r="I3" s="16">
        <v>20200</v>
      </c>
      <c r="J3" s="66" t="s">
        <v>179</v>
      </c>
      <c r="K3" s="22">
        <f>500</f>
        <v>500</v>
      </c>
      <c r="L3" s="22">
        <v>6</v>
      </c>
      <c r="M3" s="22">
        <f>K3*L3</f>
        <v>3000</v>
      </c>
      <c r="N3" s="49">
        <f>M3*I3</f>
        <v>60600000</v>
      </c>
      <c r="O3" s="51">
        <f>R3</f>
        <v>5050000</v>
      </c>
      <c r="P3" s="52">
        <f>Q3*5+O3</f>
        <v>55550000</v>
      </c>
      <c r="Q3" s="70">
        <f>N3/6</f>
        <v>10100000</v>
      </c>
      <c r="R3" s="71">
        <f>Q3/2</f>
        <v>5050000</v>
      </c>
      <c r="S3" s="71"/>
      <c r="U3" s="71">
        <f>T3*I3</f>
        <v>0</v>
      </c>
      <c r="W3" s="101"/>
    </row>
    <row r="4" spans="1:23" ht="72.75" customHeight="1" x14ac:dyDescent="0.25">
      <c r="A4" s="9" t="s">
        <v>10</v>
      </c>
      <c r="B4" s="67" t="s">
        <v>15</v>
      </c>
      <c r="C4" s="68" t="s">
        <v>9</v>
      </c>
      <c r="D4" s="16">
        <v>21032</v>
      </c>
      <c r="E4" s="68" t="s">
        <v>200</v>
      </c>
      <c r="F4" s="16">
        <v>18035</v>
      </c>
      <c r="G4" s="66">
        <f t="shared" ref="G4:G6" si="0">F4+793.54</f>
        <v>18828.54</v>
      </c>
      <c r="H4" s="16">
        <v>20200</v>
      </c>
      <c r="I4" s="16">
        <v>20200</v>
      </c>
      <c r="J4" s="66" t="s">
        <v>179</v>
      </c>
      <c r="K4" s="22">
        <f>300</f>
        <v>300</v>
      </c>
      <c r="L4" s="22">
        <v>6</v>
      </c>
      <c r="M4" s="22">
        <f t="shared" ref="M4:M6" si="1">K4*L4</f>
        <v>1800</v>
      </c>
      <c r="N4" s="49">
        <f t="shared" ref="N4:N6" si="2">M4*I4</f>
        <v>36360000</v>
      </c>
      <c r="O4" s="51">
        <f t="shared" ref="O4:O6" si="3">R4</f>
        <v>3030000</v>
      </c>
      <c r="P4" s="52">
        <f t="shared" ref="P4:P6" si="4">Q4*5+O4</f>
        <v>33330000</v>
      </c>
      <c r="Q4" s="70">
        <f t="shared" ref="Q4:Q6" si="5">N4/6</f>
        <v>6060000</v>
      </c>
      <c r="R4" s="71">
        <f t="shared" ref="R4:R6" si="6">Q4/2</f>
        <v>3030000</v>
      </c>
    </row>
    <row r="5" spans="1:23" ht="50.25" customHeight="1" x14ac:dyDescent="0.25">
      <c r="A5" s="9" t="s">
        <v>11</v>
      </c>
      <c r="B5" s="67" t="s">
        <v>16</v>
      </c>
      <c r="C5" s="68" t="s">
        <v>9</v>
      </c>
      <c r="D5" s="16">
        <v>21032</v>
      </c>
      <c r="E5" s="68" t="s">
        <v>200</v>
      </c>
      <c r="F5" s="16">
        <v>18035</v>
      </c>
      <c r="G5" s="66">
        <f t="shared" si="0"/>
        <v>18828.54</v>
      </c>
      <c r="H5" s="16">
        <v>20200</v>
      </c>
      <c r="I5" s="16">
        <v>20200</v>
      </c>
      <c r="J5" s="66" t="s">
        <v>179</v>
      </c>
      <c r="K5" s="22">
        <f>300</f>
        <v>300</v>
      </c>
      <c r="L5" s="22">
        <v>6</v>
      </c>
      <c r="M5" s="22">
        <f t="shared" si="1"/>
        <v>1800</v>
      </c>
      <c r="N5" s="49">
        <f t="shared" si="2"/>
        <v>36360000</v>
      </c>
      <c r="O5" s="51">
        <f t="shared" si="3"/>
        <v>3030000</v>
      </c>
      <c r="P5" s="52">
        <f t="shared" si="4"/>
        <v>33330000</v>
      </c>
      <c r="Q5" s="70">
        <f t="shared" si="5"/>
        <v>6060000</v>
      </c>
      <c r="R5" s="71">
        <f t="shared" si="6"/>
        <v>3030000</v>
      </c>
    </row>
    <row r="6" spans="1:23" ht="57" customHeight="1" x14ac:dyDescent="0.25">
      <c r="A6" s="9" t="s">
        <v>12</v>
      </c>
      <c r="B6" s="67" t="s">
        <v>17</v>
      </c>
      <c r="C6" s="68" t="s">
        <v>9</v>
      </c>
      <c r="D6" s="66" t="s">
        <v>199</v>
      </c>
      <c r="E6" s="66" t="s">
        <v>199</v>
      </c>
      <c r="F6" s="16">
        <v>18035</v>
      </c>
      <c r="G6" s="66">
        <f t="shared" si="0"/>
        <v>18828.54</v>
      </c>
      <c r="H6" s="16">
        <v>20200</v>
      </c>
      <c r="I6" s="16">
        <v>20200</v>
      </c>
      <c r="J6" s="66" t="s">
        <v>179</v>
      </c>
      <c r="K6" s="22">
        <f>200</f>
        <v>200</v>
      </c>
      <c r="L6" s="22">
        <v>6</v>
      </c>
      <c r="M6" s="22">
        <f t="shared" si="1"/>
        <v>1200</v>
      </c>
      <c r="N6" s="49">
        <f t="shared" si="2"/>
        <v>24240000</v>
      </c>
      <c r="O6" s="51">
        <f t="shared" si="3"/>
        <v>2020000</v>
      </c>
      <c r="P6" s="52">
        <f t="shared" si="4"/>
        <v>22220000</v>
      </c>
      <c r="Q6" s="70">
        <f t="shared" si="5"/>
        <v>4040000</v>
      </c>
      <c r="R6" s="71">
        <f t="shared" si="6"/>
        <v>2020000</v>
      </c>
    </row>
    <row r="7" spans="1:23" ht="27" customHeight="1" thickBot="1" x14ac:dyDescent="0.3">
      <c r="A7" s="175" t="s">
        <v>187</v>
      </c>
      <c r="B7" s="176"/>
      <c r="C7" s="176"/>
      <c r="D7" s="176"/>
      <c r="E7" s="176"/>
      <c r="F7" s="176"/>
      <c r="G7" s="176"/>
      <c r="H7" s="176"/>
      <c r="I7" s="176"/>
      <c r="J7" s="176"/>
      <c r="K7" s="177"/>
      <c r="L7" s="123"/>
      <c r="M7" s="123"/>
      <c r="N7" s="104">
        <f>SUM(N3:N6)</f>
        <v>157560000</v>
      </c>
      <c r="O7" s="53">
        <f>SUM(O3:O6)</f>
        <v>13130000</v>
      </c>
      <c r="P7" s="54">
        <f>SUM(P3:P6)</f>
        <v>144430000</v>
      </c>
    </row>
    <row r="8" spans="1:23" ht="27" customHeight="1" x14ac:dyDescent="0.25">
      <c r="A8" s="24"/>
      <c r="B8" s="25"/>
      <c r="C8" s="26"/>
      <c r="D8" s="26"/>
      <c r="E8" s="26"/>
      <c r="F8" s="1"/>
      <c r="G8" s="26"/>
      <c r="H8" s="1"/>
      <c r="I8" s="27"/>
      <c r="J8" s="27"/>
      <c r="K8" s="28"/>
      <c r="L8" s="28"/>
      <c r="M8" s="28"/>
      <c r="N8" s="2"/>
    </row>
    <row r="9" spans="1:23" x14ac:dyDescent="0.25">
      <c r="A9" s="178" t="s">
        <v>208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R9" s="103"/>
    </row>
  </sheetData>
  <mergeCells count="3">
    <mergeCell ref="A1:P1"/>
    <mergeCell ref="A7:K7"/>
    <mergeCell ref="A9:P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workbookViewId="0">
      <selection activeCell="L6" sqref="L6"/>
    </sheetView>
  </sheetViews>
  <sheetFormatPr baseColWidth="10" defaultRowHeight="15" x14ac:dyDescent="0.25"/>
  <cols>
    <col min="1" max="1" width="11.42578125" style="96"/>
    <col min="2" max="2" width="15.140625" customWidth="1"/>
    <col min="9" max="13" width="11.42578125" customWidth="1"/>
    <col min="14" max="14" width="11.42578125" style="74" customWidth="1"/>
    <col min="15" max="15" width="11.42578125" style="76" customWidth="1"/>
    <col min="16" max="18" width="11.42578125" customWidth="1"/>
    <col min="19" max="19" width="13.140625" customWidth="1"/>
    <col min="20" max="20" width="16.28515625" style="70" customWidth="1"/>
    <col min="21" max="21" width="17.5703125" customWidth="1"/>
    <col min="22" max="22" width="19.42578125" customWidth="1"/>
  </cols>
  <sheetData>
    <row r="1" spans="1:22" ht="18.75" customHeight="1" x14ac:dyDescent="0.25">
      <c r="A1" s="179" t="s">
        <v>223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1"/>
    </row>
    <row r="2" spans="1:22" ht="60" customHeight="1" x14ac:dyDescent="0.25">
      <c r="A2" s="94" t="s">
        <v>0</v>
      </c>
      <c r="B2" s="35" t="s">
        <v>1</v>
      </c>
      <c r="C2" s="35" t="s">
        <v>2</v>
      </c>
      <c r="D2" s="62" t="s">
        <v>3</v>
      </c>
      <c r="E2" s="62" t="s">
        <v>198</v>
      </c>
      <c r="F2" s="36" t="s">
        <v>181</v>
      </c>
      <c r="G2" s="35" t="s">
        <v>209</v>
      </c>
      <c r="H2" s="35" t="s">
        <v>212</v>
      </c>
      <c r="I2" s="35" t="s">
        <v>6</v>
      </c>
      <c r="J2" s="35" t="s">
        <v>18</v>
      </c>
      <c r="K2" s="35" t="s">
        <v>19</v>
      </c>
      <c r="L2" s="35" t="s">
        <v>20</v>
      </c>
      <c r="M2" s="35" t="s">
        <v>21</v>
      </c>
      <c r="N2" s="73" t="s">
        <v>207</v>
      </c>
      <c r="O2" s="75" t="s">
        <v>7</v>
      </c>
      <c r="P2" s="35" t="s">
        <v>178</v>
      </c>
      <c r="Q2" s="35" t="s">
        <v>214</v>
      </c>
      <c r="R2" s="35" t="s">
        <v>215</v>
      </c>
      <c r="S2" s="35" t="s">
        <v>213</v>
      </c>
      <c r="T2" s="124" t="s">
        <v>182</v>
      </c>
      <c r="U2" s="62" t="s">
        <v>196</v>
      </c>
      <c r="V2" s="6" t="s">
        <v>197</v>
      </c>
    </row>
    <row r="3" spans="1:22" s="132" customFormat="1" ht="75.75" customHeight="1" x14ac:dyDescent="0.25">
      <c r="A3" s="161">
        <v>1</v>
      </c>
      <c r="B3" s="162" t="s">
        <v>23</v>
      </c>
      <c r="C3" s="163" t="s">
        <v>9</v>
      </c>
      <c r="D3" s="163" t="s">
        <v>199</v>
      </c>
      <c r="E3" s="163" t="s">
        <v>199</v>
      </c>
      <c r="F3" s="163" t="s">
        <v>176</v>
      </c>
      <c r="G3" s="163"/>
      <c r="H3" s="163"/>
      <c r="I3" s="162"/>
      <c r="J3" s="164"/>
      <c r="K3" s="164"/>
      <c r="L3" s="164">
        <v>87500</v>
      </c>
      <c r="M3" s="164"/>
      <c r="N3" s="162">
        <f>MIN(F3:M3)</f>
        <v>87500</v>
      </c>
      <c r="O3" s="165">
        <v>87500</v>
      </c>
      <c r="P3" s="166" t="s">
        <v>179</v>
      </c>
      <c r="Q3" s="167">
        <v>25</v>
      </c>
      <c r="R3" s="167">
        <v>5</v>
      </c>
      <c r="S3" s="167">
        <f>Q3*R3</f>
        <v>125</v>
      </c>
      <c r="T3" s="168">
        <f>O3*S3</f>
        <v>10937500</v>
      </c>
      <c r="U3" s="169">
        <f>T3/5</f>
        <v>2187500</v>
      </c>
      <c r="V3" s="170">
        <f>U3*4</f>
        <v>8750000</v>
      </c>
    </row>
    <row r="4" spans="1:22" s="132" customFormat="1" ht="82.5" customHeight="1" x14ac:dyDescent="0.25">
      <c r="A4" s="161">
        <v>2</v>
      </c>
      <c r="B4" s="164" t="s">
        <v>24</v>
      </c>
      <c r="C4" s="163" t="s">
        <v>9</v>
      </c>
      <c r="D4" s="163" t="s">
        <v>199</v>
      </c>
      <c r="E4" s="163" t="s">
        <v>199</v>
      </c>
      <c r="F4" s="163" t="s">
        <v>176</v>
      </c>
      <c r="G4" s="163"/>
      <c r="H4" s="163"/>
      <c r="I4" s="164">
        <v>24978</v>
      </c>
      <c r="J4" s="164"/>
      <c r="K4" s="164"/>
      <c r="L4" s="164"/>
      <c r="M4" s="164"/>
      <c r="N4" s="162">
        <v>24978</v>
      </c>
      <c r="O4" s="165">
        <v>24978</v>
      </c>
      <c r="P4" s="166" t="s">
        <v>177</v>
      </c>
      <c r="Q4" s="167">
        <v>45</v>
      </c>
      <c r="R4" s="167">
        <v>5</v>
      </c>
      <c r="S4" s="167">
        <f t="shared" ref="S4:S17" si="0">Q4*R4</f>
        <v>225</v>
      </c>
      <c r="T4" s="168">
        <f t="shared" ref="T4:T17" si="1">O4*S4</f>
        <v>5620050</v>
      </c>
      <c r="U4" s="169">
        <f t="shared" ref="U4:U17" si="2">T4/5</f>
        <v>1124010</v>
      </c>
      <c r="V4" s="170">
        <f t="shared" ref="V4:V17" si="3">U4*4</f>
        <v>4496040</v>
      </c>
    </row>
    <row r="5" spans="1:22" s="132" customFormat="1" ht="18.75" customHeight="1" x14ac:dyDescent="0.25">
      <c r="A5" s="161">
        <v>3</v>
      </c>
      <c r="B5" s="164" t="s">
        <v>27</v>
      </c>
      <c r="C5" s="163" t="s">
        <v>28</v>
      </c>
      <c r="D5" s="163" t="s">
        <v>199</v>
      </c>
      <c r="E5" s="163" t="s">
        <v>199</v>
      </c>
      <c r="F5" s="163">
        <v>177.84</v>
      </c>
      <c r="G5" s="163">
        <f t="shared" ref="G5:G17" si="4">F5*6.01%</f>
        <v>10.688184</v>
      </c>
      <c r="H5" s="163">
        <f t="shared" ref="H5:H17" si="5">SUM(F5:G5)</f>
        <v>188.52818400000001</v>
      </c>
      <c r="I5" s="164"/>
      <c r="J5" s="164">
        <v>817</v>
      </c>
      <c r="K5" s="164">
        <v>287</v>
      </c>
      <c r="L5" s="164"/>
      <c r="M5" s="164"/>
      <c r="N5" s="162">
        <f>K5</f>
        <v>287</v>
      </c>
      <c r="O5" s="165">
        <v>287</v>
      </c>
      <c r="P5" s="171">
        <v>0.19</v>
      </c>
      <c r="Q5" s="167">
        <v>5000</v>
      </c>
      <c r="R5" s="167">
        <v>5</v>
      </c>
      <c r="S5" s="167">
        <f t="shared" si="0"/>
        <v>25000</v>
      </c>
      <c r="T5" s="168">
        <f t="shared" si="1"/>
        <v>7175000</v>
      </c>
      <c r="U5" s="169">
        <f t="shared" si="2"/>
        <v>1435000</v>
      </c>
      <c r="V5" s="170">
        <f t="shared" si="3"/>
        <v>5740000</v>
      </c>
    </row>
    <row r="6" spans="1:22" s="132" customFormat="1" ht="18.75" customHeight="1" x14ac:dyDescent="0.25">
      <c r="A6" s="161">
        <v>4</v>
      </c>
      <c r="B6" s="164" t="s">
        <v>29</v>
      </c>
      <c r="C6" s="163" t="s">
        <v>28</v>
      </c>
      <c r="D6" s="163" t="s">
        <v>199</v>
      </c>
      <c r="E6" s="163" t="s">
        <v>199</v>
      </c>
      <c r="F6" s="163">
        <v>177.84</v>
      </c>
      <c r="G6" s="163">
        <f t="shared" si="4"/>
        <v>10.688184</v>
      </c>
      <c r="H6" s="163">
        <f t="shared" si="5"/>
        <v>188.52818400000001</v>
      </c>
      <c r="I6" s="164"/>
      <c r="J6" s="164">
        <v>817</v>
      </c>
      <c r="K6" s="164">
        <v>287</v>
      </c>
      <c r="L6" s="164"/>
      <c r="M6" s="164"/>
      <c r="N6" s="162">
        <f>K6</f>
        <v>287</v>
      </c>
      <c r="O6" s="165">
        <v>287</v>
      </c>
      <c r="P6" s="171">
        <v>0.19</v>
      </c>
      <c r="Q6" s="167">
        <v>5000</v>
      </c>
      <c r="R6" s="167">
        <v>5</v>
      </c>
      <c r="S6" s="167">
        <f t="shared" si="0"/>
        <v>25000</v>
      </c>
      <c r="T6" s="168">
        <f t="shared" si="1"/>
        <v>7175000</v>
      </c>
      <c r="U6" s="169">
        <f t="shared" si="2"/>
        <v>1435000</v>
      </c>
      <c r="V6" s="170">
        <f t="shared" si="3"/>
        <v>5740000</v>
      </c>
    </row>
    <row r="7" spans="1:22" ht="18.75" customHeight="1" x14ac:dyDescent="0.25">
      <c r="A7" s="95">
        <v>5</v>
      </c>
      <c r="B7" s="37" t="s">
        <v>30</v>
      </c>
      <c r="C7" s="38" t="s">
        <v>26</v>
      </c>
      <c r="D7" s="38" t="s">
        <v>199</v>
      </c>
      <c r="E7" s="38" t="s">
        <v>199</v>
      </c>
      <c r="F7" s="38">
        <v>2113.2399999999998</v>
      </c>
      <c r="G7" s="38">
        <f t="shared" si="4"/>
        <v>127.00572399999999</v>
      </c>
      <c r="H7" s="38">
        <f t="shared" si="5"/>
        <v>2240.2457239999999</v>
      </c>
      <c r="I7" s="41"/>
      <c r="J7" s="41"/>
      <c r="K7" s="41"/>
      <c r="L7" s="41"/>
      <c r="M7" s="41"/>
      <c r="N7" s="37">
        <f>2240.25*140</f>
        <v>313635</v>
      </c>
      <c r="O7" s="122">
        <v>2240.25</v>
      </c>
      <c r="P7" s="23">
        <v>0.19</v>
      </c>
      <c r="Q7" s="47">
        <v>20</v>
      </c>
      <c r="R7" s="47">
        <v>5</v>
      </c>
      <c r="S7" s="47">
        <f t="shared" si="0"/>
        <v>100</v>
      </c>
      <c r="T7" s="125">
        <f t="shared" si="1"/>
        <v>224025</v>
      </c>
      <c r="U7" s="50">
        <f t="shared" si="2"/>
        <v>44805</v>
      </c>
      <c r="V7" s="40">
        <f t="shared" si="3"/>
        <v>179220</v>
      </c>
    </row>
    <row r="8" spans="1:22" ht="18.75" customHeight="1" x14ac:dyDescent="0.25">
      <c r="A8" s="95">
        <v>6</v>
      </c>
      <c r="B8" s="37" t="s">
        <v>31</v>
      </c>
      <c r="C8" s="38" t="s">
        <v>26</v>
      </c>
      <c r="D8" s="38" t="s">
        <v>199</v>
      </c>
      <c r="E8" s="38" t="s">
        <v>199</v>
      </c>
      <c r="F8" s="38">
        <v>2113.2399999999998</v>
      </c>
      <c r="G8" s="38">
        <f t="shared" si="4"/>
        <v>127.00572399999999</v>
      </c>
      <c r="H8" s="38">
        <f t="shared" si="5"/>
        <v>2240.2457239999999</v>
      </c>
      <c r="I8" s="41"/>
      <c r="J8" s="41"/>
      <c r="K8" s="41"/>
      <c r="L8" s="41"/>
      <c r="M8" s="41"/>
      <c r="N8" s="37"/>
      <c r="O8" s="122">
        <v>2240.25</v>
      </c>
      <c r="P8" s="23">
        <v>0.19</v>
      </c>
      <c r="Q8" s="47">
        <v>20</v>
      </c>
      <c r="R8" s="47">
        <v>5</v>
      </c>
      <c r="S8" s="47">
        <f t="shared" si="0"/>
        <v>100</v>
      </c>
      <c r="T8" s="125">
        <f t="shared" si="1"/>
        <v>224025</v>
      </c>
      <c r="U8" s="50">
        <f t="shared" si="2"/>
        <v>44805</v>
      </c>
      <c r="V8" s="40">
        <f t="shared" si="3"/>
        <v>179220</v>
      </c>
    </row>
    <row r="9" spans="1:22" ht="34.5" customHeight="1" x14ac:dyDescent="0.25">
      <c r="A9" s="95">
        <v>7</v>
      </c>
      <c r="B9" s="43" t="s">
        <v>32</v>
      </c>
      <c r="C9" s="44" t="s">
        <v>26</v>
      </c>
      <c r="D9" s="38" t="s">
        <v>199</v>
      </c>
      <c r="E9" s="38" t="s">
        <v>199</v>
      </c>
      <c r="F9" s="44">
        <v>1820.54</v>
      </c>
      <c r="G9" s="38">
        <f t="shared" si="4"/>
        <v>109.41445399999999</v>
      </c>
      <c r="H9" s="38">
        <f t="shared" si="5"/>
        <v>1929.9544539999999</v>
      </c>
      <c r="I9" s="72"/>
      <c r="J9" s="72"/>
      <c r="K9" s="72"/>
      <c r="L9" s="72"/>
      <c r="M9" s="72"/>
      <c r="N9" s="43"/>
      <c r="O9" s="122">
        <v>1929.95</v>
      </c>
      <c r="P9" s="23">
        <v>0.19</v>
      </c>
      <c r="Q9" s="47">
        <v>5</v>
      </c>
      <c r="R9" s="47">
        <v>5</v>
      </c>
      <c r="S9" s="47">
        <f t="shared" si="0"/>
        <v>25</v>
      </c>
      <c r="T9" s="125">
        <f t="shared" si="1"/>
        <v>48248.75</v>
      </c>
      <c r="U9" s="50">
        <f t="shared" si="2"/>
        <v>9649.75</v>
      </c>
      <c r="V9" s="40">
        <f t="shared" si="3"/>
        <v>38599</v>
      </c>
    </row>
    <row r="10" spans="1:22" ht="25.5" customHeight="1" x14ac:dyDescent="0.25">
      <c r="A10" s="95">
        <v>8</v>
      </c>
      <c r="B10" s="45" t="s">
        <v>33</v>
      </c>
      <c r="C10" s="44" t="s">
        <v>34</v>
      </c>
      <c r="D10" s="38" t="s">
        <v>199</v>
      </c>
      <c r="E10" s="38" t="s">
        <v>199</v>
      </c>
      <c r="F10" s="44">
        <v>148649.34</v>
      </c>
      <c r="G10" s="38">
        <f t="shared" si="4"/>
        <v>8933.8253339999992</v>
      </c>
      <c r="H10" s="38">
        <f t="shared" si="5"/>
        <v>157583.16533399999</v>
      </c>
      <c r="I10" s="45"/>
      <c r="J10" s="45"/>
      <c r="K10" s="45"/>
      <c r="L10" s="45"/>
      <c r="M10" s="41">
        <v>254660</v>
      </c>
      <c r="N10" s="43">
        <f>M10</f>
        <v>254660</v>
      </c>
      <c r="O10" s="122">
        <v>206121.58</v>
      </c>
      <c r="P10" s="23">
        <v>0.19</v>
      </c>
      <c r="Q10" s="47">
        <v>5</v>
      </c>
      <c r="R10" s="47">
        <v>5</v>
      </c>
      <c r="S10" s="47">
        <f t="shared" si="0"/>
        <v>25</v>
      </c>
      <c r="T10" s="125">
        <f t="shared" si="1"/>
        <v>5153039.5</v>
      </c>
      <c r="U10" s="50">
        <f t="shared" si="2"/>
        <v>1030607.9</v>
      </c>
      <c r="V10" s="40">
        <f t="shared" si="3"/>
        <v>4122431.6</v>
      </c>
    </row>
    <row r="11" spans="1:22" ht="42" customHeight="1" x14ac:dyDescent="0.25">
      <c r="A11" s="95">
        <v>9</v>
      </c>
      <c r="B11" s="41" t="s">
        <v>36</v>
      </c>
      <c r="C11" s="38" t="s">
        <v>35</v>
      </c>
      <c r="D11" s="38" t="s">
        <v>199</v>
      </c>
      <c r="E11" s="38" t="s">
        <v>199</v>
      </c>
      <c r="F11" s="38">
        <v>43906.97</v>
      </c>
      <c r="G11" s="38">
        <f t="shared" si="4"/>
        <v>2638.8088969999999</v>
      </c>
      <c r="H11" s="38">
        <f t="shared" si="5"/>
        <v>46545.778897000004</v>
      </c>
      <c r="I11" s="41"/>
      <c r="J11" s="41"/>
      <c r="K11" s="41">
        <v>54000</v>
      </c>
      <c r="L11" s="41"/>
      <c r="M11" s="41"/>
      <c r="N11" s="37">
        <f t="shared" ref="N11:N13" si="6">K11</f>
        <v>54000</v>
      </c>
      <c r="O11" s="122">
        <v>50272.89</v>
      </c>
      <c r="P11" s="39" t="s">
        <v>179</v>
      </c>
      <c r="Q11" s="47">
        <v>2</v>
      </c>
      <c r="R11" s="47">
        <v>5</v>
      </c>
      <c r="S11" s="47">
        <f t="shared" si="0"/>
        <v>10</v>
      </c>
      <c r="T11" s="125">
        <f t="shared" si="1"/>
        <v>502728.9</v>
      </c>
      <c r="U11" s="50">
        <f t="shared" si="2"/>
        <v>100545.78</v>
      </c>
      <c r="V11" s="40">
        <f t="shared" si="3"/>
        <v>402183.12</v>
      </c>
    </row>
    <row r="12" spans="1:22" ht="50.25" customHeight="1" x14ac:dyDescent="0.25">
      <c r="A12" s="95">
        <v>10</v>
      </c>
      <c r="B12" s="41" t="s">
        <v>37</v>
      </c>
      <c r="C12" s="38" t="s">
        <v>35</v>
      </c>
      <c r="D12" s="38" t="s">
        <v>199</v>
      </c>
      <c r="E12" s="38" t="s">
        <v>199</v>
      </c>
      <c r="F12" s="38">
        <v>37328.57</v>
      </c>
      <c r="G12" s="38">
        <f t="shared" si="4"/>
        <v>2243.4470569999999</v>
      </c>
      <c r="H12" s="38">
        <f t="shared" si="5"/>
        <v>39572.017056999997</v>
      </c>
      <c r="I12" s="42"/>
      <c r="J12" s="41"/>
      <c r="K12" s="41">
        <v>19000</v>
      </c>
      <c r="L12" s="41"/>
      <c r="M12" s="41"/>
      <c r="N12" s="37">
        <f t="shared" si="6"/>
        <v>19000</v>
      </c>
      <c r="O12" s="122">
        <v>29286.01</v>
      </c>
      <c r="P12" s="39" t="s">
        <v>179</v>
      </c>
      <c r="Q12" s="47">
        <v>2</v>
      </c>
      <c r="R12" s="47">
        <v>5</v>
      </c>
      <c r="S12" s="47">
        <f t="shared" si="0"/>
        <v>10</v>
      </c>
      <c r="T12" s="125">
        <f t="shared" si="1"/>
        <v>292860.09999999998</v>
      </c>
      <c r="U12" s="50">
        <f t="shared" si="2"/>
        <v>58572.02</v>
      </c>
      <c r="V12" s="40">
        <f t="shared" si="3"/>
        <v>234288.08</v>
      </c>
    </row>
    <row r="13" spans="1:22" ht="26.25" customHeight="1" x14ac:dyDescent="0.25">
      <c r="A13" s="95">
        <v>11</v>
      </c>
      <c r="B13" s="41" t="s">
        <v>38</v>
      </c>
      <c r="C13" s="38" t="s">
        <v>35</v>
      </c>
      <c r="D13" s="38" t="s">
        <v>199</v>
      </c>
      <c r="E13" s="38" t="s">
        <v>199</v>
      </c>
      <c r="F13" s="38">
        <v>9383.1299999999992</v>
      </c>
      <c r="G13" s="38">
        <f t="shared" si="4"/>
        <v>563.92611299999999</v>
      </c>
      <c r="H13" s="38">
        <f t="shared" si="5"/>
        <v>9947.0561129999987</v>
      </c>
      <c r="I13" s="42"/>
      <c r="J13" s="41"/>
      <c r="K13" s="41">
        <v>70000</v>
      </c>
      <c r="L13" s="41"/>
      <c r="M13" s="41"/>
      <c r="N13" s="37">
        <f t="shared" si="6"/>
        <v>70000</v>
      </c>
      <c r="O13" s="122">
        <v>70000</v>
      </c>
      <c r="P13" s="39" t="s">
        <v>179</v>
      </c>
      <c r="Q13" s="47">
        <v>1</v>
      </c>
      <c r="R13" s="47">
        <v>5</v>
      </c>
      <c r="S13" s="47">
        <f t="shared" si="0"/>
        <v>5</v>
      </c>
      <c r="T13" s="125">
        <f t="shared" si="1"/>
        <v>350000</v>
      </c>
      <c r="U13" s="50">
        <f t="shared" si="2"/>
        <v>70000</v>
      </c>
      <c r="V13" s="40">
        <f t="shared" si="3"/>
        <v>280000</v>
      </c>
    </row>
    <row r="14" spans="1:22" ht="21.75" customHeight="1" x14ac:dyDescent="0.25">
      <c r="A14" s="95">
        <v>12</v>
      </c>
      <c r="B14" s="42" t="s">
        <v>39</v>
      </c>
      <c r="C14" s="38" t="s">
        <v>35</v>
      </c>
      <c r="D14" s="38" t="s">
        <v>199</v>
      </c>
      <c r="E14" s="38" t="s">
        <v>199</v>
      </c>
      <c r="F14" s="38">
        <v>17338.41</v>
      </c>
      <c r="G14" s="38">
        <f t="shared" si="4"/>
        <v>1042.0384409999999</v>
      </c>
      <c r="H14" s="38">
        <f t="shared" si="5"/>
        <v>18380.448441</v>
      </c>
      <c r="I14" s="42"/>
      <c r="J14" s="41"/>
      <c r="K14" s="41">
        <v>19000</v>
      </c>
      <c r="L14" s="41"/>
      <c r="M14" s="41"/>
      <c r="N14" s="37">
        <f t="shared" ref="N14" si="7">K14</f>
        <v>19000</v>
      </c>
      <c r="O14" s="122">
        <v>18690.22</v>
      </c>
      <c r="P14" s="39" t="s">
        <v>179</v>
      </c>
      <c r="Q14" s="47">
        <v>1</v>
      </c>
      <c r="R14" s="47">
        <v>5</v>
      </c>
      <c r="S14" s="47">
        <f t="shared" si="0"/>
        <v>5</v>
      </c>
      <c r="T14" s="125">
        <f t="shared" si="1"/>
        <v>93451.1</v>
      </c>
      <c r="U14" s="50">
        <f t="shared" si="2"/>
        <v>18690.22</v>
      </c>
      <c r="V14" s="40">
        <f t="shared" si="3"/>
        <v>74760.88</v>
      </c>
    </row>
    <row r="15" spans="1:22" ht="24" customHeight="1" x14ac:dyDescent="0.25">
      <c r="A15" s="95">
        <v>13</v>
      </c>
      <c r="B15" s="46" t="s">
        <v>40</v>
      </c>
      <c r="C15" s="44" t="s">
        <v>35</v>
      </c>
      <c r="D15" s="38" t="s">
        <v>199</v>
      </c>
      <c r="E15" s="38" t="s">
        <v>199</v>
      </c>
      <c r="F15" s="38">
        <v>17338.41</v>
      </c>
      <c r="G15" s="38">
        <f t="shared" si="4"/>
        <v>1042.0384409999999</v>
      </c>
      <c r="H15" s="38">
        <f t="shared" si="5"/>
        <v>18380.448441</v>
      </c>
      <c r="I15" s="72"/>
      <c r="J15" s="72"/>
      <c r="K15" s="72"/>
      <c r="L15" s="72"/>
      <c r="M15" s="72"/>
      <c r="N15" s="43"/>
      <c r="O15" s="122">
        <v>18380.439999999999</v>
      </c>
      <c r="P15" s="39" t="s">
        <v>179</v>
      </c>
      <c r="Q15" s="48">
        <v>1</v>
      </c>
      <c r="R15" s="47">
        <v>5</v>
      </c>
      <c r="S15" s="47">
        <f t="shared" si="0"/>
        <v>5</v>
      </c>
      <c r="T15" s="125">
        <f t="shared" si="1"/>
        <v>91902.2</v>
      </c>
      <c r="U15" s="50">
        <f t="shared" si="2"/>
        <v>18380.439999999999</v>
      </c>
      <c r="V15" s="40">
        <f t="shared" si="3"/>
        <v>73521.759999999995</v>
      </c>
    </row>
    <row r="16" spans="1:22" s="93" customFormat="1" ht="54.75" customHeight="1" x14ac:dyDescent="0.25">
      <c r="A16" s="95">
        <v>14</v>
      </c>
      <c r="B16" s="45" t="s">
        <v>41</v>
      </c>
      <c r="C16" s="44" t="s">
        <v>42</v>
      </c>
      <c r="D16" s="44" t="s">
        <v>199</v>
      </c>
      <c r="E16" s="44" t="s">
        <v>199</v>
      </c>
      <c r="F16" s="44">
        <v>3832.81</v>
      </c>
      <c r="G16" s="44">
        <f t="shared" si="4"/>
        <v>230.35188099999999</v>
      </c>
      <c r="H16" s="44">
        <f t="shared" si="5"/>
        <v>4063.161881</v>
      </c>
      <c r="I16" s="45"/>
      <c r="J16" s="45"/>
      <c r="K16" s="45"/>
      <c r="L16" s="45"/>
      <c r="M16" s="45">
        <v>77900</v>
      </c>
      <c r="N16" s="43"/>
      <c r="O16" s="122">
        <v>77900</v>
      </c>
      <c r="P16" s="91" t="s">
        <v>179</v>
      </c>
      <c r="Q16" s="92">
        <v>3</v>
      </c>
      <c r="R16" s="47">
        <v>5</v>
      </c>
      <c r="S16" s="47">
        <f t="shared" si="0"/>
        <v>15</v>
      </c>
      <c r="T16" s="125">
        <f t="shared" si="1"/>
        <v>1168500</v>
      </c>
      <c r="U16" s="50">
        <f t="shared" si="2"/>
        <v>233700</v>
      </c>
      <c r="V16" s="40">
        <f t="shared" si="3"/>
        <v>934800</v>
      </c>
    </row>
    <row r="17" spans="1:22" ht="27.75" customHeight="1" x14ac:dyDescent="0.25">
      <c r="A17" s="95">
        <v>15</v>
      </c>
      <c r="B17" s="45" t="s">
        <v>43</v>
      </c>
      <c r="C17" s="44" t="s">
        <v>44</v>
      </c>
      <c r="D17" s="38" t="s">
        <v>199</v>
      </c>
      <c r="E17" s="38" t="s">
        <v>199</v>
      </c>
      <c r="F17" s="44">
        <v>214180.33</v>
      </c>
      <c r="G17" s="38">
        <f t="shared" si="4"/>
        <v>12872.237832999999</v>
      </c>
      <c r="H17" s="38">
        <f t="shared" si="5"/>
        <v>227052.56783299998</v>
      </c>
      <c r="I17" s="45"/>
      <c r="J17" s="45"/>
      <c r="K17" s="45"/>
      <c r="L17" s="45"/>
      <c r="M17" s="45">
        <v>203200</v>
      </c>
      <c r="N17" s="43">
        <f>M17</f>
        <v>203200</v>
      </c>
      <c r="O17" s="122">
        <v>215126.28</v>
      </c>
      <c r="P17" s="39" t="s">
        <v>179</v>
      </c>
      <c r="Q17" s="47">
        <v>3</v>
      </c>
      <c r="R17" s="47">
        <v>5</v>
      </c>
      <c r="S17" s="47">
        <f t="shared" si="0"/>
        <v>15</v>
      </c>
      <c r="T17" s="125">
        <f t="shared" si="1"/>
        <v>3226894.2</v>
      </c>
      <c r="U17" s="50">
        <f t="shared" si="2"/>
        <v>645378.84000000008</v>
      </c>
      <c r="V17" s="40">
        <f t="shared" si="3"/>
        <v>2581515.3600000003</v>
      </c>
    </row>
    <row r="18" spans="1:22" x14ac:dyDescent="0.25">
      <c r="T18" s="70">
        <f>SUM(T3:T17)</f>
        <v>42283224.750000007</v>
      </c>
      <c r="U18" s="77">
        <f>SUM(U3:U17)</f>
        <v>8456644.9500000011</v>
      </c>
      <c r="V18" s="40">
        <f>SUM(V3:V17)</f>
        <v>33826579.800000004</v>
      </c>
    </row>
    <row r="27" spans="1:22" x14ac:dyDescent="0.25">
      <c r="N27" s="121">
        <v>87500</v>
      </c>
    </row>
    <row r="28" spans="1:22" x14ac:dyDescent="0.25">
      <c r="N28" s="121">
        <v>24978</v>
      </c>
    </row>
    <row r="29" spans="1:22" x14ac:dyDescent="0.25">
      <c r="N29" s="121">
        <v>287</v>
      </c>
    </row>
    <row r="30" spans="1:22" x14ac:dyDescent="0.25">
      <c r="N30" s="121">
        <v>287</v>
      </c>
    </row>
    <row r="31" spans="1:22" x14ac:dyDescent="0.25">
      <c r="N31" s="121">
        <v>2240.25</v>
      </c>
    </row>
    <row r="32" spans="1:22" x14ac:dyDescent="0.25">
      <c r="N32" s="121">
        <v>2240.25</v>
      </c>
    </row>
    <row r="33" spans="14:22" x14ac:dyDescent="0.25">
      <c r="N33" s="121">
        <v>1929.95</v>
      </c>
      <c r="S33" s="70"/>
      <c r="T33" s="70">
        <v>2187500</v>
      </c>
      <c r="U33" s="70">
        <v>8750000</v>
      </c>
      <c r="V33" s="70">
        <v>10937500</v>
      </c>
    </row>
    <row r="34" spans="14:22" x14ac:dyDescent="0.25">
      <c r="N34" s="121">
        <v>206121.58</v>
      </c>
      <c r="S34" s="70"/>
      <c r="T34" s="70">
        <v>1124010</v>
      </c>
      <c r="U34" s="70">
        <v>4496040</v>
      </c>
      <c r="V34" s="70">
        <v>5620050</v>
      </c>
    </row>
    <row r="35" spans="14:22" x14ac:dyDescent="0.25">
      <c r="N35" s="121">
        <v>50272.89</v>
      </c>
      <c r="S35" s="70"/>
      <c r="T35" s="70">
        <v>1435000</v>
      </c>
      <c r="U35" s="70">
        <v>5740000</v>
      </c>
      <c r="V35" s="70">
        <v>7175000</v>
      </c>
    </row>
    <row r="36" spans="14:22" x14ac:dyDescent="0.25">
      <c r="N36" s="121">
        <v>29286.01</v>
      </c>
      <c r="S36" s="70"/>
      <c r="T36" s="70">
        <v>1435000</v>
      </c>
      <c r="U36" s="70">
        <v>5740000</v>
      </c>
      <c r="V36" s="70">
        <v>7175000</v>
      </c>
    </row>
    <row r="37" spans="14:22" x14ac:dyDescent="0.25">
      <c r="N37" s="121">
        <v>70000</v>
      </c>
      <c r="S37" s="70"/>
      <c r="T37" s="70">
        <v>44805</v>
      </c>
      <c r="U37" s="70">
        <v>179220</v>
      </c>
      <c r="V37" s="70">
        <v>224025</v>
      </c>
    </row>
    <row r="38" spans="14:22" x14ac:dyDescent="0.25">
      <c r="N38" s="121">
        <v>18690.22</v>
      </c>
      <c r="S38" s="70"/>
      <c r="T38" s="70">
        <v>44805</v>
      </c>
      <c r="U38" s="70">
        <v>179220</v>
      </c>
      <c r="V38" s="70">
        <v>224025</v>
      </c>
    </row>
    <row r="39" spans="14:22" x14ac:dyDescent="0.25">
      <c r="N39" s="121">
        <v>18380.439999999999</v>
      </c>
      <c r="S39" s="70"/>
      <c r="T39" s="70">
        <v>9649.75</v>
      </c>
      <c r="U39" s="70">
        <v>38599</v>
      </c>
      <c r="V39" s="70">
        <v>48248.75</v>
      </c>
    </row>
    <row r="40" spans="14:22" x14ac:dyDescent="0.25">
      <c r="N40" s="121">
        <v>77900</v>
      </c>
      <c r="S40" s="70"/>
      <c r="T40" s="70">
        <v>1030607.9</v>
      </c>
      <c r="U40" s="70">
        <v>4122431.6</v>
      </c>
      <c r="V40" s="70">
        <v>5153039.5</v>
      </c>
    </row>
    <row r="41" spans="14:22" x14ac:dyDescent="0.25">
      <c r="N41" s="121">
        <v>215126.28</v>
      </c>
      <c r="S41" s="70"/>
      <c r="T41" s="70">
        <v>100545.78</v>
      </c>
      <c r="U41" s="70">
        <v>402183.12</v>
      </c>
      <c r="V41" s="70">
        <v>502728.9</v>
      </c>
    </row>
    <row r="42" spans="14:22" x14ac:dyDescent="0.25">
      <c r="S42" s="70"/>
      <c r="T42" s="70">
        <v>58572.02</v>
      </c>
      <c r="U42" s="70">
        <v>234288.08</v>
      </c>
      <c r="V42" s="70">
        <v>292860.09999999998</v>
      </c>
    </row>
    <row r="43" spans="14:22" x14ac:dyDescent="0.25">
      <c r="S43" s="70"/>
      <c r="T43" s="70">
        <v>70000</v>
      </c>
      <c r="U43" s="70">
        <v>280000</v>
      </c>
      <c r="V43" s="70">
        <v>350000</v>
      </c>
    </row>
    <row r="44" spans="14:22" x14ac:dyDescent="0.25">
      <c r="S44" s="70"/>
      <c r="T44" s="70">
        <v>18690.22</v>
      </c>
      <c r="U44" s="70">
        <v>74760.88</v>
      </c>
      <c r="V44" s="70">
        <v>93451.1</v>
      </c>
    </row>
    <row r="45" spans="14:22" x14ac:dyDescent="0.25">
      <c r="S45" s="70"/>
      <c r="T45" s="70">
        <v>18380.439999999999</v>
      </c>
      <c r="U45" s="70">
        <v>73521.759999999995</v>
      </c>
      <c r="V45" s="70">
        <v>91902.2</v>
      </c>
    </row>
    <row r="46" spans="14:22" x14ac:dyDescent="0.25">
      <c r="S46" s="70"/>
      <c r="T46" s="70">
        <v>233700</v>
      </c>
      <c r="U46" s="70">
        <v>934800</v>
      </c>
      <c r="V46" s="70">
        <v>1168500</v>
      </c>
    </row>
    <row r="47" spans="14:22" x14ac:dyDescent="0.25">
      <c r="S47" s="70"/>
      <c r="T47" s="70">
        <v>645378.84000000008</v>
      </c>
      <c r="U47" s="70">
        <v>2581515.3600000003</v>
      </c>
      <c r="V47" s="70">
        <v>3226894.2</v>
      </c>
    </row>
    <row r="48" spans="14:22" x14ac:dyDescent="0.25">
      <c r="S48" s="70"/>
      <c r="T48" s="70">
        <v>8456644.9500000011</v>
      </c>
      <c r="U48" s="70">
        <v>33826579.800000004</v>
      </c>
      <c r="V48" s="70">
        <v>42283224.750000007</v>
      </c>
    </row>
  </sheetData>
  <autoFilter ref="A2:V17"/>
  <mergeCells count="1">
    <mergeCell ref="A1:V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1"/>
  <sheetViews>
    <sheetView topLeftCell="C1" zoomScale="120" zoomScaleNormal="120" workbookViewId="0">
      <selection activeCell="M20" sqref="M20"/>
    </sheetView>
  </sheetViews>
  <sheetFormatPr baseColWidth="10" defaultColWidth="11.42578125" defaultRowHeight="14.25" customHeight="1" x14ac:dyDescent="0.25"/>
  <cols>
    <col min="1" max="1" width="18.140625" customWidth="1"/>
    <col min="2" max="2" width="33.140625" customWidth="1"/>
    <col min="3" max="3" width="16.7109375" customWidth="1"/>
    <col min="4" max="5" width="14.42578125" customWidth="1"/>
    <col min="6" max="6" width="14" customWidth="1"/>
    <col min="7" max="7" width="11.42578125" customWidth="1"/>
    <col min="8" max="8" width="16.42578125" bestFit="1" customWidth="1"/>
    <col min="9" max="9" width="11.42578125" customWidth="1"/>
    <col min="13" max="13" width="18.140625" style="130" customWidth="1"/>
    <col min="14" max="14" width="18" customWidth="1"/>
    <col min="15" max="15" width="18.7109375" customWidth="1"/>
    <col min="16" max="16" width="15.42578125" bestFit="1" customWidth="1"/>
    <col min="17" max="17" width="13.7109375" bestFit="1" customWidth="1"/>
  </cols>
  <sheetData>
    <row r="1" spans="1:17" ht="28.5" customHeight="1" x14ac:dyDescent="0.25">
      <c r="A1" s="172" t="s">
        <v>53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4"/>
    </row>
    <row r="2" spans="1:17" ht="14.25" customHeight="1" x14ac:dyDescent="0.25">
      <c r="A2" s="189" t="s">
        <v>54</v>
      </c>
      <c r="B2" s="183" t="s">
        <v>1</v>
      </c>
      <c r="C2" s="183" t="s">
        <v>2</v>
      </c>
      <c r="D2" s="188" t="s">
        <v>3</v>
      </c>
      <c r="E2" s="188" t="s">
        <v>198</v>
      </c>
      <c r="F2" s="183" t="s">
        <v>181</v>
      </c>
      <c r="G2" s="183" t="s">
        <v>55</v>
      </c>
      <c r="H2" s="183" t="s">
        <v>7</v>
      </c>
      <c r="I2" s="183" t="s">
        <v>178</v>
      </c>
      <c r="J2" s="183" t="s">
        <v>216</v>
      </c>
      <c r="K2" s="98" t="s">
        <v>217</v>
      </c>
      <c r="L2" s="98" t="s">
        <v>218</v>
      </c>
      <c r="M2" s="182" t="s">
        <v>182</v>
      </c>
      <c r="N2" s="184" t="s">
        <v>196</v>
      </c>
      <c r="O2" s="186" t="s">
        <v>197</v>
      </c>
    </row>
    <row r="3" spans="1:17" ht="24.75" customHeight="1" x14ac:dyDescent="0.25">
      <c r="A3" s="190"/>
      <c r="B3" s="183"/>
      <c r="C3" s="183"/>
      <c r="D3" s="188"/>
      <c r="E3" s="188"/>
      <c r="F3" s="183"/>
      <c r="G3" s="183"/>
      <c r="H3" s="183"/>
      <c r="I3" s="183"/>
      <c r="J3" s="183"/>
      <c r="K3" s="98"/>
      <c r="L3" s="98" t="s">
        <v>219</v>
      </c>
      <c r="M3" s="182"/>
      <c r="N3" s="185"/>
      <c r="O3" s="187"/>
    </row>
    <row r="4" spans="1:17" ht="14.25" customHeight="1" x14ac:dyDescent="0.25">
      <c r="A4" s="111" t="s">
        <v>22</v>
      </c>
      <c r="B4" s="112" t="s">
        <v>56</v>
      </c>
      <c r="C4" s="117" t="s">
        <v>9</v>
      </c>
      <c r="D4" s="118" t="s">
        <v>199</v>
      </c>
      <c r="E4" s="118" t="s">
        <v>199</v>
      </c>
      <c r="F4" s="113">
        <v>8172</v>
      </c>
      <c r="G4" s="113">
        <v>8417</v>
      </c>
      <c r="H4" s="113">
        <v>8417</v>
      </c>
      <c r="I4" s="120" t="s">
        <v>180</v>
      </c>
      <c r="J4" s="115">
        <v>192</v>
      </c>
      <c r="K4" s="99">
        <v>6</v>
      </c>
      <c r="L4" s="99">
        <f>J4*K4</f>
        <v>1152</v>
      </c>
      <c r="M4" s="126">
        <f t="shared" ref="M4:M10" si="0">L4*H4</f>
        <v>9696384</v>
      </c>
      <c r="N4" s="113">
        <f>M4/6</f>
        <v>1616064</v>
      </c>
      <c r="O4" s="116">
        <f>N4*5</f>
        <v>8080320</v>
      </c>
      <c r="P4" s="71">
        <f>J4*H4</f>
        <v>1616064</v>
      </c>
      <c r="Q4" s="71"/>
    </row>
    <row r="5" spans="1:17" ht="24" customHeight="1" x14ac:dyDescent="0.25">
      <c r="A5" s="13" t="s">
        <v>45</v>
      </c>
      <c r="B5" s="12" t="s">
        <v>57</v>
      </c>
      <c r="C5" s="8" t="s">
        <v>9</v>
      </c>
      <c r="D5" s="61" t="s">
        <v>199</v>
      </c>
      <c r="E5" s="61" t="s">
        <v>199</v>
      </c>
      <c r="F5" s="10">
        <v>5438</v>
      </c>
      <c r="G5" s="10">
        <v>5601</v>
      </c>
      <c r="H5" s="63">
        <v>5601</v>
      </c>
      <c r="I5" s="34" t="s">
        <v>179</v>
      </c>
      <c r="J5" s="69">
        <v>160</v>
      </c>
      <c r="K5" s="115">
        <v>6</v>
      </c>
      <c r="L5" s="99">
        <f>J5*K5</f>
        <v>960</v>
      </c>
      <c r="M5" s="127">
        <f t="shared" si="0"/>
        <v>5376960</v>
      </c>
      <c r="N5" s="113">
        <f t="shared" ref="N5:N10" si="1">M5/6</f>
        <v>896160</v>
      </c>
      <c r="O5" s="116">
        <f t="shared" ref="O5:O10" si="2">N5*5</f>
        <v>4480800</v>
      </c>
      <c r="P5" s="71">
        <f t="shared" ref="P5:P11" si="3">J5*H5</f>
        <v>896160</v>
      </c>
    </row>
    <row r="6" spans="1:17" ht="22.5" customHeight="1" x14ac:dyDescent="0.25">
      <c r="A6" s="13" t="s">
        <v>46</v>
      </c>
      <c r="B6" s="12" t="s">
        <v>58</v>
      </c>
      <c r="C6" s="8" t="s">
        <v>9</v>
      </c>
      <c r="D6" s="61" t="s">
        <v>199</v>
      </c>
      <c r="E6" s="61" t="s">
        <v>199</v>
      </c>
      <c r="F6" s="10">
        <v>6090</v>
      </c>
      <c r="G6" s="10">
        <v>6272</v>
      </c>
      <c r="H6" s="63">
        <v>6272</v>
      </c>
      <c r="I6" s="34" t="s">
        <v>179</v>
      </c>
      <c r="J6" s="69">
        <v>160</v>
      </c>
      <c r="K6" s="115">
        <v>6</v>
      </c>
      <c r="L6" s="99">
        <f>J6*K6</f>
        <v>960</v>
      </c>
      <c r="M6" s="127">
        <f t="shared" si="0"/>
        <v>6021120</v>
      </c>
      <c r="N6" s="113">
        <f t="shared" si="1"/>
        <v>1003520</v>
      </c>
      <c r="O6" s="116">
        <f t="shared" si="2"/>
        <v>5017600</v>
      </c>
      <c r="P6" s="71">
        <f t="shared" si="3"/>
        <v>1003520</v>
      </c>
    </row>
    <row r="7" spans="1:17" ht="14.25" customHeight="1" x14ac:dyDescent="0.25">
      <c r="A7" s="111" t="s">
        <v>47</v>
      </c>
      <c r="B7" s="112" t="s">
        <v>59</v>
      </c>
      <c r="C7" s="117" t="s">
        <v>9</v>
      </c>
      <c r="D7" s="119" t="s">
        <v>199</v>
      </c>
      <c r="E7" s="119" t="s">
        <v>199</v>
      </c>
      <c r="F7" s="113">
        <v>11665</v>
      </c>
      <c r="G7" s="113">
        <v>12014</v>
      </c>
      <c r="H7" s="113">
        <v>12014</v>
      </c>
      <c r="I7" s="120" t="s">
        <v>179</v>
      </c>
      <c r="J7" s="115">
        <v>160</v>
      </c>
      <c r="K7" s="115">
        <v>6</v>
      </c>
      <c r="L7" s="99">
        <v>1120</v>
      </c>
      <c r="M7" s="126">
        <f t="shared" si="0"/>
        <v>13455680</v>
      </c>
      <c r="N7" s="113">
        <f t="shared" si="1"/>
        <v>2242613.3333333335</v>
      </c>
      <c r="O7" s="116">
        <f t="shared" si="2"/>
        <v>11213066.666666668</v>
      </c>
      <c r="P7" s="71">
        <f t="shared" si="3"/>
        <v>1922240</v>
      </c>
    </row>
    <row r="8" spans="1:17" ht="21" customHeight="1" x14ac:dyDescent="0.25">
      <c r="A8" s="13" t="s">
        <v>48</v>
      </c>
      <c r="B8" s="12" t="s">
        <v>60</v>
      </c>
      <c r="C8" s="8" t="s">
        <v>9</v>
      </c>
      <c r="D8" s="61" t="s">
        <v>199</v>
      </c>
      <c r="E8" s="61" t="s">
        <v>199</v>
      </c>
      <c r="F8" s="10">
        <v>5041</v>
      </c>
      <c r="G8" s="10">
        <v>5192</v>
      </c>
      <c r="H8" s="63">
        <v>5192</v>
      </c>
      <c r="I8" s="34" t="s">
        <v>179</v>
      </c>
      <c r="J8" s="69">
        <v>160</v>
      </c>
      <c r="K8" s="115">
        <v>6</v>
      </c>
      <c r="L8" s="99">
        <f>J8*K8</f>
        <v>960</v>
      </c>
      <c r="M8" s="128">
        <f t="shared" si="0"/>
        <v>4984320</v>
      </c>
      <c r="N8" s="113">
        <f t="shared" si="1"/>
        <v>830720</v>
      </c>
      <c r="O8" s="116">
        <f t="shared" si="2"/>
        <v>4153600</v>
      </c>
      <c r="P8" s="71">
        <f t="shared" si="3"/>
        <v>830720</v>
      </c>
    </row>
    <row r="9" spans="1:17" ht="29.25" customHeight="1" x14ac:dyDescent="0.25">
      <c r="A9" s="13" t="s">
        <v>49</v>
      </c>
      <c r="B9" s="12" t="s">
        <v>61</v>
      </c>
      <c r="C9" s="8" t="s">
        <v>9</v>
      </c>
      <c r="D9" s="61" t="s">
        <v>199</v>
      </c>
      <c r="E9" s="61" t="s">
        <v>199</v>
      </c>
      <c r="F9" s="10">
        <v>11591</v>
      </c>
      <c r="G9" s="10">
        <v>11938</v>
      </c>
      <c r="H9" s="63">
        <v>11938</v>
      </c>
      <c r="I9" s="34" t="s">
        <v>179</v>
      </c>
      <c r="J9" s="69">
        <v>160</v>
      </c>
      <c r="K9" s="115">
        <v>6</v>
      </c>
      <c r="L9" s="99">
        <f>J9*K9</f>
        <v>960</v>
      </c>
      <c r="M9" s="128">
        <f t="shared" si="0"/>
        <v>11460480</v>
      </c>
      <c r="N9" s="113">
        <f t="shared" si="1"/>
        <v>1910080</v>
      </c>
      <c r="O9" s="116">
        <f t="shared" si="2"/>
        <v>9550400</v>
      </c>
      <c r="P9" s="71">
        <f t="shared" si="3"/>
        <v>1910080</v>
      </c>
    </row>
    <row r="10" spans="1:17" ht="25.5" customHeight="1" x14ac:dyDescent="0.25">
      <c r="A10" s="13" t="s">
        <v>50</v>
      </c>
      <c r="B10" s="11" t="s">
        <v>62</v>
      </c>
      <c r="C10" s="8" t="s">
        <v>9</v>
      </c>
      <c r="D10" s="61" t="s">
        <v>199</v>
      </c>
      <c r="E10" s="61" t="s">
        <v>199</v>
      </c>
      <c r="F10" s="10">
        <v>5273</v>
      </c>
      <c r="G10" s="55">
        <v>5431</v>
      </c>
      <c r="H10" s="55">
        <v>5431</v>
      </c>
      <c r="I10" s="34" t="s">
        <v>179</v>
      </c>
      <c r="J10" s="69">
        <v>160</v>
      </c>
      <c r="K10" s="115">
        <v>6</v>
      </c>
      <c r="L10" s="99">
        <f>J10*K10</f>
        <v>960</v>
      </c>
      <c r="M10" s="128">
        <f t="shared" si="0"/>
        <v>5213760</v>
      </c>
      <c r="N10" s="113">
        <f t="shared" si="1"/>
        <v>868960</v>
      </c>
      <c r="O10" s="116">
        <f t="shared" si="2"/>
        <v>4344800</v>
      </c>
      <c r="P10" s="71">
        <f t="shared" si="3"/>
        <v>868960</v>
      </c>
    </row>
    <row r="11" spans="1:17" ht="21" customHeight="1" thickBot="1" x14ac:dyDescent="0.3">
      <c r="A11" s="191" t="s">
        <v>188</v>
      </c>
      <c r="B11" s="192"/>
      <c r="C11" s="192"/>
      <c r="D11" s="192"/>
      <c r="E11" s="192"/>
      <c r="F11" s="192"/>
      <c r="G11" s="192"/>
      <c r="H11" s="192"/>
      <c r="I11" s="192"/>
      <c r="J11" s="192"/>
      <c r="K11" s="100"/>
      <c r="L11" s="100"/>
      <c r="M11" s="129">
        <f>SUM(M4:M10)</f>
        <v>56208704</v>
      </c>
      <c r="N11" s="56">
        <f>SUM(N4:N10)</f>
        <v>9368117.333333334</v>
      </c>
      <c r="O11" s="57">
        <f>SUM(O4:O10)</f>
        <v>46840586.666666672</v>
      </c>
      <c r="P11" s="71">
        <f t="shared" si="3"/>
        <v>0</v>
      </c>
    </row>
    <row r="17" spans="13:17" ht="14.25" customHeight="1" x14ac:dyDescent="0.25">
      <c r="M17" s="130">
        <f>M11/7</f>
        <v>8029814.8571428573</v>
      </c>
    </row>
    <row r="22" spans="13:17" ht="14.25" customHeight="1" x14ac:dyDescent="0.25">
      <c r="N22" s="70"/>
      <c r="O22" s="70">
        <v>1616064</v>
      </c>
      <c r="P22" s="70">
        <v>8080320</v>
      </c>
      <c r="Q22" s="70">
        <v>9696384</v>
      </c>
    </row>
    <row r="23" spans="13:17" ht="14.25" customHeight="1" x14ac:dyDescent="0.25">
      <c r="N23" s="70"/>
      <c r="O23" s="70">
        <v>896160</v>
      </c>
      <c r="P23" s="70">
        <v>4480800</v>
      </c>
      <c r="Q23" s="70">
        <v>5376960</v>
      </c>
    </row>
    <row r="24" spans="13:17" ht="14.25" customHeight="1" x14ac:dyDescent="0.25">
      <c r="N24" s="70"/>
      <c r="O24" s="70">
        <v>1003520</v>
      </c>
      <c r="P24" s="70">
        <v>5017600</v>
      </c>
      <c r="Q24" s="70">
        <v>6021120</v>
      </c>
    </row>
    <row r="25" spans="13:17" ht="14.25" customHeight="1" x14ac:dyDescent="0.25">
      <c r="N25" s="70"/>
      <c r="O25" s="70">
        <v>2242613.3333333335</v>
      </c>
      <c r="P25" s="70">
        <v>11213066.666666668</v>
      </c>
      <c r="Q25" s="70">
        <v>13455680</v>
      </c>
    </row>
    <row r="26" spans="13:17" ht="14.25" customHeight="1" x14ac:dyDescent="0.25">
      <c r="N26" s="70"/>
      <c r="O26" s="70">
        <v>830720</v>
      </c>
      <c r="P26" s="70">
        <v>4153600</v>
      </c>
      <c r="Q26" s="70">
        <v>4984320</v>
      </c>
    </row>
    <row r="27" spans="13:17" ht="14.25" customHeight="1" x14ac:dyDescent="0.25">
      <c r="N27" s="70"/>
      <c r="O27" s="70">
        <v>1910080</v>
      </c>
      <c r="P27" s="70">
        <v>9550400</v>
      </c>
      <c r="Q27" s="70">
        <v>11460480</v>
      </c>
    </row>
    <row r="28" spans="13:17" ht="14.25" customHeight="1" x14ac:dyDescent="0.25">
      <c r="N28" s="70"/>
      <c r="O28" s="70">
        <v>868960</v>
      </c>
      <c r="P28" s="70">
        <v>4344800</v>
      </c>
      <c r="Q28" s="70">
        <v>5213760</v>
      </c>
    </row>
    <row r="29" spans="13:17" ht="14.25" customHeight="1" x14ac:dyDescent="0.25">
      <c r="N29" s="78"/>
      <c r="O29" s="78">
        <v>9368117.333333334</v>
      </c>
      <c r="P29" s="78">
        <v>46840586.666666672</v>
      </c>
      <c r="Q29" s="78">
        <v>56208704</v>
      </c>
    </row>
    <row r="51" spans="6:8" ht="14.25" customHeight="1" x14ac:dyDescent="0.25">
      <c r="F51">
        <v>3250</v>
      </c>
      <c r="G51">
        <v>20200</v>
      </c>
      <c r="H51" s="102">
        <f>+F51*G51</f>
        <v>65650000</v>
      </c>
    </row>
  </sheetData>
  <mergeCells count="15">
    <mergeCell ref="A11:J11"/>
    <mergeCell ref="D2:D3"/>
    <mergeCell ref="F2:F3"/>
    <mergeCell ref="H2:H3"/>
    <mergeCell ref="J2:J3"/>
    <mergeCell ref="M2:M3"/>
    <mergeCell ref="B2:B3"/>
    <mergeCell ref="A1:O1"/>
    <mergeCell ref="N2:N3"/>
    <mergeCell ref="O2:O3"/>
    <mergeCell ref="I2:I3"/>
    <mergeCell ref="C2:C3"/>
    <mergeCell ref="E2:E3"/>
    <mergeCell ref="G2:G3"/>
    <mergeCell ref="A2:A3"/>
  </mergeCells>
  <pageMargins left="0.7" right="0.7" top="0.75" bottom="0.75" header="0.3" footer="0.3"/>
  <pageSetup scale="5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53"/>
  <sheetViews>
    <sheetView tabSelected="1" zoomScale="120" zoomScaleNormal="120" workbookViewId="0">
      <selection activeCell="K7" sqref="K7"/>
    </sheetView>
  </sheetViews>
  <sheetFormatPr baseColWidth="10" defaultColWidth="11.140625" defaultRowHeight="28.5" customHeight="1" x14ac:dyDescent="0.25"/>
  <cols>
    <col min="1" max="1" width="11.140625" style="132"/>
    <col min="2" max="2" width="22.28515625" style="132" customWidth="1"/>
    <col min="3" max="3" width="16" style="132" customWidth="1"/>
    <col min="4" max="4" width="13.5703125" style="132" customWidth="1"/>
    <col min="5" max="5" width="25.5703125" style="132" customWidth="1"/>
    <col min="6" max="6" width="16" style="132" customWidth="1"/>
    <col min="7" max="10" width="11.140625" style="132" customWidth="1"/>
    <col min="11" max="11" width="16" style="132" customWidth="1"/>
    <col min="12" max="15" width="11.140625" style="132" customWidth="1"/>
    <col min="16" max="16" width="19.5703125" style="149" customWidth="1"/>
    <col min="17" max="17" width="21.28515625" style="132" customWidth="1"/>
    <col min="18" max="18" width="20.85546875" style="132" customWidth="1"/>
    <col min="19" max="19" width="16" style="132" bestFit="1" customWidth="1"/>
    <col min="20" max="20" width="14.140625" style="132" customWidth="1"/>
    <col min="21" max="21" width="13.7109375" style="132" bestFit="1" customWidth="1"/>
    <col min="22" max="22" width="15.42578125" style="132" bestFit="1" customWidth="1"/>
    <col min="23" max="23" width="13.85546875" style="132" bestFit="1" customWidth="1"/>
    <col min="24" max="16384" width="11.140625" style="132"/>
  </cols>
  <sheetData>
    <row r="1" spans="1:23" ht="28.5" customHeight="1" x14ac:dyDescent="0.25">
      <c r="A1" s="195" t="s">
        <v>224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7"/>
    </row>
    <row r="2" spans="1:23" ht="44.25" customHeight="1" x14ac:dyDescent="0.25">
      <c r="A2" s="133" t="s">
        <v>54</v>
      </c>
      <c r="B2" s="134" t="s">
        <v>1</v>
      </c>
      <c r="C2" s="134" t="s">
        <v>2</v>
      </c>
      <c r="D2" s="134" t="s">
        <v>3</v>
      </c>
      <c r="E2" s="134" t="s">
        <v>198</v>
      </c>
      <c r="F2" s="134" t="s">
        <v>181</v>
      </c>
      <c r="G2" s="134" t="s">
        <v>5</v>
      </c>
      <c r="H2" s="134" t="s">
        <v>21</v>
      </c>
      <c r="I2" s="135" t="s">
        <v>18</v>
      </c>
      <c r="J2" s="135" t="s">
        <v>207</v>
      </c>
      <c r="K2" s="135" t="s">
        <v>7</v>
      </c>
      <c r="L2" s="134" t="s">
        <v>178</v>
      </c>
      <c r="M2" s="134" t="s">
        <v>220</v>
      </c>
      <c r="N2" s="134" t="s">
        <v>221</v>
      </c>
      <c r="O2" s="134"/>
      <c r="P2" s="136" t="s">
        <v>182</v>
      </c>
      <c r="Q2" s="134" t="s">
        <v>196</v>
      </c>
      <c r="R2" s="137" t="s">
        <v>197</v>
      </c>
      <c r="S2" s="138"/>
    </row>
    <row r="3" spans="1:23" ht="28.5" customHeight="1" x14ac:dyDescent="0.25">
      <c r="A3" s="139" t="s">
        <v>22</v>
      </c>
      <c r="B3" s="140" t="s">
        <v>63</v>
      </c>
      <c r="C3" s="141" t="s">
        <v>64</v>
      </c>
      <c r="D3" s="142">
        <v>36998.29</v>
      </c>
      <c r="E3" s="142" t="s">
        <v>200</v>
      </c>
      <c r="F3" s="142">
        <v>52360.38</v>
      </c>
      <c r="G3" s="143"/>
      <c r="H3" s="142">
        <v>54264</v>
      </c>
      <c r="I3" s="142"/>
      <c r="J3" s="142">
        <f t="shared" ref="J3:J8" si="0">H3</f>
        <v>54264</v>
      </c>
      <c r="K3" s="142">
        <f t="shared" ref="K3:K8" si="1">J3</f>
        <v>54264</v>
      </c>
      <c r="L3" s="144">
        <v>0.19</v>
      </c>
      <c r="M3" s="145">
        <v>15</v>
      </c>
      <c r="N3" s="145">
        <v>5</v>
      </c>
      <c r="O3" s="145">
        <f>N3*M3</f>
        <v>75</v>
      </c>
      <c r="P3" s="146">
        <f>O3*K3</f>
        <v>4069800</v>
      </c>
      <c r="Q3" s="147">
        <f>T3</f>
        <v>406980</v>
      </c>
      <c r="R3" s="148">
        <f>S3*4+T3</f>
        <v>3662820</v>
      </c>
      <c r="S3" s="149">
        <f>P3/5</f>
        <v>813960</v>
      </c>
      <c r="T3" s="150">
        <f>S3/2</f>
        <v>406980</v>
      </c>
      <c r="U3" s="138">
        <f>K3*M3</f>
        <v>813960</v>
      </c>
      <c r="V3" s="138">
        <f>U3*6</f>
        <v>4883760</v>
      </c>
      <c r="W3" s="150">
        <f>T3+V3</f>
        <v>5290740</v>
      </c>
    </row>
    <row r="4" spans="1:23" ht="28.5" customHeight="1" x14ac:dyDescent="0.25">
      <c r="A4" s="139" t="s">
        <v>45</v>
      </c>
      <c r="B4" s="140" t="s">
        <v>65</v>
      </c>
      <c r="C4" s="141" t="s">
        <v>66</v>
      </c>
      <c r="D4" s="142" t="s">
        <v>199</v>
      </c>
      <c r="E4" s="142" t="s">
        <v>199</v>
      </c>
      <c r="F4" s="142">
        <v>240421.67</v>
      </c>
      <c r="G4" s="143"/>
      <c r="H4" s="142">
        <v>253470</v>
      </c>
      <c r="I4" s="142"/>
      <c r="J4" s="142">
        <f t="shared" si="0"/>
        <v>253470</v>
      </c>
      <c r="K4" s="142">
        <f t="shared" si="1"/>
        <v>253470</v>
      </c>
      <c r="L4" s="144">
        <v>0.19</v>
      </c>
      <c r="M4" s="145">
        <v>5</v>
      </c>
      <c r="N4" s="145">
        <v>5</v>
      </c>
      <c r="O4" s="145">
        <f t="shared" ref="O4:O52" si="2">N4*M4</f>
        <v>25</v>
      </c>
      <c r="P4" s="146">
        <f t="shared" ref="P4:P52" si="3">O4*K4</f>
        <v>6336750</v>
      </c>
      <c r="Q4" s="147">
        <f t="shared" ref="Q4:Q52" si="4">T4</f>
        <v>633675</v>
      </c>
      <c r="R4" s="148">
        <f t="shared" ref="R4:R52" si="5">S4*4+T4</f>
        <v>5703075</v>
      </c>
      <c r="S4" s="149">
        <f t="shared" ref="S4:S52" si="6">P4/5</f>
        <v>1267350</v>
      </c>
      <c r="T4" s="150">
        <f t="shared" ref="T4:T52" si="7">S4/2</f>
        <v>633675</v>
      </c>
    </row>
    <row r="5" spans="1:23" ht="28.5" customHeight="1" x14ac:dyDescent="0.25">
      <c r="A5" s="139" t="s">
        <v>46</v>
      </c>
      <c r="B5" s="140" t="s">
        <v>67</v>
      </c>
      <c r="C5" s="141" t="s">
        <v>68</v>
      </c>
      <c r="D5" s="142">
        <v>214789</v>
      </c>
      <c r="E5" s="142" t="s">
        <v>201</v>
      </c>
      <c r="F5" s="142">
        <v>187634.71</v>
      </c>
      <c r="G5" s="143"/>
      <c r="H5" s="142">
        <v>198730</v>
      </c>
      <c r="I5" s="142"/>
      <c r="J5" s="142">
        <f t="shared" si="0"/>
        <v>198730</v>
      </c>
      <c r="K5" s="142">
        <f t="shared" si="1"/>
        <v>198730</v>
      </c>
      <c r="L5" s="144">
        <v>0.19</v>
      </c>
      <c r="M5" s="145">
        <v>40</v>
      </c>
      <c r="N5" s="145">
        <v>5</v>
      </c>
      <c r="O5" s="145">
        <f t="shared" si="2"/>
        <v>200</v>
      </c>
      <c r="P5" s="146">
        <f t="shared" si="3"/>
        <v>39746000</v>
      </c>
      <c r="Q5" s="147">
        <f t="shared" si="4"/>
        <v>3974600</v>
      </c>
      <c r="R5" s="148">
        <f t="shared" si="5"/>
        <v>35771400</v>
      </c>
      <c r="S5" s="149">
        <f t="shared" si="6"/>
        <v>7949200</v>
      </c>
      <c r="T5" s="150">
        <f t="shared" si="7"/>
        <v>3974600</v>
      </c>
    </row>
    <row r="6" spans="1:23" ht="28.5" customHeight="1" x14ac:dyDescent="0.25">
      <c r="A6" s="139" t="s">
        <v>47</v>
      </c>
      <c r="B6" s="140" t="s">
        <v>69</v>
      </c>
      <c r="C6" s="141" t="s">
        <v>70</v>
      </c>
      <c r="D6" s="142">
        <v>32606</v>
      </c>
      <c r="E6" s="151" t="s">
        <v>202</v>
      </c>
      <c r="F6" s="142">
        <v>20103.57</v>
      </c>
      <c r="G6" s="143"/>
      <c r="H6" s="142">
        <v>52836</v>
      </c>
      <c r="I6" s="142"/>
      <c r="J6" s="142">
        <f t="shared" si="0"/>
        <v>52836</v>
      </c>
      <c r="K6" s="142">
        <f t="shared" si="1"/>
        <v>52836</v>
      </c>
      <c r="L6" s="144">
        <v>0.19</v>
      </c>
      <c r="M6" s="145">
        <v>2</v>
      </c>
      <c r="N6" s="145">
        <v>5</v>
      </c>
      <c r="O6" s="145">
        <f t="shared" si="2"/>
        <v>10</v>
      </c>
      <c r="P6" s="146">
        <f t="shared" si="3"/>
        <v>528360</v>
      </c>
      <c r="Q6" s="147">
        <f t="shared" si="4"/>
        <v>52836</v>
      </c>
      <c r="R6" s="148">
        <f t="shared" si="5"/>
        <v>475524</v>
      </c>
      <c r="S6" s="149">
        <f t="shared" si="6"/>
        <v>105672</v>
      </c>
      <c r="T6" s="150">
        <f t="shared" si="7"/>
        <v>52836</v>
      </c>
    </row>
    <row r="7" spans="1:23" ht="28.5" customHeight="1" x14ac:dyDescent="0.25">
      <c r="A7" s="139" t="s">
        <v>48</v>
      </c>
      <c r="B7" s="140" t="s">
        <v>71</v>
      </c>
      <c r="C7" s="141" t="s">
        <v>72</v>
      </c>
      <c r="D7" s="142" t="s">
        <v>199</v>
      </c>
      <c r="E7" s="142" t="s">
        <v>199</v>
      </c>
      <c r="F7" s="142">
        <v>99930.54</v>
      </c>
      <c r="G7" s="143"/>
      <c r="H7" s="142">
        <v>105910</v>
      </c>
      <c r="I7" s="142"/>
      <c r="J7" s="142">
        <f t="shared" si="0"/>
        <v>105910</v>
      </c>
      <c r="K7" s="142">
        <f t="shared" si="1"/>
        <v>105910</v>
      </c>
      <c r="L7" s="152">
        <v>0.19</v>
      </c>
      <c r="M7" s="145">
        <v>50</v>
      </c>
      <c r="N7" s="145">
        <v>5</v>
      </c>
      <c r="O7" s="145">
        <f t="shared" si="2"/>
        <v>250</v>
      </c>
      <c r="P7" s="146">
        <f t="shared" si="3"/>
        <v>26477500</v>
      </c>
      <c r="Q7" s="147">
        <f t="shared" si="4"/>
        <v>2647750</v>
      </c>
      <c r="R7" s="148">
        <f t="shared" si="5"/>
        <v>23829750</v>
      </c>
      <c r="S7" s="149">
        <f t="shared" si="6"/>
        <v>5295500</v>
      </c>
      <c r="T7" s="150">
        <f t="shared" si="7"/>
        <v>2647750</v>
      </c>
    </row>
    <row r="8" spans="1:23" ht="28.5" customHeight="1" x14ac:dyDescent="0.25">
      <c r="A8" s="139" t="s">
        <v>49</v>
      </c>
      <c r="B8" s="140" t="s">
        <v>73</v>
      </c>
      <c r="C8" s="141" t="s">
        <v>26</v>
      </c>
      <c r="D8" s="142">
        <f>(40460/1000)</f>
        <v>40.46</v>
      </c>
      <c r="E8" s="151" t="s">
        <v>202</v>
      </c>
      <c r="F8" s="142">
        <v>31.62</v>
      </c>
      <c r="G8" s="143"/>
      <c r="H8" s="142">
        <v>33.32</v>
      </c>
      <c r="I8" s="142">
        <v>50</v>
      </c>
      <c r="J8" s="142">
        <f t="shared" si="0"/>
        <v>33.32</v>
      </c>
      <c r="K8" s="142">
        <f t="shared" si="1"/>
        <v>33.32</v>
      </c>
      <c r="L8" s="152">
        <v>0.19</v>
      </c>
      <c r="M8" s="145">
        <v>15000</v>
      </c>
      <c r="N8" s="145">
        <v>5</v>
      </c>
      <c r="O8" s="145">
        <f t="shared" si="2"/>
        <v>75000</v>
      </c>
      <c r="P8" s="146">
        <f t="shared" si="3"/>
        <v>2499000</v>
      </c>
      <c r="Q8" s="147">
        <f t="shared" si="4"/>
        <v>249900</v>
      </c>
      <c r="R8" s="148">
        <f t="shared" si="5"/>
        <v>2249100</v>
      </c>
      <c r="S8" s="149">
        <f t="shared" si="6"/>
        <v>499800</v>
      </c>
      <c r="T8" s="150">
        <f t="shared" si="7"/>
        <v>249900</v>
      </c>
    </row>
    <row r="9" spans="1:23" ht="28.5" customHeight="1" x14ac:dyDescent="0.25">
      <c r="A9" s="139" t="s">
        <v>50</v>
      </c>
      <c r="B9" s="140" t="s">
        <v>74</v>
      </c>
      <c r="C9" s="141" t="s">
        <v>26</v>
      </c>
      <c r="D9" s="142" t="s">
        <v>199</v>
      </c>
      <c r="E9" s="142"/>
      <c r="F9" s="142">
        <v>48.96</v>
      </c>
      <c r="G9" s="143"/>
      <c r="H9" s="142">
        <v>749</v>
      </c>
      <c r="I9" s="142">
        <v>373</v>
      </c>
      <c r="J9" s="142">
        <f>I9</f>
        <v>373</v>
      </c>
      <c r="K9" s="142">
        <f>J9</f>
        <v>373</v>
      </c>
      <c r="L9" s="152">
        <v>0.19</v>
      </c>
      <c r="M9" s="145">
        <v>2000</v>
      </c>
      <c r="N9" s="145">
        <v>5</v>
      </c>
      <c r="O9" s="145">
        <f t="shared" si="2"/>
        <v>10000</v>
      </c>
      <c r="P9" s="146">
        <f t="shared" si="3"/>
        <v>3730000</v>
      </c>
      <c r="Q9" s="147">
        <f t="shared" si="4"/>
        <v>373000</v>
      </c>
      <c r="R9" s="148">
        <f t="shared" si="5"/>
        <v>3357000</v>
      </c>
      <c r="S9" s="149">
        <f t="shared" si="6"/>
        <v>746000</v>
      </c>
      <c r="T9" s="150">
        <f t="shared" si="7"/>
        <v>373000</v>
      </c>
    </row>
    <row r="10" spans="1:23" ht="28.5" customHeight="1" x14ac:dyDescent="0.25">
      <c r="A10" s="139" t="s">
        <v>51</v>
      </c>
      <c r="B10" s="140" t="s">
        <v>75</v>
      </c>
      <c r="C10" s="141" t="s">
        <v>26</v>
      </c>
      <c r="D10" s="142" t="s">
        <v>199</v>
      </c>
      <c r="E10" s="142" t="s">
        <v>199</v>
      </c>
      <c r="F10" s="142">
        <v>5662.02</v>
      </c>
      <c r="G10" s="143">
        <v>7800</v>
      </c>
      <c r="H10" s="142">
        <v>7973</v>
      </c>
      <c r="I10" s="142"/>
      <c r="J10" s="142">
        <f>G10</f>
        <v>7800</v>
      </c>
      <c r="K10" s="142">
        <f t="shared" ref="K10:K52" si="8">J10</f>
        <v>7800</v>
      </c>
      <c r="L10" s="152">
        <v>0.19</v>
      </c>
      <c r="M10" s="145">
        <v>1000</v>
      </c>
      <c r="N10" s="145">
        <v>5</v>
      </c>
      <c r="O10" s="145">
        <f t="shared" si="2"/>
        <v>5000</v>
      </c>
      <c r="P10" s="146">
        <f t="shared" si="3"/>
        <v>39000000</v>
      </c>
      <c r="Q10" s="147">
        <f t="shared" si="4"/>
        <v>3900000</v>
      </c>
      <c r="R10" s="148">
        <f t="shared" si="5"/>
        <v>35100000</v>
      </c>
      <c r="S10" s="149">
        <f t="shared" si="6"/>
        <v>7800000</v>
      </c>
      <c r="T10" s="150">
        <f t="shared" si="7"/>
        <v>3900000</v>
      </c>
    </row>
    <row r="11" spans="1:23" ht="28.5" customHeight="1" x14ac:dyDescent="0.25">
      <c r="A11" s="139" t="s">
        <v>52</v>
      </c>
      <c r="B11" s="140" t="s">
        <v>76</v>
      </c>
      <c r="C11" s="141" t="s">
        <v>26</v>
      </c>
      <c r="D11" s="142">
        <f>(46529/1000)</f>
        <v>46.529000000000003</v>
      </c>
      <c r="E11" s="151" t="s">
        <v>202</v>
      </c>
      <c r="F11" s="142">
        <v>33.58</v>
      </c>
      <c r="G11" s="143"/>
      <c r="H11" s="142">
        <v>33.32</v>
      </c>
      <c r="I11" s="142">
        <v>71</v>
      </c>
      <c r="J11" s="142">
        <f t="shared" ref="J11:J40" si="9">H11</f>
        <v>33.32</v>
      </c>
      <c r="K11" s="142">
        <f>AVERAGE(F11:H11)</f>
        <v>33.450000000000003</v>
      </c>
      <c r="L11" s="152">
        <v>0.19</v>
      </c>
      <c r="M11" s="145">
        <v>15000</v>
      </c>
      <c r="N11" s="145">
        <v>5</v>
      </c>
      <c r="O11" s="145">
        <f t="shared" si="2"/>
        <v>75000</v>
      </c>
      <c r="P11" s="146">
        <f t="shared" si="3"/>
        <v>2508750</v>
      </c>
      <c r="Q11" s="147">
        <f t="shared" si="4"/>
        <v>250875</v>
      </c>
      <c r="R11" s="148">
        <f t="shared" si="5"/>
        <v>2257875</v>
      </c>
      <c r="S11" s="149">
        <f t="shared" si="6"/>
        <v>501750</v>
      </c>
      <c r="T11" s="150">
        <f t="shared" si="7"/>
        <v>250875</v>
      </c>
    </row>
    <row r="12" spans="1:23" ht="28.5" customHeight="1" x14ac:dyDescent="0.25">
      <c r="A12" s="139">
        <v>10</v>
      </c>
      <c r="B12" s="140" t="s">
        <v>78</v>
      </c>
      <c r="C12" s="141" t="s">
        <v>26</v>
      </c>
      <c r="D12" s="142" t="s">
        <v>199</v>
      </c>
      <c r="E12" s="142" t="s">
        <v>199</v>
      </c>
      <c r="F12" s="142">
        <v>53.03</v>
      </c>
      <c r="G12" s="143"/>
      <c r="H12" s="142">
        <v>749.7</v>
      </c>
      <c r="I12" s="142"/>
      <c r="J12" s="142">
        <f t="shared" si="9"/>
        <v>749.7</v>
      </c>
      <c r="K12" s="142">
        <f t="shared" si="8"/>
        <v>749.7</v>
      </c>
      <c r="L12" s="152">
        <v>0.19</v>
      </c>
      <c r="M12" s="145">
        <v>2000</v>
      </c>
      <c r="N12" s="145">
        <v>5</v>
      </c>
      <c r="O12" s="145">
        <f t="shared" si="2"/>
        <v>10000</v>
      </c>
      <c r="P12" s="146">
        <f t="shared" si="3"/>
        <v>7497000</v>
      </c>
      <c r="Q12" s="147">
        <f t="shared" si="4"/>
        <v>749700</v>
      </c>
      <c r="R12" s="148">
        <f t="shared" si="5"/>
        <v>6747300</v>
      </c>
      <c r="S12" s="149">
        <f t="shared" si="6"/>
        <v>1499400</v>
      </c>
      <c r="T12" s="150">
        <f t="shared" si="7"/>
        <v>749700</v>
      </c>
    </row>
    <row r="13" spans="1:23" ht="28.5" customHeight="1" x14ac:dyDescent="0.25">
      <c r="A13" s="139" t="s">
        <v>77</v>
      </c>
      <c r="B13" s="140" t="s">
        <v>79</v>
      </c>
      <c r="C13" s="141" t="s">
        <v>80</v>
      </c>
      <c r="D13" s="142" t="s">
        <v>199</v>
      </c>
      <c r="E13" s="142" t="s">
        <v>199</v>
      </c>
      <c r="F13" s="142">
        <v>186721.42</v>
      </c>
      <c r="G13" s="143"/>
      <c r="H13" s="142">
        <v>196900</v>
      </c>
      <c r="I13" s="142"/>
      <c r="J13" s="142">
        <f t="shared" si="9"/>
        <v>196900</v>
      </c>
      <c r="K13" s="142">
        <f t="shared" si="8"/>
        <v>196900</v>
      </c>
      <c r="L13" s="152" t="s">
        <v>179</v>
      </c>
      <c r="M13" s="145">
        <v>6</v>
      </c>
      <c r="N13" s="145">
        <v>5</v>
      </c>
      <c r="O13" s="145">
        <f t="shared" si="2"/>
        <v>30</v>
      </c>
      <c r="P13" s="146">
        <f t="shared" si="3"/>
        <v>5907000</v>
      </c>
      <c r="Q13" s="147">
        <f t="shared" si="4"/>
        <v>590700</v>
      </c>
      <c r="R13" s="148">
        <f t="shared" si="5"/>
        <v>5316300</v>
      </c>
      <c r="S13" s="149">
        <f t="shared" si="6"/>
        <v>1181400</v>
      </c>
      <c r="T13" s="150">
        <f t="shared" si="7"/>
        <v>590700</v>
      </c>
    </row>
    <row r="14" spans="1:23" ht="28.5" customHeight="1" x14ac:dyDescent="0.25">
      <c r="A14" s="139" t="s">
        <v>81</v>
      </c>
      <c r="B14" s="140" t="s">
        <v>82</v>
      </c>
      <c r="C14" s="141" t="s">
        <v>25</v>
      </c>
      <c r="D14" s="142">
        <f>(4800)</f>
        <v>4800</v>
      </c>
      <c r="E14" s="151" t="s">
        <v>202</v>
      </c>
      <c r="F14" s="142">
        <v>247.28</v>
      </c>
      <c r="G14" s="143"/>
      <c r="H14" s="142">
        <v>1200</v>
      </c>
      <c r="I14" s="142"/>
      <c r="J14" s="142">
        <f t="shared" si="9"/>
        <v>1200</v>
      </c>
      <c r="K14" s="142">
        <f t="shared" si="8"/>
        <v>1200</v>
      </c>
      <c r="L14" s="152" t="s">
        <v>179</v>
      </c>
      <c r="M14" s="145">
        <v>2000</v>
      </c>
      <c r="N14" s="145">
        <v>5</v>
      </c>
      <c r="O14" s="145">
        <f t="shared" si="2"/>
        <v>10000</v>
      </c>
      <c r="P14" s="146">
        <f t="shared" si="3"/>
        <v>12000000</v>
      </c>
      <c r="Q14" s="147">
        <f t="shared" si="4"/>
        <v>1200000</v>
      </c>
      <c r="R14" s="148">
        <f t="shared" si="5"/>
        <v>10800000</v>
      </c>
      <c r="S14" s="149">
        <f t="shared" si="6"/>
        <v>2400000</v>
      </c>
      <c r="T14" s="150">
        <f t="shared" si="7"/>
        <v>1200000</v>
      </c>
    </row>
    <row r="15" spans="1:23" ht="28.5" customHeight="1" x14ac:dyDescent="0.25">
      <c r="A15" s="139" t="s">
        <v>83</v>
      </c>
      <c r="B15" s="140" t="s">
        <v>84</v>
      </c>
      <c r="C15" s="141" t="s">
        <v>25</v>
      </c>
      <c r="D15" s="142">
        <f>(105000)</f>
        <v>105000</v>
      </c>
      <c r="E15" s="151" t="s">
        <v>202</v>
      </c>
      <c r="F15" s="142">
        <v>312.08</v>
      </c>
      <c r="G15" s="143"/>
      <c r="H15" s="142">
        <v>440</v>
      </c>
      <c r="I15" s="142"/>
      <c r="J15" s="142">
        <f t="shared" si="9"/>
        <v>440</v>
      </c>
      <c r="K15" s="142">
        <f t="shared" si="8"/>
        <v>440</v>
      </c>
      <c r="L15" s="152" t="s">
        <v>179</v>
      </c>
      <c r="M15" s="145">
        <v>500</v>
      </c>
      <c r="N15" s="145">
        <v>5</v>
      </c>
      <c r="O15" s="145">
        <f t="shared" si="2"/>
        <v>2500</v>
      </c>
      <c r="P15" s="146">
        <f t="shared" si="3"/>
        <v>1100000</v>
      </c>
      <c r="Q15" s="147">
        <f t="shared" si="4"/>
        <v>110000</v>
      </c>
      <c r="R15" s="148">
        <f t="shared" si="5"/>
        <v>990000</v>
      </c>
      <c r="S15" s="149">
        <f t="shared" si="6"/>
        <v>220000</v>
      </c>
      <c r="T15" s="150">
        <f t="shared" si="7"/>
        <v>110000</v>
      </c>
    </row>
    <row r="16" spans="1:23" ht="28.5" customHeight="1" x14ac:dyDescent="0.25">
      <c r="A16" s="139" t="s">
        <v>85</v>
      </c>
      <c r="B16" s="140" t="s">
        <v>86</v>
      </c>
      <c r="C16" s="141" t="s">
        <v>26</v>
      </c>
      <c r="D16" s="142" t="s">
        <v>199</v>
      </c>
      <c r="E16" s="142" t="s">
        <v>199</v>
      </c>
      <c r="F16" s="142">
        <v>877.12</v>
      </c>
      <c r="G16" s="143"/>
      <c r="H16" s="142">
        <v>922.25</v>
      </c>
      <c r="I16" s="142">
        <v>886</v>
      </c>
      <c r="J16" s="142">
        <f t="shared" si="9"/>
        <v>922.25</v>
      </c>
      <c r="K16" s="142">
        <f t="shared" si="8"/>
        <v>922.25</v>
      </c>
      <c r="L16" s="152">
        <v>0.19</v>
      </c>
      <c r="M16" s="145">
        <v>1000</v>
      </c>
      <c r="N16" s="145">
        <v>5</v>
      </c>
      <c r="O16" s="145">
        <f t="shared" si="2"/>
        <v>5000</v>
      </c>
      <c r="P16" s="146">
        <f t="shared" si="3"/>
        <v>4611250</v>
      </c>
      <c r="Q16" s="147">
        <f t="shared" si="4"/>
        <v>461125</v>
      </c>
      <c r="R16" s="148">
        <f t="shared" si="5"/>
        <v>4150125</v>
      </c>
      <c r="S16" s="149">
        <f t="shared" si="6"/>
        <v>922250</v>
      </c>
      <c r="T16" s="150">
        <f t="shared" si="7"/>
        <v>461125</v>
      </c>
    </row>
    <row r="17" spans="1:20" ht="33" customHeight="1" x14ac:dyDescent="0.25">
      <c r="A17" s="139" t="s">
        <v>87</v>
      </c>
      <c r="B17" s="140" t="s">
        <v>88</v>
      </c>
      <c r="C17" s="141" t="s">
        <v>25</v>
      </c>
      <c r="D17" s="142" t="s">
        <v>199</v>
      </c>
      <c r="E17" s="142" t="s">
        <v>199</v>
      </c>
      <c r="F17" s="142">
        <v>5489.68</v>
      </c>
      <c r="G17" s="143"/>
      <c r="H17" s="142">
        <v>5770</v>
      </c>
      <c r="I17" s="142"/>
      <c r="J17" s="142">
        <f t="shared" si="9"/>
        <v>5770</v>
      </c>
      <c r="K17" s="142">
        <f t="shared" si="8"/>
        <v>5770</v>
      </c>
      <c r="L17" s="152">
        <v>0.19</v>
      </c>
      <c r="M17" s="145">
        <v>2</v>
      </c>
      <c r="N17" s="145">
        <v>5</v>
      </c>
      <c r="O17" s="145">
        <f t="shared" si="2"/>
        <v>10</v>
      </c>
      <c r="P17" s="146">
        <f t="shared" si="3"/>
        <v>57700</v>
      </c>
      <c r="Q17" s="147">
        <f t="shared" si="4"/>
        <v>5770</v>
      </c>
      <c r="R17" s="148">
        <f t="shared" si="5"/>
        <v>51930</v>
      </c>
      <c r="S17" s="149">
        <f t="shared" si="6"/>
        <v>11540</v>
      </c>
      <c r="T17" s="150">
        <f t="shared" si="7"/>
        <v>5770</v>
      </c>
    </row>
    <row r="18" spans="1:20" ht="35.25" customHeight="1" x14ac:dyDescent="0.25">
      <c r="A18" s="139" t="s">
        <v>89</v>
      </c>
      <c r="B18" s="140" t="s">
        <v>90</v>
      </c>
      <c r="C18" s="141" t="s">
        <v>26</v>
      </c>
      <c r="D18" s="142" t="s">
        <v>199</v>
      </c>
      <c r="E18" s="142" t="s">
        <v>199</v>
      </c>
      <c r="F18" s="142">
        <v>3526.95</v>
      </c>
      <c r="G18" s="143"/>
      <c r="H18" s="142">
        <v>9996</v>
      </c>
      <c r="I18" s="142"/>
      <c r="J18" s="142">
        <f t="shared" si="9"/>
        <v>9996</v>
      </c>
      <c r="K18" s="142">
        <f t="shared" si="8"/>
        <v>9996</v>
      </c>
      <c r="L18" s="152">
        <v>0.19</v>
      </c>
      <c r="M18" s="145">
        <v>10</v>
      </c>
      <c r="N18" s="145">
        <v>5</v>
      </c>
      <c r="O18" s="145">
        <f t="shared" si="2"/>
        <v>50</v>
      </c>
      <c r="P18" s="146">
        <f t="shared" si="3"/>
        <v>499800</v>
      </c>
      <c r="Q18" s="147">
        <f t="shared" si="4"/>
        <v>49980</v>
      </c>
      <c r="R18" s="148">
        <f t="shared" si="5"/>
        <v>449820</v>
      </c>
      <c r="S18" s="149">
        <f t="shared" si="6"/>
        <v>99960</v>
      </c>
      <c r="T18" s="150">
        <f t="shared" si="7"/>
        <v>49980</v>
      </c>
    </row>
    <row r="19" spans="1:20" ht="28.5" customHeight="1" x14ac:dyDescent="0.25">
      <c r="A19" s="139" t="s">
        <v>91</v>
      </c>
      <c r="B19" s="140" t="s">
        <v>92</v>
      </c>
      <c r="C19" s="141" t="s">
        <v>26</v>
      </c>
      <c r="D19" s="142">
        <v>592</v>
      </c>
      <c r="E19" s="142" t="s">
        <v>200</v>
      </c>
      <c r="F19" s="142">
        <v>1841.97</v>
      </c>
      <c r="G19" s="143">
        <v>1550</v>
      </c>
      <c r="H19" s="142">
        <v>2261</v>
      </c>
      <c r="I19" s="142"/>
      <c r="J19" s="142">
        <f t="shared" si="9"/>
        <v>2261</v>
      </c>
      <c r="K19" s="142">
        <f t="shared" si="8"/>
        <v>2261</v>
      </c>
      <c r="L19" s="152">
        <v>0.19</v>
      </c>
      <c r="M19" s="145">
        <v>20</v>
      </c>
      <c r="N19" s="145">
        <v>5</v>
      </c>
      <c r="O19" s="145">
        <f t="shared" si="2"/>
        <v>100</v>
      </c>
      <c r="P19" s="146">
        <f t="shared" si="3"/>
        <v>226100</v>
      </c>
      <c r="Q19" s="147">
        <f t="shared" si="4"/>
        <v>22610</v>
      </c>
      <c r="R19" s="148">
        <f t="shared" si="5"/>
        <v>203490</v>
      </c>
      <c r="S19" s="149">
        <f t="shared" si="6"/>
        <v>45220</v>
      </c>
      <c r="T19" s="150">
        <f t="shared" si="7"/>
        <v>22610</v>
      </c>
    </row>
    <row r="20" spans="1:20" ht="28.5" customHeight="1" x14ac:dyDescent="0.25">
      <c r="A20" s="139" t="s">
        <v>93</v>
      </c>
      <c r="B20" s="140" t="s">
        <v>94</v>
      </c>
      <c r="C20" s="141" t="s">
        <v>95</v>
      </c>
      <c r="D20" s="142" t="s">
        <v>199</v>
      </c>
      <c r="E20" s="142" t="s">
        <v>199</v>
      </c>
      <c r="F20" s="142">
        <v>21958.799999999999</v>
      </c>
      <c r="G20" s="143"/>
      <c r="H20" s="142">
        <v>19992</v>
      </c>
      <c r="I20" s="142"/>
      <c r="J20" s="142">
        <f t="shared" si="9"/>
        <v>19992</v>
      </c>
      <c r="K20" s="142">
        <f t="shared" si="8"/>
        <v>19992</v>
      </c>
      <c r="L20" s="152">
        <v>0.19</v>
      </c>
      <c r="M20" s="145">
        <v>20</v>
      </c>
      <c r="N20" s="145">
        <v>5</v>
      </c>
      <c r="O20" s="145">
        <f t="shared" si="2"/>
        <v>100</v>
      </c>
      <c r="P20" s="146">
        <f t="shared" si="3"/>
        <v>1999200</v>
      </c>
      <c r="Q20" s="147">
        <f t="shared" si="4"/>
        <v>199920</v>
      </c>
      <c r="R20" s="148">
        <f t="shared" si="5"/>
        <v>1799280</v>
      </c>
      <c r="S20" s="149">
        <f t="shared" si="6"/>
        <v>399840</v>
      </c>
      <c r="T20" s="150">
        <f t="shared" si="7"/>
        <v>199920</v>
      </c>
    </row>
    <row r="21" spans="1:20" ht="28.5" customHeight="1" x14ac:dyDescent="0.25">
      <c r="A21" s="139" t="s">
        <v>96</v>
      </c>
      <c r="B21" s="140" t="s">
        <v>97</v>
      </c>
      <c r="C21" s="141" t="s">
        <v>98</v>
      </c>
      <c r="D21" s="142" t="s">
        <v>199</v>
      </c>
      <c r="E21" s="142" t="s">
        <v>199</v>
      </c>
      <c r="F21" s="142">
        <v>12.87</v>
      </c>
      <c r="G21" s="143"/>
      <c r="H21" s="142">
        <v>30</v>
      </c>
      <c r="I21" s="142"/>
      <c r="J21" s="142">
        <f t="shared" si="9"/>
        <v>30</v>
      </c>
      <c r="K21" s="142">
        <f t="shared" si="8"/>
        <v>30</v>
      </c>
      <c r="L21" s="145" t="s">
        <v>179</v>
      </c>
      <c r="M21" s="145">
        <v>120000</v>
      </c>
      <c r="N21" s="145">
        <v>5</v>
      </c>
      <c r="O21" s="145">
        <f t="shared" si="2"/>
        <v>600000</v>
      </c>
      <c r="P21" s="146">
        <f t="shared" si="3"/>
        <v>18000000</v>
      </c>
      <c r="Q21" s="147">
        <f t="shared" si="4"/>
        <v>1800000</v>
      </c>
      <c r="R21" s="148">
        <f t="shared" si="5"/>
        <v>16200000</v>
      </c>
      <c r="S21" s="149">
        <f t="shared" si="6"/>
        <v>3600000</v>
      </c>
      <c r="T21" s="150">
        <f t="shared" si="7"/>
        <v>1800000</v>
      </c>
    </row>
    <row r="22" spans="1:20" ht="28.5" customHeight="1" x14ac:dyDescent="0.25">
      <c r="A22" s="139" t="s">
        <v>99</v>
      </c>
      <c r="B22" s="140" t="s">
        <v>100</v>
      </c>
      <c r="C22" s="141" t="s">
        <v>66</v>
      </c>
      <c r="D22" s="142" t="s">
        <v>199</v>
      </c>
      <c r="E22" s="142" t="s">
        <v>199</v>
      </c>
      <c r="F22" s="142">
        <v>21540.48</v>
      </c>
      <c r="G22" s="143"/>
      <c r="H22" s="142">
        <v>22610</v>
      </c>
      <c r="I22" s="142"/>
      <c r="J22" s="142">
        <f t="shared" si="9"/>
        <v>22610</v>
      </c>
      <c r="K22" s="142">
        <f t="shared" si="8"/>
        <v>22610</v>
      </c>
      <c r="L22" s="152">
        <v>0.19</v>
      </c>
      <c r="M22" s="145">
        <v>2</v>
      </c>
      <c r="N22" s="145">
        <v>5</v>
      </c>
      <c r="O22" s="145">
        <f t="shared" si="2"/>
        <v>10</v>
      </c>
      <c r="P22" s="146">
        <f t="shared" si="3"/>
        <v>226100</v>
      </c>
      <c r="Q22" s="147">
        <f t="shared" si="4"/>
        <v>22610</v>
      </c>
      <c r="R22" s="148">
        <f t="shared" si="5"/>
        <v>203490</v>
      </c>
      <c r="S22" s="149">
        <f t="shared" si="6"/>
        <v>45220</v>
      </c>
      <c r="T22" s="150">
        <f t="shared" si="7"/>
        <v>22610</v>
      </c>
    </row>
    <row r="23" spans="1:20" ht="28.5" customHeight="1" x14ac:dyDescent="0.25">
      <c r="A23" s="139" t="s">
        <v>101</v>
      </c>
      <c r="B23" s="140" t="s">
        <v>102</v>
      </c>
      <c r="C23" s="141" t="s">
        <v>66</v>
      </c>
      <c r="D23" s="142" t="s">
        <v>199</v>
      </c>
      <c r="E23" s="142" t="s">
        <v>199</v>
      </c>
      <c r="F23" s="142">
        <v>32795.360000000001</v>
      </c>
      <c r="G23" s="143"/>
      <c r="H23" s="142">
        <v>44030</v>
      </c>
      <c r="I23" s="142"/>
      <c r="J23" s="142">
        <f t="shared" si="9"/>
        <v>44030</v>
      </c>
      <c r="K23" s="142">
        <f t="shared" si="8"/>
        <v>44030</v>
      </c>
      <c r="L23" s="145" t="s">
        <v>179</v>
      </c>
      <c r="M23" s="145">
        <v>1</v>
      </c>
      <c r="N23" s="145">
        <v>5</v>
      </c>
      <c r="O23" s="145">
        <f t="shared" si="2"/>
        <v>5</v>
      </c>
      <c r="P23" s="146">
        <f t="shared" si="3"/>
        <v>220150</v>
      </c>
      <c r="Q23" s="147">
        <f t="shared" si="4"/>
        <v>22015</v>
      </c>
      <c r="R23" s="148">
        <f t="shared" si="5"/>
        <v>198135</v>
      </c>
      <c r="S23" s="149">
        <f t="shared" si="6"/>
        <v>44030</v>
      </c>
      <c r="T23" s="150">
        <f t="shared" si="7"/>
        <v>22015</v>
      </c>
    </row>
    <row r="24" spans="1:20" ht="39" customHeight="1" x14ac:dyDescent="0.25">
      <c r="A24" s="139" t="s">
        <v>103</v>
      </c>
      <c r="B24" s="140" t="s">
        <v>104</v>
      </c>
      <c r="C24" s="141" t="s">
        <v>210</v>
      </c>
      <c r="D24" s="142" t="s">
        <v>199</v>
      </c>
      <c r="E24" s="142" t="s">
        <v>199</v>
      </c>
      <c r="F24" s="142">
        <v>8859.92</v>
      </c>
      <c r="G24" s="143"/>
      <c r="H24" s="142">
        <v>595</v>
      </c>
      <c r="I24" s="142"/>
      <c r="J24" s="142">
        <f t="shared" si="9"/>
        <v>595</v>
      </c>
      <c r="K24" s="142">
        <f t="shared" si="8"/>
        <v>595</v>
      </c>
      <c r="L24" s="152">
        <v>0.19</v>
      </c>
      <c r="M24" s="145">
        <v>1000</v>
      </c>
      <c r="N24" s="145">
        <v>5</v>
      </c>
      <c r="O24" s="145">
        <f t="shared" si="2"/>
        <v>5000</v>
      </c>
      <c r="P24" s="146">
        <f t="shared" si="3"/>
        <v>2975000</v>
      </c>
      <c r="Q24" s="147">
        <f t="shared" si="4"/>
        <v>297500</v>
      </c>
      <c r="R24" s="148">
        <f t="shared" si="5"/>
        <v>2677500</v>
      </c>
      <c r="S24" s="149">
        <f t="shared" si="6"/>
        <v>595000</v>
      </c>
      <c r="T24" s="150">
        <f t="shared" si="7"/>
        <v>297500</v>
      </c>
    </row>
    <row r="25" spans="1:20" ht="28.5" customHeight="1" x14ac:dyDescent="0.25">
      <c r="A25" s="139" t="s">
        <v>105</v>
      </c>
      <c r="B25" s="153" t="s">
        <v>106</v>
      </c>
      <c r="C25" s="141" t="s">
        <v>107</v>
      </c>
      <c r="D25" s="142">
        <v>26894</v>
      </c>
      <c r="E25" s="151" t="s">
        <v>202</v>
      </c>
      <c r="F25" s="142">
        <v>12544.69</v>
      </c>
      <c r="G25" s="154"/>
      <c r="H25" s="154">
        <v>14161</v>
      </c>
      <c r="I25" s="154"/>
      <c r="J25" s="142">
        <f t="shared" si="9"/>
        <v>14161</v>
      </c>
      <c r="K25" s="142">
        <f t="shared" si="8"/>
        <v>14161</v>
      </c>
      <c r="L25" s="152">
        <v>0.19</v>
      </c>
      <c r="M25" s="145">
        <v>2</v>
      </c>
      <c r="N25" s="145">
        <v>5</v>
      </c>
      <c r="O25" s="145">
        <f t="shared" si="2"/>
        <v>10</v>
      </c>
      <c r="P25" s="146">
        <f t="shared" si="3"/>
        <v>141610</v>
      </c>
      <c r="Q25" s="147">
        <f t="shared" si="4"/>
        <v>14161</v>
      </c>
      <c r="R25" s="148">
        <f t="shared" si="5"/>
        <v>127449</v>
      </c>
      <c r="S25" s="149">
        <f t="shared" si="6"/>
        <v>28322</v>
      </c>
      <c r="T25" s="150">
        <f t="shared" si="7"/>
        <v>14161</v>
      </c>
    </row>
    <row r="26" spans="1:20" ht="28.5" customHeight="1" x14ac:dyDescent="0.25">
      <c r="A26" s="139" t="s">
        <v>108</v>
      </c>
      <c r="B26" s="140" t="s">
        <v>109</v>
      </c>
      <c r="C26" s="141" t="s">
        <v>110</v>
      </c>
      <c r="D26" s="142">
        <f>(22723*2)</f>
        <v>45446</v>
      </c>
      <c r="E26" s="142" t="s">
        <v>201</v>
      </c>
      <c r="F26" s="142">
        <v>23694.18</v>
      </c>
      <c r="G26" s="143"/>
      <c r="H26" s="142">
        <v>25585</v>
      </c>
      <c r="I26" s="142"/>
      <c r="J26" s="142">
        <f t="shared" si="9"/>
        <v>25585</v>
      </c>
      <c r="K26" s="142">
        <f t="shared" si="8"/>
        <v>25585</v>
      </c>
      <c r="L26" s="152">
        <v>0.19</v>
      </c>
      <c r="M26" s="145">
        <v>2</v>
      </c>
      <c r="N26" s="145">
        <v>5</v>
      </c>
      <c r="O26" s="145">
        <f t="shared" si="2"/>
        <v>10</v>
      </c>
      <c r="P26" s="146">
        <f t="shared" si="3"/>
        <v>255850</v>
      </c>
      <c r="Q26" s="147">
        <f t="shared" si="4"/>
        <v>25585</v>
      </c>
      <c r="R26" s="148">
        <f t="shared" si="5"/>
        <v>230265</v>
      </c>
      <c r="S26" s="149">
        <f t="shared" si="6"/>
        <v>51170</v>
      </c>
      <c r="T26" s="150">
        <f t="shared" si="7"/>
        <v>25585</v>
      </c>
    </row>
    <row r="27" spans="1:20" ht="34.5" customHeight="1" x14ac:dyDescent="0.25">
      <c r="A27" s="139" t="s">
        <v>111</v>
      </c>
      <c r="B27" s="140" t="s">
        <v>112</v>
      </c>
      <c r="C27" s="141" t="s">
        <v>113</v>
      </c>
      <c r="D27" s="142">
        <v>50575</v>
      </c>
      <c r="E27" s="151" t="s">
        <v>202</v>
      </c>
      <c r="F27" s="142">
        <v>25192.57</v>
      </c>
      <c r="G27" s="154"/>
      <c r="H27" s="154">
        <v>30940</v>
      </c>
      <c r="I27" s="154"/>
      <c r="J27" s="142">
        <f t="shared" si="9"/>
        <v>30940</v>
      </c>
      <c r="K27" s="142">
        <f t="shared" si="8"/>
        <v>30940</v>
      </c>
      <c r="L27" s="152">
        <v>0.19</v>
      </c>
      <c r="M27" s="145">
        <v>5</v>
      </c>
      <c r="N27" s="145">
        <v>5</v>
      </c>
      <c r="O27" s="145">
        <f t="shared" si="2"/>
        <v>25</v>
      </c>
      <c r="P27" s="146">
        <f t="shared" si="3"/>
        <v>773500</v>
      </c>
      <c r="Q27" s="147">
        <f t="shared" si="4"/>
        <v>77350</v>
      </c>
      <c r="R27" s="148">
        <f t="shared" si="5"/>
        <v>696150</v>
      </c>
      <c r="S27" s="149">
        <f t="shared" si="6"/>
        <v>154700</v>
      </c>
      <c r="T27" s="150">
        <f t="shared" si="7"/>
        <v>77350</v>
      </c>
    </row>
    <row r="28" spans="1:20" ht="28.5" customHeight="1" x14ac:dyDescent="0.25">
      <c r="A28" s="139" t="s">
        <v>114</v>
      </c>
      <c r="B28" s="140" t="s">
        <v>115</v>
      </c>
      <c r="C28" s="141" t="s">
        <v>110</v>
      </c>
      <c r="D28" s="142">
        <f>(15702/5)</f>
        <v>3140.4</v>
      </c>
      <c r="E28" s="142" t="s">
        <v>201</v>
      </c>
      <c r="F28" s="142">
        <v>9689.11</v>
      </c>
      <c r="G28" s="143"/>
      <c r="H28" s="142">
        <v>14161</v>
      </c>
      <c r="I28" s="142"/>
      <c r="J28" s="142">
        <f t="shared" si="9"/>
        <v>14161</v>
      </c>
      <c r="K28" s="142">
        <f t="shared" si="8"/>
        <v>14161</v>
      </c>
      <c r="L28" s="152">
        <v>0.19</v>
      </c>
      <c r="M28" s="145">
        <v>2</v>
      </c>
      <c r="N28" s="145">
        <v>5</v>
      </c>
      <c r="O28" s="145">
        <f t="shared" si="2"/>
        <v>10</v>
      </c>
      <c r="P28" s="146">
        <f t="shared" si="3"/>
        <v>141610</v>
      </c>
      <c r="Q28" s="147">
        <f t="shared" si="4"/>
        <v>14161</v>
      </c>
      <c r="R28" s="148">
        <f t="shared" si="5"/>
        <v>127449</v>
      </c>
      <c r="S28" s="149">
        <f t="shared" si="6"/>
        <v>28322</v>
      </c>
      <c r="T28" s="150">
        <f t="shared" si="7"/>
        <v>14161</v>
      </c>
    </row>
    <row r="29" spans="1:20" ht="48" customHeight="1" x14ac:dyDescent="0.25">
      <c r="A29" s="139" t="s">
        <v>116</v>
      </c>
      <c r="B29" s="140" t="s">
        <v>117</v>
      </c>
      <c r="C29" s="141" t="s">
        <v>25</v>
      </c>
      <c r="D29" s="142" t="s">
        <v>199</v>
      </c>
      <c r="E29" s="142" t="s">
        <v>199</v>
      </c>
      <c r="F29" s="142">
        <v>3263.7</v>
      </c>
      <c r="G29" s="155"/>
      <c r="H29" s="142">
        <v>4480</v>
      </c>
      <c r="I29" s="142"/>
      <c r="J29" s="142">
        <f t="shared" si="9"/>
        <v>4480</v>
      </c>
      <c r="K29" s="142">
        <f t="shared" si="8"/>
        <v>4480</v>
      </c>
      <c r="L29" s="145" t="s">
        <v>179</v>
      </c>
      <c r="M29" s="145">
        <v>1000</v>
      </c>
      <c r="N29" s="145">
        <v>5</v>
      </c>
      <c r="O29" s="145">
        <f t="shared" si="2"/>
        <v>5000</v>
      </c>
      <c r="P29" s="146">
        <f t="shared" si="3"/>
        <v>22400000</v>
      </c>
      <c r="Q29" s="147">
        <f t="shared" si="4"/>
        <v>2240000</v>
      </c>
      <c r="R29" s="148">
        <f t="shared" si="5"/>
        <v>20160000</v>
      </c>
      <c r="S29" s="149">
        <f t="shared" si="6"/>
        <v>4480000</v>
      </c>
      <c r="T29" s="150">
        <f t="shared" si="7"/>
        <v>2240000</v>
      </c>
    </row>
    <row r="30" spans="1:20" ht="28.5" customHeight="1" x14ac:dyDescent="0.25">
      <c r="A30" s="139" t="s">
        <v>118</v>
      </c>
      <c r="B30" s="140" t="s">
        <v>119</v>
      </c>
      <c r="C30" s="141" t="s">
        <v>120</v>
      </c>
      <c r="D30" s="142" t="s">
        <v>199</v>
      </c>
      <c r="E30" s="142" t="s">
        <v>199</v>
      </c>
      <c r="F30" s="142">
        <v>5099.53</v>
      </c>
      <c r="G30" s="143"/>
      <c r="H30" s="142">
        <v>52717</v>
      </c>
      <c r="I30" s="142"/>
      <c r="J30" s="142">
        <f t="shared" si="9"/>
        <v>52717</v>
      </c>
      <c r="K30" s="142">
        <f t="shared" si="8"/>
        <v>52717</v>
      </c>
      <c r="L30" s="152">
        <v>0.19</v>
      </c>
      <c r="M30" s="145">
        <v>1</v>
      </c>
      <c r="N30" s="145">
        <v>5</v>
      </c>
      <c r="O30" s="145">
        <f t="shared" si="2"/>
        <v>5</v>
      </c>
      <c r="P30" s="146">
        <f t="shared" si="3"/>
        <v>263585</v>
      </c>
      <c r="Q30" s="147">
        <f t="shared" si="4"/>
        <v>26358.5</v>
      </c>
      <c r="R30" s="148">
        <f t="shared" si="5"/>
        <v>237226.5</v>
      </c>
      <c r="S30" s="149">
        <f t="shared" si="6"/>
        <v>52717</v>
      </c>
      <c r="T30" s="150">
        <f t="shared" si="7"/>
        <v>26358.5</v>
      </c>
    </row>
    <row r="31" spans="1:20" ht="28.5" customHeight="1" x14ac:dyDescent="0.25">
      <c r="A31" s="139" t="s">
        <v>121</v>
      </c>
      <c r="B31" s="140" t="s">
        <v>122</v>
      </c>
      <c r="C31" s="141" t="s">
        <v>123</v>
      </c>
      <c r="D31" s="142">
        <v>17000</v>
      </c>
      <c r="E31" s="151" t="s">
        <v>202</v>
      </c>
      <c r="F31" s="142">
        <v>11218.97</v>
      </c>
      <c r="G31" s="143"/>
      <c r="H31" s="142">
        <v>11900</v>
      </c>
      <c r="I31" s="142"/>
      <c r="J31" s="142">
        <f t="shared" si="9"/>
        <v>11900</v>
      </c>
      <c r="K31" s="142">
        <f t="shared" si="8"/>
        <v>11900</v>
      </c>
      <c r="L31" s="145" t="s">
        <v>179</v>
      </c>
      <c r="M31" s="145">
        <v>10</v>
      </c>
      <c r="N31" s="145">
        <v>5</v>
      </c>
      <c r="O31" s="145">
        <f t="shared" si="2"/>
        <v>50</v>
      </c>
      <c r="P31" s="146">
        <f t="shared" si="3"/>
        <v>595000</v>
      </c>
      <c r="Q31" s="147">
        <f t="shared" si="4"/>
        <v>59500</v>
      </c>
      <c r="R31" s="148">
        <f t="shared" si="5"/>
        <v>535500</v>
      </c>
      <c r="S31" s="149">
        <f t="shared" si="6"/>
        <v>119000</v>
      </c>
      <c r="T31" s="150">
        <f t="shared" si="7"/>
        <v>59500</v>
      </c>
    </row>
    <row r="32" spans="1:20" ht="28.5" customHeight="1" x14ac:dyDescent="0.25">
      <c r="A32" s="139" t="s">
        <v>124</v>
      </c>
      <c r="B32" s="140" t="s">
        <v>125</v>
      </c>
      <c r="C32" s="141" t="s">
        <v>123</v>
      </c>
      <c r="D32" s="142">
        <v>17000</v>
      </c>
      <c r="E32" s="151" t="s">
        <v>202</v>
      </c>
      <c r="F32" s="142">
        <v>11218.97</v>
      </c>
      <c r="G32" s="143"/>
      <c r="H32" s="142">
        <v>11900</v>
      </c>
      <c r="I32" s="142"/>
      <c r="J32" s="142">
        <f t="shared" si="9"/>
        <v>11900</v>
      </c>
      <c r="K32" s="142">
        <f t="shared" si="8"/>
        <v>11900</v>
      </c>
      <c r="L32" s="145" t="s">
        <v>179</v>
      </c>
      <c r="M32" s="145">
        <v>10</v>
      </c>
      <c r="N32" s="145">
        <v>5</v>
      </c>
      <c r="O32" s="145">
        <f t="shared" si="2"/>
        <v>50</v>
      </c>
      <c r="P32" s="146">
        <f t="shared" si="3"/>
        <v>595000</v>
      </c>
      <c r="Q32" s="147">
        <f t="shared" si="4"/>
        <v>59500</v>
      </c>
      <c r="R32" s="148">
        <f t="shared" si="5"/>
        <v>535500</v>
      </c>
      <c r="S32" s="149">
        <f t="shared" si="6"/>
        <v>119000</v>
      </c>
      <c r="T32" s="150">
        <f t="shared" si="7"/>
        <v>59500</v>
      </c>
    </row>
    <row r="33" spans="1:20" ht="28.5" customHeight="1" x14ac:dyDescent="0.25">
      <c r="A33" s="139" t="s">
        <v>126</v>
      </c>
      <c r="B33" s="140" t="s">
        <v>127</v>
      </c>
      <c r="C33" s="141" t="s">
        <v>123</v>
      </c>
      <c r="D33" s="142">
        <v>32500</v>
      </c>
      <c r="E33" s="151" t="s">
        <v>202</v>
      </c>
      <c r="F33" s="142">
        <v>19378.22</v>
      </c>
      <c r="G33" s="143"/>
      <c r="H33" s="142">
        <v>21000</v>
      </c>
      <c r="I33" s="142"/>
      <c r="J33" s="142">
        <f t="shared" si="9"/>
        <v>21000</v>
      </c>
      <c r="K33" s="142">
        <f t="shared" si="8"/>
        <v>21000</v>
      </c>
      <c r="L33" s="145" t="s">
        <v>179</v>
      </c>
      <c r="M33" s="145">
        <v>10</v>
      </c>
      <c r="N33" s="145">
        <v>5</v>
      </c>
      <c r="O33" s="145">
        <f t="shared" si="2"/>
        <v>50</v>
      </c>
      <c r="P33" s="146">
        <f t="shared" si="3"/>
        <v>1050000</v>
      </c>
      <c r="Q33" s="147">
        <f t="shared" si="4"/>
        <v>105000</v>
      </c>
      <c r="R33" s="148">
        <f t="shared" si="5"/>
        <v>945000</v>
      </c>
      <c r="S33" s="149">
        <f t="shared" si="6"/>
        <v>210000</v>
      </c>
      <c r="T33" s="150">
        <f t="shared" si="7"/>
        <v>105000</v>
      </c>
    </row>
    <row r="34" spans="1:20" ht="28.5" customHeight="1" x14ac:dyDescent="0.25">
      <c r="A34" s="139" t="s">
        <v>128</v>
      </c>
      <c r="B34" s="140" t="s">
        <v>129</v>
      </c>
      <c r="C34" s="141" t="s">
        <v>130</v>
      </c>
      <c r="D34" s="142">
        <f>(4641*2)</f>
        <v>9282</v>
      </c>
      <c r="E34" s="151" t="s">
        <v>202</v>
      </c>
      <c r="F34" s="142">
        <v>1325.88</v>
      </c>
      <c r="G34" s="143"/>
      <c r="H34" s="142">
        <v>3570</v>
      </c>
      <c r="I34" s="142"/>
      <c r="J34" s="142">
        <f t="shared" si="9"/>
        <v>3570</v>
      </c>
      <c r="K34" s="142">
        <f t="shared" si="8"/>
        <v>3570</v>
      </c>
      <c r="L34" s="152">
        <v>0.19</v>
      </c>
      <c r="M34" s="145">
        <v>2500</v>
      </c>
      <c r="N34" s="145">
        <v>5</v>
      </c>
      <c r="O34" s="145">
        <f t="shared" si="2"/>
        <v>12500</v>
      </c>
      <c r="P34" s="146">
        <f t="shared" si="3"/>
        <v>44625000</v>
      </c>
      <c r="Q34" s="147">
        <f t="shared" si="4"/>
        <v>4462500</v>
      </c>
      <c r="R34" s="148">
        <f t="shared" si="5"/>
        <v>40162500</v>
      </c>
      <c r="S34" s="149">
        <f t="shared" si="6"/>
        <v>8925000</v>
      </c>
      <c r="T34" s="150">
        <f t="shared" si="7"/>
        <v>4462500</v>
      </c>
    </row>
    <row r="35" spans="1:20" ht="28.5" customHeight="1" x14ac:dyDescent="0.25">
      <c r="A35" s="139" t="s">
        <v>131</v>
      </c>
      <c r="B35" s="140" t="s">
        <v>132</v>
      </c>
      <c r="C35" s="141" t="s">
        <v>133</v>
      </c>
      <c r="D35" s="142">
        <f>(2213/50)</f>
        <v>44.26</v>
      </c>
      <c r="E35" s="151" t="s">
        <v>202</v>
      </c>
      <c r="F35" s="142">
        <v>3161.71</v>
      </c>
      <c r="G35" s="143"/>
      <c r="H35" s="142">
        <v>3332</v>
      </c>
      <c r="I35" s="142"/>
      <c r="J35" s="142">
        <f t="shared" si="9"/>
        <v>3332</v>
      </c>
      <c r="K35" s="142">
        <f t="shared" si="8"/>
        <v>3332</v>
      </c>
      <c r="L35" s="152">
        <v>0.19</v>
      </c>
      <c r="M35" s="145">
        <v>1000</v>
      </c>
      <c r="N35" s="145">
        <v>5</v>
      </c>
      <c r="O35" s="145">
        <f t="shared" si="2"/>
        <v>5000</v>
      </c>
      <c r="P35" s="146">
        <f t="shared" si="3"/>
        <v>16660000</v>
      </c>
      <c r="Q35" s="147">
        <f t="shared" si="4"/>
        <v>1666000</v>
      </c>
      <c r="R35" s="148">
        <f t="shared" si="5"/>
        <v>14994000</v>
      </c>
      <c r="S35" s="149">
        <f t="shared" si="6"/>
        <v>3332000</v>
      </c>
      <c r="T35" s="150">
        <f t="shared" si="7"/>
        <v>1666000</v>
      </c>
    </row>
    <row r="36" spans="1:20" ht="33" customHeight="1" x14ac:dyDescent="0.25">
      <c r="A36" s="139" t="s">
        <v>134</v>
      </c>
      <c r="B36" s="140" t="s">
        <v>135</v>
      </c>
      <c r="C36" s="141" t="s">
        <v>136</v>
      </c>
      <c r="D36" s="142">
        <f>(63700/50)</f>
        <v>1274</v>
      </c>
      <c r="E36" s="151" t="s">
        <v>202</v>
      </c>
      <c r="F36" s="142">
        <v>968.91</v>
      </c>
      <c r="G36" s="143"/>
      <c r="H36" s="142">
        <v>1016</v>
      </c>
      <c r="I36" s="142"/>
      <c r="J36" s="142">
        <f t="shared" si="9"/>
        <v>1016</v>
      </c>
      <c r="K36" s="142">
        <f t="shared" si="8"/>
        <v>1016</v>
      </c>
      <c r="L36" s="145" t="s">
        <v>179</v>
      </c>
      <c r="M36" s="145">
        <v>1000</v>
      </c>
      <c r="N36" s="145">
        <v>5</v>
      </c>
      <c r="O36" s="145">
        <f t="shared" si="2"/>
        <v>5000</v>
      </c>
      <c r="P36" s="146">
        <f t="shared" si="3"/>
        <v>5080000</v>
      </c>
      <c r="Q36" s="147">
        <f t="shared" si="4"/>
        <v>508000</v>
      </c>
      <c r="R36" s="148">
        <f t="shared" si="5"/>
        <v>4572000</v>
      </c>
      <c r="S36" s="149">
        <f t="shared" si="6"/>
        <v>1016000</v>
      </c>
      <c r="T36" s="150">
        <f t="shared" si="7"/>
        <v>508000</v>
      </c>
    </row>
    <row r="37" spans="1:20" ht="36.75" customHeight="1" x14ac:dyDescent="0.25">
      <c r="A37" s="139" t="s">
        <v>137</v>
      </c>
      <c r="B37" s="140" t="s">
        <v>138</v>
      </c>
      <c r="C37" s="141" t="s">
        <v>25</v>
      </c>
      <c r="D37" s="142">
        <f>(67200/50)</f>
        <v>1344</v>
      </c>
      <c r="E37" s="151" t="s">
        <v>202</v>
      </c>
      <c r="F37" s="142">
        <v>1499.27</v>
      </c>
      <c r="G37" s="143"/>
      <c r="H37" s="142">
        <v>1574</v>
      </c>
      <c r="I37" s="142"/>
      <c r="J37" s="142">
        <f t="shared" si="9"/>
        <v>1574</v>
      </c>
      <c r="K37" s="142">
        <f t="shared" si="8"/>
        <v>1574</v>
      </c>
      <c r="L37" s="145" t="s">
        <v>179</v>
      </c>
      <c r="M37" s="145">
        <v>1000</v>
      </c>
      <c r="N37" s="145">
        <v>5</v>
      </c>
      <c r="O37" s="145">
        <f t="shared" si="2"/>
        <v>5000</v>
      </c>
      <c r="P37" s="146">
        <f t="shared" si="3"/>
        <v>7870000</v>
      </c>
      <c r="Q37" s="147">
        <f t="shared" si="4"/>
        <v>787000</v>
      </c>
      <c r="R37" s="148">
        <f t="shared" si="5"/>
        <v>7083000</v>
      </c>
      <c r="S37" s="149">
        <f t="shared" si="6"/>
        <v>1574000</v>
      </c>
      <c r="T37" s="150">
        <f t="shared" si="7"/>
        <v>787000</v>
      </c>
    </row>
    <row r="38" spans="1:20" ht="37.5" customHeight="1" x14ac:dyDescent="0.25">
      <c r="A38" s="139" t="s">
        <v>139</v>
      </c>
      <c r="B38" s="140" t="s">
        <v>140</v>
      </c>
      <c r="C38" s="141" t="s">
        <v>25</v>
      </c>
      <c r="D38" s="142">
        <f>(63700/50)</f>
        <v>1274</v>
      </c>
      <c r="E38" s="151" t="s">
        <v>202</v>
      </c>
      <c r="F38" s="142">
        <v>1213.69</v>
      </c>
      <c r="G38" s="143"/>
      <c r="H38" s="142">
        <v>1274</v>
      </c>
      <c r="I38" s="142"/>
      <c r="J38" s="142">
        <f t="shared" si="9"/>
        <v>1274</v>
      </c>
      <c r="K38" s="142">
        <f t="shared" si="8"/>
        <v>1274</v>
      </c>
      <c r="L38" s="145" t="s">
        <v>179</v>
      </c>
      <c r="M38" s="145">
        <v>1000</v>
      </c>
      <c r="N38" s="145">
        <v>5</v>
      </c>
      <c r="O38" s="145">
        <f t="shared" si="2"/>
        <v>5000</v>
      </c>
      <c r="P38" s="146">
        <f t="shared" si="3"/>
        <v>6370000</v>
      </c>
      <c r="Q38" s="147">
        <f t="shared" si="4"/>
        <v>637000</v>
      </c>
      <c r="R38" s="148">
        <f t="shared" si="5"/>
        <v>5733000</v>
      </c>
      <c r="S38" s="149">
        <f t="shared" si="6"/>
        <v>1274000</v>
      </c>
      <c r="T38" s="150">
        <f t="shared" si="7"/>
        <v>637000</v>
      </c>
    </row>
    <row r="39" spans="1:20" ht="33.75" customHeight="1" x14ac:dyDescent="0.25">
      <c r="A39" s="139" t="s">
        <v>141</v>
      </c>
      <c r="B39" s="140" t="s">
        <v>142</v>
      </c>
      <c r="C39" s="141" t="s">
        <v>25</v>
      </c>
      <c r="D39" s="142" t="s">
        <v>199</v>
      </c>
      <c r="E39" s="142" t="s">
        <v>199</v>
      </c>
      <c r="F39" s="142">
        <v>34676.81</v>
      </c>
      <c r="G39" s="143"/>
      <c r="H39" s="142">
        <v>42900</v>
      </c>
      <c r="I39" s="142"/>
      <c r="J39" s="142">
        <f t="shared" si="9"/>
        <v>42900</v>
      </c>
      <c r="K39" s="142">
        <f t="shared" si="8"/>
        <v>42900</v>
      </c>
      <c r="L39" s="145" t="s">
        <v>179</v>
      </c>
      <c r="M39" s="145">
        <v>10</v>
      </c>
      <c r="N39" s="145">
        <v>5</v>
      </c>
      <c r="O39" s="145">
        <f t="shared" si="2"/>
        <v>50</v>
      </c>
      <c r="P39" s="146">
        <f t="shared" si="3"/>
        <v>2145000</v>
      </c>
      <c r="Q39" s="147">
        <f t="shared" si="4"/>
        <v>214500</v>
      </c>
      <c r="R39" s="148">
        <f t="shared" si="5"/>
        <v>1930500</v>
      </c>
      <c r="S39" s="149">
        <f t="shared" si="6"/>
        <v>429000</v>
      </c>
      <c r="T39" s="150">
        <f t="shared" si="7"/>
        <v>214500</v>
      </c>
    </row>
    <row r="40" spans="1:20" ht="35.25" customHeight="1" x14ac:dyDescent="0.25">
      <c r="A40" s="139" t="s">
        <v>143</v>
      </c>
      <c r="B40" s="156" t="s">
        <v>144</v>
      </c>
      <c r="C40" s="141" t="s">
        <v>145</v>
      </c>
      <c r="D40" s="142" t="s">
        <v>199</v>
      </c>
      <c r="E40" s="142" t="s">
        <v>199</v>
      </c>
      <c r="F40" s="151" t="s">
        <v>176</v>
      </c>
      <c r="G40" s="143"/>
      <c r="H40" s="142">
        <v>35800</v>
      </c>
      <c r="I40" s="142"/>
      <c r="J40" s="142">
        <f t="shared" si="9"/>
        <v>35800</v>
      </c>
      <c r="K40" s="142">
        <f t="shared" si="8"/>
        <v>35800</v>
      </c>
      <c r="L40" s="145" t="s">
        <v>179</v>
      </c>
      <c r="M40" s="145">
        <v>10</v>
      </c>
      <c r="N40" s="145">
        <v>5</v>
      </c>
      <c r="O40" s="145">
        <f t="shared" si="2"/>
        <v>50</v>
      </c>
      <c r="P40" s="146">
        <f t="shared" si="3"/>
        <v>1790000</v>
      </c>
      <c r="Q40" s="147">
        <f t="shared" si="4"/>
        <v>179000</v>
      </c>
      <c r="R40" s="148">
        <f t="shared" si="5"/>
        <v>1611000</v>
      </c>
      <c r="S40" s="149">
        <f t="shared" si="6"/>
        <v>358000</v>
      </c>
      <c r="T40" s="150">
        <f t="shared" si="7"/>
        <v>179000</v>
      </c>
    </row>
    <row r="41" spans="1:20" ht="33.75" customHeight="1" x14ac:dyDescent="0.25">
      <c r="A41" s="139" t="s">
        <v>146</v>
      </c>
      <c r="B41" s="156" t="s">
        <v>147</v>
      </c>
      <c r="C41" s="141" t="s">
        <v>9</v>
      </c>
      <c r="D41" s="142" t="s">
        <v>199</v>
      </c>
      <c r="E41" s="142" t="s">
        <v>199</v>
      </c>
      <c r="F41" s="151" t="s">
        <v>176</v>
      </c>
      <c r="G41" s="143"/>
      <c r="H41" s="142">
        <v>3689</v>
      </c>
      <c r="I41" s="142">
        <v>3211</v>
      </c>
      <c r="J41" s="142">
        <f>I41</f>
        <v>3211</v>
      </c>
      <c r="K41" s="142">
        <f t="shared" si="8"/>
        <v>3211</v>
      </c>
      <c r="L41" s="152">
        <v>0.19</v>
      </c>
      <c r="M41" s="145">
        <v>2000</v>
      </c>
      <c r="N41" s="145">
        <v>5</v>
      </c>
      <c r="O41" s="145">
        <f t="shared" si="2"/>
        <v>10000</v>
      </c>
      <c r="P41" s="146">
        <f t="shared" si="3"/>
        <v>32110000</v>
      </c>
      <c r="Q41" s="147">
        <f t="shared" si="4"/>
        <v>3211000</v>
      </c>
      <c r="R41" s="148">
        <f t="shared" si="5"/>
        <v>28899000</v>
      </c>
      <c r="S41" s="149">
        <f t="shared" si="6"/>
        <v>6422000</v>
      </c>
      <c r="T41" s="150">
        <f t="shared" si="7"/>
        <v>3211000</v>
      </c>
    </row>
    <row r="42" spans="1:20" ht="36" customHeight="1" x14ac:dyDescent="0.25">
      <c r="A42" s="139" t="s">
        <v>148</v>
      </c>
      <c r="B42" s="156" t="s">
        <v>149</v>
      </c>
      <c r="C42" s="141" t="s">
        <v>150</v>
      </c>
      <c r="D42" s="142" t="s">
        <v>199</v>
      </c>
      <c r="E42" s="142" t="s">
        <v>199</v>
      </c>
      <c r="F42" s="151" t="s">
        <v>176</v>
      </c>
      <c r="G42" s="143"/>
      <c r="H42" s="142">
        <v>10353</v>
      </c>
      <c r="I42" s="142"/>
      <c r="J42" s="142">
        <f t="shared" ref="J42:J52" si="10">H42</f>
        <v>10353</v>
      </c>
      <c r="K42" s="142">
        <f t="shared" si="8"/>
        <v>10353</v>
      </c>
      <c r="L42" s="152">
        <v>0.19</v>
      </c>
      <c r="M42" s="145">
        <v>5</v>
      </c>
      <c r="N42" s="145">
        <v>5</v>
      </c>
      <c r="O42" s="145">
        <f t="shared" si="2"/>
        <v>25</v>
      </c>
      <c r="P42" s="146">
        <f t="shared" si="3"/>
        <v>258825</v>
      </c>
      <c r="Q42" s="147">
        <f t="shared" si="4"/>
        <v>25882.5</v>
      </c>
      <c r="R42" s="148">
        <f t="shared" si="5"/>
        <v>232942.5</v>
      </c>
      <c r="S42" s="149">
        <f t="shared" si="6"/>
        <v>51765</v>
      </c>
      <c r="T42" s="150">
        <f t="shared" si="7"/>
        <v>25882.5</v>
      </c>
    </row>
    <row r="43" spans="1:20" ht="33.75" customHeight="1" x14ac:dyDescent="0.25">
      <c r="A43" s="139" t="s">
        <v>151</v>
      </c>
      <c r="B43" s="156" t="s">
        <v>152</v>
      </c>
      <c r="C43" s="141" t="s">
        <v>150</v>
      </c>
      <c r="D43" s="142" t="s">
        <v>199</v>
      </c>
      <c r="E43" s="142" t="s">
        <v>199</v>
      </c>
      <c r="F43" s="151" t="s">
        <v>176</v>
      </c>
      <c r="G43" s="143"/>
      <c r="H43" s="142">
        <v>9163</v>
      </c>
      <c r="I43" s="142"/>
      <c r="J43" s="142">
        <f t="shared" si="10"/>
        <v>9163</v>
      </c>
      <c r="K43" s="142">
        <f t="shared" si="8"/>
        <v>9163</v>
      </c>
      <c r="L43" s="152">
        <v>0.19</v>
      </c>
      <c r="M43" s="145">
        <v>5</v>
      </c>
      <c r="N43" s="145">
        <v>5</v>
      </c>
      <c r="O43" s="145">
        <f t="shared" si="2"/>
        <v>25</v>
      </c>
      <c r="P43" s="146">
        <f t="shared" si="3"/>
        <v>229075</v>
      </c>
      <c r="Q43" s="147">
        <f t="shared" si="4"/>
        <v>22907.5</v>
      </c>
      <c r="R43" s="148">
        <f t="shared" si="5"/>
        <v>206167.5</v>
      </c>
      <c r="S43" s="149">
        <f t="shared" si="6"/>
        <v>45815</v>
      </c>
      <c r="T43" s="150">
        <f t="shared" si="7"/>
        <v>22907.5</v>
      </c>
    </row>
    <row r="44" spans="1:20" ht="33.75" customHeight="1" x14ac:dyDescent="0.25">
      <c r="A44" s="139" t="s">
        <v>153</v>
      </c>
      <c r="B44" s="156" t="s">
        <v>154</v>
      </c>
      <c r="C44" s="141" t="s">
        <v>26</v>
      </c>
      <c r="D44" s="142" t="s">
        <v>199</v>
      </c>
      <c r="E44" s="142" t="s">
        <v>199</v>
      </c>
      <c r="F44" s="151" t="s">
        <v>176</v>
      </c>
      <c r="G44" s="143"/>
      <c r="H44" s="142">
        <v>11781</v>
      </c>
      <c r="I44" s="142"/>
      <c r="J44" s="142">
        <f t="shared" si="10"/>
        <v>11781</v>
      </c>
      <c r="K44" s="142">
        <f t="shared" si="8"/>
        <v>11781</v>
      </c>
      <c r="L44" s="152">
        <v>0.19</v>
      </c>
      <c r="M44" s="145">
        <v>3</v>
      </c>
      <c r="N44" s="145">
        <v>5</v>
      </c>
      <c r="O44" s="145">
        <f t="shared" si="2"/>
        <v>15</v>
      </c>
      <c r="P44" s="146">
        <f t="shared" si="3"/>
        <v>176715</v>
      </c>
      <c r="Q44" s="147">
        <f t="shared" si="4"/>
        <v>17671.5</v>
      </c>
      <c r="R44" s="148">
        <f t="shared" si="5"/>
        <v>159043.5</v>
      </c>
      <c r="S44" s="149">
        <f t="shared" si="6"/>
        <v>35343</v>
      </c>
      <c r="T44" s="150">
        <f t="shared" si="7"/>
        <v>17671.5</v>
      </c>
    </row>
    <row r="45" spans="1:20" ht="35.25" customHeight="1" x14ac:dyDescent="0.25">
      <c r="A45" s="139" t="s">
        <v>155</v>
      </c>
      <c r="B45" s="156" t="s">
        <v>156</v>
      </c>
      <c r="C45" s="141" t="s">
        <v>68</v>
      </c>
      <c r="D45" s="142" t="s">
        <v>199</v>
      </c>
      <c r="E45" s="142" t="s">
        <v>199</v>
      </c>
      <c r="F45" s="151" t="s">
        <v>176</v>
      </c>
      <c r="G45" s="143"/>
      <c r="H45" s="142">
        <v>34510</v>
      </c>
      <c r="I45" s="142"/>
      <c r="J45" s="142">
        <f t="shared" si="10"/>
        <v>34510</v>
      </c>
      <c r="K45" s="142">
        <f t="shared" si="8"/>
        <v>34510</v>
      </c>
      <c r="L45" s="152">
        <v>0.19</v>
      </c>
      <c r="M45" s="145">
        <v>5</v>
      </c>
      <c r="N45" s="145">
        <v>5</v>
      </c>
      <c r="O45" s="145">
        <f t="shared" si="2"/>
        <v>25</v>
      </c>
      <c r="P45" s="146">
        <f t="shared" si="3"/>
        <v>862750</v>
      </c>
      <c r="Q45" s="147">
        <f t="shared" si="4"/>
        <v>86275</v>
      </c>
      <c r="R45" s="148">
        <f t="shared" si="5"/>
        <v>776475</v>
      </c>
      <c r="S45" s="149">
        <f t="shared" si="6"/>
        <v>172550</v>
      </c>
      <c r="T45" s="150">
        <f t="shared" si="7"/>
        <v>86275</v>
      </c>
    </row>
    <row r="46" spans="1:20" ht="32.25" customHeight="1" x14ac:dyDescent="0.25">
      <c r="A46" s="139" t="s">
        <v>157</v>
      </c>
      <c r="B46" s="156" t="s">
        <v>158</v>
      </c>
      <c r="C46" s="141" t="s">
        <v>159</v>
      </c>
      <c r="D46" s="142">
        <v>37009</v>
      </c>
      <c r="E46" s="151" t="s">
        <v>202</v>
      </c>
      <c r="F46" s="151" t="s">
        <v>176</v>
      </c>
      <c r="G46" s="143"/>
      <c r="H46" s="142">
        <v>33558</v>
      </c>
      <c r="I46" s="142"/>
      <c r="J46" s="142">
        <f t="shared" si="10"/>
        <v>33558</v>
      </c>
      <c r="K46" s="142">
        <f t="shared" si="8"/>
        <v>33558</v>
      </c>
      <c r="L46" s="152">
        <v>0.19</v>
      </c>
      <c r="M46" s="145">
        <v>3</v>
      </c>
      <c r="N46" s="145">
        <v>5</v>
      </c>
      <c r="O46" s="145">
        <f t="shared" si="2"/>
        <v>15</v>
      </c>
      <c r="P46" s="146">
        <f t="shared" si="3"/>
        <v>503370</v>
      </c>
      <c r="Q46" s="147">
        <f t="shared" si="4"/>
        <v>50337</v>
      </c>
      <c r="R46" s="148">
        <f t="shared" si="5"/>
        <v>453033</v>
      </c>
      <c r="S46" s="149">
        <f t="shared" si="6"/>
        <v>100674</v>
      </c>
      <c r="T46" s="150">
        <f t="shared" si="7"/>
        <v>50337</v>
      </c>
    </row>
    <row r="47" spans="1:20" ht="36" customHeight="1" x14ac:dyDescent="0.25">
      <c r="A47" s="139" t="s">
        <v>160</v>
      </c>
      <c r="B47" s="156" t="s">
        <v>161</v>
      </c>
      <c r="C47" s="141" t="s">
        <v>26</v>
      </c>
      <c r="D47" s="142">
        <f>(18445/50)</f>
        <v>368.9</v>
      </c>
      <c r="E47" s="151" t="s">
        <v>202</v>
      </c>
      <c r="F47" s="151" t="s">
        <v>176</v>
      </c>
      <c r="G47" s="143">
        <v>1000</v>
      </c>
      <c r="H47" s="142">
        <v>357</v>
      </c>
      <c r="I47" s="142"/>
      <c r="J47" s="142">
        <f t="shared" si="10"/>
        <v>357</v>
      </c>
      <c r="K47" s="142">
        <f t="shared" si="8"/>
        <v>357</v>
      </c>
      <c r="L47" s="152">
        <v>0.19</v>
      </c>
      <c r="M47" s="145">
        <v>3000</v>
      </c>
      <c r="N47" s="145">
        <v>5</v>
      </c>
      <c r="O47" s="145">
        <f t="shared" si="2"/>
        <v>15000</v>
      </c>
      <c r="P47" s="146">
        <f t="shared" si="3"/>
        <v>5355000</v>
      </c>
      <c r="Q47" s="147">
        <f t="shared" si="4"/>
        <v>535500</v>
      </c>
      <c r="R47" s="148">
        <f t="shared" si="5"/>
        <v>4819500</v>
      </c>
      <c r="S47" s="149">
        <f t="shared" si="6"/>
        <v>1071000</v>
      </c>
      <c r="T47" s="150">
        <f t="shared" si="7"/>
        <v>535500</v>
      </c>
    </row>
    <row r="48" spans="1:20" ht="33.75" customHeight="1" x14ac:dyDescent="0.25">
      <c r="A48" s="139" t="s">
        <v>162</v>
      </c>
      <c r="B48" s="156" t="s">
        <v>163</v>
      </c>
      <c r="C48" s="141" t="s">
        <v>26</v>
      </c>
      <c r="D48" s="142">
        <f>(11829/50)</f>
        <v>236.58</v>
      </c>
      <c r="E48" s="151" t="s">
        <v>202</v>
      </c>
      <c r="F48" s="151" t="s">
        <v>176</v>
      </c>
      <c r="G48" s="143"/>
      <c r="H48" s="142">
        <v>357</v>
      </c>
      <c r="I48" s="142"/>
      <c r="J48" s="142">
        <f t="shared" si="10"/>
        <v>357</v>
      </c>
      <c r="K48" s="142">
        <f t="shared" si="8"/>
        <v>357</v>
      </c>
      <c r="L48" s="152">
        <v>0.19</v>
      </c>
      <c r="M48" s="145">
        <v>500</v>
      </c>
      <c r="N48" s="145">
        <v>5</v>
      </c>
      <c r="O48" s="145">
        <f t="shared" si="2"/>
        <v>2500</v>
      </c>
      <c r="P48" s="146">
        <f t="shared" si="3"/>
        <v>892500</v>
      </c>
      <c r="Q48" s="147">
        <f t="shared" si="4"/>
        <v>89250</v>
      </c>
      <c r="R48" s="148">
        <f t="shared" si="5"/>
        <v>803250</v>
      </c>
      <c r="S48" s="149">
        <f t="shared" si="6"/>
        <v>178500</v>
      </c>
      <c r="T48" s="150">
        <f t="shared" si="7"/>
        <v>89250</v>
      </c>
    </row>
    <row r="49" spans="1:20" ht="34.5" customHeight="1" x14ac:dyDescent="0.25">
      <c r="A49" s="139" t="s">
        <v>164</v>
      </c>
      <c r="B49" s="156" t="s">
        <v>165</v>
      </c>
      <c r="C49" s="141" t="s">
        <v>26</v>
      </c>
      <c r="D49" s="142">
        <f>(41888/100)</f>
        <v>418.88</v>
      </c>
      <c r="E49" s="151" t="s">
        <v>202</v>
      </c>
      <c r="F49" s="151" t="s">
        <v>176</v>
      </c>
      <c r="G49" s="143"/>
      <c r="H49" s="142">
        <v>476</v>
      </c>
      <c r="I49" s="142"/>
      <c r="J49" s="142">
        <f t="shared" si="10"/>
        <v>476</v>
      </c>
      <c r="K49" s="142">
        <f t="shared" si="8"/>
        <v>476</v>
      </c>
      <c r="L49" s="152">
        <v>0.19</v>
      </c>
      <c r="M49" s="145">
        <v>25</v>
      </c>
      <c r="N49" s="145">
        <v>5</v>
      </c>
      <c r="O49" s="145">
        <f t="shared" si="2"/>
        <v>125</v>
      </c>
      <c r="P49" s="146">
        <f t="shared" si="3"/>
        <v>59500</v>
      </c>
      <c r="Q49" s="147">
        <f t="shared" si="4"/>
        <v>5950</v>
      </c>
      <c r="R49" s="148">
        <f t="shared" si="5"/>
        <v>53550</v>
      </c>
      <c r="S49" s="149">
        <f t="shared" si="6"/>
        <v>11900</v>
      </c>
      <c r="T49" s="150">
        <f t="shared" si="7"/>
        <v>5950</v>
      </c>
    </row>
    <row r="50" spans="1:20" ht="33" customHeight="1" x14ac:dyDescent="0.25">
      <c r="A50" s="139" t="s">
        <v>166</v>
      </c>
      <c r="B50" s="156" t="s">
        <v>167</v>
      </c>
      <c r="C50" s="141" t="s">
        <v>26</v>
      </c>
      <c r="D50" s="142" t="s">
        <v>199</v>
      </c>
      <c r="E50" s="142" t="s">
        <v>199</v>
      </c>
      <c r="F50" s="151" t="s">
        <v>176</v>
      </c>
      <c r="G50" s="143"/>
      <c r="H50" s="142">
        <v>123.76</v>
      </c>
      <c r="I50" s="142"/>
      <c r="J50" s="142">
        <f t="shared" si="10"/>
        <v>123.76</v>
      </c>
      <c r="K50" s="142">
        <f t="shared" si="8"/>
        <v>123.76</v>
      </c>
      <c r="L50" s="152">
        <v>0.19</v>
      </c>
      <c r="M50" s="145">
        <v>500</v>
      </c>
      <c r="N50" s="145">
        <v>5</v>
      </c>
      <c r="O50" s="145">
        <f t="shared" si="2"/>
        <v>2500</v>
      </c>
      <c r="P50" s="146">
        <f t="shared" si="3"/>
        <v>309400</v>
      </c>
      <c r="Q50" s="147">
        <f t="shared" si="4"/>
        <v>30940</v>
      </c>
      <c r="R50" s="148">
        <f t="shared" si="5"/>
        <v>278460</v>
      </c>
      <c r="S50" s="149">
        <f t="shared" si="6"/>
        <v>61880</v>
      </c>
      <c r="T50" s="150">
        <f t="shared" si="7"/>
        <v>30940</v>
      </c>
    </row>
    <row r="51" spans="1:20" ht="33" customHeight="1" x14ac:dyDescent="0.25">
      <c r="A51" s="139" t="s">
        <v>168</v>
      </c>
      <c r="B51" s="156" t="s">
        <v>169</v>
      </c>
      <c r="C51" s="141" t="s">
        <v>26</v>
      </c>
      <c r="D51" s="142" t="s">
        <v>199</v>
      </c>
      <c r="E51" s="142" t="s">
        <v>199</v>
      </c>
      <c r="F51" s="151" t="s">
        <v>176</v>
      </c>
      <c r="G51" s="143"/>
      <c r="H51" s="142">
        <v>380.8</v>
      </c>
      <c r="I51" s="142"/>
      <c r="J51" s="142">
        <f t="shared" si="10"/>
        <v>380.8</v>
      </c>
      <c r="K51" s="142">
        <f t="shared" si="8"/>
        <v>380.8</v>
      </c>
      <c r="L51" s="152">
        <v>0.19</v>
      </c>
      <c r="M51" s="145">
        <v>500</v>
      </c>
      <c r="N51" s="145">
        <v>5</v>
      </c>
      <c r="O51" s="145">
        <f t="shared" si="2"/>
        <v>2500</v>
      </c>
      <c r="P51" s="146">
        <f t="shared" si="3"/>
        <v>952000</v>
      </c>
      <c r="Q51" s="147">
        <f t="shared" si="4"/>
        <v>95200</v>
      </c>
      <c r="R51" s="148">
        <f t="shared" si="5"/>
        <v>856800</v>
      </c>
      <c r="S51" s="149">
        <f t="shared" si="6"/>
        <v>190400</v>
      </c>
      <c r="T51" s="150">
        <f t="shared" si="7"/>
        <v>95200</v>
      </c>
    </row>
    <row r="52" spans="1:20" ht="30.95" customHeight="1" x14ac:dyDescent="0.25">
      <c r="A52" s="139" t="s">
        <v>170</v>
      </c>
      <c r="B52" s="156" t="s">
        <v>171</v>
      </c>
      <c r="C52" s="141" t="s">
        <v>26</v>
      </c>
      <c r="D52" s="142" t="s">
        <v>199</v>
      </c>
      <c r="E52" s="142" t="s">
        <v>199</v>
      </c>
      <c r="F52" s="151" t="s">
        <v>176</v>
      </c>
      <c r="G52" s="143"/>
      <c r="H52" s="142">
        <v>10800</v>
      </c>
      <c r="I52" s="142"/>
      <c r="J52" s="142">
        <f t="shared" si="10"/>
        <v>10800</v>
      </c>
      <c r="K52" s="142">
        <f t="shared" si="8"/>
        <v>10800</v>
      </c>
      <c r="L52" s="152">
        <v>0.19</v>
      </c>
      <c r="M52" s="145">
        <v>5</v>
      </c>
      <c r="N52" s="145">
        <v>5</v>
      </c>
      <c r="O52" s="145">
        <f t="shared" si="2"/>
        <v>25</v>
      </c>
      <c r="P52" s="146">
        <f t="shared" si="3"/>
        <v>270000</v>
      </c>
      <c r="Q52" s="147">
        <f t="shared" si="4"/>
        <v>27000</v>
      </c>
      <c r="R52" s="148">
        <f t="shared" si="5"/>
        <v>243000</v>
      </c>
      <c r="S52" s="149">
        <f t="shared" si="6"/>
        <v>54000</v>
      </c>
      <c r="T52" s="150">
        <f t="shared" si="7"/>
        <v>27000</v>
      </c>
    </row>
    <row r="53" spans="1:20" ht="24" customHeight="1" thickBot="1" x14ac:dyDescent="0.3">
      <c r="A53" s="193" t="s">
        <v>189</v>
      </c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57"/>
      <c r="O53" s="157"/>
      <c r="P53" s="158">
        <f>SUM(P3:P52)</f>
        <v>332950750</v>
      </c>
      <c r="Q53" s="159">
        <f>SUM(Q3:Q52)</f>
        <v>33295075</v>
      </c>
      <c r="R53" s="160">
        <f>SUM(R3:R52)</f>
        <v>299655675</v>
      </c>
    </row>
  </sheetData>
  <mergeCells count="2">
    <mergeCell ref="A53:M53"/>
    <mergeCell ref="A1:R1"/>
  </mergeCells>
  <pageMargins left="0.7" right="0.7" top="0.75" bottom="0.75" header="0.3" footer="0.3"/>
  <pageSetup scale="4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1"/>
  <sheetViews>
    <sheetView topLeftCell="G1" zoomScale="140" zoomScaleNormal="140" workbookViewId="0">
      <selection activeCell="G10" sqref="A10:XFD31"/>
    </sheetView>
  </sheetViews>
  <sheetFormatPr baseColWidth="10" defaultColWidth="11.42578125" defaultRowHeight="15" x14ac:dyDescent="0.25"/>
  <cols>
    <col min="3" max="3" width="13.85546875" customWidth="1"/>
    <col min="7" max="7" width="11.42578125" customWidth="1"/>
    <col min="8" max="9" width="12.7109375" bestFit="1" customWidth="1"/>
    <col min="10" max="10" width="15.7109375" customWidth="1"/>
    <col min="15" max="15" width="13.7109375" bestFit="1" customWidth="1"/>
    <col min="16" max="16" width="17" customWidth="1"/>
    <col min="17" max="17" width="19.140625" customWidth="1"/>
    <col min="18" max="18" width="15" bestFit="1" customWidth="1"/>
    <col min="19" max="19" width="16.140625" customWidth="1"/>
    <col min="20" max="20" width="18.42578125" bestFit="1" customWidth="1"/>
  </cols>
  <sheetData>
    <row r="1" spans="1:20" ht="33.75" customHeight="1" x14ac:dyDescent="0.25">
      <c r="A1" s="172" t="s">
        <v>204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4"/>
    </row>
    <row r="2" spans="1:20" ht="33.75" x14ac:dyDescent="0.25">
      <c r="A2" s="5" t="s">
        <v>54</v>
      </c>
      <c r="B2" s="15" t="s">
        <v>1</v>
      </c>
      <c r="C2" s="15" t="s">
        <v>2</v>
      </c>
      <c r="D2" s="60" t="s">
        <v>3</v>
      </c>
      <c r="E2" s="60" t="s">
        <v>198</v>
      </c>
      <c r="F2" s="17" t="s">
        <v>181</v>
      </c>
      <c r="G2" s="15" t="s">
        <v>13</v>
      </c>
      <c r="H2" s="62" t="s">
        <v>203</v>
      </c>
      <c r="I2" s="62" t="s">
        <v>205</v>
      </c>
      <c r="J2" s="7" t="s">
        <v>7</v>
      </c>
      <c r="K2" s="15" t="s">
        <v>178</v>
      </c>
      <c r="L2" s="15" t="s">
        <v>214</v>
      </c>
      <c r="M2" s="98" t="s">
        <v>221</v>
      </c>
      <c r="N2" s="98" t="s">
        <v>213</v>
      </c>
      <c r="O2" s="15" t="s">
        <v>182</v>
      </c>
      <c r="P2" s="15" t="s">
        <v>196</v>
      </c>
      <c r="Q2" s="6" t="s">
        <v>197</v>
      </c>
    </row>
    <row r="3" spans="1:20" ht="22.5" x14ac:dyDescent="0.25">
      <c r="A3" s="19" t="s">
        <v>22</v>
      </c>
      <c r="B3" s="20" t="s">
        <v>172</v>
      </c>
      <c r="C3" s="18" t="s">
        <v>9</v>
      </c>
      <c r="D3" s="61" t="s">
        <v>199</v>
      </c>
      <c r="E3" s="61" t="s">
        <v>199</v>
      </c>
      <c r="F3" s="21">
        <v>24680</v>
      </c>
      <c r="G3" s="16">
        <v>27640</v>
      </c>
      <c r="H3" s="16">
        <v>20760</v>
      </c>
      <c r="I3" s="16">
        <f>H3</f>
        <v>20760</v>
      </c>
      <c r="J3" s="21">
        <v>22720</v>
      </c>
      <c r="K3" s="14" t="s">
        <v>179</v>
      </c>
      <c r="L3" s="14">
        <v>550</v>
      </c>
      <c r="M3" s="14">
        <v>6</v>
      </c>
      <c r="N3" s="14">
        <f>L3*M3</f>
        <v>3300</v>
      </c>
      <c r="O3" s="106">
        <f>N3*J3</f>
        <v>74976000</v>
      </c>
      <c r="P3" s="106">
        <f>S3</f>
        <v>6248000</v>
      </c>
      <c r="Q3" s="109">
        <f>R3*5+S3</f>
        <v>68728000</v>
      </c>
      <c r="R3" s="70">
        <f>O3/6</f>
        <v>12496000</v>
      </c>
      <c r="S3" s="78">
        <f>R3/2</f>
        <v>6248000</v>
      </c>
      <c r="T3" s="108"/>
    </row>
    <row r="4" spans="1:20" ht="22.5" x14ac:dyDescent="0.25">
      <c r="A4" s="19" t="s">
        <v>45</v>
      </c>
      <c r="B4" s="20" t="s">
        <v>173</v>
      </c>
      <c r="C4" s="18" t="s">
        <v>9</v>
      </c>
      <c r="D4" s="61" t="s">
        <v>199</v>
      </c>
      <c r="E4" s="61" t="s">
        <v>199</v>
      </c>
      <c r="F4" s="21">
        <v>19087</v>
      </c>
      <c r="G4" s="16">
        <v>21375</v>
      </c>
      <c r="H4" s="16">
        <v>21190</v>
      </c>
      <c r="I4" s="16">
        <f>H4</f>
        <v>21190</v>
      </c>
      <c r="J4" s="21">
        <v>20138.5</v>
      </c>
      <c r="K4" s="14" t="s">
        <v>179</v>
      </c>
      <c r="L4" s="14">
        <v>1450</v>
      </c>
      <c r="M4" s="14">
        <v>6</v>
      </c>
      <c r="N4" s="14">
        <f t="shared" ref="N4:N6" si="0">L4*M4</f>
        <v>8700</v>
      </c>
      <c r="O4" s="106">
        <f t="shared" ref="O4:O6" si="1">N4*J4</f>
        <v>175204950</v>
      </c>
      <c r="P4" s="106">
        <f t="shared" ref="P4:P6" si="2">S4</f>
        <v>14600412.5</v>
      </c>
      <c r="Q4" s="109">
        <f t="shared" ref="Q4:Q6" si="3">R4*5+S4</f>
        <v>160604537.5</v>
      </c>
      <c r="R4" s="70">
        <f t="shared" ref="R4:R6" si="4">O4/6</f>
        <v>29200825</v>
      </c>
      <c r="S4" s="78">
        <f t="shared" ref="S4:S7" si="5">R4/2</f>
        <v>14600412.5</v>
      </c>
      <c r="T4" s="108"/>
    </row>
    <row r="5" spans="1:20" ht="48" customHeight="1" x14ac:dyDescent="0.25">
      <c r="A5" s="19" t="s">
        <v>46</v>
      </c>
      <c r="B5" s="3" t="s">
        <v>174</v>
      </c>
      <c r="C5" s="18" t="s">
        <v>9</v>
      </c>
      <c r="D5" s="61" t="s">
        <v>199</v>
      </c>
      <c r="E5" s="61" t="s">
        <v>199</v>
      </c>
      <c r="F5" s="21">
        <v>18510</v>
      </c>
      <c r="G5" s="4">
        <v>20730</v>
      </c>
      <c r="H5" s="4">
        <v>19751</v>
      </c>
      <c r="I5" s="4">
        <f>H5</f>
        <v>19751</v>
      </c>
      <c r="J5" s="66">
        <v>19130.5</v>
      </c>
      <c r="K5" s="14" t="s">
        <v>179</v>
      </c>
      <c r="L5" s="14">
        <v>600</v>
      </c>
      <c r="M5" s="14">
        <v>6</v>
      </c>
      <c r="N5" s="14">
        <f t="shared" si="0"/>
        <v>3600</v>
      </c>
      <c r="O5" s="106">
        <f t="shared" si="1"/>
        <v>68869800</v>
      </c>
      <c r="P5" s="106">
        <f t="shared" si="2"/>
        <v>5739150</v>
      </c>
      <c r="Q5" s="109">
        <f t="shared" si="3"/>
        <v>63130650</v>
      </c>
      <c r="R5" s="70">
        <f t="shared" si="4"/>
        <v>11478300</v>
      </c>
      <c r="S5" s="78">
        <f t="shared" si="5"/>
        <v>5739150</v>
      </c>
      <c r="T5" s="108"/>
    </row>
    <row r="6" spans="1:20" ht="39.75" customHeight="1" thickBot="1" x14ac:dyDescent="0.3">
      <c r="A6" s="33">
        <v>4</v>
      </c>
      <c r="B6" s="58" t="s">
        <v>175</v>
      </c>
      <c r="C6" s="29" t="s">
        <v>9</v>
      </c>
      <c r="D6" s="61" t="s">
        <v>199</v>
      </c>
      <c r="E6" s="61" t="s">
        <v>199</v>
      </c>
      <c r="F6" s="30">
        <v>25629</v>
      </c>
      <c r="G6" s="32">
        <v>28705</v>
      </c>
      <c r="H6" s="32">
        <v>19800</v>
      </c>
      <c r="I6" s="32">
        <f>H6</f>
        <v>19800</v>
      </c>
      <c r="J6" s="66">
        <v>22714.5</v>
      </c>
      <c r="K6" s="31" t="s">
        <v>179</v>
      </c>
      <c r="L6" s="31">
        <v>30</v>
      </c>
      <c r="M6" s="14">
        <v>6</v>
      </c>
      <c r="N6" s="14">
        <f t="shared" si="0"/>
        <v>180</v>
      </c>
      <c r="O6" s="106">
        <f t="shared" si="1"/>
        <v>4088610</v>
      </c>
      <c r="P6" s="106">
        <f t="shared" si="2"/>
        <v>340717.5</v>
      </c>
      <c r="Q6" s="109">
        <f t="shared" si="3"/>
        <v>3747892.5</v>
      </c>
      <c r="R6" s="70">
        <f t="shared" si="4"/>
        <v>681435</v>
      </c>
      <c r="S6" s="78">
        <f t="shared" si="5"/>
        <v>340717.5</v>
      </c>
      <c r="T6" s="108"/>
    </row>
    <row r="7" spans="1:20" ht="15.75" thickBot="1" x14ac:dyDescent="0.3">
      <c r="A7" s="198" t="s">
        <v>190</v>
      </c>
      <c r="B7" s="199"/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05"/>
      <c r="N7" s="105"/>
      <c r="O7" s="131">
        <f t="shared" ref="O7" si="6">P7+Q7</f>
        <v>323139360</v>
      </c>
      <c r="P7" s="107">
        <f>SUM(P3:P6)</f>
        <v>26928280</v>
      </c>
      <c r="Q7" s="110">
        <f>SUM(Q3:Q6)</f>
        <v>296211080</v>
      </c>
      <c r="R7" s="70">
        <f t="shared" ref="R7" si="7">O7/7</f>
        <v>46162765.714285716</v>
      </c>
      <c r="S7" s="78">
        <f t="shared" si="5"/>
        <v>23081382.857142858</v>
      </c>
      <c r="T7" s="108"/>
    </row>
    <row r="9" spans="1:20" s="97" customFormat="1" ht="11.25" x14ac:dyDescent="0.2"/>
    <row r="10" spans="1:20" s="97" customFormat="1" ht="11.25" x14ac:dyDescent="0.2"/>
    <row r="11" spans="1:20" s="97" customFormat="1" ht="11.25" x14ac:dyDescent="0.2"/>
    <row r="12" spans="1:20" s="97" customFormat="1" ht="11.25" x14ac:dyDescent="0.2"/>
    <row r="13" spans="1:20" s="97" customFormat="1" ht="11.25" x14ac:dyDescent="0.2"/>
    <row r="14" spans="1:20" s="97" customFormat="1" ht="11.25" x14ac:dyDescent="0.2"/>
    <row r="15" spans="1:20" s="97" customFormat="1" ht="11.25" x14ac:dyDescent="0.2"/>
    <row r="16" spans="1:20" s="97" customFormat="1" ht="11.25" x14ac:dyDescent="0.2"/>
    <row r="17" s="97" customFormat="1" ht="11.25" x14ac:dyDescent="0.2"/>
    <row r="18" s="97" customFormat="1" ht="11.25" x14ac:dyDescent="0.2"/>
    <row r="19" s="97" customFormat="1" ht="11.25" x14ac:dyDescent="0.2"/>
    <row r="20" s="97" customFormat="1" ht="11.25" x14ac:dyDescent="0.2"/>
    <row r="21" s="97" customFormat="1" ht="11.25" x14ac:dyDescent="0.2"/>
  </sheetData>
  <mergeCells count="2">
    <mergeCell ref="A7:L7"/>
    <mergeCell ref="A1:Q1"/>
  </mergeCells>
  <pageMargins left="0.7" right="0.7" top="0.75" bottom="0.75" header="0.3" footer="0.3"/>
  <pageSetup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opLeftCell="A2" zoomScale="140" zoomScaleNormal="140" workbookViewId="0">
      <selection activeCell="A10" sqref="A10:XFD97"/>
    </sheetView>
  </sheetViews>
  <sheetFormatPr baseColWidth="10" defaultColWidth="11.42578125" defaultRowHeight="19.5" customHeight="1" x14ac:dyDescent="0.25"/>
  <cols>
    <col min="2" max="2" width="36" customWidth="1"/>
    <col min="3" max="3" width="16.28515625" customWidth="1"/>
    <col min="4" max="4" width="16.42578125" customWidth="1"/>
    <col min="5" max="5" width="16.7109375" customWidth="1"/>
    <col min="6" max="6" width="18.7109375" customWidth="1"/>
  </cols>
  <sheetData>
    <row r="1" spans="1:5" ht="30.95" customHeight="1" x14ac:dyDescent="0.25">
      <c r="A1" s="200" t="s">
        <v>183</v>
      </c>
      <c r="B1" s="200"/>
      <c r="C1" s="200"/>
      <c r="D1" s="200"/>
      <c r="E1" s="200"/>
    </row>
    <row r="2" spans="1:5" ht="46.5" customHeight="1" x14ac:dyDescent="0.25">
      <c r="A2" s="79" t="s">
        <v>184</v>
      </c>
      <c r="B2" s="79" t="s">
        <v>211</v>
      </c>
      <c r="C2" s="80" t="s">
        <v>196</v>
      </c>
      <c r="D2" s="80" t="s">
        <v>197</v>
      </c>
      <c r="E2" s="79" t="s">
        <v>185</v>
      </c>
    </row>
    <row r="3" spans="1:5" ht="24" customHeight="1" x14ac:dyDescent="0.25">
      <c r="A3" s="81">
        <v>1</v>
      </c>
      <c r="B3" s="82" t="s">
        <v>194</v>
      </c>
      <c r="C3" s="90">
        <f>'GRUPO 1'!O7</f>
        <v>13130000</v>
      </c>
      <c r="D3" s="90">
        <f>'GRUPO 1'!P7</f>
        <v>144430000</v>
      </c>
      <c r="E3" s="85">
        <f t="shared" ref="E3:E8" si="0">SUM(C3:D3)</f>
        <v>157560000</v>
      </c>
    </row>
    <row r="4" spans="1:5" ht="24" customHeight="1" x14ac:dyDescent="0.25">
      <c r="A4" s="83">
        <v>2</v>
      </c>
      <c r="B4" s="84" t="s">
        <v>195</v>
      </c>
      <c r="C4" s="86">
        <f>'GRUPO 2'!U18</f>
        <v>8456644.9500000011</v>
      </c>
      <c r="D4" s="86">
        <f>'GRUPO 2'!V18</f>
        <v>33826579.800000004</v>
      </c>
      <c r="E4" s="85">
        <f t="shared" si="0"/>
        <v>42283224.750000007</v>
      </c>
    </row>
    <row r="5" spans="1:5" ht="24.75" customHeight="1" x14ac:dyDescent="0.25">
      <c r="A5" s="83">
        <v>3</v>
      </c>
      <c r="B5" s="84" t="s">
        <v>193</v>
      </c>
      <c r="C5" s="90">
        <f>'GRUPO 3'!N11</f>
        <v>9368117.333333334</v>
      </c>
      <c r="D5" s="90">
        <f>'GRUPO 3'!O11</f>
        <v>46840586.666666672</v>
      </c>
      <c r="E5" s="85">
        <f t="shared" si="0"/>
        <v>56208704.000000007</v>
      </c>
    </row>
    <row r="6" spans="1:5" ht="19.5" customHeight="1" x14ac:dyDescent="0.25">
      <c r="A6" s="83" t="s">
        <v>48</v>
      </c>
      <c r="B6" s="84" t="s">
        <v>192</v>
      </c>
      <c r="C6" s="86">
        <f>'GRUPO 4'!Q53</f>
        <v>33295075</v>
      </c>
      <c r="D6" s="86">
        <f>'GRUPO 4'!R53</f>
        <v>299655675</v>
      </c>
      <c r="E6" s="87">
        <f t="shared" si="0"/>
        <v>332950750</v>
      </c>
    </row>
    <row r="7" spans="1:5" ht="20.100000000000001" customHeight="1" x14ac:dyDescent="0.25">
      <c r="A7" s="83" t="s">
        <v>51</v>
      </c>
      <c r="B7" s="84" t="s">
        <v>191</v>
      </c>
      <c r="C7" s="86">
        <f>'GRUPO 5'!P7</f>
        <v>26928280</v>
      </c>
      <c r="D7" s="86">
        <f>'GRUPO 5'!Q7</f>
        <v>296211080</v>
      </c>
      <c r="E7" s="87">
        <f t="shared" si="0"/>
        <v>323139360</v>
      </c>
    </row>
    <row r="8" spans="1:5" ht="19.5" customHeight="1" x14ac:dyDescent="0.25">
      <c r="A8" s="201" t="s">
        <v>186</v>
      </c>
      <c r="B8" s="201"/>
      <c r="C8" s="88">
        <f>SUM(C3:C7)</f>
        <v>91178117.283333331</v>
      </c>
      <c r="D8" s="88">
        <f>SUM(D3:D7)</f>
        <v>820963921.4666667</v>
      </c>
      <c r="E8" s="89">
        <f t="shared" si="0"/>
        <v>912142038.75</v>
      </c>
    </row>
    <row r="9" spans="1:5" ht="19.5" customHeight="1" x14ac:dyDescent="0.25">
      <c r="E9" s="59"/>
    </row>
  </sheetData>
  <mergeCells count="2">
    <mergeCell ref="A1:E1"/>
    <mergeCell ref="A8:B8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6989C22432624BBFCD22B5A5228624" ma:contentTypeVersion="4" ma:contentTypeDescription="Create a new document." ma:contentTypeScope="" ma:versionID="843f1ce3bef6c66950deffc350376908">
  <xsd:schema xmlns:xsd="http://www.w3.org/2001/XMLSchema" xmlns:xs="http://www.w3.org/2001/XMLSchema" xmlns:p="http://schemas.microsoft.com/office/2006/metadata/properties" xmlns:ns2="97d4ebee-21af-4026-b6d5-7112499575f6" xmlns:ns3="17c3c997-3ca7-4620-bbd1-74ad77182724" targetNamespace="http://schemas.microsoft.com/office/2006/metadata/properties" ma:root="true" ma:fieldsID="7265060994868c4993fb03f7dcb14eb2" ns2:_="" ns3:_="">
    <xsd:import namespace="97d4ebee-21af-4026-b6d5-7112499575f6"/>
    <xsd:import namespace="17c3c997-3ca7-4620-bbd1-74ad7718272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d4ebee-21af-4026-b6d5-7112499575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c3c997-3ca7-4620-bbd1-74ad7718272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17c3c997-3ca7-4620-bbd1-74ad77182724">
      <UserInfo>
        <DisplayName>CLAUDIA HELENA RODRIGUEZ PERALTA</DisplayName>
        <AccountId>13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F84A6D-90B6-4000-AE2A-D59C67F69A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d4ebee-21af-4026-b6d5-7112499575f6"/>
    <ds:schemaRef ds:uri="17c3c997-3ca7-4620-bbd1-74ad771827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A1213F-93C4-4CCC-AAD3-093CB91781FA}">
  <ds:schemaRefs>
    <ds:schemaRef ds:uri="97d4ebee-21af-4026-b6d5-7112499575f6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purl.org/dc/terms/"/>
    <ds:schemaRef ds:uri="17c3c997-3ca7-4620-bbd1-74ad7718272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75FE76F-F245-4CA6-8BDE-43CFDCE174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GRUPO 1</vt:lpstr>
      <vt:lpstr>GRUPO 2</vt:lpstr>
      <vt:lpstr>GRUPO 3</vt:lpstr>
      <vt:lpstr>GRUPO 4</vt:lpstr>
      <vt:lpstr>GRUPO 5</vt:lpstr>
      <vt:lpstr>PRESUPUESTO PROCESO INSUMOS 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DISAN - ERIKA JARAMILLO BAQUERO</dc:creator>
  <cp:keywords/>
  <dc:description/>
  <cp:lastModifiedBy>DISAN - GUILLERMO SANTANA CARRERO</cp:lastModifiedBy>
  <cp:revision/>
  <cp:lastPrinted>2021-05-19T18:04:54Z</cp:lastPrinted>
  <dcterms:created xsi:type="dcterms:W3CDTF">2021-04-21T17:01:59Z</dcterms:created>
  <dcterms:modified xsi:type="dcterms:W3CDTF">2021-10-25T14:36:59Z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0x010100556989C22432624BBFCD22B5A5228624</vt:lpwstr>
  </property>
</Properties>
</file>