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/>
  <workbookPr/>
  <mc:AlternateContent xmlns:mc="http://schemas.openxmlformats.org/markup-compatibility/2006">
    <mc:Choice Requires="x15">
      <x15ac:absPath xmlns:x15ac="http://schemas.microsoft.com/office/spreadsheetml/2010/11/ac" url="https://d.docs.live.net/f955ea4ace1855bd/05 Profesional/SDP/Modelaciones POT/MI - Mejoramiento Integral/Nov 9 2021/"/>
    </mc:Choice>
  </mc:AlternateContent>
  <xr:revisionPtr revIDLastSave="410" documentId="8_{9DECC79B-03C4-4C51-A22B-A222251C419E}" xr6:coauthVersionLast="47" xr6:coauthVersionMax="47" xr10:uidLastSave="{C947B9A4-5AA3-46CE-BDD7-059719718217}"/>
  <bookViews>
    <workbookView xWindow="28680" yWindow="-120" windowWidth="29040" windowHeight="15720" tabRatio="639" firstSheet="3" activeTab="7" xr2:uid="{00000000-000D-0000-FFFF-FFFF00000000}"/>
  </bookViews>
  <sheets>
    <sheet name="DATOS " sheetId="22" state="hidden" r:id="rId1"/>
    <sheet name="Modelacion (8p) Oct 26" sheetId="93" state="hidden" r:id="rId2"/>
    <sheet name="Base (8p) Oct 26" sheetId="94" state="hidden" r:id="rId3"/>
    <sheet name="Modelacion (8p) No VIS Nov 8" sheetId="97" r:id="rId4"/>
    <sheet name="Base (8p) No Vis Nov 8 " sheetId="98" r:id="rId5"/>
    <sheet name="Modelacion (8p) Nov 8" sheetId="95" r:id="rId6"/>
    <sheet name="Base (8p) Nov 8" sheetId="96" state="hidden" r:id="rId7"/>
    <sheet name="FAC_MI Tunal 8P" sheetId="85" r:id="rId8"/>
    <sheet name="$ Mercado Sur oriente" sheetId="92" r:id="rId9"/>
  </sheets>
  <externalReferences>
    <externalReference r:id="rId10"/>
    <externalReference r:id="rId11"/>
    <externalReference r:id="rId12"/>
    <externalReference r:id="rId13"/>
    <externalReference r:id="rId14"/>
  </externalReferences>
  <definedNames>
    <definedName name="__UEN2" hidden="1">#REF!</definedName>
    <definedName name="_Fill" hidden="1">#REF!</definedName>
    <definedName name="_Key1" hidden="1">#REF!</definedName>
    <definedName name="_Key2" hidden="1">#REF!</definedName>
    <definedName name="_Order1" hidden="1">255</definedName>
    <definedName name="_Order2" hidden="1">255</definedName>
    <definedName name="_Regression_Out" hidden="1">#REF!</definedName>
    <definedName name="_Regression_X" hidden="1">#REF!</definedName>
    <definedName name="_Regression_Y" hidden="1">#REF!</definedName>
    <definedName name="_Sort" hidden="1">#REF!</definedName>
    <definedName name="_Table2_In2" hidden="1">#REF!</definedName>
    <definedName name="_Table2_in3" hidden="1">#REF!</definedName>
    <definedName name="_UEN2" hidden="1">#REF!</definedName>
    <definedName name="AccessDatabase" hidden="1">"C:\EXCEL\FILESXLS\TELEX\LIBRO99.mdb"</definedName>
    <definedName name="activos" hidden="1">{#N/A,#N/A,TRUE,"Posicion";#N/A,#N/A,TRUE,"Presentacion";#N/A,#N/A,TRUE,"analisis";#N/A,#N/A,TRUE,"PORTAFOLIO"}</definedName>
    <definedName name="adsad" hidden="1">#REF!</definedName>
    <definedName name="adssad" hidden="1">#REF!</definedName>
    <definedName name="AREAS_ARQ">[1]Consolidado!$G$7:$BM$276</definedName>
    <definedName name="as" hidden="1">#REF!</definedName>
    <definedName name="AS2DocOpenMode" hidden="1">"AS2DocumentEdit"</definedName>
    <definedName name="CBWorkbookPriority" hidden="1">-1069082714</definedName>
    <definedName name="consum" hidden="1">{"'Sheet2'!$A$3:$B$17"}</definedName>
    <definedName name="de" hidden="1">0</definedName>
    <definedName name="debtmay2" hidden="1">{#N/A,#N/A,FALSE,"SOACHA"}</definedName>
    <definedName name="DFFDF" hidden="1">{#N/A,#N/A,FALSE,"SOACHA"}</definedName>
    <definedName name="direccion" hidden="1">{#N/A,#N/A,FALSE,"SOACHA"}</definedName>
    <definedName name="gc" hidden="1">{#N/A,#N/A,FALSE,"SOACHA"}</definedName>
    <definedName name="HTML_CodePage" hidden="1">1252</definedName>
    <definedName name="HTML_Control" hidden="1">{"'Sheet1'!$A$1:$H$145"}</definedName>
    <definedName name="HTML_Description" hidden="1">""</definedName>
    <definedName name="HTML_Email" hidden="1">""</definedName>
    <definedName name="HTML_Header" hidden="1">"Country Risk Premiums"</definedName>
    <definedName name="HTML_LastUpdate" hidden="1">"2/19/99"</definedName>
    <definedName name="HTML_LineAfter" hidden="1">TRUE</definedName>
    <definedName name="HTML_LineBefore" hidden="1">TRUE</definedName>
    <definedName name="HTML_Name" hidden="1">"Aswath Damodaran"</definedName>
    <definedName name="HTML_OBDlg2" hidden="1">TRUE</definedName>
    <definedName name="HTML_OBDlg4" hidden="1">TRUE</definedName>
    <definedName name="HTML_OS" hidden="1">1</definedName>
    <definedName name="HTML_PathFile" hidden="1">"N:\ACTIVIDADES DISTRITO HUILA\MANTENIMIENTO INDUSTRIAL\2PLANEACION\MyHTML.htm"</definedName>
    <definedName name="HTML_PathFileMac" hidden="1">"Macintosh HD:HomePageStuff:New_Home_Page:datafile:ctryprem.html"</definedName>
    <definedName name="HTML_Title" hidden="1">"Country Risk Premiums"</definedName>
    <definedName name="HTML1_1" hidden="1">"[ReturnsHistorical]Sheet1!$A$1:$D$77"</definedName>
    <definedName name="HTML1_10" hidden="1">""</definedName>
    <definedName name="HTML1_11" hidden="1">1</definedName>
    <definedName name="HTML1_12" hidden="1">"Zip 100:New_Home_Page:datafile:histret.html"</definedName>
    <definedName name="HTML1_2" hidden="1">1</definedName>
    <definedName name="HTML1_3" hidden="1">"ReturnsHistorical"</definedName>
    <definedName name="HTML1_4" hidden="1">"Historical Returns on Stocks, Bonds and Bills"</definedName>
    <definedName name="HTML1_5" hidden="1">"Ibbotson Data"</definedName>
    <definedName name="HTML1_6" hidden="1">-4146</definedName>
    <definedName name="HTML1_7" hidden="1">-4146</definedName>
    <definedName name="HTML1_8" hidden="1">"3/17/97"</definedName>
    <definedName name="HTML1_9" hidden="1">"Aswath Damodaran"</definedName>
    <definedName name="HTML2_1" hidden="1">"[histret.xls]Sheet1!$A$1:$G$85"</definedName>
    <definedName name="HTML2_10" hidden="1">""</definedName>
    <definedName name="HTML2_11" hidden="1">1</definedName>
    <definedName name="HTML2_12" hidden="1">"Macintosh HD:New_Home_Page:datafile:histret.html"</definedName>
    <definedName name="HTML2_2" hidden="1">1</definedName>
    <definedName name="HTML2_3" hidden="1">"Historical Returns"</definedName>
    <definedName name="HTML2_4" hidden="1">"Historical Returns on Stocks, Bonds and Bills"</definedName>
    <definedName name="HTML2_5" hidden="1">""</definedName>
    <definedName name="HTML2_6" hidden="1">1</definedName>
    <definedName name="HTML2_7" hidden="1">1</definedName>
    <definedName name="HTML2_8" hidden="1">"2/3/98"</definedName>
    <definedName name="HTML2_9" hidden="1">"Aswath Damodaran"</definedName>
    <definedName name="HTMLCount" hidden="1">2</definedName>
    <definedName name="Ingresos06" hidden="1">{"'Sheet2'!$A$3:$B$17"}</definedName>
    <definedName name="IOM">[2]Valores!$A$3:$A$7</definedName>
    <definedName name="liosdasf" hidden="1">#REF!</definedName>
    <definedName name="mama" hidden="1">'[3]Datos-Gráfica-Bijagual'!#REF!</definedName>
    <definedName name="POZO" hidden="1">"M:\Datos\PRESUPUESTO Vs GASTOS\DB EJECUCION  PvsG-0SM.mdb"</definedName>
    <definedName name="ppp" hidden="1">#REF!</definedName>
    <definedName name="PPTACUM" hidden="1">{#N/A,#N/A,FALSE,"SOACHA"}</definedName>
    <definedName name="PPTACUMG" hidden="1">{#N/A,#N/A,FALSE,"SOACHA"}</definedName>
    <definedName name="PRUEBA" hidden="1">[4]CTAS_PAG!$A$42:$A$68</definedName>
    <definedName name="qw" hidden="1">'[3]Datos-Gráfica-Bijagual'!#REF!</definedName>
    <definedName name="qwqq" hidden="1">#REF!</definedName>
    <definedName name="qwqwq" hidden="1">#REF!</definedName>
    <definedName name="sdfsdf" hidden="1">#REF!</definedName>
    <definedName name="smmlv2021">[5]TABLAS!$D$64</definedName>
    <definedName name="SUELO_UTIL">[1]SUELO_UTIL!$E$2:$V$997</definedName>
    <definedName name="wacc" hidden="1">{#N/A,#N/A,FALSE,"SOACHA"}</definedName>
    <definedName name="wqwqqqw" hidden="1">#REF!</definedName>
    <definedName name="wrn.comite." hidden="1">{#N/A,#N/A,TRUE,"Posicion";#N/A,#N/A,TRUE,"Presentacion";#N/A,#N/A,TRUE,"analisis";#N/A,#N/A,TRUE,"PORTAFOLIO"}</definedName>
    <definedName name="wrn.PRODUCCION._.SOACHA." hidden="1">{#N/A,#N/A,FALSE,"SOACHA"}</definedName>
    <definedName name="wrn.SOACHA." hidden="1">{#N/A,#N/A,FALSE,"SOACHA"}</definedName>
    <definedName name="xxx" hidden="1">#REF!</definedName>
    <definedName name="xxxxx" hidden="1">{#N/A,#N/A,FALSE,"SOACHA"}</definedName>
  </definedName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62" i="85" l="1"/>
  <c r="P10" i="85"/>
  <c r="T80" i="85" s="1"/>
  <c r="T3" i="85"/>
  <c r="F52" i="97"/>
  <c r="T105" i="85"/>
  <c r="T104" i="85"/>
  <c r="T91" i="85"/>
  <c r="S62" i="85"/>
  <c r="S61" i="85"/>
  <c r="P60" i="85"/>
  <c r="S60" i="85" s="1"/>
  <c r="S57" i="85"/>
  <c r="P57" i="85"/>
  <c r="Q52" i="85"/>
  <c r="S52" i="85" s="1"/>
  <c r="S50" i="85"/>
  <c r="Q50" i="85"/>
  <c r="P41" i="85"/>
  <c r="S44" i="85" s="1"/>
  <c r="P36" i="85"/>
  <c r="S33" i="85"/>
  <c r="Q33" i="85"/>
  <c r="Q34" i="85" s="1"/>
  <c r="P33" i="85"/>
  <c r="S32" i="85"/>
  <c r="Q29" i="85"/>
  <c r="Q30" i="85" s="1"/>
  <c r="P29" i="85"/>
  <c r="S28" i="85"/>
  <c r="S29" i="85" s="1"/>
  <c r="Q20" i="85"/>
  <c r="R20" i="85" s="1"/>
  <c r="T103" i="85" s="1"/>
  <c r="P17" i="85"/>
  <c r="Q17" i="85" s="1"/>
  <c r="Q18" i="85" s="1"/>
  <c r="S16" i="85"/>
  <c r="S17" i="85" s="1"/>
  <c r="Q16" i="85"/>
  <c r="R16" i="85" s="1"/>
  <c r="P13" i="85"/>
  <c r="Q13" i="85" s="1"/>
  <c r="Q12" i="85"/>
  <c r="S12" i="85" s="1"/>
  <c r="S13" i="85" s="1"/>
  <c r="Q8" i="85"/>
  <c r="S47" i="85" s="1"/>
  <c r="T7" i="85"/>
  <c r="P73" i="85" s="1"/>
  <c r="Q6" i="85"/>
  <c r="S73" i="85" s="1"/>
  <c r="Q40" i="85"/>
  <c r="B33" i="98"/>
  <c r="F32" i="98"/>
  <c r="F31" i="98"/>
  <c r="F30" i="98"/>
  <c r="F29" i="98"/>
  <c r="F28" i="98"/>
  <c r="F27" i="98"/>
  <c r="F26" i="98"/>
  <c r="F25" i="98"/>
  <c r="F24" i="98"/>
  <c r="F23" i="98"/>
  <c r="F22" i="98"/>
  <c r="F21" i="98"/>
  <c r="F20" i="98"/>
  <c r="F19" i="98"/>
  <c r="F18" i="98"/>
  <c r="F17" i="98"/>
  <c r="F16" i="98"/>
  <c r="F15" i="98"/>
  <c r="F14" i="98"/>
  <c r="F13" i="98"/>
  <c r="F33" i="98" s="1"/>
  <c r="D36" i="97" s="1"/>
  <c r="D40" i="97" s="1"/>
  <c r="B8" i="98"/>
  <c r="F7" i="98"/>
  <c r="F6" i="98"/>
  <c r="F5" i="98"/>
  <c r="D4" i="98"/>
  <c r="F4" i="98" s="1"/>
  <c r="F8" i="98" s="1"/>
  <c r="D37" i="97" s="1"/>
  <c r="D117" i="97"/>
  <c r="D120" i="97" s="1"/>
  <c r="D113" i="97"/>
  <c r="D116" i="97" s="1"/>
  <c r="D112" i="97"/>
  <c r="D110" i="97"/>
  <c r="D109" i="97"/>
  <c r="D105" i="97"/>
  <c r="D108" i="97" s="1"/>
  <c r="D106" i="97" s="1"/>
  <c r="D101" i="97"/>
  <c r="D104" i="97" s="1"/>
  <c r="D100" i="97"/>
  <c r="D98" i="97" s="1"/>
  <c r="D97" i="97"/>
  <c r="D94" i="97"/>
  <c r="D92" i="97"/>
  <c r="D96" i="97" s="1"/>
  <c r="D91" i="97"/>
  <c r="D86" i="97"/>
  <c r="G85" i="97"/>
  <c r="D88" i="97" s="1"/>
  <c r="D68" i="97"/>
  <c r="D73" i="97" s="1"/>
  <c r="D57" i="97"/>
  <c r="D48" i="97"/>
  <c r="D47" i="97"/>
  <c r="D35" i="97"/>
  <c r="D70" i="97" s="1"/>
  <c r="D34" i="97"/>
  <c r="K50" i="85"/>
  <c r="K52" i="85"/>
  <c r="J62" i="85"/>
  <c r="M62" i="85" s="1"/>
  <c r="J36" i="85"/>
  <c r="J10" i="85"/>
  <c r="N80" i="85" s="1"/>
  <c r="D10" i="85"/>
  <c r="N3" i="85"/>
  <c r="K8" i="85"/>
  <c r="K6" i="85"/>
  <c r="N105" i="85"/>
  <c r="N104" i="85"/>
  <c r="N91" i="85"/>
  <c r="M61" i="85"/>
  <c r="J60" i="85"/>
  <c r="M60" i="85" s="1"/>
  <c r="M57" i="85"/>
  <c r="J57" i="85"/>
  <c r="M52" i="85"/>
  <c r="M50" i="85"/>
  <c r="J41" i="85"/>
  <c r="M44" i="85" s="1"/>
  <c r="K33" i="85"/>
  <c r="K34" i="85" s="1"/>
  <c r="J33" i="85"/>
  <c r="M32" i="85"/>
  <c r="M33" i="85" s="1"/>
  <c r="K29" i="85"/>
  <c r="K30" i="85" s="1"/>
  <c r="J29" i="85"/>
  <c r="M28" i="85"/>
  <c r="M29" i="85" s="1"/>
  <c r="K20" i="85"/>
  <c r="J17" i="85"/>
  <c r="K17" i="85" s="1"/>
  <c r="K18" i="85" s="1"/>
  <c r="K16" i="85"/>
  <c r="M16" i="85" s="1"/>
  <c r="M17" i="85" s="1"/>
  <c r="K12" i="85"/>
  <c r="L12" i="85" s="1"/>
  <c r="M47" i="85"/>
  <c r="N7" i="85"/>
  <c r="K40" i="85"/>
  <c r="B33" i="96"/>
  <c r="F32" i="96"/>
  <c r="F31" i="96"/>
  <c r="F30" i="96"/>
  <c r="F29" i="96"/>
  <c r="F28" i="96"/>
  <c r="F27" i="96"/>
  <c r="F26" i="96"/>
  <c r="F25" i="96"/>
  <c r="F24" i="96"/>
  <c r="F23" i="96"/>
  <c r="F22" i="96"/>
  <c r="F21" i="96"/>
  <c r="F20" i="96"/>
  <c r="F19" i="96"/>
  <c r="F18" i="96"/>
  <c r="F17" i="96"/>
  <c r="F16" i="96"/>
  <c r="F15" i="96"/>
  <c r="F14" i="96"/>
  <c r="F13" i="96"/>
  <c r="F33" i="96" s="1"/>
  <c r="D36" i="95" s="1"/>
  <c r="D40" i="95" s="1"/>
  <c r="B8" i="96"/>
  <c r="F7" i="96"/>
  <c r="F6" i="96"/>
  <c r="F5" i="96"/>
  <c r="D4" i="96"/>
  <c r="F4" i="96" s="1"/>
  <c r="F8" i="96" s="1"/>
  <c r="D37" i="95" s="1"/>
  <c r="D120" i="95"/>
  <c r="D117" i="95"/>
  <c r="D118" i="95" s="1"/>
  <c r="D113" i="95"/>
  <c r="D112" i="95"/>
  <c r="D110" i="95"/>
  <c r="D109" i="95"/>
  <c r="D105" i="95"/>
  <c r="D108" i="95" s="1"/>
  <c r="D101" i="95"/>
  <c r="D104" i="95" s="1"/>
  <c r="D102" i="95" s="1"/>
  <c r="D100" i="95"/>
  <c r="D98" i="95" s="1"/>
  <c r="D97" i="95"/>
  <c r="D94" i="95"/>
  <c r="D92" i="95"/>
  <c r="D96" i="95" s="1"/>
  <c r="D91" i="95"/>
  <c r="D86" i="95"/>
  <c r="G85" i="95"/>
  <c r="D88" i="95" s="1"/>
  <c r="D68" i="95"/>
  <c r="D69" i="95" s="1"/>
  <c r="D48" i="95"/>
  <c r="D47" i="95"/>
  <c r="D39" i="95"/>
  <c r="D35" i="95"/>
  <c r="D70" i="95" s="1"/>
  <c r="D34" i="95"/>
  <c r="R12" i="85" l="1"/>
  <c r="T88" i="85"/>
  <c r="R41" i="85"/>
  <c r="S46" i="85"/>
  <c r="T8" i="85"/>
  <c r="S43" i="85"/>
  <c r="T85" i="85"/>
  <c r="D123" i="97"/>
  <c r="D41" i="97"/>
  <c r="D81" i="97"/>
  <c r="D82" i="97" s="1"/>
  <c r="D38" i="97"/>
  <c r="D102" i="97"/>
  <c r="D69" i="97"/>
  <c r="D114" i="97"/>
  <c r="D39" i="97"/>
  <c r="G87" i="97"/>
  <c r="D118" i="97"/>
  <c r="J73" i="85"/>
  <c r="N8" i="85"/>
  <c r="L16" i="85"/>
  <c r="L41" i="85"/>
  <c r="L20" i="85"/>
  <c r="N103" i="85" s="1"/>
  <c r="M46" i="85"/>
  <c r="M43" i="85"/>
  <c r="M73" i="85"/>
  <c r="N85" i="85"/>
  <c r="D38" i="95"/>
  <c r="D81" i="95"/>
  <c r="D82" i="95" s="1"/>
  <c r="D41" i="95"/>
  <c r="D114" i="95"/>
  <c r="G87" i="95"/>
  <c r="D116" i="95"/>
  <c r="D123" i="95" s="1"/>
  <c r="D73" i="95"/>
  <c r="D106" i="95"/>
  <c r="S42" i="85" l="1"/>
  <c r="Q51" i="85"/>
  <c r="S51" i="85" s="1"/>
  <c r="S49" i="85" s="1"/>
  <c r="P56" i="85"/>
  <c r="Q14" i="85"/>
  <c r="K51" i="85"/>
  <c r="M51" i="85" s="1"/>
  <c r="M49" i="85" s="1"/>
  <c r="M42" i="85"/>
  <c r="S56" i="85" l="1"/>
  <c r="T96" i="85"/>
  <c r="N96" i="85"/>
  <c r="D42" i="93" l="1"/>
  <c r="AA7" i="92"/>
  <c r="AA8" i="92"/>
  <c r="AA9" i="92"/>
  <c r="AA10" i="92"/>
  <c r="AA11" i="92"/>
  <c r="AA12" i="92"/>
  <c r="AA13" i="92"/>
  <c r="AA14" i="92"/>
  <c r="AA15" i="92"/>
  <c r="AA16" i="92"/>
  <c r="AA17" i="92"/>
  <c r="AA18" i="92"/>
  <c r="AA19" i="92"/>
  <c r="AA20" i="92"/>
  <c r="AA21" i="92"/>
  <c r="AA22" i="92"/>
  <c r="AA23" i="92"/>
  <c r="AA24" i="92"/>
  <c r="AA25" i="92"/>
  <c r="AA26" i="92"/>
  <c r="AA27" i="92"/>
  <c r="AA6" i="92"/>
  <c r="E50" i="85" l="1"/>
  <c r="D62" i="85"/>
  <c r="E52" i="85"/>
  <c r="D36" i="85" l="1"/>
  <c r="E8" i="85"/>
  <c r="E6" i="85"/>
  <c r="H3" i="85"/>
  <c r="B33" i="94"/>
  <c r="F32" i="94"/>
  <c r="F31" i="94"/>
  <c r="F30" i="94"/>
  <c r="F29" i="94"/>
  <c r="F28" i="94"/>
  <c r="F27" i="94"/>
  <c r="F26" i="94"/>
  <c r="F25" i="94"/>
  <c r="F24" i="94"/>
  <c r="F23" i="94"/>
  <c r="F22" i="94"/>
  <c r="F21" i="94"/>
  <c r="F20" i="94"/>
  <c r="F19" i="94"/>
  <c r="F18" i="94"/>
  <c r="F17" i="94"/>
  <c r="F16" i="94"/>
  <c r="F15" i="94"/>
  <c r="F14" i="94"/>
  <c r="F13" i="94"/>
  <c r="F33" i="94" s="1"/>
  <c r="D36" i="93" s="1"/>
  <c r="D40" i="93" s="1"/>
  <c r="B8" i="94"/>
  <c r="F7" i="94"/>
  <c r="F6" i="94"/>
  <c r="F5" i="94"/>
  <c r="D4" i="94"/>
  <c r="F4" i="94" s="1"/>
  <c r="F8" i="94" s="1"/>
  <c r="D37" i="93" s="1"/>
  <c r="D117" i="93"/>
  <c r="D120" i="93" s="1"/>
  <c r="D113" i="93"/>
  <c r="D116" i="93" s="1"/>
  <c r="D114" i="93" s="1"/>
  <c r="D112" i="93"/>
  <c r="D110" i="93" s="1"/>
  <c r="D109" i="93"/>
  <c r="D108" i="93"/>
  <c r="D106" i="93" s="1"/>
  <c r="D105" i="93"/>
  <c r="D101" i="93"/>
  <c r="D104" i="93" s="1"/>
  <c r="D100" i="93"/>
  <c r="D97" i="93"/>
  <c r="D94" i="93"/>
  <c r="D92" i="93"/>
  <c r="D96" i="93" s="1"/>
  <c r="G85" i="93"/>
  <c r="D88" i="93" s="1"/>
  <c r="D69" i="93"/>
  <c r="D68" i="93"/>
  <c r="D73" i="93" s="1"/>
  <c r="D48" i="93"/>
  <c r="D47" i="93"/>
  <c r="D39" i="93"/>
  <c r="D35" i="93"/>
  <c r="D70" i="93" s="1"/>
  <c r="D34" i="93"/>
  <c r="D98" i="93" l="1"/>
  <c r="D81" i="93"/>
  <c r="D82" i="93" s="1"/>
  <c r="D41" i="93"/>
  <c r="D43" i="93" s="1"/>
  <c r="D38" i="93"/>
  <c r="D86" i="93"/>
  <c r="D102" i="93"/>
  <c r="G87" i="93"/>
  <c r="D118" i="93"/>
  <c r="D91" i="93" l="1"/>
  <c r="D123" i="93" s="1"/>
  <c r="F41" i="85" l="1"/>
  <c r="D41" i="85"/>
  <c r="E32" i="92"/>
  <c r="I4" i="92" l="1"/>
  <c r="I3" i="92"/>
  <c r="I2" i="92"/>
  <c r="I1" i="92"/>
  <c r="H80" i="85" l="1"/>
  <c r="H105" i="85"/>
  <c r="H104" i="85"/>
  <c r="H91" i="85" l="1"/>
  <c r="H85" i="85"/>
  <c r="E33" i="85" l="1"/>
  <c r="E34" i="85" l="1"/>
  <c r="G32" i="85"/>
  <c r="G33" i="85" s="1"/>
  <c r="D33" i="85"/>
  <c r="G62" i="85" l="1"/>
  <c r="D60" i="85"/>
  <c r="G60" i="85" s="1"/>
  <c r="G28" i="85"/>
  <c r="G29" i="85" s="1"/>
  <c r="H7" i="85"/>
  <c r="D73" i="85" s="1"/>
  <c r="G61" i="85"/>
  <c r="B60" i="85"/>
  <c r="B59" i="85"/>
  <c r="B58" i="85"/>
  <c r="D57" i="85"/>
  <c r="B57" i="85"/>
  <c r="B56" i="85"/>
  <c r="D17" i="85"/>
  <c r="E17" i="85" s="1"/>
  <c r="E18" i="85" s="1"/>
  <c r="D29" i="85" l="1"/>
  <c r="E29" i="85"/>
  <c r="E30" i="85" s="1"/>
  <c r="G50" i="85"/>
  <c r="G52" i="85"/>
  <c r="G73" i="85"/>
  <c r="E16" i="85"/>
  <c r="E12" i="85"/>
  <c r="E20" i="85"/>
  <c r="H8" i="85"/>
  <c r="G47" i="85"/>
  <c r="G57" i="85"/>
  <c r="F20" i="85" l="1"/>
  <c r="H103" i="85" s="1"/>
  <c r="G16" i="85"/>
  <c r="G17" i="85" s="1"/>
  <c r="F16" i="85"/>
  <c r="F12" i="85"/>
  <c r="E51" i="85" l="1"/>
  <c r="G51" i="85" s="1"/>
  <c r="G49" i="85" s="1"/>
  <c r="G43" i="85" l="1"/>
  <c r="H96" i="85"/>
  <c r="G42" i="85"/>
  <c r="G44" i="85"/>
  <c r="E40" i="85"/>
  <c r="G46" i="85" l="1"/>
  <c r="H4" i="85" l="1"/>
  <c r="N4" i="85"/>
  <c r="T4" i="85"/>
  <c r="H5" i="85"/>
  <c r="N5" i="85"/>
  <c r="T5" i="85"/>
  <c r="D12" i="85"/>
  <c r="G12" i="85"/>
  <c r="J12" i="85"/>
  <c r="M12" i="85"/>
  <c r="D13" i="85"/>
  <c r="E13" i="85"/>
  <c r="F13" i="85"/>
  <c r="G13" i="85"/>
  <c r="H13" i="85"/>
  <c r="J13" i="85"/>
  <c r="K13" i="85"/>
  <c r="L13" i="85"/>
  <c r="M13" i="85"/>
  <c r="N13" i="85"/>
  <c r="T13" i="85"/>
  <c r="E14" i="85"/>
  <c r="K14" i="85"/>
  <c r="H17" i="85"/>
  <c r="N17" i="85"/>
  <c r="T17" i="85"/>
  <c r="D20" i="85"/>
  <c r="G20" i="85"/>
  <c r="J20" i="85"/>
  <c r="M20" i="85"/>
  <c r="P20" i="85"/>
  <c r="S20" i="85"/>
  <c r="D21" i="85"/>
  <c r="E21" i="85"/>
  <c r="F21" i="85"/>
  <c r="G21" i="85"/>
  <c r="H21" i="85"/>
  <c r="J21" i="85"/>
  <c r="K21" i="85"/>
  <c r="L21" i="85"/>
  <c r="M21" i="85"/>
  <c r="N21" i="85"/>
  <c r="P21" i="85"/>
  <c r="Q21" i="85"/>
  <c r="R21" i="85"/>
  <c r="S21" i="85"/>
  <c r="T21" i="85"/>
  <c r="E22" i="85"/>
  <c r="K22" i="85"/>
  <c r="Q22" i="85"/>
  <c r="D24" i="85"/>
  <c r="G24" i="85"/>
  <c r="J24" i="85"/>
  <c r="M24" i="85"/>
  <c r="P24" i="85"/>
  <c r="S24" i="85"/>
  <c r="D25" i="85"/>
  <c r="E25" i="85"/>
  <c r="F25" i="85"/>
  <c r="G25" i="85"/>
  <c r="H25" i="85"/>
  <c r="J25" i="85"/>
  <c r="K25" i="85"/>
  <c r="L25" i="85"/>
  <c r="M25" i="85"/>
  <c r="N25" i="85"/>
  <c r="P25" i="85"/>
  <c r="Q25" i="85"/>
  <c r="R25" i="85"/>
  <c r="S25" i="85"/>
  <c r="T25" i="85"/>
  <c r="E26" i="85"/>
  <c r="K26" i="85"/>
  <c r="Q26" i="85"/>
  <c r="H29" i="85"/>
  <c r="N29" i="85"/>
  <c r="T29" i="85"/>
  <c r="H33" i="85"/>
  <c r="N33" i="85"/>
  <c r="T33" i="85"/>
  <c r="E36" i="85"/>
  <c r="F36" i="85"/>
  <c r="G36" i="85"/>
  <c r="K36" i="85"/>
  <c r="L36" i="85"/>
  <c r="M36" i="85"/>
  <c r="Q36" i="85"/>
  <c r="R36" i="85"/>
  <c r="S36" i="85"/>
  <c r="F38" i="85"/>
  <c r="G38" i="85"/>
  <c r="H38" i="85"/>
  <c r="L38" i="85"/>
  <c r="M38" i="85"/>
  <c r="N38" i="85"/>
  <c r="R38" i="85"/>
  <c r="S38" i="85"/>
  <c r="T38" i="85"/>
  <c r="G39" i="85"/>
  <c r="H39" i="85"/>
  <c r="M39" i="85"/>
  <c r="N39" i="85"/>
  <c r="S39" i="85"/>
  <c r="T39" i="85"/>
  <c r="H42" i="85"/>
  <c r="N42" i="85"/>
  <c r="T42" i="85"/>
  <c r="H43" i="85"/>
  <c r="N43" i="85"/>
  <c r="T43" i="85"/>
  <c r="H44" i="85"/>
  <c r="N44" i="85"/>
  <c r="T44" i="85"/>
  <c r="D45" i="85"/>
  <c r="G45" i="85"/>
  <c r="H45" i="85"/>
  <c r="J45" i="85"/>
  <c r="M45" i="85"/>
  <c r="N45" i="85"/>
  <c r="P45" i="85"/>
  <c r="S45" i="85"/>
  <c r="T45" i="85"/>
  <c r="H46" i="85"/>
  <c r="N46" i="85"/>
  <c r="T46" i="85"/>
  <c r="H47" i="85"/>
  <c r="N47" i="85"/>
  <c r="T47" i="85"/>
  <c r="H49" i="85"/>
  <c r="N49" i="85"/>
  <c r="T49" i="85"/>
  <c r="G54" i="85"/>
  <c r="H54" i="85"/>
  <c r="M54" i="85"/>
  <c r="N54" i="85"/>
  <c r="S54" i="85"/>
  <c r="T54" i="85"/>
  <c r="D56" i="85"/>
  <c r="G56" i="85"/>
  <c r="H56" i="85"/>
  <c r="J56" i="85"/>
  <c r="M56" i="85"/>
  <c r="N56" i="85"/>
  <c r="T56" i="85"/>
  <c r="H57" i="85"/>
  <c r="N57" i="85"/>
  <c r="T57" i="85"/>
  <c r="D58" i="85"/>
  <c r="G58" i="85"/>
  <c r="H58" i="85"/>
  <c r="J58" i="85"/>
  <c r="M58" i="85"/>
  <c r="N58" i="85"/>
  <c r="P58" i="85"/>
  <c r="S58" i="85"/>
  <c r="T58" i="85"/>
  <c r="D59" i="85"/>
  <c r="G59" i="85"/>
  <c r="H59" i="85"/>
  <c r="J59" i="85"/>
  <c r="M59" i="85"/>
  <c r="N59" i="85"/>
  <c r="P59" i="85"/>
  <c r="S59" i="85"/>
  <c r="T59" i="85"/>
  <c r="H60" i="85"/>
  <c r="N60" i="85"/>
  <c r="T60" i="85"/>
  <c r="H61" i="85"/>
  <c r="N61" i="85"/>
  <c r="T61" i="85"/>
  <c r="H62" i="85"/>
  <c r="N62" i="85"/>
  <c r="T62" i="85"/>
  <c r="D63" i="85"/>
  <c r="E63" i="85"/>
  <c r="F63" i="85"/>
  <c r="J63" i="85"/>
  <c r="K63" i="85"/>
  <c r="L63" i="85"/>
  <c r="P63" i="85"/>
  <c r="Q63" i="85"/>
  <c r="R63" i="85"/>
  <c r="G65" i="85"/>
  <c r="H65" i="85"/>
  <c r="M65" i="85"/>
  <c r="N65" i="85"/>
  <c r="S65" i="85"/>
  <c r="T65" i="85"/>
  <c r="F66" i="85"/>
  <c r="L66" i="85"/>
  <c r="R66" i="85"/>
  <c r="G67" i="85"/>
  <c r="H67" i="85"/>
  <c r="M67" i="85"/>
  <c r="N67" i="85"/>
  <c r="S67" i="85"/>
  <c r="T67" i="85"/>
  <c r="G69" i="85"/>
  <c r="H69" i="85"/>
  <c r="M69" i="85"/>
  <c r="N69" i="85"/>
  <c r="S69" i="85"/>
  <c r="T69" i="85"/>
  <c r="G70" i="85"/>
  <c r="H70" i="85"/>
  <c r="M70" i="85"/>
  <c r="N70" i="85"/>
  <c r="S70" i="85"/>
  <c r="T70" i="85"/>
  <c r="D72" i="85"/>
  <c r="G72" i="85"/>
  <c r="H72" i="85"/>
  <c r="J72" i="85"/>
  <c r="M72" i="85"/>
  <c r="N72" i="85"/>
  <c r="P72" i="85"/>
  <c r="S72" i="85"/>
  <c r="T72" i="85"/>
  <c r="H73" i="85"/>
  <c r="N73" i="85"/>
  <c r="T73" i="85"/>
  <c r="F75" i="85"/>
  <c r="G75" i="85"/>
  <c r="H75" i="85"/>
  <c r="L75" i="85"/>
  <c r="M75" i="85"/>
  <c r="N75" i="85"/>
  <c r="R75" i="85"/>
  <c r="S75" i="85"/>
  <c r="T75" i="85"/>
  <c r="G77" i="85"/>
  <c r="H77" i="85"/>
  <c r="M77" i="85"/>
  <c r="N77" i="85"/>
  <c r="S77" i="85"/>
  <c r="T77" i="85"/>
  <c r="H86" i="85"/>
  <c r="N86" i="85"/>
  <c r="T86" i="85"/>
  <c r="H87" i="85"/>
  <c r="N87" i="85"/>
  <c r="T87" i="85"/>
  <c r="H88" i="85"/>
  <c r="N88" i="85"/>
  <c r="H89" i="85"/>
  <c r="N89" i="85"/>
  <c r="T89" i="85"/>
  <c r="H90" i="85"/>
  <c r="N90" i="85"/>
  <c r="T90" i="85"/>
  <c r="H93" i="85"/>
  <c r="N93" i="85"/>
  <c r="T93" i="85"/>
  <c r="H94" i="85"/>
  <c r="N94" i="85"/>
  <c r="T94" i="85"/>
  <c r="H95" i="85"/>
  <c r="N95" i="85"/>
  <c r="T95" i="85"/>
  <c r="H97" i="85"/>
  <c r="N97" i="85"/>
  <c r="T97" i="85"/>
  <c r="H98" i="85"/>
  <c r="N98" i="85"/>
  <c r="T98" i="85"/>
  <c r="H99" i="85"/>
  <c r="N99" i="85"/>
  <c r="T99" i="85"/>
  <c r="H100" i="85"/>
  <c r="N100" i="85"/>
  <c r="T100" i="85"/>
  <c r="H101" i="85"/>
  <c r="N101" i="85"/>
  <c r="T101" i="85"/>
  <c r="D42" i="97"/>
  <c r="D43" i="97"/>
  <c r="D50" i="97"/>
  <c r="E51" i="97"/>
  <c r="E52" i="97"/>
  <c r="D53" i="97"/>
  <c r="E53" i="97"/>
  <c r="F53" i="97"/>
  <c r="D55" i="97"/>
  <c r="D56" i="97"/>
  <c r="D58" i="97"/>
  <c r="D60" i="97"/>
  <c r="D61" i="97"/>
  <c r="D62" i="97"/>
  <c r="D63" i="97"/>
  <c r="D65" i="97"/>
  <c r="D66" i="97"/>
  <c r="D75" i="97"/>
  <c r="D76" i="97"/>
  <c r="G76" i="97"/>
  <c r="D77" i="97"/>
  <c r="D78" i="97"/>
  <c r="D79" i="97"/>
  <c r="D80" i="97"/>
  <c r="D83" i="97"/>
  <c r="D84" i="97"/>
  <c r="D87" i="97"/>
  <c r="D89" i="97"/>
  <c r="D90" i="97"/>
  <c r="D93" i="97"/>
  <c r="D95" i="97"/>
  <c r="D121" i="97"/>
  <c r="F121" i="97"/>
  <c r="G121" i="97"/>
  <c r="H121" i="97"/>
  <c r="J121" i="97"/>
  <c r="K121" i="97"/>
  <c r="L121" i="97"/>
  <c r="D122" i="97"/>
  <c r="J122" i="97"/>
  <c r="D42" i="95"/>
  <c r="D43" i="95"/>
  <c r="D50" i="95"/>
  <c r="E51" i="95"/>
  <c r="D52" i="95"/>
  <c r="E52" i="95"/>
  <c r="F52" i="95"/>
  <c r="D53" i="95"/>
  <c r="E53" i="95"/>
  <c r="F53" i="95"/>
  <c r="D55" i="95"/>
  <c r="D56" i="95"/>
  <c r="D57" i="95"/>
  <c r="E57" i="95"/>
  <c r="D58" i="95"/>
  <c r="E58" i="95"/>
  <c r="D60" i="95"/>
  <c r="D61" i="95"/>
  <c r="D62" i="95"/>
  <c r="D63" i="95"/>
  <c r="D65" i="95"/>
  <c r="D66" i="95"/>
  <c r="D75" i="95"/>
  <c r="D76" i="95"/>
  <c r="G76" i="95"/>
  <c r="D77" i="95"/>
  <c r="D78" i="95"/>
  <c r="D79" i="95"/>
  <c r="D80" i="95"/>
  <c r="D83" i="95"/>
  <c r="D84" i="95"/>
  <c r="D87" i="95"/>
  <c r="D89" i="95"/>
  <c r="D90" i="95"/>
  <c r="D93" i="95"/>
  <c r="D95" i="95"/>
  <c r="D121" i="95"/>
  <c r="F121" i="95"/>
  <c r="G121" i="95"/>
  <c r="H121" i="95"/>
  <c r="J121" i="95"/>
  <c r="K121" i="95"/>
  <c r="L121" i="95"/>
  <c r="D122" i="95"/>
  <c r="J122" i="95"/>
  <c r="D50" i="93"/>
  <c r="E51" i="93"/>
  <c r="D52" i="93"/>
  <c r="E52" i="93"/>
  <c r="F52" i="93"/>
  <c r="D53" i="93"/>
  <c r="E53" i="93"/>
  <c r="F53" i="93"/>
  <c r="D55" i="93"/>
  <c r="D56" i="93"/>
  <c r="D57" i="93"/>
  <c r="E57" i="93"/>
  <c r="D58" i="93"/>
  <c r="E58" i="93"/>
  <c r="D60" i="93"/>
  <c r="D61" i="93"/>
  <c r="D62" i="93"/>
  <c r="D63" i="93"/>
  <c r="D65" i="93"/>
  <c r="D66" i="93"/>
  <c r="D75" i="93"/>
  <c r="D76" i="93"/>
  <c r="G76" i="93"/>
  <c r="D77" i="93"/>
  <c r="D78" i="93"/>
  <c r="D79" i="93"/>
  <c r="D80" i="93"/>
  <c r="D83" i="93"/>
  <c r="D84" i="93"/>
  <c r="D87" i="93"/>
  <c r="D89" i="93"/>
  <c r="D90" i="93"/>
  <c r="D93" i="93"/>
  <c r="D95" i="93"/>
  <c r="D121" i="93"/>
  <c r="F121" i="93"/>
  <c r="G121" i="93"/>
  <c r="H121" i="93"/>
  <c r="J121" i="93"/>
  <c r="K121" i="93"/>
  <c r="L121" i="93"/>
  <c r="D122" i="93"/>
  <c r="J122" i="93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USUARIO</author>
    <author>Carolina</author>
    <author>tc={34B71CC9-B753-4AEC-8715-0A22437F82C3}</author>
  </authors>
  <commentList>
    <comment ref="J5" authorId="0" shapeId="0" xr:uid="{A5E1A6AE-C00E-45E5-B1A4-A039DBF01CA5}">
      <text>
        <r>
          <rPr>
            <b/>
            <sz val="8"/>
            <color indexed="81"/>
            <rFont val="Tahoma"/>
            <family val="2"/>
          </rPr>
          <t>USUARIO:</t>
        </r>
        <r>
          <rPr>
            <sz val="8"/>
            <color indexed="81"/>
            <rFont val="Tahoma"/>
            <family val="2"/>
          </rPr>
          <t xml:space="preserve">
Meses Activo del Proyecto en el Semestre</t>
        </r>
      </text>
    </comment>
    <comment ref="K5" authorId="0" shapeId="0" xr:uid="{9B0F0E78-A629-4B76-BB10-8281BD258F3F}">
      <text>
        <r>
          <rPr>
            <b/>
            <sz val="8"/>
            <color indexed="81"/>
            <rFont val="Tahoma"/>
            <family val="2"/>
          </rPr>
          <t>USUARIO:</t>
        </r>
        <r>
          <rPr>
            <sz val="8"/>
            <color indexed="81"/>
            <rFont val="Tahoma"/>
            <family val="2"/>
          </rPr>
          <t xml:space="preserve">
Ventas en Unidades del Proyecto Promedio mes del último Semestre</t>
        </r>
      </text>
    </comment>
    <comment ref="L5" authorId="0" shapeId="0" xr:uid="{BBD871D8-9DBE-4BDA-980D-E3523D6CD007}">
      <text>
        <r>
          <rPr>
            <b/>
            <sz val="8"/>
            <color indexed="81"/>
            <rFont val="Tahoma"/>
            <family val="2"/>
          </rPr>
          <t>USUARIO:</t>
        </r>
        <r>
          <rPr>
            <sz val="8"/>
            <color indexed="81"/>
            <rFont val="Tahoma"/>
            <family val="2"/>
          </rPr>
          <t xml:space="preserve">
Ventas en Pesos promedio mes del Ultimo Semestre del Proyecto</t>
        </r>
      </text>
    </comment>
    <comment ref="M5" authorId="0" shapeId="0" xr:uid="{18DA0FA6-84CA-4A3F-B6FC-4BA67287D311}">
      <text>
        <r>
          <rPr>
            <b/>
            <sz val="8"/>
            <color indexed="81"/>
            <rFont val="Tahoma"/>
            <family val="2"/>
          </rPr>
          <t>USUARIO:</t>
        </r>
        <r>
          <rPr>
            <sz val="8"/>
            <color indexed="81"/>
            <rFont val="Tahoma"/>
            <family val="2"/>
          </rPr>
          <t xml:space="preserve">
Unidades Disponibles del Proyecto en el Rango Seleccionado</t>
        </r>
      </text>
    </comment>
    <comment ref="O5" authorId="1" shapeId="0" xr:uid="{F88A8DD1-1FA4-4D28-93BB-E8E254FBAB29}">
      <text>
        <r>
          <rPr>
            <sz val="8"/>
            <color indexed="81"/>
            <rFont val="Tahoma"/>
            <family val="2"/>
          </rPr>
          <t xml:space="preserve">De acuerdo con el puesto logrado en la zona, el proyecto recibe una calificación.
</t>
        </r>
      </text>
    </comment>
    <comment ref="P5" authorId="1" shapeId="0" xr:uid="{E380A868-E122-42E9-BE73-4D6C8775C926}">
      <text>
        <r>
          <rPr>
            <sz val="8"/>
            <color indexed="81"/>
            <rFont val="Tahoma"/>
            <family val="2"/>
          </rPr>
          <t xml:space="preserve">Es el tamaño total del proyecto.
</t>
        </r>
      </text>
    </comment>
    <comment ref="Q5" authorId="1" shapeId="0" xr:uid="{4374A356-7515-4F2A-9CEE-BC62779D3561}">
      <text>
        <r>
          <rPr>
            <sz val="8"/>
            <color indexed="81"/>
            <rFont val="Tahoma"/>
            <family val="2"/>
          </rPr>
          <t>Ventas totales del proyecto desde su lanzamiento.</t>
        </r>
      </text>
    </comment>
    <comment ref="S5" authorId="1" shapeId="0" xr:uid="{068653D7-2B9B-4E97-A221-4EC0235DDA13}">
      <text>
        <r>
          <rPr>
            <sz val="8"/>
            <color indexed="81"/>
            <rFont val="Tahoma"/>
            <family val="2"/>
          </rPr>
          <t xml:space="preserve">Es el porcentaje vendido,  del total de unidades que compone el proyecto.
</t>
        </r>
      </text>
    </comment>
    <comment ref="T5" authorId="2" shapeId="0" xr:uid="{34B71CC9-B753-4AEC-8715-0A22437F82C3}">
      <text>
        <t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Ultimos 6 meses</t>
      </text>
    </comment>
  </commentList>
</comments>
</file>

<file path=xl/sharedStrings.xml><?xml version="1.0" encoding="utf-8"?>
<sst xmlns="http://schemas.openxmlformats.org/spreadsheetml/2006/main" count="1269" uniqueCount="336">
  <si>
    <t>%</t>
  </si>
  <si>
    <t>M2</t>
  </si>
  <si>
    <t>No. PISOS</t>
  </si>
  <si>
    <t>ÁREA</t>
  </si>
  <si>
    <t>TEUSAQUILLO</t>
  </si>
  <si>
    <t xml:space="preserve">UPL </t>
  </si>
  <si>
    <t>TORCA</t>
  </si>
  <si>
    <t>TOBERÍN</t>
  </si>
  <si>
    <t>BRITALIA</t>
  </si>
  <si>
    <t>SUBA</t>
  </si>
  <si>
    <t>TIBABUYES</t>
  </si>
  <si>
    <t>RINCÓN DE SUBA</t>
  </si>
  <si>
    <t>NIZA</t>
  </si>
  <si>
    <t>USAQUÉN</t>
  </si>
  <si>
    <t>CHAPINERO</t>
  </si>
  <si>
    <t>BARRIOS UNIDOS</t>
  </si>
  <si>
    <t>TABORA</t>
  </si>
  <si>
    <t>FONTIBÓN</t>
  </si>
  <si>
    <t>SALITRE</t>
  </si>
  <si>
    <t xml:space="preserve">TINTAL </t>
  </si>
  <si>
    <t>PUENTE ARANDA</t>
  </si>
  <si>
    <t>CENTRO HISTÓRICO</t>
  </si>
  <si>
    <t>KENNEDY</t>
  </si>
  <si>
    <t>PATIO BONITO</t>
  </si>
  <si>
    <t>PORVENIR</t>
  </si>
  <si>
    <t>EDÉN</t>
  </si>
  <si>
    <t>BOSA</t>
  </si>
  <si>
    <t>ARBORIZADORA</t>
  </si>
  <si>
    <t>TUNJUELITO</t>
  </si>
  <si>
    <t xml:space="preserve">RESTREPO </t>
  </si>
  <si>
    <t>SAN CRISTÓBAL</t>
  </si>
  <si>
    <t>RAFAEL URIBE</t>
  </si>
  <si>
    <t>LUCERO</t>
  </si>
  <si>
    <t>SUMAPAZ</t>
  </si>
  <si>
    <t>ÁREA DE ACTIVIDAD</t>
  </si>
  <si>
    <t xml:space="preserve">REVITALIZACIÓN POR LICENCIAMIENTO </t>
  </si>
  <si>
    <t xml:space="preserve">REVITALIZACIÓN POR PLAN PARCIAL </t>
  </si>
  <si>
    <t>RENOVACIÓN URBANA</t>
  </si>
  <si>
    <t>Área de Actividad Grandes Servicios Metropolitanos - AAGSM</t>
  </si>
  <si>
    <t>Área de Actividad Estructurante - AAE - Receptora de actividades económicas</t>
  </si>
  <si>
    <t>Área de Actividad Estructurante - AAE - Receptora de vivienda de interés social</t>
  </si>
  <si>
    <t>Área de Actividad de Proximidad - AAP - Receptora de soportes urbanos</t>
  </si>
  <si>
    <t>Área de Actividad de Proximidad - AAP- Generadora de soportes urbanos</t>
  </si>
  <si>
    <t>Englobe (número de lotes)</t>
  </si>
  <si>
    <t>ENGATIVÁ</t>
  </si>
  <si>
    <t>No</t>
  </si>
  <si>
    <t>ÁREA INTEGRADORA MULTIMODAL -AIM</t>
  </si>
  <si>
    <t>Equipamiento comunal privado</t>
  </si>
  <si>
    <t xml:space="preserve">MODELACIÓN </t>
  </si>
  <si>
    <t>VIS/VIP en sitio</t>
  </si>
  <si>
    <t>VIS/VIP compensada</t>
  </si>
  <si>
    <t>VIS/VIP trasladada</t>
  </si>
  <si>
    <t>VIS/VIP + SOLO VIS</t>
  </si>
  <si>
    <t xml:space="preserve">SISTEMA CONSTRUCTIVO </t>
  </si>
  <si>
    <t xml:space="preserve">Sistema constructivo tradicional </t>
  </si>
  <si>
    <t xml:space="preserve">Sistema constructivo mixto </t>
  </si>
  <si>
    <t>Sistema constructivo industrializado</t>
  </si>
  <si>
    <t>PROYECTO DE ACUERDO POT 2021</t>
  </si>
  <si>
    <t>CERROS ORIENTALES</t>
  </si>
  <si>
    <t>USME - ENTRE NUBES</t>
  </si>
  <si>
    <t>CUENCA DEL TUNJUELO</t>
  </si>
  <si>
    <t>VIP</t>
  </si>
  <si>
    <t>VIS</t>
  </si>
  <si>
    <t>REORDENAMIENTO DE CLUBES Y CENTROS RECREODEPORTIVOS</t>
  </si>
  <si>
    <t>POT 190/2004</t>
  </si>
  <si>
    <t>PARAMETROS</t>
  </si>
  <si>
    <t>SMMLV</t>
  </si>
  <si>
    <t>Av / Ac =</t>
  </si>
  <si>
    <t>Area del predio:</t>
  </si>
  <si>
    <t>A vivienda VIS/VIP</t>
  </si>
  <si>
    <t>Area Construida (Ic):</t>
  </si>
  <si>
    <t>A vivienda NO VIS</t>
  </si>
  <si>
    <t>Ind. Construcción</t>
  </si>
  <si>
    <t>Valor cat. suelo</t>
  </si>
  <si>
    <t>&gt; Vlr Suelo:</t>
  </si>
  <si>
    <t>Valor com. suelo</t>
  </si>
  <si>
    <t>Valor proy. Suelo</t>
  </si>
  <si>
    <t>Valor ref. suelo</t>
  </si>
  <si>
    <t>APROVECHAMIENTOS</t>
  </si>
  <si>
    <t>UNIDADES</t>
  </si>
  <si>
    <t>VLR / Und</t>
  </si>
  <si>
    <t>VLR / M2</t>
  </si>
  <si>
    <t xml:space="preserve">VLR </t>
  </si>
  <si>
    <t>No VIS</t>
  </si>
  <si>
    <t>Comercio</t>
  </si>
  <si>
    <t>Servicios</t>
  </si>
  <si>
    <r>
      <t xml:space="preserve">1. </t>
    </r>
    <r>
      <rPr>
        <b/>
        <sz val="12"/>
        <color theme="4" tint="-0.249977111117893"/>
        <rFont val="Calibri (Cuerpo)"/>
      </rPr>
      <t>TOTAL APROVECHAMIENTO</t>
    </r>
  </si>
  <si>
    <t>COSTOS</t>
  </si>
  <si>
    <t>OBLIGACION Y APORTE POR EDIFICABILIDAD</t>
  </si>
  <si>
    <t>FACTORES</t>
  </si>
  <si>
    <r>
      <rPr>
        <b/>
        <sz val="11"/>
        <color theme="1"/>
        <rFont val="Calibri"/>
        <family val="2"/>
        <scheme val="minor"/>
      </rPr>
      <t xml:space="preserve">(CSs) </t>
    </r>
    <r>
      <rPr>
        <sz val="11"/>
        <color theme="1"/>
        <rFont val="Calibri"/>
        <family val="2"/>
        <scheme val="minor"/>
      </rPr>
      <t>Cesión suelo Espacio Público</t>
    </r>
  </si>
  <si>
    <t>(Vcomp) Valor Comp. CSs</t>
  </si>
  <si>
    <r>
      <rPr>
        <b/>
        <sz val="11"/>
        <color theme="1"/>
        <rFont val="Calibri"/>
        <family val="2"/>
        <scheme val="minor"/>
      </rPr>
      <t xml:space="preserve">(PD) </t>
    </r>
    <r>
      <rPr>
        <sz val="11"/>
        <color theme="1"/>
        <rFont val="Calibri"/>
        <family val="2"/>
        <scheme val="minor"/>
      </rPr>
      <t>Pago compensatorio en dinero</t>
    </r>
  </si>
  <si>
    <r>
      <rPr>
        <b/>
        <sz val="11"/>
        <color theme="1"/>
        <rFont val="Calibri"/>
        <family val="2"/>
        <scheme val="minor"/>
      </rPr>
      <t xml:space="preserve">(OSP) </t>
    </r>
    <r>
      <rPr>
        <sz val="11"/>
        <color theme="1"/>
        <rFont val="Calibri"/>
        <family val="2"/>
        <scheme val="minor"/>
      </rPr>
      <t>Obligación redes servicios públicos</t>
    </r>
  </si>
  <si>
    <t>Obligación VIP</t>
  </si>
  <si>
    <t xml:space="preserve">Obligación VIS </t>
  </si>
  <si>
    <t>Pago Compensatorio Parq. Adicionales</t>
  </si>
  <si>
    <t>OBRAS EN ESPACIO PUBLICO (URB) Y DEMOLICIONES</t>
  </si>
  <si>
    <t>Obras en espacio público (Andenes)</t>
  </si>
  <si>
    <t>Dotación Espacio Público</t>
  </si>
  <si>
    <t>Demoliciones</t>
  </si>
  <si>
    <t>COSTO DIRECTO</t>
  </si>
  <si>
    <t>COSTOS INDIRECTOS</t>
  </si>
  <si>
    <t xml:space="preserve">Vts. / Hon. / Imp. / Fin. / </t>
  </si>
  <si>
    <t>2. TOTAL COSTOS</t>
  </si>
  <si>
    <r>
      <t xml:space="preserve">3. DIFERENCIA </t>
    </r>
    <r>
      <rPr>
        <b/>
        <sz val="12"/>
        <color theme="1"/>
        <rFont val="Calibri (Cuerpo)"/>
      </rPr>
      <t>(1 - 2)</t>
    </r>
  </si>
  <si>
    <t>4. UTILIDAD MÍNIMA</t>
  </si>
  <si>
    <t>5. VALOR RESIDUAL SUELO (3 - 4)</t>
  </si>
  <si>
    <t xml:space="preserve">6. VALOR COMERCIAL PROY. SUELO </t>
  </si>
  <si>
    <t>7. Diferencia Vlr  RESIDUAL - COMERCIAL  (5 - 6)</t>
  </si>
  <si>
    <t>Margen (7 / 6)</t>
  </si>
  <si>
    <t>8. UTILIDAD - PAGANDO SUELO  VLR COMERCIAL  (3 - 6)</t>
  </si>
  <si>
    <t>Dotacional (Teatro)</t>
  </si>
  <si>
    <t>Loteo sin antejardín</t>
  </si>
  <si>
    <t>Dotacional privado</t>
  </si>
  <si>
    <t>Ubicación</t>
  </si>
  <si>
    <t>Área del predio</t>
  </si>
  <si>
    <t>Edificabilidad</t>
  </si>
  <si>
    <t>(Ic)</t>
  </si>
  <si>
    <t>VIS /VIP (unidades)</t>
  </si>
  <si>
    <t>No VIS (unidades)</t>
  </si>
  <si>
    <t>Ventas</t>
  </si>
  <si>
    <t>Cargas</t>
  </si>
  <si>
    <t>Cargas %</t>
  </si>
  <si>
    <t>Obras en espacio público</t>
  </si>
  <si>
    <t>Costos directos</t>
  </si>
  <si>
    <t>Costos indirectos</t>
  </si>
  <si>
    <t>Residual</t>
  </si>
  <si>
    <t>Utilidad resultante</t>
  </si>
  <si>
    <t>Utilidad resultante %</t>
  </si>
  <si>
    <t>Precio m2 vivienda No VIS</t>
  </si>
  <si>
    <t>Precio m2 comercio</t>
  </si>
  <si>
    <t>Precio m2 servicios</t>
  </si>
  <si>
    <t>Ejercicio</t>
  </si>
  <si>
    <t>ACTUACIÓN SIN ANTEJARDÍN - 8 PISOS - PARQUE EL TUNAL</t>
  </si>
  <si>
    <t>EJERCICIO  - APLICANDO NORMA PROPUESTA 2021</t>
  </si>
  <si>
    <t>Manzana actual</t>
  </si>
  <si>
    <t>Perfil vía (Carrera 19 C - Av. Tunjuelito)</t>
  </si>
  <si>
    <t>m</t>
  </si>
  <si>
    <t>Perfil vía (Calle 56 A Sur)</t>
  </si>
  <si>
    <t>Perfil vía (Carrera 19 B)</t>
  </si>
  <si>
    <t>Perfil vía (Calle 57 Sur)</t>
  </si>
  <si>
    <t>Dimensión antejardines</t>
  </si>
  <si>
    <t>N/A</t>
  </si>
  <si>
    <t>Dimension voladizo (Carrera 19 C - Av. Tunjuelito)</t>
  </si>
  <si>
    <t>Dimension voladizo (Calle 56 A Sur)</t>
  </si>
  <si>
    <t>Dimension voladizo (Carera 19 B)</t>
  </si>
  <si>
    <t>Dimension voladizo (Calle 57 Sur)</t>
  </si>
  <si>
    <t xml:space="preserve">Voladizo permitido </t>
  </si>
  <si>
    <t>Pisos de altura promedio</t>
  </si>
  <si>
    <t>#</t>
  </si>
  <si>
    <t>Área de la manzana</t>
  </si>
  <si>
    <t>m2</t>
  </si>
  <si>
    <t xml:space="preserve">Tipología </t>
  </si>
  <si>
    <t>Manzana propuesta</t>
  </si>
  <si>
    <t xml:space="preserve">No. pisos permitidos base </t>
  </si>
  <si>
    <t>No. pisos permitidos adicional</t>
  </si>
  <si>
    <t>Residencial por manzana</t>
  </si>
  <si>
    <t>Área total del predio (área bruta urbanizable)</t>
  </si>
  <si>
    <t>Área total construida (actual aproximada)</t>
  </si>
  <si>
    <t>Área total construida (propuesta)</t>
  </si>
  <si>
    <t>Área adicional propuesta construida</t>
  </si>
  <si>
    <t>Área neta urbanizable</t>
  </si>
  <si>
    <t>Indice de construcción actual (básico)</t>
  </si>
  <si>
    <t>Indice de construcción base (propuesta)</t>
  </si>
  <si>
    <t>Indice de construcción efectivo (propuesta)</t>
  </si>
  <si>
    <t>Indice adicional (propuesta)</t>
  </si>
  <si>
    <t xml:space="preserve">Altura por piso </t>
  </si>
  <si>
    <t>Altura piso 1</t>
  </si>
  <si>
    <t>Altura máxima actual</t>
  </si>
  <si>
    <t>Altura total propuesta</t>
  </si>
  <si>
    <t>Número total de viviendas</t>
  </si>
  <si>
    <t>Número de viviendas VIS (42m2)</t>
  </si>
  <si>
    <t>Número de viviendas VIP (42m2)</t>
  </si>
  <si>
    <t>Número de viviendas no VIS/VIP (42m2)</t>
  </si>
  <si>
    <t>Equipamiento comunal privado VIS/VIP</t>
  </si>
  <si>
    <t>Equipamiento comunal privado no VIS/VIP</t>
  </si>
  <si>
    <t xml:space="preserve">Servicios comunales en áreas construidas: 20% </t>
  </si>
  <si>
    <t>Servicios comunales en primer piso</t>
  </si>
  <si>
    <t>Servicios comunales en otros pisos</t>
  </si>
  <si>
    <t>Zonas verdes y recreativas en áreas libres: 40%</t>
  </si>
  <si>
    <t>Zonas verdes y recreativas en patio</t>
  </si>
  <si>
    <t>Zonas verdes y recreativas en cubierta</t>
  </si>
  <si>
    <t xml:space="preserve">Estacionamientos bicicletas y cupos obligatorios: 40% </t>
  </si>
  <si>
    <t>Cesiones y retrocesos</t>
  </si>
  <si>
    <t xml:space="preserve">Retroceso de andén en fachadas para alcanzar perfíl vial </t>
  </si>
  <si>
    <t>Área privada afecta al uso público/zona verde</t>
  </si>
  <si>
    <t xml:space="preserve">Estacionamientos </t>
  </si>
  <si>
    <t>Área total de estacionamientos</t>
  </si>
  <si>
    <t>Estacionamientos</t>
  </si>
  <si>
    <t>Cupos obligatorios</t>
  </si>
  <si>
    <t>Bicicletas y micromovilidad</t>
  </si>
  <si>
    <t>Estacionamientos para personas con discapacidad</t>
  </si>
  <si>
    <t>Vehículos cero emiciones</t>
  </si>
  <si>
    <t>Áreas y usos por piso</t>
  </si>
  <si>
    <t>Piso 1</t>
  </si>
  <si>
    <t>Comercial - dotacional</t>
  </si>
  <si>
    <t>PFC</t>
  </si>
  <si>
    <t>Piso 2</t>
  </si>
  <si>
    <t>Vivienda</t>
  </si>
  <si>
    <t>Piso 3</t>
  </si>
  <si>
    <t>Piso 4</t>
  </si>
  <si>
    <t>Piso 5</t>
  </si>
  <si>
    <t>Piso 6</t>
  </si>
  <si>
    <t>Piso 7</t>
  </si>
  <si>
    <t>Piso 8</t>
  </si>
  <si>
    <t>Total vivienda</t>
  </si>
  <si>
    <t>Total comerical - dotacional</t>
  </si>
  <si>
    <t>Punto Fijo + Circulaciones [PFC]</t>
  </si>
  <si>
    <t>ÁREA TOTAL CONSTRUIDA MODELACIÓN</t>
  </si>
  <si>
    <t>NIVEL</t>
  </si>
  <si>
    <t>No. PISO</t>
  </si>
  <si>
    <t>AREA TOTAL</t>
  </si>
  <si>
    <t>Piso 1-2</t>
  </si>
  <si>
    <t>M3</t>
  </si>
  <si>
    <t>Pisos 5-8</t>
  </si>
  <si>
    <t>Número de Pisos Totales</t>
  </si>
  <si>
    <t xml:space="preserve">ÁREA TOTAL </t>
  </si>
  <si>
    <t>AREA TOTAL CONSTRUIDA ACTUAL</t>
  </si>
  <si>
    <t>No. LOTE</t>
  </si>
  <si>
    <t>AREA PISO</t>
  </si>
  <si>
    <t>Área total del predio</t>
  </si>
  <si>
    <t>Área total constrida actual</t>
  </si>
  <si>
    <t>VIP/VIS</t>
  </si>
  <si>
    <t>NO VIS</t>
  </si>
  <si>
    <t>Calle 56Sur - Cra 19c</t>
  </si>
  <si>
    <t>Puesto</t>
  </si>
  <si>
    <t>Codproyecto</t>
  </si>
  <si>
    <t>Proyecto</t>
  </si>
  <si>
    <t>Vende</t>
  </si>
  <si>
    <t>Construye</t>
  </si>
  <si>
    <t>Dirección</t>
  </si>
  <si>
    <t>Zona</t>
  </si>
  <si>
    <t>Sub Zona</t>
  </si>
  <si>
    <t>$ Prom. Oferta m2</t>
  </si>
  <si>
    <t>Meses Activo Semestre</t>
  </si>
  <si>
    <t>Ventas Prom. Mes Un. (Sem)</t>
  </si>
  <si>
    <t>Ventas Prom. Mes $. (Sem)</t>
  </si>
  <si>
    <t>Un. Disponible</t>
  </si>
  <si>
    <t>Fecha Inicio Ventas</t>
  </si>
  <si>
    <t>Calificación %</t>
  </si>
  <si>
    <t>Total Unidades Proy.</t>
  </si>
  <si>
    <t>Ventas Totales (Un)</t>
  </si>
  <si>
    <t>Venta Prom. Total (Un)</t>
  </si>
  <si>
    <t>% Vendido Total (Un)</t>
  </si>
  <si>
    <t>Precio Prom. Oferta</t>
  </si>
  <si>
    <t>Ventas Mes (Un)</t>
  </si>
  <si>
    <t>Ventas  Mes ($mm)</t>
  </si>
  <si>
    <t>Area Prom. Oferta</t>
  </si>
  <si>
    <t>Tipo</t>
  </si>
  <si>
    <t>Tipo de Vivienda ( Vis o No Vis )</t>
  </si>
  <si>
    <t>Ed. Sin Nombre</t>
  </si>
  <si>
    <t>Independiente</t>
  </si>
  <si>
    <t>Cr. 7B # 22A-70 Sur</t>
  </si>
  <si>
    <t>Sur Oriente</t>
  </si>
  <si>
    <t>20 de Julio</t>
  </si>
  <si>
    <t>N.A.</t>
  </si>
  <si>
    <t>Apto./</t>
  </si>
  <si>
    <t>No Vis/</t>
  </si>
  <si>
    <t>Edif. Toledo</t>
  </si>
  <si>
    <t>Cr. 10 # 19-33 Sur</t>
  </si>
  <si>
    <t>Tiziano</t>
  </si>
  <si>
    <t>RCH Const.</t>
  </si>
  <si>
    <t>Cl. 32 Sur # 26D-55</t>
  </si>
  <si>
    <t>Prim. Mayo</t>
  </si>
  <si>
    <t>Ed. Steel Tower</t>
  </si>
  <si>
    <t>Cl. 27B Sur # 35-15</t>
  </si>
  <si>
    <t>Avanzzare</t>
  </si>
  <si>
    <t>Constructora Avanzzare</t>
  </si>
  <si>
    <t>Cr. 33 # 41-96 Sur</t>
  </si>
  <si>
    <t>Aut. Sur</t>
  </si>
  <si>
    <t>Ed. Manantial</t>
  </si>
  <si>
    <t>Cr. 8 # 22B-52 Sur</t>
  </si>
  <si>
    <t>Balcones de la Valvanera</t>
  </si>
  <si>
    <t>Bienes Inmob. de Col.</t>
  </si>
  <si>
    <t>Cr. 24B # 13-27 Sur</t>
  </si>
  <si>
    <t>Santa Ana II ..</t>
  </si>
  <si>
    <t>Const. Monte Blanco</t>
  </si>
  <si>
    <t>Cl. 11 Sur # 1A-09</t>
  </si>
  <si>
    <t>Ed. Emar</t>
  </si>
  <si>
    <t>Const. Marbol</t>
  </si>
  <si>
    <t>Cl. 32 Sur # 7A24</t>
  </si>
  <si>
    <t>Torre Riovista</t>
  </si>
  <si>
    <t>RGA Arq.</t>
  </si>
  <si>
    <t>Cl. 31Bis Sur # 26D-06</t>
  </si>
  <si>
    <t>Ed. Arbok</t>
  </si>
  <si>
    <t>Arbok Construcciones</t>
  </si>
  <si>
    <t>Dg. 40 Sur # 26-41</t>
  </si>
  <si>
    <t>Ed. Alcala</t>
  </si>
  <si>
    <t>Cl. 36 Sur # 51D-53</t>
  </si>
  <si>
    <t>Mult. Santa Lucia</t>
  </si>
  <si>
    <t>Cr. 25A # 44-72 Sur</t>
  </si>
  <si>
    <t>Meraki</t>
  </si>
  <si>
    <t>Gonzalez &amp; Cia Inm.</t>
  </si>
  <si>
    <t>Cl. 48C # 25-78 Sur</t>
  </si>
  <si>
    <t>Ed. Multif. Morava</t>
  </si>
  <si>
    <t>Const. Morava</t>
  </si>
  <si>
    <t>Dg. 52 Sur # 28-72</t>
  </si>
  <si>
    <t>Sin Nombre</t>
  </si>
  <si>
    <t>Codespro</t>
  </si>
  <si>
    <t>Cl. 35 Sur # 26-59</t>
  </si>
  <si>
    <t>Ed. Ebenezzer</t>
  </si>
  <si>
    <t>Tv. 35 # 27B-21 Sur</t>
  </si>
  <si>
    <t>Ed. Madre de Dios</t>
  </si>
  <si>
    <t>Cr. 24G # 13-81 Sur</t>
  </si>
  <si>
    <t>Domus 35-S</t>
  </si>
  <si>
    <t>COE Ingenieria</t>
  </si>
  <si>
    <t>Cl. 35 Sur # 52-82</t>
  </si>
  <si>
    <t>Ed. Santander</t>
  </si>
  <si>
    <t>DM Construcciones</t>
  </si>
  <si>
    <t>Cr. 26A # 23-06 Sur</t>
  </si>
  <si>
    <t>Enki I</t>
  </si>
  <si>
    <t>ENKI</t>
  </si>
  <si>
    <t>Cr. 26C # 35-36 Sur</t>
  </si>
  <si>
    <t>Ed. Quiroga</t>
  </si>
  <si>
    <t>Cr. 24 # 35A-49 Sur</t>
  </si>
  <si>
    <t>PROMEDIO</t>
  </si>
  <si>
    <t>MIN</t>
  </si>
  <si>
    <t>MAX</t>
  </si>
  <si>
    <t>MEDIANA</t>
  </si>
  <si>
    <t>COMERCIO</t>
  </si>
  <si>
    <t>AC</t>
  </si>
  <si>
    <t xml:space="preserve">VALOR DE REFERENCIA </t>
  </si>
  <si>
    <t>VALOR AVALUO CASTRAL</t>
  </si>
  <si>
    <t>Equipamiento comunal privado - Comercio/dotacional</t>
  </si>
  <si>
    <t>Equipamiento comunal privado - Vivienda</t>
  </si>
  <si>
    <t>Ánden</t>
  </si>
  <si>
    <t>Franja existente más cesión por sobre-ancho</t>
  </si>
  <si>
    <t>Viviendas/Estacionamiento</t>
  </si>
  <si>
    <t>Estacionamiento piso 1 (modelo 3d)</t>
  </si>
  <si>
    <t>Estacionamiento piso 2 (modelo 3d)</t>
  </si>
  <si>
    <t>Total estacionamient (modelo 3d)</t>
  </si>
  <si>
    <t>Indice de construcción efectivo para obligaciones urbanísticas (propuesta)</t>
  </si>
  <si>
    <t>8P Oct 26 2021</t>
  </si>
  <si>
    <t>8P Nov 8 2021</t>
  </si>
  <si>
    <t>8P No VIS
 Nov 8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</si>
</sst>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7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0.0"/>
    <numFmt numFmtId="165" formatCode="_-* #,##0.00_-;\-* #,##0.00_-;_-* &quot;-&quot;?_-;_-@_-"/>
    <numFmt numFmtId="166" formatCode="&quot;$&quot;#,##0;[Red]\-&quot;$&quot;#,##0"/>
    <numFmt numFmtId="167" formatCode="#,##0\ &quot;m²&quot;"/>
    <numFmt numFmtId="168" formatCode="&quot;Ic= &quot;0.00"/>
    <numFmt numFmtId="169" formatCode="&quot;$&quot;\ \ #,##0\ &quot;m²&quot;"/>
    <numFmt numFmtId="170" formatCode="#,##0\ &quot;und&quot;"/>
    <numFmt numFmtId="171" formatCode="&quot;$&quot;\ #,##0;\-&quot;$&quot;#,##0"/>
    <numFmt numFmtId="172" formatCode="&quot;Av: &quot;#,##0\ &quot;m²&quot;"/>
    <numFmt numFmtId="173" formatCode="&quot;Ac: &quot;#,##0\ &quot;m²&quot;"/>
    <numFmt numFmtId="174" formatCode="0.0%"/>
    <numFmt numFmtId="175" formatCode="&quot;Av/Ac =&quot;\ 0.00%"/>
    <numFmt numFmtId="176" formatCode="&quot;Av: &quot;0\ &quot;m²&quot;"/>
    <numFmt numFmtId="177" formatCode="0&quot; Pisos&quot;"/>
    <numFmt numFmtId="178" formatCode="&quot;Fs : &quot;\ 0%"/>
    <numFmt numFmtId="179" formatCode="&quot;Fd : &quot;\ 0%"/>
    <numFmt numFmtId="180" formatCode="&quot;Fcep: &quot;\ 0%"/>
    <numFmt numFmtId="181" formatCode="&quot;k=&quot;\ 0.00"/>
    <numFmt numFmtId="182" formatCode="&quot;$&quot;\ \ #,##0\ &quot;&quot;"/>
    <numFmt numFmtId="183" formatCode="&quot;d=&quot;\ 0.00"/>
    <numFmt numFmtId="184" formatCode="0%\ &quot;Ventas&quot;"/>
    <numFmt numFmtId="185" formatCode="_-* #,##0_-;\-* #,##0_-;_-* &quot;-&quot;??_-;_-@_-"/>
    <numFmt numFmtId="186" formatCode="_-* #,##0.000_-;\-* #,##0.000_-;_-* &quot;-&quot;??_-;_-@_-"/>
    <numFmt numFmtId="187" formatCode="_(* #,##0.00_);_(* \(#,##0.00\);_(* &quot;-&quot;_);_(@_)"/>
    <numFmt numFmtId="188" formatCode="#,##0.0"/>
  </numFmts>
  <fonts count="57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0"/>
      <color theme="0" tint="-0.249977111117893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color theme="0" tint="-0.249977111117893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rgb="FF0432FF"/>
      <name val="Calibri"/>
      <family val="2"/>
      <scheme val="minor"/>
    </font>
    <font>
      <b/>
      <sz val="12"/>
      <color rgb="FFC00000"/>
      <name val="Calibri"/>
      <family val="2"/>
      <scheme val="minor"/>
    </font>
    <font>
      <sz val="8"/>
      <color theme="0" tint="-0.249977111117893"/>
      <name val="Calibri"/>
      <family val="2"/>
      <scheme val="minor"/>
    </font>
    <font>
      <sz val="11"/>
      <color theme="1" tint="0.499984740745262"/>
      <name val="Calibri"/>
      <family val="2"/>
      <scheme val="minor"/>
    </font>
    <font>
      <b/>
      <sz val="11"/>
      <color theme="1" tint="0.499984740745262"/>
      <name val="Calibri"/>
      <family val="2"/>
      <scheme val="minor"/>
    </font>
    <font>
      <sz val="10"/>
      <color theme="4" tint="-0.249977111117893"/>
      <name val="Calibri"/>
      <family val="2"/>
      <scheme val="minor"/>
    </font>
    <font>
      <sz val="10"/>
      <color theme="2" tint="-0.249977111117893"/>
      <name val="Calibri"/>
      <family val="2"/>
      <scheme val="minor"/>
    </font>
    <font>
      <sz val="11"/>
      <color theme="0" tint="-0.499984740745262"/>
      <name val="Calibri"/>
      <family val="2"/>
      <scheme val="minor"/>
    </font>
    <font>
      <b/>
      <sz val="12"/>
      <color theme="4" tint="-0.249977111117893"/>
      <name val="Calibri"/>
      <family val="2"/>
      <scheme val="minor"/>
    </font>
    <font>
      <b/>
      <sz val="12"/>
      <color theme="4" tint="-0.249977111117893"/>
      <name val="Calibri (Cuerpo)"/>
    </font>
    <font>
      <sz val="12"/>
      <color theme="4" tint="-0.249977111117893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theme="5" tint="-0.249977111117893"/>
      <name val="Calibri"/>
      <family val="2"/>
      <scheme val="minor"/>
    </font>
    <font>
      <sz val="10"/>
      <color theme="0" tint="-0.34998626667073579"/>
      <name val="Calibri"/>
      <family val="2"/>
      <scheme val="minor"/>
    </font>
    <font>
      <sz val="11"/>
      <color theme="0" tint="-0.34998626667073579"/>
      <name val="Calibri"/>
      <family val="2"/>
      <scheme val="minor"/>
    </font>
    <font>
      <sz val="12"/>
      <color theme="0" tint="-0.249977111117893"/>
      <name val="Calibri"/>
      <family val="2"/>
      <scheme val="minor"/>
    </font>
    <font>
      <i/>
      <sz val="11"/>
      <color theme="0" tint="-0.34998626667073579"/>
      <name val="Calibri"/>
      <family val="2"/>
      <scheme val="minor"/>
    </font>
    <font>
      <sz val="10"/>
      <name val="Calibri"/>
      <family val="2"/>
      <scheme val="minor"/>
    </font>
    <font>
      <i/>
      <sz val="8"/>
      <color theme="0" tint="-0.249977111117893"/>
      <name val="Calibri"/>
      <family val="2"/>
      <scheme val="minor"/>
    </font>
    <font>
      <b/>
      <sz val="10"/>
      <color theme="9" tint="-0.249977111117893"/>
      <name val="Calibri"/>
      <family val="2"/>
      <scheme val="minor"/>
    </font>
    <font>
      <i/>
      <sz val="10"/>
      <name val="Calibri"/>
      <family val="2"/>
      <scheme val="minor"/>
    </font>
    <font>
      <sz val="9"/>
      <color theme="0" tint="-0.249977111117893"/>
      <name val="Calibri"/>
      <family val="2"/>
      <scheme val="minor"/>
    </font>
    <font>
      <sz val="11"/>
      <color theme="4" tint="-0.249977111117893"/>
      <name val="Calibri"/>
      <family val="2"/>
      <scheme val="minor"/>
    </font>
    <font>
      <b/>
      <sz val="11"/>
      <color theme="4" tint="-0.249977111117893"/>
      <name val="Calibri"/>
      <family val="2"/>
      <scheme val="minor"/>
    </font>
    <font>
      <b/>
      <sz val="12"/>
      <name val="Calibri"/>
      <family val="2"/>
      <scheme val="minor"/>
    </font>
    <font>
      <b/>
      <sz val="12"/>
      <color theme="1"/>
      <name val="Calibri (Cuerpo)"/>
    </font>
    <font>
      <b/>
      <sz val="12"/>
      <color theme="5" tint="-0.249977111117893"/>
      <name val="Calibri"/>
      <family val="2"/>
      <scheme val="minor"/>
    </font>
    <font>
      <b/>
      <sz val="12"/>
      <color rgb="FF0432FF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0"/>
      <color theme="0"/>
      <name val="Arial"/>
      <family val="2"/>
    </font>
    <font>
      <b/>
      <sz val="10"/>
      <color theme="1"/>
      <name val="Arial"/>
      <family val="2"/>
    </font>
    <font>
      <b/>
      <sz val="12"/>
      <name val="Calibri"/>
      <family val="2"/>
    </font>
    <font>
      <sz val="12"/>
      <color theme="1"/>
      <name val="Calibri"/>
      <family val="2"/>
    </font>
    <font>
      <sz val="12"/>
      <name val="Calibri"/>
      <family val="2"/>
    </font>
    <font>
      <b/>
      <sz val="12"/>
      <color theme="1"/>
      <name val="Calibri"/>
      <family val="2"/>
    </font>
    <font>
      <b/>
      <sz val="12"/>
      <color rgb="FF000000"/>
      <name val="Calibri"/>
      <family val="2"/>
    </font>
    <font>
      <sz val="12"/>
      <color rgb="FF000000"/>
      <name val="Calibri"/>
      <family val="2"/>
    </font>
    <font>
      <b/>
      <sz val="12"/>
      <color rgb="FFC00000"/>
      <name val="Calibri"/>
      <family val="2"/>
    </font>
    <font>
      <sz val="10"/>
      <color theme="1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0"/>
      <color rgb="FFC00000"/>
      <name val="Arial"/>
      <family val="2"/>
    </font>
    <font>
      <b/>
      <sz val="8"/>
      <color indexed="81"/>
      <name val="Tahoma"/>
      <family val="2"/>
    </font>
    <font>
      <sz val="8"/>
      <color indexed="81"/>
      <name val="Tahoma"/>
      <family val="2"/>
    </font>
    <font>
      <sz val="12"/>
      <name val="Calibri"/>
      <family val="2"/>
      <scheme val="minor"/>
    </font>
    <font>
      <sz val="11"/>
      <color rgb="FF000000"/>
      <name val="Calibri"/>
      <family val="2"/>
      <scheme val="minor"/>
    </font>
  </fonts>
  <fills count="19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4D79B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0000"/>
        <bgColor indexed="64"/>
      </patternFill>
    </fill>
  </fills>
  <borders count="6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theme="0" tint="-0.34998626667073579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theme="0" tint="-0.34998626667073579"/>
      </left>
      <right style="thin">
        <color indexed="64"/>
      </right>
      <top/>
      <bottom/>
      <diagonal/>
    </border>
    <border>
      <left/>
      <right style="thin">
        <color theme="0" tint="-0.34998626667073579"/>
      </right>
      <top/>
      <bottom/>
      <diagonal/>
    </border>
    <border>
      <left style="thin">
        <color theme="0" tint="-0.34998626667073579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indexed="64"/>
      </top>
      <bottom/>
      <diagonal/>
    </border>
    <border>
      <left style="thin">
        <color theme="0" tint="-0.34998626667073579"/>
      </left>
      <right style="thin">
        <color indexed="64"/>
      </right>
      <top style="thin">
        <color indexed="64"/>
      </top>
      <bottom/>
      <diagonal/>
    </border>
    <border>
      <left style="thin">
        <color theme="0" tint="-0.24994659260841701"/>
      </left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theme="0" tint="-0.24994659260841701"/>
      </bottom>
      <diagonal/>
    </border>
    <border>
      <left style="thin">
        <color indexed="64"/>
      </left>
      <right/>
      <top/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indexed="64"/>
      </right>
      <top/>
      <bottom style="thin">
        <color theme="0" tint="-0.24994659260841701"/>
      </bottom>
      <diagonal/>
    </border>
    <border>
      <left style="thin">
        <color indexed="64"/>
      </left>
      <right style="thin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indexed="64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indexed="64"/>
      </left>
      <right style="thin">
        <color indexed="64"/>
      </right>
      <top style="thin">
        <color theme="0" tint="-0.24994659260841701"/>
      </top>
      <bottom/>
      <diagonal/>
    </border>
    <border>
      <left style="thin">
        <color indexed="64"/>
      </left>
      <right/>
      <top style="thin">
        <color theme="0" tint="-0.24994659260841701"/>
      </top>
      <bottom/>
      <diagonal/>
    </border>
    <border>
      <left style="thin">
        <color indexed="64"/>
      </left>
      <right/>
      <top style="thin">
        <color theme="0" tint="-0.24994659260841701"/>
      </top>
      <bottom style="thin">
        <color indexed="64"/>
      </bottom>
      <diagonal/>
    </border>
    <border>
      <left/>
      <right/>
      <top style="thin">
        <color theme="0" tint="-0.24994659260841701"/>
      </top>
      <bottom style="thin">
        <color indexed="64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indexed="64"/>
      </bottom>
      <diagonal/>
    </border>
    <border>
      <left style="thin">
        <color theme="0" tint="-0.24994659260841701"/>
      </left>
      <right style="thin">
        <color indexed="64"/>
      </right>
      <top style="thin">
        <color theme="0" tint="-0.24994659260841701"/>
      </top>
      <bottom style="thin">
        <color indexed="64"/>
      </bottom>
      <diagonal/>
    </border>
    <border>
      <left style="thin">
        <color theme="0" tint="-0.24994659260841701"/>
      </left>
      <right style="thin">
        <color theme="0" tint="-0.34998626667073579"/>
      </right>
      <top style="thin">
        <color indexed="64"/>
      </top>
      <bottom/>
      <diagonal/>
    </border>
    <border>
      <left style="thin">
        <color theme="0" tint="-0.24994659260841701"/>
      </left>
      <right style="thin">
        <color theme="0" tint="-0.34998626667073579"/>
      </right>
      <top/>
      <bottom/>
      <diagonal/>
    </border>
    <border>
      <left/>
      <right/>
      <top/>
      <bottom style="thin">
        <color theme="0" tint="-0.24994659260841701"/>
      </bottom>
      <diagonal/>
    </border>
    <border>
      <left style="dotted">
        <color theme="0" tint="-0.24994659260841701"/>
      </left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34998626667073579"/>
      </right>
      <top/>
      <bottom style="thin">
        <color theme="0" tint="-0.24994659260841701"/>
      </bottom>
      <diagonal/>
    </border>
    <border>
      <left style="thin">
        <color theme="0" tint="-0.34998626667073579"/>
      </left>
      <right style="thin">
        <color indexed="64"/>
      </right>
      <top/>
      <bottom style="thin">
        <color theme="0" tint="-0.24994659260841701"/>
      </bottom>
      <diagonal/>
    </border>
    <border>
      <left style="dotted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34998626667073579"/>
      </left>
      <right style="thin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34998626667073579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indexed="64"/>
      </left>
      <right style="thin">
        <color indexed="64"/>
      </right>
      <top style="thin">
        <color theme="0" tint="-0.24994659260841701"/>
      </top>
      <bottom style="thin">
        <color indexed="64"/>
      </bottom>
      <diagonal/>
    </border>
    <border>
      <left style="dotted">
        <color theme="0" tint="-0.24994659260841701"/>
      </left>
      <right/>
      <top style="thin">
        <color theme="0" tint="-0.24994659260841701"/>
      </top>
      <bottom style="thin">
        <color indexed="64"/>
      </bottom>
      <diagonal/>
    </border>
    <border>
      <left style="thin">
        <color theme="0" tint="-0.24994659260841701"/>
      </left>
      <right style="thin">
        <color theme="0" tint="-0.34998626667073579"/>
      </right>
      <top style="thin">
        <color theme="0" tint="-0.24994659260841701"/>
      </top>
      <bottom style="thin">
        <color indexed="64"/>
      </bottom>
      <diagonal/>
    </border>
    <border>
      <left style="thin">
        <color theme="0" tint="-0.34998626667073579"/>
      </left>
      <right style="thin">
        <color indexed="64"/>
      </right>
      <top style="thin">
        <color theme="0" tint="-0.24994659260841701"/>
      </top>
      <bottom style="thin">
        <color indexed="64"/>
      </bottom>
      <diagonal/>
    </border>
    <border>
      <left style="thin">
        <color theme="0" tint="-0.34998626667073579"/>
      </left>
      <right style="thin">
        <color theme="0" tint="-0.34998626667073579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0" tint="-0.34998626667073579"/>
      </bottom>
      <diagonal/>
    </border>
    <border>
      <left style="thin">
        <color indexed="64"/>
      </left>
      <right/>
      <top style="thin">
        <color indexed="64"/>
      </top>
      <bottom style="thin">
        <color theme="0" tint="-0.34998626667073579"/>
      </bottom>
      <diagonal/>
    </border>
    <border>
      <left/>
      <right/>
      <top style="thin">
        <color indexed="64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indexed="64"/>
      </right>
      <top style="thin">
        <color indexed="64"/>
      </top>
      <bottom style="thin">
        <color theme="0" tint="-0.34998626667073579"/>
      </bottom>
      <diagonal/>
    </border>
    <border>
      <left style="thin">
        <color indexed="64"/>
      </left>
      <right style="thin">
        <color indexed="64"/>
      </right>
      <top style="thin">
        <color theme="0" tint="-0.34998626667073579"/>
      </top>
      <bottom style="thin">
        <color indexed="64"/>
      </bottom>
      <diagonal/>
    </border>
    <border>
      <left style="thin">
        <color indexed="64"/>
      </left>
      <right/>
      <top style="thin">
        <color theme="0" tint="-0.34998626667073579"/>
      </top>
      <bottom style="thin">
        <color indexed="64"/>
      </bottom>
      <diagonal/>
    </border>
    <border>
      <left/>
      <right/>
      <top style="thin">
        <color theme="0" tint="-0.34998626667073579"/>
      </top>
      <bottom style="thin">
        <color indexed="64"/>
      </bottom>
      <diagonal/>
    </border>
    <border>
      <left style="thin">
        <color theme="0" tint="-0.34998626667073579"/>
      </left>
      <right style="thin">
        <color indexed="64"/>
      </right>
      <top style="thin">
        <color theme="0" tint="-0.34998626667073579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0" tint="-0.24994659260841701"/>
      </bottom>
      <diagonal/>
    </border>
    <border>
      <left/>
      <right/>
      <top style="thin">
        <color indexed="64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indexed="64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indexed="64"/>
      </right>
      <top style="thin">
        <color indexed="64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indexed="64"/>
      </top>
      <bottom style="thin">
        <color indexed="64"/>
      </bottom>
      <diagonal/>
    </border>
    <border>
      <left style="thin">
        <color theme="0" tint="-0.2499465926084170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indexed="64"/>
      </top>
      <bottom/>
      <diagonal/>
    </border>
    <border>
      <left/>
      <right style="thin">
        <color rgb="FF000000"/>
      </right>
      <top/>
      <bottom style="thin">
        <color indexed="64"/>
      </bottom>
      <diagonal/>
    </border>
  </borders>
  <cellStyleXfs count="6">
    <xf numFmtId="0" fontId="0" fillId="0" borderId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44" fontId="2" fillId="0" borderId="0" applyFont="0" applyFill="0" applyBorder="0" applyAlignment="0" applyProtection="0"/>
  </cellStyleXfs>
  <cellXfs count="442">
    <xf numFmtId="0" fontId="0" fillId="0" borderId="0" xfId="0"/>
    <xf numFmtId="0" fontId="0" fillId="0" borderId="0" xfId="0" applyAlignment="1"/>
    <xf numFmtId="0" fontId="3" fillId="0" borderId="0" xfId="0" applyFont="1" applyAlignment="1">
      <alignment horizontal="center" vertical="center"/>
    </xf>
    <xf numFmtId="0" fontId="0" fillId="0" borderId="0" xfId="0" applyAlignment="1">
      <alignment wrapText="1"/>
    </xf>
    <xf numFmtId="0" fontId="0" fillId="0" borderId="0" xfId="0" applyAlignment="1">
      <alignment horizontal="center" vertical="center"/>
    </xf>
    <xf numFmtId="9" fontId="0" fillId="0" borderId="0" xfId="1" applyFont="1"/>
    <xf numFmtId="43" fontId="0" fillId="0" borderId="0" xfId="0" applyNumberFormat="1"/>
    <xf numFmtId="164" fontId="0" fillId="0" borderId="0" xfId="0" applyNumberFormat="1"/>
    <xf numFmtId="0" fontId="5" fillId="0" borderId="0" xfId="3" applyFont="1"/>
    <xf numFmtId="0" fontId="2" fillId="0" borderId="0" xfId="3"/>
    <xf numFmtId="0" fontId="3" fillId="0" borderId="0" xfId="3" applyFont="1"/>
    <xf numFmtId="0" fontId="6" fillId="0" borderId="1" xfId="3" applyFont="1" applyBorder="1"/>
    <xf numFmtId="166" fontId="6" fillId="0" borderId="1" xfId="3" applyNumberFormat="1" applyFont="1" applyBorder="1" applyAlignment="1">
      <alignment horizontal="right" indent="1"/>
    </xf>
    <xf numFmtId="9" fontId="6" fillId="8" borderId="1" xfId="3" applyNumberFormat="1" applyFont="1" applyFill="1" applyBorder="1" applyAlignment="1">
      <alignment horizontal="right" indent="1"/>
    </xf>
    <xf numFmtId="0" fontId="6" fillId="0" borderId="0" xfId="3" applyFont="1"/>
    <xf numFmtId="0" fontId="6" fillId="0" borderId="1" xfId="3" applyFont="1" applyBorder="1" applyAlignment="1">
      <alignment horizontal="left"/>
    </xf>
    <xf numFmtId="167" fontId="6" fillId="8" borderId="1" xfId="3" applyNumberFormat="1" applyFont="1" applyFill="1" applyBorder="1" applyAlignment="1">
      <alignment horizontal="center" vertical="center"/>
    </xf>
    <xf numFmtId="167" fontId="6" fillId="0" borderId="1" xfId="3" applyNumberFormat="1" applyFont="1" applyBorder="1" applyAlignment="1">
      <alignment horizontal="right" vertical="center" indent="1"/>
    </xf>
    <xf numFmtId="0" fontId="6" fillId="0" borderId="1" xfId="3" applyFont="1" applyBorder="1" applyAlignment="1">
      <alignment horizontal="left" shrinkToFit="1"/>
    </xf>
    <xf numFmtId="0" fontId="7" fillId="0" borderId="1" xfId="3" applyFont="1" applyBorder="1" applyAlignment="1">
      <alignment horizontal="left" shrinkToFit="1"/>
    </xf>
    <xf numFmtId="0" fontId="7" fillId="0" borderId="1" xfId="3" applyFont="1" applyBorder="1"/>
    <xf numFmtId="169" fontId="7" fillId="0" borderId="1" xfId="3" applyNumberFormat="1" applyFont="1" applyBorder="1" applyAlignment="1">
      <alignment horizontal="right" vertical="center" indent="1"/>
    </xf>
    <xf numFmtId="0" fontId="2" fillId="0" borderId="0" xfId="3" applyAlignment="1">
      <alignment horizontal="center"/>
    </xf>
    <xf numFmtId="0" fontId="8" fillId="0" borderId="0" xfId="3" applyFont="1" applyAlignment="1">
      <alignment horizontal="center" vertical="center"/>
    </xf>
    <xf numFmtId="0" fontId="9" fillId="0" borderId="0" xfId="3" applyFont="1" applyAlignment="1">
      <alignment horizontal="center" vertical="center"/>
    </xf>
    <xf numFmtId="0" fontId="3" fillId="0" borderId="0" xfId="3" applyFont="1" applyAlignment="1">
      <alignment horizontal="center" vertical="center"/>
    </xf>
    <xf numFmtId="0" fontId="10" fillId="0" borderId="0" xfId="3" applyFont="1" applyAlignment="1">
      <alignment horizontal="center" vertical="center"/>
    </xf>
    <xf numFmtId="0" fontId="11" fillId="0" borderId="0" xfId="3" applyFont="1" applyAlignment="1">
      <alignment horizontal="center" vertical="center" wrapText="1"/>
    </xf>
    <xf numFmtId="1" fontId="12" fillId="0" borderId="0" xfId="3" applyNumberFormat="1" applyFont="1" applyAlignment="1">
      <alignment horizontal="center" vertical="center"/>
    </xf>
    <xf numFmtId="0" fontId="3" fillId="0" borderId="2" xfId="3" applyFont="1" applyBorder="1" applyAlignment="1">
      <alignment horizontal="center" vertical="center"/>
    </xf>
    <xf numFmtId="0" fontId="3" fillId="9" borderId="11" xfId="3" applyFont="1" applyFill="1" applyBorder="1" applyAlignment="1">
      <alignment horizontal="center" vertical="center"/>
    </xf>
    <xf numFmtId="0" fontId="3" fillId="9" borderId="12" xfId="3" applyFont="1" applyFill="1" applyBorder="1" applyAlignment="1">
      <alignment horizontal="right" vertical="center" indent="1"/>
    </xf>
    <xf numFmtId="0" fontId="3" fillId="9" borderId="12" xfId="3" applyFont="1" applyFill="1" applyBorder="1" applyAlignment="1">
      <alignment horizontal="center" vertical="center"/>
    </xf>
    <xf numFmtId="0" fontId="3" fillId="9" borderId="6" xfId="3" applyFont="1" applyFill="1" applyBorder="1" applyAlignment="1">
      <alignment horizontal="center" vertical="center"/>
    </xf>
    <xf numFmtId="0" fontId="13" fillId="0" borderId="0" xfId="3" applyFont="1" applyAlignment="1">
      <alignment vertical="center"/>
    </xf>
    <xf numFmtId="0" fontId="2" fillId="0" borderId="3" xfId="3" applyBorder="1" applyAlignment="1">
      <alignment horizontal="left" indent="2"/>
    </xf>
    <xf numFmtId="170" fontId="14" fillId="8" borderId="13" xfId="3" applyNumberFormat="1" applyFont="1" applyFill="1" applyBorder="1" applyAlignment="1">
      <alignment horizontal="center"/>
    </xf>
    <xf numFmtId="171" fontId="14" fillId="0" borderId="8" xfId="3" applyNumberFormat="1" applyFont="1" applyBorder="1" applyAlignment="1">
      <alignment horizontal="right" indent="1"/>
    </xf>
    <xf numFmtId="3" fontId="14" fillId="0" borderId="8" xfId="3" applyNumberFormat="1" applyFont="1" applyBorder="1" applyAlignment="1">
      <alignment horizontal="right" indent="1"/>
    </xf>
    <xf numFmtId="171" fontId="14" fillId="0" borderId="8" xfId="3" applyNumberFormat="1" applyFont="1" applyBorder="1"/>
    <xf numFmtId="0" fontId="15" fillId="8" borderId="14" xfId="3" applyFont="1" applyFill="1" applyBorder="1" applyAlignment="1">
      <alignment horizontal="center"/>
    </xf>
    <xf numFmtId="2" fontId="5" fillId="0" borderId="0" xfId="3" applyNumberFormat="1" applyFont="1"/>
    <xf numFmtId="0" fontId="2" fillId="0" borderId="10" xfId="3" applyBorder="1" applyAlignment="1">
      <alignment horizontal="left" indent="2"/>
    </xf>
    <xf numFmtId="170" fontId="2" fillId="0" borderId="15" xfId="3" applyNumberFormat="1" applyBorder="1" applyAlignment="1">
      <alignment horizontal="center"/>
    </xf>
    <xf numFmtId="172" fontId="16" fillId="0" borderId="0" xfId="3" applyNumberFormat="1" applyFont="1" applyAlignment="1">
      <alignment horizontal="right" vertical="center" indent="1"/>
    </xf>
    <xf numFmtId="173" fontId="16" fillId="8" borderId="0" xfId="3" applyNumberFormat="1" applyFont="1" applyFill="1" applyAlignment="1">
      <alignment horizontal="right" vertical="center" indent="1"/>
    </xf>
    <xf numFmtId="166" fontId="3" fillId="0" borderId="0" xfId="3" applyNumberFormat="1" applyFont="1"/>
    <xf numFmtId="174" fontId="17" fillId="0" borderId="16" xfId="3" applyNumberFormat="1" applyFont="1" applyBorder="1" applyAlignment="1">
      <alignment horizontal="center"/>
    </xf>
    <xf numFmtId="1" fontId="2" fillId="0" borderId="15" xfId="3" applyNumberFormat="1" applyBorder="1" applyAlignment="1">
      <alignment horizontal="center"/>
    </xf>
    <xf numFmtId="175" fontId="16" fillId="0" borderId="0" xfId="3" applyNumberFormat="1" applyFont="1" applyAlignment="1">
      <alignment horizontal="right" vertical="center" indent="1" shrinkToFit="1"/>
    </xf>
    <xf numFmtId="0" fontId="2" fillId="0" borderId="0" xfId="3" applyAlignment="1">
      <alignment horizontal="right" indent="1"/>
    </xf>
    <xf numFmtId="166" fontId="2" fillId="0" borderId="0" xfId="3" applyNumberFormat="1"/>
    <xf numFmtId="173" fontId="16" fillId="0" borderId="0" xfId="3" applyNumberFormat="1" applyFont="1" applyAlignment="1">
      <alignment horizontal="right" vertical="center" indent="1"/>
    </xf>
    <xf numFmtId="0" fontId="8" fillId="0" borderId="0" xfId="3" applyFont="1" applyAlignment="1">
      <alignment horizontal="center"/>
    </xf>
    <xf numFmtId="0" fontId="3" fillId="0" borderId="16" xfId="3" applyFont="1" applyBorder="1"/>
    <xf numFmtId="0" fontId="3" fillId="0" borderId="0" xfId="3" applyFont="1" applyAlignment="1">
      <alignment horizontal="center"/>
    </xf>
    <xf numFmtId="4" fontId="5" fillId="0" borderId="0" xfId="3" applyNumberFormat="1" applyFont="1"/>
    <xf numFmtId="1" fontId="15" fillId="8" borderId="14" xfId="3" applyNumberFormat="1" applyFont="1" applyFill="1" applyBorder="1" applyAlignment="1">
      <alignment horizontal="center"/>
    </xf>
    <xf numFmtId="0" fontId="2" fillId="0" borderId="15" xfId="3" applyBorder="1"/>
    <xf numFmtId="0" fontId="2" fillId="0" borderId="16" xfId="3" applyBorder="1"/>
    <xf numFmtId="167" fontId="18" fillId="8" borderId="13" xfId="3" applyNumberFormat="1" applyFont="1" applyFill="1" applyBorder="1" applyAlignment="1">
      <alignment horizontal="center" vertical="center"/>
    </xf>
    <xf numFmtId="0" fontId="2" fillId="0" borderId="10" xfId="3" applyBorder="1"/>
    <xf numFmtId="176" fontId="16" fillId="0" borderId="0" xfId="3" applyNumberFormat="1" applyFont="1" applyAlignment="1">
      <alignment horizontal="right" vertical="center" indent="1"/>
    </xf>
    <xf numFmtId="0" fontId="2" fillId="0" borderId="17" xfId="3" applyBorder="1"/>
    <xf numFmtId="0" fontId="19" fillId="0" borderId="0" xfId="3" applyFont="1" applyAlignment="1">
      <alignment vertical="center"/>
    </xf>
    <xf numFmtId="0" fontId="19" fillId="10" borderId="1" xfId="3" applyFont="1" applyFill="1" applyBorder="1" applyAlignment="1">
      <alignment horizontal="left" vertical="center" indent="2"/>
    </xf>
    <xf numFmtId="0" fontId="19" fillId="0" borderId="0" xfId="3" applyFont="1"/>
    <xf numFmtId="177" fontId="19" fillId="10" borderId="7" xfId="3" applyNumberFormat="1" applyFont="1" applyFill="1" applyBorder="1" applyAlignment="1">
      <alignment horizontal="center" vertical="center"/>
    </xf>
    <xf numFmtId="172" fontId="21" fillId="10" borderId="4" xfId="3" applyNumberFormat="1" applyFont="1" applyFill="1" applyBorder="1" applyAlignment="1">
      <alignment horizontal="right" vertical="center" indent="1"/>
    </xf>
    <xf numFmtId="173" fontId="21" fillId="10" borderId="4" xfId="3" applyNumberFormat="1" applyFont="1" applyFill="1" applyBorder="1" applyAlignment="1">
      <alignment horizontal="right" vertical="center" indent="1"/>
    </xf>
    <xf numFmtId="171" fontId="19" fillId="10" borderId="4" xfId="3" applyNumberFormat="1" applyFont="1" applyFill="1" applyBorder="1" applyAlignment="1">
      <alignment horizontal="center" vertical="center"/>
    </xf>
    <xf numFmtId="9" fontId="19" fillId="10" borderId="18" xfId="3" applyNumberFormat="1" applyFont="1" applyFill="1" applyBorder="1" applyAlignment="1">
      <alignment horizontal="center" vertical="center"/>
    </xf>
    <xf numFmtId="0" fontId="22" fillId="0" borderId="0" xfId="3" applyFont="1"/>
    <xf numFmtId="0" fontId="2" fillId="0" borderId="12" xfId="3" applyBorder="1" applyAlignment="1">
      <alignment horizontal="right"/>
    </xf>
    <xf numFmtId="0" fontId="2" fillId="0" borderId="12" xfId="3" applyBorder="1"/>
    <xf numFmtId="2" fontId="2" fillId="0" borderId="12" xfId="3" applyNumberFormat="1" applyBorder="1"/>
    <xf numFmtId="0" fontId="9" fillId="0" borderId="0" xfId="3" applyFont="1"/>
    <xf numFmtId="166" fontId="14" fillId="0" borderId="0" xfId="3" applyNumberFormat="1" applyFont="1"/>
    <xf numFmtId="0" fontId="14" fillId="0" borderId="0" xfId="3" applyFont="1"/>
    <xf numFmtId="174" fontId="23" fillId="0" borderId="0" xfId="3" applyNumberFormat="1" applyFont="1" applyAlignment="1">
      <alignment horizontal="center"/>
    </xf>
    <xf numFmtId="166" fontId="24" fillId="0" borderId="0" xfId="3" applyNumberFormat="1" applyFont="1" applyAlignment="1">
      <alignment horizontal="center" vertical="center"/>
    </xf>
    <xf numFmtId="174" fontId="25" fillId="0" borderId="0" xfId="3" applyNumberFormat="1" applyFont="1" applyAlignment="1">
      <alignment horizontal="center" vertical="center"/>
    </xf>
    <xf numFmtId="0" fontId="26" fillId="0" borderId="0" xfId="3" applyFont="1" applyAlignment="1">
      <alignment vertical="center"/>
    </xf>
    <xf numFmtId="0" fontId="10" fillId="3" borderId="2" xfId="3" applyFont="1" applyFill="1" applyBorder="1" applyAlignment="1">
      <alignment horizontal="left" vertical="center" indent="2"/>
    </xf>
    <xf numFmtId="0" fontId="22" fillId="3" borderId="11" xfId="3" applyFont="1" applyFill="1" applyBorder="1" applyAlignment="1">
      <alignment vertical="center"/>
    </xf>
    <xf numFmtId="0" fontId="22" fillId="3" borderId="12" xfId="3" applyFont="1" applyFill="1" applyBorder="1" applyAlignment="1">
      <alignment vertical="center"/>
    </xf>
    <xf numFmtId="166" fontId="10" fillId="3" borderId="19" xfId="3" applyNumberFormat="1" applyFont="1" applyFill="1" applyBorder="1" applyAlignment="1">
      <alignment vertical="center"/>
    </xf>
    <xf numFmtId="10" fontId="10" fillId="3" borderId="20" xfId="3" applyNumberFormat="1" applyFont="1" applyFill="1" applyBorder="1" applyAlignment="1">
      <alignment horizontal="center" vertical="center"/>
    </xf>
    <xf numFmtId="0" fontId="22" fillId="0" borderId="0" xfId="3" applyFont="1" applyAlignment="1">
      <alignment vertical="center"/>
    </xf>
    <xf numFmtId="0" fontId="3" fillId="0" borderId="10" xfId="3" applyFont="1" applyBorder="1" applyAlignment="1">
      <alignment horizontal="left" vertical="center" indent="1"/>
    </xf>
    <xf numFmtId="178" fontId="7" fillId="0" borderId="15" xfId="3" applyNumberFormat="1" applyFont="1" applyBorder="1" applyAlignment="1">
      <alignment horizontal="center" vertical="center"/>
    </xf>
    <xf numFmtId="179" fontId="7" fillId="0" borderId="0" xfId="3" applyNumberFormat="1" applyFont="1" applyAlignment="1">
      <alignment horizontal="center" vertical="center"/>
    </xf>
    <xf numFmtId="180" fontId="7" fillId="0" borderId="0" xfId="3" applyNumberFormat="1" applyFont="1" applyAlignment="1">
      <alignment horizontal="center" vertical="center"/>
    </xf>
    <xf numFmtId="166" fontId="3" fillId="0" borderId="21" xfId="3" applyNumberFormat="1" applyFont="1" applyBorder="1" applyAlignment="1">
      <alignment vertical="center"/>
    </xf>
    <xf numFmtId="10" fontId="3" fillId="0" borderId="22" xfId="3" applyNumberFormat="1" applyFont="1" applyBorder="1" applyAlignment="1">
      <alignment horizontal="center" vertical="center"/>
    </xf>
    <xf numFmtId="0" fontId="2" fillId="0" borderId="0" xfId="3" applyAlignment="1">
      <alignment vertical="center"/>
    </xf>
    <xf numFmtId="0" fontId="0" fillId="0" borderId="23" xfId="3" applyFont="1" applyBorder="1" applyAlignment="1">
      <alignment horizontal="left" vertical="center" indent="1"/>
    </xf>
    <xf numFmtId="167" fontId="6" fillId="0" borderId="24" xfId="3" applyNumberFormat="1" applyFont="1" applyBorder="1" applyAlignment="1">
      <alignment horizontal="center" vertical="center"/>
    </xf>
    <xf numFmtId="166" fontId="27" fillId="0" borderId="25" xfId="3" applyNumberFormat="1" applyFont="1" applyBorder="1" applyAlignment="1">
      <alignment vertical="center"/>
    </xf>
    <xf numFmtId="10" fontId="27" fillId="0" borderId="26" xfId="3" applyNumberFormat="1" applyFont="1" applyBorder="1" applyAlignment="1">
      <alignment horizontal="center" vertical="center"/>
    </xf>
    <xf numFmtId="0" fontId="3" fillId="0" borderId="27" xfId="3" applyFont="1" applyBorder="1" applyAlignment="1">
      <alignment horizontal="left" vertical="center" indent="1"/>
    </xf>
    <xf numFmtId="167" fontId="28" fillId="0" borderId="28" xfId="3" applyNumberFormat="1" applyFont="1" applyBorder="1" applyAlignment="1">
      <alignment horizontal="center" vertical="center"/>
    </xf>
    <xf numFmtId="181" fontId="28" fillId="0" borderId="29" xfId="2" applyNumberFormat="1" applyFont="1" applyFill="1" applyBorder="1" applyAlignment="1">
      <alignment horizontal="center" vertical="center"/>
    </xf>
    <xf numFmtId="182" fontId="29" fillId="0" borderId="29" xfId="3" applyNumberFormat="1" applyFont="1" applyBorder="1" applyAlignment="1">
      <alignment horizontal="center" vertical="center"/>
    </xf>
    <xf numFmtId="166" fontId="2" fillId="0" borderId="30" xfId="3" applyNumberFormat="1" applyBorder="1" applyAlignment="1">
      <alignment vertical="center"/>
    </xf>
    <xf numFmtId="10" fontId="2" fillId="0" borderId="31" xfId="3" applyNumberFormat="1" applyBorder="1" applyAlignment="1">
      <alignment horizontal="center" vertical="center"/>
    </xf>
    <xf numFmtId="167" fontId="28" fillId="8" borderId="28" xfId="3" applyNumberFormat="1" applyFont="1" applyFill="1" applyBorder="1" applyAlignment="1">
      <alignment horizontal="center" vertical="center"/>
    </xf>
    <xf numFmtId="0" fontId="28" fillId="0" borderId="29" xfId="3" applyFont="1" applyBorder="1" applyAlignment="1">
      <alignment horizontal="center" vertical="center"/>
    </xf>
    <xf numFmtId="0" fontId="0" fillId="0" borderId="27" xfId="3" applyFont="1" applyBorder="1" applyAlignment="1">
      <alignment horizontal="left" vertical="center" indent="1"/>
    </xf>
    <xf numFmtId="167" fontId="30" fillId="0" borderId="28" xfId="3" applyNumberFormat="1" applyFont="1" applyBorder="1" applyAlignment="1">
      <alignment horizontal="center" vertical="center"/>
    </xf>
    <xf numFmtId="183" fontId="28" fillId="0" borderId="29" xfId="2" applyNumberFormat="1" applyFont="1" applyFill="1" applyBorder="1" applyAlignment="1">
      <alignment horizontal="center" vertical="center"/>
    </xf>
    <xf numFmtId="0" fontId="2" fillId="0" borderId="27" xfId="3" applyBorder="1" applyAlignment="1">
      <alignment horizontal="left" vertical="center" indent="1"/>
    </xf>
    <xf numFmtId="0" fontId="2" fillId="0" borderId="32" xfId="3" applyBorder="1" applyAlignment="1">
      <alignment horizontal="left" vertical="center" indent="1"/>
    </xf>
    <xf numFmtId="0" fontId="27" fillId="0" borderId="0" xfId="3" applyFont="1"/>
    <xf numFmtId="174" fontId="28" fillId="0" borderId="29" xfId="1" applyNumberFormat="1" applyFont="1" applyFill="1" applyBorder="1" applyAlignment="1">
      <alignment horizontal="center" vertical="center"/>
    </xf>
    <xf numFmtId="0" fontId="27" fillId="0" borderId="0" xfId="3" applyFont="1" applyAlignment="1">
      <alignment vertical="center"/>
    </xf>
    <xf numFmtId="0" fontId="2" fillId="0" borderId="0" xfId="3" applyAlignment="1">
      <alignment vertical="top"/>
    </xf>
    <xf numFmtId="0" fontId="2" fillId="0" borderId="12" xfId="3" applyBorder="1" applyAlignment="1">
      <alignment vertical="top"/>
    </xf>
    <xf numFmtId="0" fontId="28" fillId="0" borderId="0" xfId="3" applyFont="1" applyAlignment="1">
      <alignment vertical="center"/>
    </xf>
    <xf numFmtId="0" fontId="4" fillId="3" borderId="11" xfId="3" applyFont="1" applyFill="1" applyBorder="1" applyAlignment="1">
      <alignment horizontal="left" vertical="center" indent="2"/>
    </xf>
    <xf numFmtId="0" fontId="28" fillId="3" borderId="11" xfId="3" applyFont="1" applyFill="1" applyBorder="1" applyAlignment="1">
      <alignment vertical="center"/>
    </xf>
    <xf numFmtId="0" fontId="28" fillId="3" borderId="12" xfId="3" applyFont="1" applyFill="1" applyBorder="1" applyAlignment="1">
      <alignment vertical="center"/>
    </xf>
    <xf numFmtId="166" fontId="4" fillId="3" borderId="19" xfId="3" applyNumberFormat="1" applyFont="1" applyFill="1" applyBorder="1" applyAlignment="1">
      <alignment vertical="center"/>
    </xf>
    <xf numFmtId="10" fontId="4" fillId="3" borderId="20" xfId="3" applyNumberFormat="1" applyFont="1" applyFill="1" applyBorder="1" applyAlignment="1">
      <alignment horizontal="center" vertical="center"/>
    </xf>
    <xf numFmtId="0" fontId="1" fillId="0" borderId="0" xfId="3" applyFont="1" applyAlignment="1">
      <alignment vertical="center"/>
    </xf>
    <xf numFmtId="0" fontId="31" fillId="0" borderId="0" xfId="3" applyFont="1" applyAlignment="1">
      <alignment vertical="center"/>
    </xf>
    <xf numFmtId="0" fontId="1" fillId="0" borderId="33" xfId="3" applyFont="1" applyBorder="1" applyAlignment="1">
      <alignment horizontal="left" vertical="center" indent="1"/>
    </xf>
    <xf numFmtId="168" fontId="28" fillId="0" borderId="28" xfId="3" applyNumberFormat="1" applyFont="1" applyBorder="1" applyAlignment="1">
      <alignment horizontal="center" vertical="center"/>
    </xf>
    <xf numFmtId="167" fontId="28" fillId="8" borderId="29" xfId="3" applyNumberFormat="1" applyFont="1" applyFill="1" applyBorder="1" applyAlignment="1">
      <alignment horizontal="right" vertical="center"/>
    </xf>
    <xf numFmtId="169" fontId="28" fillId="8" borderId="29" xfId="3" applyNumberFormat="1" applyFont="1" applyFill="1" applyBorder="1" applyAlignment="1">
      <alignment horizontal="center" vertical="center"/>
    </xf>
    <xf numFmtId="166" fontId="1" fillId="0" borderId="30" xfId="3" applyNumberFormat="1" applyFont="1" applyBorder="1" applyAlignment="1">
      <alignment vertical="center"/>
    </xf>
    <xf numFmtId="10" fontId="1" fillId="0" borderId="31" xfId="3" applyNumberFormat="1" applyFont="1" applyBorder="1" applyAlignment="1">
      <alignment horizontal="center" vertical="center"/>
    </xf>
    <xf numFmtId="167" fontId="28" fillId="0" borderId="29" xfId="3" applyNumberFormat="1" applyFont="1" applyBorder="1" applyAlignment="1">
      <alignment horizontal="right" vertical="center"/>
    </xf>
    <xf numFmtId="0" fontId="28" fillId="0" borderId="0" xfId="3" applyFont="1"/>
    <xf numFmtId="0" fontId="1" fillId="0" borderId="34" xfId="3" applyFont="1" applyBorder="1" applyAlignment="1">
      <alignment horizontal="left" vertical="center" indent="1"/>
    </xf>
    <xf numFmtId="167" fontId="28" fillId="0" borderId="34" xfId="3" applyNumberFormat="1" applyFont="1" applyBorder="1" applyAlignment="1">
      <alignment horizontal="right" vertical="center"/>
    </xf>
    <xf numFmtId="167" fontId="28" fillId="0" borderId="35" xfId="3" applyNumberFormat="1" applyFont="1" applyBorder="1" applyAlignment="1">
      <alignment horizontal="right" vertical="center"/>
    </xf>
    <xf numFmtId="166" fontId="1" fillId="0" borderId="36" xfId="3" applyNumberFormat="1" applyFont="1" applyBorder="1" applyAlignment="1">
      <alignment vertical="center"/>
    </xf>
    <xf numFmtId="10" fontId="1" fillId="0" borderId="37" xfId="3" applyNumberFormat="1" applyFont="1" applyBorder="1" applyAlignment="1">
      <alignment horizontal="center" vertical="center"/>
    </xf>
    <xf numFmtId="0" fontId="1" fillId="0" borderId="0" xfId="3" applyFont="1"/>
    <xf numFmtId="0" fontId="5" fillId="0" borderId="0" xfId="3" applyFont="1" applyAlignment="1">
      <alignment vertical="center"/>
    </xf>
    <xf numFmtId="167" fontId="32" fillId="0" borderId="8" xfId="3" applyNumberFormat="1" applyFont="1" applyBorder="1" applyAlignment="1">
      <alignment horizontal="right" vertical="center"/>
    </xf>
    <xf numFmtId="0" fontId="3" fillId="3" borderId="2" xfId="3" applyFont="1" applyFill="1" applyBorder="1" applyAlignment="1">
      <alignment horizontal="left" vertical="center" indent="2"/>
    </xf>
    <xf numFmtId="0" fontId="2" fillId="3" borderId="11" xfId="3" applyFill="1" applyBorder="1" applyAlignment="1">
      <alignment vertical="center"/>
    </xf>
    <xf numFmtId="0" fontId="2" fillId="3" borderId="12" xfId="3" applyFill="1" applyBorder="1" applyAlignment="1">
      <alignment vertical="center"/>
    </xf>
    <xf numFmtId="166" fontId="3" fillId="3" borderId="38" xfId="3" applyNumberFormat="1" applyFont="1" applyFill="1" applyBorder="1" applyAlignment="1">
      <alignment vertical="center"/>
    </xf>
    <xf numFmtId="10" fontId="3" fillId="3" borderId="20" xfId="3" applyNumberFormat="1" applyFont="1" applyFill="1" applyBorder="1" applyAlignment="1">
      <alignment horizontal="center" vertical="center"/>
    </xf>
    <xf numFmtId="0" fontId="2" fillId="0" borderId="10" xfId="3" applyBorder="1" applyAlignment="1">
      <alignment horizontal="left" vertical="center" indent="1"/>
    </xf>
    <xf numFmtId="167" fontId="33" fillId="0" borderId="15" xfId="3" applyNumberFormat="1" applyFont="1" applyBorder="1" applyAlignment="1">
      <alignment horizontal="right" vertical="center"/>
    </xf>
    <xf numFmtId="167" fontId="33" fillId="0" borderId="0" xfId="3" applyNumberFormat="1" applyFont="1" applyAlignment="1">
      <alignment horizontal="right" vertical="center"/>
    </xf>
    <xf numFmtId="167" fontId="33" fillId="0" borderId="39" xfId="3" applyNumberFormat="1" applyFont="1" applyBorder="1" applyAlignment="1">
      <alignment horizontal="right" vertical="center"/>
    </xf>
    <xf numFmtId="10" fontId="2" fillId="0" borderId="16" xfId="3" applyNumberFormat="1" applyBorder="1" applyAlignment="1">
      <alignment horizontal="center" vertical="center"/>
    </xf>
    <xf numFmtId="0" fontId="2" fillId="0" borderId="23" xfId="3" applyBorder="1" applyAlignment="1">
      <alignment horizontal="left" vertical="center" indent="1"/>
    </xf>
    <xf numFmtId="167" fontId="28" fillId="0" borderId="24" xfId="3" applyNumberFormat="1" applyFont="1" applyBorder="1" applyAlignment="1">
      <alignment horizontal="center" vertical="center"/>
    </xf>
    <xf numFmtId="169" fontId="28" fillId="8" borderId="40" xfId="3" applyNumberFormat="1" applyFont="1" applyFill="1" applyBorder="1" applyAlignment="1">
      <alignment horizontal="center" vertical="center"/>
    </xf>
    <xf numFmtId="169" fontId="28" fillId="7" borderId="41" xfId="3" applyNumberFormat="1" applyFont="1" applyFill="1" applyBorder="1" applyAlignment="1">
      <alignment horizontal="center" vertical="center"/>
    </xf>
    <xf numFmtId="166" fontId="2" fillId="0" borderId="42" xfId="3" applyNumberFormat="1" applyBorder="1" applyAlignment="1">
      <alignment vertical="center"/>
    </xf>
    <xf numFmtId="10" fontId="2" fillId="0" borderId="43" xfId="3" applyNumberFormat="1" applyBorder="1" applyAlignment="1">
      <alignment horizontal="center" vertical="center"/>
    </xf>
    <xf numFmtId="169" fontId="28" fillId="7" borderId="44" xfId="3" applyNumberFormat="1" applyFont="1" applyFill="1" applyBorder="1" applyAlignment="1">
      <alignment horizontal="center" vertical="center"/>
    </xf>
    <xf numFmtId="10" fontId="2" fillId="0" borderId="45" xfId="3" applyNumberFormat="1" applyBorder="1" applyAlignment="1">
      <alignment horizontal="center" vertical="center"/>
    </xf>
    <xf numFmtId="166" fontId="2" fillId="0" borderId="46" xfId="3" applyNumberFormat="1" applyBorder="1" applyAlignment="1">
      <alignment vertical="center"/>
    </xf>
    <xf numFmtId="0" fontId="8" fillId="0" borderId="0" xfId="3" applyFont="1"/>
    <xf numFmtId="0" fontId="2" fillId="0" borderId="47" xfId="3" applyBorder="1" applyAlignment="1">
      <alignment horizontal="left" vertical="center" indent="1"/>
    </xf>
    <xf numFmtId="173" fontId="28" fillId="0" borderId="34" xfId="3" applyNumberFormat="1" applyFont="1" applyBorder="1" applyAlignment="1">
      <alignment horizontal="center" vertical="center"/>
    </xf>
    <xf numFmtId="169" fontId="28" fillId="7" borderId="48" xfId="3" applyNumberFormat="1" applyFont="1" applyFill="1" applyBorder="1" applyAlignment="1">
      <alignment horizontal="center" vertical="center"/>
    </xf>
    <xf numFmtId="0" fontId="3" fillId="0" borderId="49" xfId="3" applyFont="1" applyBorder="1"/>
    <xf numFmtId="0" fontId="3" fillId="0" borderId="50" xfId="3" applyFont="1" applyBorder="1"/>
    <xf numFmtId="0" fontId="3" fillId="0" borderId="12" xfId="3" applyFont="1" applyBorder="1" applyAlignment="1">
      <alignment horizontal="right" vertical="top"/>
    </xf>
    <xf numFmtId="184" fontId="2" fillId="8" borderId="12" xfId="3" applyNumberFormat="1" applyFill="1" applyBorder="1" applyAlignment="1">
      <alignment vertical="center"/>
    </xf>
    <xf numFmtId="166" fontId="3" fillId="3" borderId="19" xfId="3" applyNumberFormat="1" applyFont="1" applyFill="1" applyBorder="1" applyAlignment="1">
      <alignment vertical="center"/>
    </xf>
    <xf numFmtId="0" fontId="6" fillId="0" borderId="3" xfId="3" applyFont="1" applyBorder="1" applyAlignment="1">
      <alignment horizontal="left" indent="2"/>
    </xf>
    <xf numFmtId="0" fontId="2" fillId="0" borderId="13" xfId="3" applyBorder="1"/>
    <xf numFmtId="0" fontId="3" fillId="0" borderId="8" xfId="3" applyFont="1" applyBorder="1"/>
    <xf numFmtId="169" fontId="34" fillId="7" borderId="8" xfId="3" applyNumberFormat="1" applyFont="1" applyFill="1" applyBorder="1" applyAlignment="1">
      <alignment horizontal="center" vertical="center"/>
    </xf>
    <xf numFmtId="0" fontId="3" fillId="0" borderId="51" xfId="3" applyFont="1" applyBorder="1"/>
    <xf numFmtId="0" fontId="3" fillId="0" borderId="14" xfId="3" applyFont="1" applyBorder="1"/>
    <xf numFmtId="0" fontId="35" fillId="10" borderId="1" xfId="3" applyFont="1" applyFill="1" applyBorder="1" applyAlignment="1">
      <alignment horizontal="left" vertical="center"/>
    </xf>
    <xf numFmtId="0" fontId="19" fillId="10" borderId="7" xfId="3" applyFont="1" applyFill="1" applyBorder="1" applyAlignment="1">
      <alignment horizontal="center" vertical="center"/>
    </xf>
    <xf numFmtId="10" fontId="19" fillId="10" borderId="18" xfId="3" applyNumberFormat="1" applyFont="1" applyFill="1" applyBorder="1" applyAlignment="1">
      <alignment horizontal="center" vertical="center"/>
    </xf>
    <xf numFmtId="0" fontId="26" fillId="0" borderId="0" xfId="3" applyFont="1"/>
    <xf numFmtId="0" fontId="10" fillId="10" borderId="52" xfId="3" applyFont="1" applyFill="1" applyBorder="1" applyAlignment="1">
      <alignment vertical="center"/>
    </xf>
    <xf numFmtId="0" fontId="10" fillId="10" borderId="53" xfId="3" applyFont="1" applyFill="1" applyBorder="1" applyAlignment="1">
      <alignment horizontal="center" vertical="center"/>
    </xf>
    <xf numFmtId="0" fontId="10" fillId="10" borderId="54" xfId="3" applyFont="1" applyFill="1" applyBorder="1" applyAlignment="1">
      <alignment horizontal="center" vertical="center"/>
    </xf>
    <xf numFmtId="166" fontId="10" fillId="10" borderId="54" xfId="3" applyNumberFormat="1" applyFont="1" applyFill="1" applyBorder="1" applyAlignment="1">
      <alignment horizontal="center" vertical="center"/>
    </xf>
    <xf numFmtId="174" fontId="10" fillId="10" borderId="55" xfId="3" applyNumberFormat="1" applyFont="1" applyFill="1" applyBorder="1" applyAlignment="1">
      <alignment horizontal="center" vertical="center"/>
    </xf>
    <xf numFmtId="0" fontId="10" fillId="10" borderId="56" xfId="3" applyFont="1" applyFill="1" applyBorder="1" applyAlignment="1">
      <alignment vertical="center"/>
    </xf>
    <xf numFmtId="0" fontId="10" fillId="10" borderId="57" xfId="3" applyFont="1" applyFill="1" applyBorder="1" applyAlignment="1">
      <alignment horizontal="center" vertical="center"/>
    </xf>
    <xf numFmtId="9" fontId="22" fillId="8" borderId="58" xfId="3" applyNumberFormat="1" applyFont="1" applyFill="1" applyBorder="1" applyAlignment="1">
      <alignment horizontal="center" vertical="center"/>
    </xf>
    <xf numFmtId="0" fontId="10" fillId="10" borderId="58" xfId="3" applyFont="1" applyFill="1" applyBorder="1" applyAlignment="1">
      <alignment horizontal="center" vertical="center"/>
    </xf>
    <xf numFmtId="166" fontId="10" fillId="10" borderId="58" xfId="3" applyNumberFormat="1" applyFont="1" applyFill="1" applyBorder="1" applyAlignment="1">
      <alignment horizontal="center" vertical="center"/>
    </xf>
    <xf numFmtId="174" fontId="10" fillId="10" borderId="59" xfId="3" applyNumberFormat="1" applyFont="1" applyFill="1" applyBorder="1" applyAlignment="1">
      <alignment horizontal="center" vertical="center"/>
    </xf>
    <xf numFmtId="0" fontId="10" fillId="11" borderId="60" xfId="3" applyFont="1" applyFill="1" applyBorder="1" applyAlignment="1">
      <alignment vertical="center"/>
    </xf>
    <xf numFmtId="0" fontId="10" fillId="11" borderId="61" xfId="3" applyFont="1" applyFill="1" applyBorder="1" applyAlignment="1">
      <alignment horizontal="center" vertical="center"/>
    </xf>
    <xf numFmtId="166" fontId="10" fillId="11" borderId="62" xfId="3" applyNumberFormat="1" applyFont="1" applyFill="1" applyBorder="1" applyAlignment="1">
      <alignment horizontal="center" vertical="center"/>
    </xf>
    <xf numFmtId="174" fontId="10" fillId="11" borderId="63" xfId="3" applyNumberFormat="1" applyFont="1" applyFill="1" applyBorder="1" applyAlignment="1">
      <alignment horizontal="center" vertical="center"/>
    </xf>
    <xf numFmtId="0" fontId="10" fillId="5" borderId="1" xfId="3" applyFont="1" applyFill="1" applyBorder="1" applyAlignment="1">
      <alignment vertical="center"/>
    </xf>
    <xf numFmtId="166" fontId="10" fillId="5" borderId="4" xfId="3" applyNumberFormat="1" applyFont="1" applyFill="1" applyBorder="1" applyAlignment="1">
      <alignment horizontal="center" vertical="center"/>
    </xf>
    <xf numFmtId="9" fontId="10" fillId="5" borderId="64" xfId="4" applyFont="1" applyFill="1" applyBorder="1" applyAlignment="1">
      <alignment horizontal="center" vertical="center"/>
    </xf>
    <xf numFmtId="166" fontId="10" fillId="5" borderId="64" xfId="3" applyNumberFormat="1" applyFont="1" applyFill="1" applyBorder="1" applyAlignment="1">
      <alignment horizontal="center" vertical="center"/>
    </xf>
    <xf numFmtId="174" fontId="10" fillId="5" borderId="65" xfId="3" applyNumberFormat="1" applyFont="1" applyFill="1" applyBorder="1" applyAlignment="1">
      <alignment horizontal="center" vertical="center"/>
    </xf>
    <xf numFmtId="0" fontId="10" fillId="6" borderId="1" xfId="3" applyFont="1" applyFill="1" applyBorder="1" applyAlignment="1">
      <alignment vertical="center"/>
    </xf>
    <xf numFmtId="0" fontId="10" fillId="6" borderId="7" xfId="3" applyFont="1" applyFill="1" applyBorder="1" applyAlignment="1">
      <alignment horizontal="left" vertical="center"/>
    </xf>
    <xf numFmtId="166" fontId="37" fillId="6" borderId="64" xfId="3" applyNumberFormat="1" applyFont="1" applyFill="1" applyBorder="1" applyAlignment="1">
      <alignment horizontal="center" vertical="center"/>
    </xf>
    <xf numFmtId="174" fontId="37" fillId="6" borderId="64" xfId="4" applyNumberFormat="1" applyFont="1" applyFill="1" applyBorder="1" applyAlignment="1">
      <alignment horizontal="center" vertical="center"/>
    </xf>
    <xf numFmtId="166" fontId="10" fillId="6" borderId="64" xfId="3" applyNumberFormat="1" applyFont="1" applyFill="1" applyBorder="1" applyAlignment="1">
      <alignment horizontal="center" vertical="center"/>
    </xf>
    <xf numFmtId="174" fontId="10" fillId="6" borderId="65" xfId="3" applyNumberFormat="1" applyFont="1" applyFill="1" applyBorder="1" applyAlignment="1">
      <alignment horizontal="center" vertical="center"/>
    </xf>
    <xf numFmtId="0" fontId="10" fillId="6" borderId="1" xfId="3" applyFont="1" applyFill="1" applyBorder="1" applyAlignment="1">
      <alignment vertical="center" wrapText="1"/>
    </xf>
    <xf numFmtId="0" fontId="10" fillId="6" borderId="7" xfId="3" applyFont="1" applyFill="1" applyBorder="1" applyAlignment="1">
      <alignment horizontal="center" vertical="center"/>
    </xf>
    <xf numFmtId="174" fontId="38" fillId="6" borderId="64" xfId="4" applyNumberFormat="1" applyFont="1" applyFill="1" applyBorder="1" applyAlignment="1">
      <alignment horizontal="center" vertical="center"/>
    </xf>
    <xf numFmtId="0" fontId="2" fillId="0" borderId="0" xfId="3" applyAlignment="1">
      <alignment vertical="center" wrapText="1"/>
    </xf>
    <xf numFmtId="0" fontId="2" fillId="0" borderId="8" xfId="3" applyBorder="1" applyAlignment="1">
      <alignment vertical="center"/>
    </xf>
    <xf numFmtId="16" fontId="39" fillId="0" borderId="0" xfId="3" applyNumberFormat="1" applyFont="1" applyAlignment="1">
      <alignment horizontal="center" vertical="center"/>
    </xf>
    <xf numFmtId="0" fontId="2" fillId="0" borderId="0" xfId="3" applyAlignment="1">
      <alignment horizontal="center" vertical="center"/>
    </xf>
    <xf numFmtId="167" fontId="6" fillId="0" borderId="10" xfId="3" applyNumberFormat="1" applyFont="1" applyBorder="1" applyAlignment="1">
      <alignment horizontal="center" vertical="center"/>
    </xf>
    <xf numFmtId="168" fontId="6" fillId="0" borderId="10" xfId="3" applyNumberFormat="1" applyFont="1" applyBorder="1" applyAlignment="1">
      <alignment horizontal="center" vertical="center"/>
    </xf>
    <xf numFmtId="170" fontId="6" fillId="0" borderId="10" xfId="3" applyNumberFormat="1" applyFont="1" applyBorder="1" applyAlignment="1">
      <alignment horizontal="center" vertical="center"/>
    </xf>
    <xf numFmtId="167" fontId="6" fillId="0" borderId="3" xfId="3" applyNumberFormat="1" applyFont="1" applyBorder="1" applyAlignment="1">
      <alignment horizontal="center" vertical="center"/>
    </xf>
    <xf numFmtId="0" fontId="6" fillId="0" borderId="0" xfId="3" applyFont="1" applyAlignment="1">
      <alignment horizontal="center" vertical="center"/>
    </xf>
    <xf numFmtId="171" fontId="6" fillId="0" borderId="10" xfId="3" applyNumberFormat="1" applyFont="1" applyBorder="1" applyAlignment="1">
      <alignment horizontal="center" vertical="center"/>
    </xf>
    <xf numFmtId="166" fontId="6" fillId="0" borderId="10" xfId="3" applyNumberFormat="1" applyFont="1" applyBorder="1" applyAlignment="1">
      <alignment horizontal="center" vertical="center"/>
    </xf>
    <xf numFmtId="10" fontId="6" fillId="0" borderId="10" xfId="3" applyNumberFormat="1" applyFont="1" applyBorder="1" applyAlignment="1">
      <alignment horizontal="center" vertical="center"/>
    </xf>
    <xf numFmtId="174" fontId="6" fillId="0" borderId="3" xfId="1" applyNumberFormat="1" applyFont="1" applyBorder="1" applyAlignment="1">
      <alignment horizontal="center" vertical="center"/>
    </xf>
    <xf numFmtId="169" fontId="6" fillId="0" borderId="10" xfId="3" applyNumberFormat="1" applyFont="1" applyBorder="1" applyAlignment="1">
      <alignment horizontal="center" vertical="center"/>
    </xf>
    <xf numFmtId="169" fontId="6" fillId="0" borderId="3" xfId="3" applyNumberFormat="1" applyFont="1" applyBorder="1" applyAlignment="1">
      <alignment horizontal="center" vertical="center"/>
    </xf>
    <xf numFmtId="0" fontId="40" fillId="0" borderId="0" xfId="0" applyFont="1" applyAlignment="1">
      <alignment vertical="center" wrapText="1"/>
    </xf>
    <xf numFmtId="0" fontId="41" fillId="0" borderId="0" xfId="0" applyFont="1" applyAlignment="1">
      <alignment vertical="center" wrapText="1"/>
    </xf>
    <xf numFmtId="0" fontId="43" fillId="0" borderId="1" xfId="0" applyFont="1" applyBorder="1" applyAlignment="1">
      <alignment horizontal="center" vertical="center" wrapText="1"/>
    </xf>
    <xf numFmtId="164" fontId="44" fillId="0" borderId="1" xfId="0" applyNumberFormat="1" applyFont="1" applyBorder="1" applyAlignment="1">
      <alignment horizontal="right" vertical="center" wrapText="1"/>
    </xf>
    <xf numFmtId="0" fontId="44" fillId="0" borderId="1" xfId="0" applyFont="1" applyBorder="1" applyAlignment="1">
      <alignment horizontal="right" vertical="center" wrapText="1"/>
    </xf>
    <xf numFmtId="2" fontId="44" fillId="0" borderId="1" xfId="0" applyNumberFormat="1" applyFont="1" applyBorder="1" applyAlignment="1">
      <alignment horizontal="right" vertical="center"/>
    </xf>
    <xf numFmtId="2" fontId="43" fillId="0" borderId="1" xfId="0" applyNumberFormat="1" applyFont="1" applyBorder="1" applyAlignment="1">
      <alignment horizontal="right" vertical="center"/>
    </xf>
    <xf numFmtId="0" fontId="43" fillId="5" borderId="1" xfId="0" applyFont="1" applyFill="1" applyBorder="1" applyAlignment="1">
      <alignment horizontal="center" vertical="center" wrapText="1"/>
    </xf>
    <xf numFmtId="2" fontId="44" fillId="5" borderId="1" xfId="0" applyNumberFormat="1" applyFont="1" applyFill="1" applyBorder="1" applyAlignment="1">
      <alignment horizontal="right" vertical="center"/>
    </xf>
    <xf numFmtId="43" fontId="43" fillId="5" borderId="1" xfId="0" applyNumberFormat="1" applyFont="1" applyFill="1" applyBorder="1" applyAlignment="1">
      <alignment horizontal="right" vertical="center" wrapText="1"/>
    </xf>
    <xf numFmtId="0" fontId="43" fillId="5" borderId="1" xfId="0" applyFont="1" applyFill="1" applyBorder="1" applyAlignment="1">
      <alignment horizontal="right" vertical="center" wrapText="1"/>
    </xf>
    <xf numFmtId="0" fontId="43" fillId="0" borderId="1" xfId="0" applyFont="1" applyBorder="1" applyAlignment="1">
      <alignment vertical="center"/>
    </xf>
    <xf numFmtId="0" fontId="0" fillId="0" borderId="0" xfId="1" applyNumberFormat="1" applyFont="1"/>
    <xf numFmtId="186" fontId="0" fillId="0" borderId="0" xfId="0" applyNumberFormat="1"/>
    <xf numFmtId="0" fontId="44" fillId="5" borderId="1" xfId="0" applyFont="1" applyFill="1" applyBorder="1" applyAlignment="1">
      <alignment horizontal="center" vertical="center" wrapText="1"/>
    </xf>
    <xf numFmtId="187" fontId="44" fillId="5" borderId="1" xfId="0" applyNumberFormat="1" applyFont="1" applyFill="1" applyBorder="1" applyAlignment="1">
      <alignment vertical="center"/>
    </xf>
    <xf numFmtId="9" fontId="0" fillId="0" borderId="0" xfId="0" applyNumberFormat="1"/>
    <xf numFmtId="0" fontId="44" fillId="0" borderId="1" xfId="0" applyFont="1" applyBorder="1" applyAlignment="1">
      <alignment horizontal="center" vertical="center" wrapText="1"/>
    </xf>
    <xf numFmtId="187" fontId="44" fillId="0" borderId="1" xfId="0" applyNumberFormat="1" applyFont="1" applyBorder="1" applyAlignment="1">
      <alignment vertical="center"/>
    </xf>
    <xf numFmtId="43" fontId="43" fillId="0" borderId="1" xfId="0" applyNumberFormat="1" applyFont="1" applyBorder="1" applyAlignment="1">
      <alignment vertical="center"/>
    </xf>
    <xf numFmtId="165" fontId="44" fillId="0" borderId="1" xfId="0" applyNumberFormat="1" applyFont="1" applyBorder="1" applyAlignment="1">
      <alignment horizontal="right" vertical="center"/>
    </xf>
    <xf numFmtId="165" fontId="44" fillId="5" borderId="1" xfId="0" applyNumberFormat="1" applyFont="1" applyFill="1" applyBorder="1" applyAlignment="1">
      <alignment horizontal="right" vertical="center"/>
    </xf>
    <xf numFmtId="0" fontId="43" fillId="5" borderId="1" xfId="0" applyFont="1" applyFill="1" applyBorder="1" applyAlignment="1">
      <alignment horizontal="center" vertical="center"/>
    </xf>
    <xf numFmtId="43" fontId="43" fillId="5" borderId="1" xfId="0" applyNumberFormat="1" applyFont="1" applyFill="1" applyBorder="1" applyAlignment="1">
      <alignment vertical="center"/>
    </xf>
    <xf numFmtId="187" fontId="44" fillId="13" borderId="1" xfId="0" applyNumberFormat="1" applyFont="1" applyFill="1" applyBorder="1" applyAlignment="1">
      <alignment vertical="center"/>
    </xf>
    <xf numFmtId="0" fontId="43" fillId="0" borderId="1" xfId="0" applyFont="1" applyBorder="1"/>
    <xf numFmtId="0" fontId="44" fillId="0" borderId="1" xfId="0" applyFont="1" applyBorder="1" applyAlignment="1">
      <alignment horizontal="left" vertical="center" wrapText="1"/>
    </xf>
    <xf numFmtId="187" fontId="44" fillId="0" borderId="1" xfId="0" applyNumberFormat="1" applyFont="1" applyBorder="1" applyAlignment="1">
      <alignment horizontal="center" vertical="center"/>
    </xf>
    <xf numFmtId="187" fontId="43" fillId="0" borderId="1" xfId="0" applyNumberFormat="1" applyFont="1" applyBorder="1" applyAlignment="1">
      <alignment vertical="center"/>
    </xf>
    <xf numFmtId="2" fontId="43" fillId="0" borderId="1" xfId="0" applyNumberFormat="1" applyFont="1" applyBorder="1" applyAlignment="1">
      <alignment vertical="center"/>
    </xf>
    <xf numFmtId="1" fontId="44" fillId="0" borderId="1" xfId="0" applyNumberFormat="1" applyFont="1" applyBorder="1" applyAlignment="1">
      <alignment horizontal="right" vertical="center"/>
    </xf>
    <xf numFmtId="164" fontId="43" fillId="5" borderId="1" xfId="0" applyNumberFormat="1" applyFont="1" applyFill="1" applyBorder="1" applyAlignment="1">
      <alignment horizontal="right" vertical="center"/>
    </xf>
    <xf numFmtId="174" fontId="43" fillId="0" borderId="1" xfId="1" applyNumberFormat="1" applyFont="1" applyFill="1" applyBorder="1" applyAlignment="1">
      <alignment horizontal="right" vertical="center"/>
    </xf>
    <xf numFmtId="174" fontId="0" fillId="0" borderId="0" xfId="1" applyNumberFormat="1" applyFont="1"/>
    <xf numFmtId="0" fontId="43" fillId="5" borderId="1" xfId="0" applyFont="1" applyFill="1" applyBorder="1" applyAlignment="1">
      <alignment horizontal="right" vertical="center"/>
    </xf>
    <xf numFmtId="0" fontId="44" fillId="7" borderId="1" xfId="0" applyFont="1" applyFill="1" applyBorder="1" applyAlignment="1">
      <alignment horizontal="center" wrapText="1"/>
    </xf>
    <xf numFmtId="174" fontId="43" fillId="7" borderId="1" xfId="1" applyNumberFormat="1" applyFont="1" applyFill="1" applyBorder="1" applyAlignment="1">
      <alignment horizontal="right" vertical="center"/>
    </xf>
    <xf numFmtId="0" fontId="42" fillId="5" borderId="1" xfId="0" applyFont="1" applyFill="1" applyBorder="1" applyAlignment="1">
      <alignment horizontal="center" vertical="center"/>
    </xf>
    <xf numFmtId="2" fontId="42" fillId="5" borderId="1" xfId="0" applyNumberFormat="1" applyFont="1" applyFill="1" applyBorder="1" applyAlignment="1">
      <alignment horizontal="right" vertical="center"/>
    </xf>
    <xf numFmtId="185" fontId="43" fillId="0" borderId="1" xfId="0" applyNumberFormat="1" applyFont="1" applyBorder="1" applyAlignment="1">
      <alignment vertical="center"/>
    </xf>
    <xf numFmtId="0" fontId="45" fillId="5" borderId="1" xfId="0" applyFont="1" applyFill="1" applyBorder="1" applyAlignment="1">
      <alignment horizontal="center" vertical="center"/>
    </xf>
    <xf numFmtId="2" fontId="45" fillId="5" borderId="1" xfId="0" applyNumberFormat="1" applyFont="1" applyFill="1" applyBorder="1" applyAlignment="1">
      <alignment vertical="center"/>
    </xf>
    <xf numFmtId="0" fontId="43" fillId="10" borderId="1" xfId="0" applyFont="1" applyFill="1" applyBorder="1"/>
    <xf numFmtId="0" fontId="43" fillId="10" borderId="1" xfId="0" applyFont="1" applyFill="1" applyBorder="1" applyAlignment="1">
      <alignment horizontal="center" vertical="center"/>
    </xf>
    <xf numFmtId="43" fontId="43" fillId="10" borderId="1" xfId="0" applyNumberFormat="1" applyFont="1" applyFill="1" applyBorder="1" applyAlignment="1">
      <alignment vertical="center"/>
    </xf>
    <xf numFmtId="0" fontId="43" fillId="14" borderId="1" xfId="0" applyFont="1" applyFill="1" applyBorder="1"/>
    <xf numFmtId="0" fontId="43" fillId="14" borderId="1" xfId="0" applyFont="1" applyFill="1" applyBorder="1" applyAlignment="1">
      <alignment horizontal="center" vertical="center"/>
    </xf>
    <xf numFmtId="1" fontId="43" fillId="14" borderId="1" xfId="0" applyNumberFormat="1" applyFont="1" applyFill="1" applyBorder="1" applyAlignment="1">
      <alignment vertical="center"/>
    </xf>
    <xf numFmtId="0" fontId="43" fillId="8" borderId="1" xfId="0" applyFont="1" applyFill="1" applyBorder="1"/>
    <xf numFmtId="0" fontId="43" fillId="8" borderId="1" xfId="0" applyFont="1" applyFill="1" applyBorder="1" applyAlignment="1">
      <alignment horizontal="center" vertical="center"/>
    </xf>
    <xf numFmtId="2" fontId="43" fillId="8" borderId="1" xfId="0" applyNumberFormat="1" applyFont="1" applyFill="1" applyBorder="1" applyAlignment="1">
      <alignment vertical="center"/>
    </xf>
    <xf numFmtId="0" fontId="43" fillId="0" borderId="7" xfId="0" applyFont="1" applyBorder="1" applyAlignment="1">
      <alignment horizontal="center" vertical="center"/>
    </xf>
    <xf numFmtId="0" fontId="43" fillId="0" borderId="5" xfId="0" applyFont="1" applyBorder="1"/>
    <xf numFmtId="0" fontId="47" fillId="8" borderId="1" xfId="0" applyFont="1" applyFill="1" applyBorder="1"/>
    <xf numFmtId="0" fontId="47" fillId="0" borderId="1" xfId="0" applyFont="1" applyBorder="1"/>
    <xf numFmtId="2" fontId="47" fillId="0" borderId="1" xfId="0" applyNumberFormat="1" applyFont="1" applyBorder="1" applyAlignment="1">
      <alignment vertical="center"/>
    </xf>
    <xf numFmtId="0" fontId="48" fillId="8" borderId="1" xfId="0" applyFont="1" applyFill="1" applyBorder="1" applyAlignment="1">
      <alignment horizontal="center" vertical="center"/>
    </xf>
    <xf numFmtId="2" fontId="48" fillId="8" borderId="1" xfId="0" applyNumberFormat="1" applyFont="1" applyFill="1" applyBorder="1" applyAlignment="1">
      <alignment vertical="center"/>
    </xf>
    <xf numFmtId="1" fontId="0" fillId="0" borderId="0" xfId="0" applyNumberFormat="1"/>
    <xf numFmtId="1" fontId="3" fillId="0" borderId="0" xfId="0" applyNumberFormat="1" applyFont="1" applyAlignment="1">
      <alignment horizontal="center"/>
    </xf>
    <xf numFmtId="0" fontId="48" fillId="10" borderId="1" xfId="0" applyFont="1" applyFill="1" applyBorder="1" applyAlignment="1">
      <alignment horizontal="center" vertical="center"/>
    </xf>
    <xf numFmtId="2" fontId="48" fillId="10" borderId="1" xfId="0" applyNumberFormat="1" applyFont="1" applyFill="1" applyBorder="1" applyAlignment="1">
      <alignment vertical="center"/>
    </xf>
    <xf numFmtId="0" fontId="44" fillId="3" borderId="5" xfId="0" applyFont="1" applyFill="1" applyBorder="1" applyAlignment="1">
      <alignment horizontal="center" vertical="center" wrapText="1"/>
    </xf>
    <xf numFmtId="2" fontId="44" fillId="3" borderId="5" xfId="0" applyNumberFormat="1" applyFont="1" applyFill="1" applyBorder="1" applyAlignment="1">
      <alignment vertical="center"/>
    </xf>
    <xf numFmtId="1" fontId="3" fillId="0" borderId="0" xfId="0" applyNumberFormat="1" applyFont="1"/>
    <xf numFmtId="2" fontId="3" fillId="0" borderId="0" xfId="0" applyNumberFormat="1" applyFont="1"/>
    <xf numFmtId="2" fontId="3" fillId="0" borderId="0" xfId="0" applyNumberFormat="1" applyFont="1" applyAlignment="1">
      <alignment horizontal="center"/>
    </xf>
    <xf numFmtId="2" fontId="0" fillId="0" borderId="0" xfId="0" applyNumberFormat="1"/>
    <xf numFmtId="0" fontId="47" fillId="3" borderId="9" xfId="0" applyFont="1" applyFill="1" applyBorder="1" applyAlignment="1">
      <alignment horizontal="center" vertical="center"/>
    </xf>
    <xf numFmtId="9" fontId="47" fillId="3" borderId="9" xfId="0" applyNumberFormat="1" applyFont="1" applyFill="1" applyBorder="1" applyAlignment="1">
      <alignment vertical="center"/>
    </xf>
    <xf numFmtId="0" fontId="43" fillId="0" borderId="0" xfId="0" applyFont="1" applyAlignment="1">
      <alignment horizontal="center" vertical="center"/>
    </xf>
    <xf numFmtId="0" fontId="43" fillId="0" borderId="0" xfId="0" applyFont="1"/>
    <xf numFmtId="0" fontId="43" fillId="0" borderId="0" xfId="0" applyFont="1" applyAlignment="1">
      <alignment vertical="center"/>
    </xf>
    <xf numFmtId="0" fontId="49" fillId="2" borderId="1" xfId="0" applyFont="1" applyFill="1" applyBorder="1" applyAlignment="1">
      <alignment horizontal="center" vertical="center" wrapText="1"/>
    </xf>
    <xf numFmtId="0" fontId="41" fillId="0" borderId="7" xfId="0" applyFont="1" applyBorder="1" applyAlignment="1">
      <alignment horizontal="left" vertical="center"/>
    </xf>
    <xf numFmtId="2" fontId="50" fillId="8" borderId="1" xfId="0" applyNumberFormat="1" applyFont="1" applyFill="1" applyBorder="1" applyAlignment="1">
      <alignment horizontal="right" vertical="center" wrapText="1"/>
    </xf>
    <xf numFmtId="0" fontId="51" fillId="0" borderId="1" xfId="0" applyFont="1" applyBorder="1" applyAlignment="1">
      <alignment horizontal="center" vertical="center" wrapText="1"/>
    </xf>
    <xf numFmtId="2" fontId="50" fillId="0" borderId="1" xfId="0" applyNumberFormat="1" applyFont="1" applyBorder="1" applyAlignment="1">
      <alignment horizontal="left" vertical="center" wrapText="1"/>
    </xf>
    <xf numFmtId="0" fontId="50" fillId="0" borderId="7" xfId="0" applyFont="1" applyBorder="1" applyAlignment="1">
      <alignment horizontal="left" vertical="center" wrapText="1"/>
    </xf>
    <xf numFmtId="0" fontId="40" fillId="12" borderId="1" xfId="0" applyFont="1" applyFill="1" applyBorder="1" applyAlignment="1">
      <alignment horizontal="left" vertical="center" wrapText="1"/>
    </xf>
    <xf numFmtId="164" fontId="40" fillId="12" borderId="1" xfId="0" applyNumberFormat="1" applyFont="1" applyFill="1" applyBorder="1" applyAlignment="1">
      <alignment horizontal="left" vertical="center" wrapText="1"/>
    </xf>
    <xf numFmtId="0" fontId="40" fillId="12" borderId="1" xfId="0" applyFont="1" applyFill="1" applyBorder="1" applyAlignment="1">
      <alignment horizontal="center" vertical="center"/>
    </xf>
    <xf numFmtId="0" fontId="51" fillId="2" borderId="1" xfId="0" applyFont="1" applyFill="1" applyBorder="1" applyAlignment="1">
      <alignment horizontal="center" vertical="center"/>
    </xf>
    <xf numFmtId="0" fontId="49" fillId="0" borderId="7" xfId="0" applyFont="1" applyBorder="1" applyAlignment="1">
      <alignment horizontal="center" vertical="center"/>
    </xf>
    <xf numFmtId="43" fontId="52" fillId="8" borderId="7" xfId="0" applyNumberFormat="1" applyFont="1" applyFill="1" applyBorder="1" applyAlignment="1">
      <alignment vertical="center"/>
    </xf>
    <xf numFmtId="43" fontId="49" fillId="0" borderId="1" xfId="0" applyNumberFormat="1" applyFont="1" applyBorder="1" applyAlignment="1">
      <alignment vertical="center"/>
    </xf>
    <xf numFmtId="0" fontId="49" fillId="0" borderId="1" xfId="0" applyFont="1" applyBorder="1" applyAlignment="1">
      <alignment horizontal="center" vertical="center"/>
    </xf>
    <xf numFmtId="43" fontId="50" fillId="0" borderId="1" xfId="0" applyNumberFormat="1" applyFont="1" applyBorder="1" applyAlignment="1">
      <alignment vertical="center"/>
    </xf>
    <xf numFmtId="1" fontId="10" fillId="0" borderId="0" xfId="3" applyNumberFormat="1" applyFont="1" applyAlignment="1">
      <alignment horizontal="left" vertical="center"/>
    </xf>
    <xf numFmtId="16" fontId="7" fillId="0" borderId="0" xfId="3" applyNumberFormat="1" applyFont="1" applyAlignment="1">
      <alignment horizontal="center" vertical="center" wrapText="1"/>
    </xf>
    <xf numFmtId="1" fontId="0" fillId="0" borderId="0" xfId="0" applyNumberFormat="1" applyAlignment="1">
      <alignment horizontal="center"/>
    </xf>
    <xf numFmtId="0" fontId="3" fillId="0" borderId="0" xfId="0" applyFont="1" applyAlignment="1">
      <alignment horizontal="center"/>
    </xf>
    <xf numFmtId="0" fontId="4" fillId="16" borderId="1" xfId="0" applyFont="1" applyFill="1" applyBorder="1" applyAlignment="1">
      <alignment horizontal="center" vertical="center" wrapText="1"/>
    </xf>
    <xf numFmtId="3" fontId="4" fillId="16" borderId="5" xfId="0" applyNumberFormat="1" applyFont="1" applyFill="1" applyBorder="1" applyAlignment="1">
      <alignment horizontal="center" vertical="center" wrapText="1"/>
    </xf>
    <xf numFmtId="3" fontId="4" fillId="16" borderId="1" xfId="0" applyNumberFormat="1" applyFont="1" applyFill="1" applyBorder="1" applyAlignment="1">
      <alignment horizontal="center" vertical="center" wrapText="1"/>
    </xf>
    <xf numFmtId="188" fontId="4" fillId="16" borderId="1" xfId="0" applyNumberFormat="1" applyFont="1" applyFill="1" applyBorder="1" applyAlignment="1">
      <alignment horizontal="center" vertical="center" wrapText="1"/>
    </xf>
    <xf numFmtId="3" fontId="4" fillId="17" borderId="1" xfId="0" applyNumberFormat="1" applyFont="1" applyFill="1" applyBorder="1" applyAlignment="1">
      <alignment horizontal="center" vertical="center" wrapText="1"/>
    </xf>
    <xf numFmtId="17" fontId="4" fillId="16" borderId="1" xfId="0" applyNumberFormat="1" applyFont="1" applyFill="1" applyBorder="1" applyAlignment="1">
      <alignment horizontal="center" vertical="center" wrapText="1"/>
    </xf>
    <xf numFmtId="3" fontId="4" fillId="5" borderId="1" xfId="0" applyNumberFormat="1" applyFont="1" applyFill="1" applyBorder="1" applyAlignment="1">
      <alignment horizontal="center" vertical="center" wrapText="1"/>
    </xf>
    <xf numFmtId="188" fontId="4" fillId="17" borderId="1" xfId="0" applyNumberFormat="1" applyFont="1" applyFill="1" applyBorder="1" applyAlignment="1">
      <alignment horizontal="center" vertical="center" wrapText="1"/>
    </xf>
    <xf numFmtId="0" fontId="22" fillId="0" borderId="1" xfId="0" applyFont="1" applyBorder="1" applyAlignment="1">
      <alignment horizontal="center"/>
    </xf>
    <xf numFmtId="3" fontId="55" fillId="0" borderId="5" xfId="0" applyNumberFormat="1" applyFont="1" applyBorder="1" applyAlignment="1">
      <alignment horizontal="center" vertical="center"/>
    </xf>
    <xf numFmtId="0" fontId="55" fillId="0" borderId="1" xfId="0" applyFont="1" applyBorder="1" applyAlignment="1">
      <alignment horizontal="left"/>
    </xf>
    <xf numFmtId="3" fontId="55" fillId="0" borderId="1" xfId="0" quotePrefix="1" applyNumberFormat="1" applyFont="1" applyBorder="1" applyAlignment="1">
      <alignment horizontal="center"/>
    </xf>
    <xf numFmtId="3" fontId="55" fillId="0" borderId="1" xfId="0" applyNumberFormat="1" applyFont="1" applyBorder="1" applyAlignment="1">
      <alignment horizontal="center"/>
    </xf>
    <xf numFmtId="188" fontId="55" fillId="0" borderId="1" xfId="0" applyNumberFormat="1" applyFont="1" applyBorder="1" applyAlignment="1">
      <alignment horizontal="center"/>
    </xf>
    <xf numFmtId="17" fontId="55" fillId="0" borderId="1" xfId="0" applyNumberFormat="1" applyFont="1" applyBorder="1" applyAlignment="1">
      <alignment horizontal="center"/>
    </xf>
    <xf numFmtId="9" fontId="55" fillId="0" borderId="1" xfId="1" applyFont="1" applyBorder="1" applyAlignment="1">
      <alignment horizontal="center"/>
    </xf>
    <xf numFmtId="3" fontId="55" fillId="0" borderId="1" xfId="1" applyNumberFormat="1" applyFont="1" applyBorder="1" applyAlignment="1">
      <alignment horizontal="center"/>
    </xf>
    <xf numFmtId="0" fontId="55" fillId="0" borderId="1" xfId="0" applyFont="1" applyBorder="1" applyAlignment="1">
      <alignment horizontal="center"/>
    </xf>
    <xf numFmtId="9" fontId="55" fillId="0" borderId="1" xfId="0" applyNumberFormat="1" applyFont="1" applyBorder="1" applyAlignment="1">
      <alignment horizontal="left"/>
    </xf>
    <xf numFmtId="3" fontId="0" fillId="0" borderId="0" xfId="0" applyNumberFormat="1"/>
    <xf numFmtId="3" fontId="0" fillId="15" borderId="0" xfId="0" applyNumberFormat="1" applyFill="1"/>
    <xf numFmtId="44" fontId="0" fillId="15" borderId="0" xfId="5" applyFont="1" applyFill="1"/>
    <xf numFmtId="173" fontId="28" fillId="0" borderId="35" xfId="3" applyNumberFormat="1" applyFont="1" applyFill="1" applyBorder="1" applyAlignment="1">
      <alignment horizontal="center" vertical="center"/>
    </xf>
    <xf numFmtId="0" fontId="40" fillId="12" borderId="1" xfId="0" applyFont="1" applyFill="1" applyBorder="1" applyAlignment="1">
      <alignment horizontal="center" vertical="center" wrapText="1"/>
    </xf>
    <xf numFmtId="0" fontId="41" fillId="2" borderId="1" xfId="0" applyFont="1" applyFill="1" applyBorder="1" applyAlignment="1">
      <alignment horizontal="center" vertical="center" wrapText="1"/>
    </xf>
    <xf numFmtId="0" fontId="43" fillId="0" borderId="1" xfId="0" applyFont="1" applyBorder="1" applyAlignment="1">
      <alignment horizontal="center" vertical="center"/>
    </xf>
    <xf numFmtId="0" fontId="43" fillId="0" borderId="1" xfId="0" applyFont="1" applyBorder="1" applyAlignment="1">
      <alignment horizontal="left" vertical="center" wrapText="1"/>
    </xf>
    <xf numFmtId="0" fontId="44" fillId="7" borderId="1" xfId="0" applyFont="1" applyFill="1" applyBorder="1" applyAlignment="1">
      <alignment horizontal="left" vertical="center" wrapText="1"/>
    </xf>
    <xf numFmtId="0" fontId="40" fillId="12" borderId="7" xfId="0" applyFont="1" applyFill="1" applyBorder="1" applyAlignment="1">
      <alignment horizontal="center" vertical="center"/>
    </xf>
    <xf numFmtId="0" fontId="51" fillId="2" borderId="7" xfId="0" applyFont="1" applyFill="1" applyBorder="1" applyAlignment="1">
      <alignment horizontal="center" vertical="center"/>
    </xf>
    <xf numFmtId="0" fontId="51" fillId="2" borderId="5" xfId="0" applyFont="1" applyFill="1" applyBorder="1" applyAlignment="1">
      <alignment horizontal="center" vertical="center"/>
    </xf>
    <xf numFmtId="0" fontId="41" fillId="0" borderId="7" xfId="0" applyFont="1" applyBorder="1" applyAlignment="1">
      <alignment horizontal="center" vertical="center"/>
    </xf>
    <xf numFmtId="169" fontId="6" fillId="0" borderId="1" xfId="3" applyNumberFormat="1" applyFont="1" applyFill="1" applyBorder="1" applyAlignment="1">
      <alignment horizontal="right" vertical="center" indent="1"/>
    </xf>
    <xf numFmtId="168" fontId="7" fillId="0" borderId="1" xfId="3" applyNumberFormat="1" applyFont="1" applyFill="1" applyBorder="1" applyAlignment="1">
      <alignment horizontal="center" vertical="center"/>
    </xf>
    <xf numFmtId="169" fontId="6" fillId="0" borderId="24" xfId="3" applyNumberFormat="1" applyFont="1" applyBorder="1" applyAlignment="1">
      <alignment horizontal="center" vertical="center"/>
    </xf>
    <xf numFmtId="0" fontId="45" fillId="5" borderId="0" xfId="0" applyFont="1" applyFill="1" applyAlignment="1">
      <alignment horizontal="center" vertical="center"/>
    </xf>
    <xf numFmtId="0" fontId="42" fillId="5" borderId="7" xfId="0" applyFont="1" applyFill="1" applyBorder="1" applyAlignment="1">
      <alignment vertical="center" wrapText="1"/>
    </xf>
    <xf numFmtId="0" fontId="42" fillId="5" borderId="1" xfId="0" applyFont="1" applyFill="1" applyBorder="1" applyAlignment="1">
      <alignment horizontal="center" vertical="center" wrapText="1"/>
    </xf>
    <xf numFmtId="43" fontId="42" fillId="5" borderId="1" xfId="0" applyNumberFormat="1" applyFont="1" applyFill="1" applyBorder="1" applyAlignment="1">
      <alignment horizontal="center" vertical="center" wrapText="1"/>
    </xf>
    <xf numFmtId="0" fontId="42" fillId="5" borderId="7" xfId="0" applyFont="1" applyFill="1" applyBorder="1" applyAlignment="1">
      <alignment horizontal="center" vertical="center" wrapText="1"/>
    </xf>
    <xf numFmtId="164" fontId="43" fillId="7" borderId="1" xfId="1" applyNumberFormat="1" applyFont="1" applyFill="1" applyBorder="1" applyAlignment="1">
      <alignment horizontal="right" vertical="center"/>
    </xf>
    <xf numFmtId="0" fontId="56" fillId="0" borderId="1" xfId="0" applyFont="1" applyBorder="1"/>
    <xf numFmtId="0" fontId="0" fillId="0" borderId="1" xfId="0" applyBorder="1"/>
    <xf numFmtId="0" fontId="0" fillId="18" borderId="0" xfId="0" applyFill="1"/>
    <xf numFmtId="0" fontId="0" fillId="0" borderId="1" xfId="1" applyNumberFormat="1" applyFont="1" applyBorder="1"/>
    <xf numFmtId="175" fontId="16" fillId="0" borderId="0" xfId="3" applyNumberFormat="1" applyFont="1" applyFill="1" applyAlignment="1">
      <alignment horizontal="right" vertical="center" indent="1" shrinkToFit="1"/>
    </xf>
    <xf numFmtId="44" fontId="0" fillId="0" borderId="0" xfId="5" applyFont="1"/>
    <xf numFmtId="0" fontId="40" fillId="12" borderId="1" xfId="0" applyFont="1" applyFill="1" applyBorder="1" applyAlignment="1">
      <alignment horizontal="center" vertical="center" wrapText="1"/>
    </xf>
    <xf numFmtId="0" fontId="41" fillId="2" borderId="1" xfId="0" applyFont="1" applyFill="1" applyBorder="1" applyAlignment="1">
      <alignment horizontal="center" vertical="center" wrapText="1"/>
    </xf>
    <xf numFmtId="0" fontId="43" fillId="0" borderId="1" xfId="0" applyFont="1" applyBorder="1" applyAlignment="1">
      <alignment horizontal="center" vertical="center"/>
    </xf>
    <xf numFmtId="0" fontId="42" fillId="5" borderId="7" xfId="0" applyFont="1" applyFill="1" applyBorder="1" applyAlignment="1">
      <alignment horizontal="center" vertical="center" wrapText="1"/>
    </xf>
    <xf numFmtId="0" fontId="43" fillId="0" borderId="1" xfId="0" applyFont="1" applyBorder="1" applyAlignment="1">
      <alignment horizontal="left" vertical="center" wrapText="1"/>
    </xf>
    <xf numFmtId="0" fontId="44" fillId="7" borderId="1" xfId="0" applyFont="1" applyFill="1" applyBorder="1" applyAlignment="1">
      <alignment horizontal="left" vertical="center" wrapText="1"/>
    </xf>
    <xf numFmtId="0" fontId="40" fillId="12" borderId="7" xfId="0" applyFont="1" applyFill="1" applyBorder="1" applyAlignment="1">
      <alignment horizontal="center" vertical="center"/>
    </xf>
    <xf numFmtId="0" fontId="51" fillId="2" borderId="7" xfId="0" applyFont="1" applyFill="1" applyBorder="1" applyAlignment="1">
      <alignment horizontal="center" vertical="center"/>
    </xf>
    <xf numFmtId="0" fontId="51" fillId="2" borderId="5" xfId="0" applyFont="1" applyFill="1" applyBorder="1" applyAlignment="1">
      <alignment horizontal="center" vertical="center"/>
    </xf>
    <xf numFmtId="0" fontId="41" fillId="0" borderId="7" xfId="0" applyFont="1" applyBorder="1" applyAlignment="1">
      <alignment horizontal="center" vertical="center"/>
    </xf>
    <xf numFmtId="169" fontId="10" fillId="11" borderId="7" xfId="3" applyNumberFormat="1" applyFont="1" applyFill="1" applyBorder="1" applyAlignment="1">
      <alignment horizontal="center" vertical="center"/>
    </xf>
    <xf numFmtId="169" fontId="10" fillId="5" borderId="7" xfId="3" applyNumberFormat="1" applyFont="1" applyFill="1" applyBorder="1" applyAlignment="1">
      <alignment horizontal="center" vertical="center"/>
    </xf>
    <xf numFmtId="0" fontId="43" fillId="0" borderId="7" xfId="0" applyFont="1" applyBorder="1" applyAlignment="1">
      <alignment horizontal="left" vertical="center" wrapText="1"/>
    </xf>
    <xf numFmtId="0" fontId="43" fillId="0" borderId="5" xfId="0" applyFont="1" applyBorder="1" applyAlignment="1">
      <alignment horizontal="left" vertical="center" wrapText="1"/>
    </xf>
    <xf numFmtId="0" fontId="40" fillId="12" borderId="1" xfId="0" applyFont="1" applyFill="1" applyBorder="1" applyAlignment="1">
      <alignment horizontal="center" vertical="center" wrapText="1"/>
    </xf>
    <xf numFmtId="0" fontId="41" fillId="2" borderId="1" xfId="0" applyFont="1" applyFill="1" applyBorder="1" applyAlignment="1">
      <alignment horizontal="center" vertical="center" wrapText="1"/>
    </xf>
    <xf numFmtId="0" fontId="42" fillId="4" borderId="7" xfId="0" applyFont="1" applyFill="1" applyBorder="1" applyAlignment="1">
      <alignment horizontal="center" vertical="center"/>
    </xf>
    <xf numFmtId="0" fontId="42" fillId="4" borderId="4" xfId="0" applyFont="1" applyFill="1" applyBorder="1" applyAlignment="1">
      <alignment horizontal="center" vertical="center"/>
    </xf>
    <xf numFmtId="0" fontId="42" fillId="4" borderId="5" xfId="0" applyFont="1" applyFill="1" applyBorder="1" applyAlignment="1">
      <alignment horizontal="center" vertical="center"/>
    </xf>
    <xf numFmtId="0" fontId="43" fillId="0" borderId="1" xfId="0" applyFont="1" applyBorder="1" applyAlignment="1">
      <alignment horizontal="center"/>
    </xf>
    <xf numFmtId="0" fontId="44" fillId="0" borderId="7" xfId="0" applyFont="1" applyBorder="1" applyAlignment="1">
      <alignment horizontal="left" vertical="center" wrapText="1"/>
    </xf>
    <xf numFmtId="0" fontId="44" fillId="0" borderId="5" xfId="0" applyFont="1" applyBorder="1" applyAlignment="1">
      <alignment horizontal="left" vertical="center" wrapText="1"/>
    </xf>
    <xf numFmtId="0" fontId="44" fillId="5" borderId="7" xfId="0" applyFont="1" applyFill="1" applyBorder="1" applyAlignment="1">
      <alignment horizontal="left" vertical="center" wrapText="1"/>
    </xf>
    <xf numFmtId="0" fontId="44" fillId="5" borderId="5" xfId="0" applyFont="1" applyFill="1" applyBorder="1" applyAlignment="1">
      <alignment horizontal="left" vertical="center" wrapText="1"/>
    </xf>
    <xf numFmtId="0" fontId="43" fillId="0" borderId="11" xfId="0" applyFont="1" applyBorder="1" applyAlignment="1">
      <alignment horizontal="left" vertical="center" wrapText="1"/>
    </xf>
    <xf numFmtId="0" fontId="43" fillId="0" borderId="6" xfId="0" applyFont="1" applyBorder="1" applyAlignment="1">
      <alignment horizontal="left" vertical="center" wrapText="1"/>
    </xf>
    <xf numFmtId="0" fontId="43" fillId="0" borderId="13" xfId="0" applyFont="1" applyBorder="1" applyAlignment="1">
      <alignment horizontal="left" vertical="center" wrapText="1"/>
    </xf>
    <xf numFmtId="0" fontId="43" fillId="0" borderId="9" xfId="0" applyFont="1" applyBorder="1" applyAlignment="1">
      <alignment horizontal="left" vertical="center" wrapText="1"/>
    </xf>
    <xf numFmtId="0" fontId="43" fillId="0" borderId="1" xfId="0" applyFont="1" applyBorder="1" applyAlignment="1">
      <alignment horizontal="center" vertical="center"/>
    </xf>
    <xf numFmtId="0" fontId="43" fillId="0" borderId="7" xfId="0" applyFont="1" applyBorder="1" applyAlignment="1">
      <alignment horizontal="left"/>
    </xf>
    <xf numFmtId="0" fontId="43" fillId="0" borderId="5" xfId="0" applyFont="1" applyBorder="1" applyAlignment="1">
      <alignment horizontal="left"/>
    </xf>
    <xf numFmtId="0" fontId="43" fillId="5" borderId="7" xfId="0" applyFont="1" applyFill="1" applyBorder="1" applyAlignment="1">
      <alignment horizontal="left" vertical="center" wrapText="1"/>
    </xf>
    <xf numFmtId="0" fontId="43" fillId="5" borderId="5" xfId="0" applyFont="1" applyFill="1" applyBorder="1" applyAlignment="1">
      <alignment horizontal="left" vertical="center" wrapText="1"/>
    </xf>
    <xf numFmtId="0" fontId="42" fillId="4" borderId="1" xfId="0" applyFont="1" applyFill="1" applyBorder="1" applyAlignment="1">
      <alignment horizontal="center" vertical="center"/>
    </xf>
    <xf numFmtId="0" fontId="42" fillId="5" borderId="7" xfId="0" applyFont="1" applyFill="1" applyBorder="1" applyAlignment="1">
      <alignment horizontal="center" vertical="center" wrapText="1"/>
    </xf>
    <xf numFmtId="0" fontId="42" fillId="5" borderId="4" xfId="0" applyFont="1" applyFill="1" applyBorder="1" applyAlignment="1">
      <alignment horizontal="center" vertical="center" wrapText="1"/>
    </xf>
    <xf numFmtId="0" fontId="42" fillId="5" borderId="5" xfId="0" applyFont="1" applyFill="1" applyBorder="1" applyAlignment="1">
      <alignment horizontal="center" vertical="center" wrapText="1"/>
    </xf>
    <xf numFmtId="0" fontId="43" fillId="0" borderId="2" xfId="0" applyFont="1" applyBorder="1" applyAlignment="1">
      <alignment horizontal="center" vertical="center"/>
    </xf>
    <xf numFmtId="0" fontId="43" fillId="0" borderId="3" xfId="0" applyFont="1" applyBorder="1" applyAlignment="1">
      <alignment horizontal="center" vertical="center"/>
    </xf>
    <xf numFmtId="0" fontId="43" fillId="0" borderId="1" xfId="0" applyFont="1" applyBorder="1" applyAlignment="1">
      <alignment horizontal="left" vertical="center" wrapText="1"/>
    </xf>
    <xf numFmtId="0" fontId="43" fillId="0" borderId="1" xfId="0" applyFont="1" applyBorder="1" applyAlignment="1">
      <alignment horizontal="left" vertical="center"/>
    </xf>
    <xf numFmtId="0" fontId="44" fillId="7" borderId="1" xfId="0" applyFont="1" applyFill="1" applyBorder="1" applyAlignment="1">
      <alignment horizontal="left" vertical="center" wrapText="1"/>
    </xf>
    <xf numFmtId="0" fontId="43" fillId="5" borderId="7" xfId="0" applyFont="1" applyFill="1" applyBorder="1" applyAlignment="1">
      <alignment horizontal="left"/>
    </xf>
    <xf numFmtId="0" fontId="43" fillId="5" borderId="5" xfId="0" applyFont="1" applyFill="1" applyBorder="1" applyAlignment="1">
      <alignment horizontal="left"/>
    </xf>
    <xf numFmtId="0" fontId="43" fillId="5" borderId="7" xfId="0" applyFont="1" applyFill="1" applyBorder="1" applyAlignment="1">
      <alignment horizontal="left" vertical="center"/>
    </xf>
    <xf numFmtId="0" fontId="43" fillId="5" borderId="5" xfId="0" applyFont="1" applyFill="1" applyBorder="1" applyAlignment="1">
      <alignment horizontal="left" vertical="center"/>
    </xf>
    <xf numFmtId="0" fontId="42" fillId="3" borderId="11" xfId="0" applyFont="1" applyFill="1" applyBorder="1" applyAlignment="1">
      <alignment horizontal="left" vertical="center" wrapText="1"/>
    </xf>
    <xf numFmtId="0" fontId="42" fillId="3" borderId="66" xfId="0" applyFont="1" applyFill="1" applyBorder="1" applyAlignment="1">
      <alignment horizontal="left" vertical="center" wrapText="1"/>
    </xf>
    <xf numFmtId="0" fontId="42" fillId="3" borderId="13" xfId="0" applyFont="1" applyFill="1" applyBorder="1" applyAlignment="1">
      <alignment horizontal="left" vertical="center" wrapText="1"/>
    </xf>
    <xf numFmtId="0" fontId="42" fillId="3" borderId="67" xfId="0" applyFont="1" applyFill="1" applyBorder="1" applyAlignment="1">
      <alignment horizontal="left" vertical="center" wrapText="1"/>
    </xf>
    <xf numFmtId="0" fontId="45" fillId="5" borderId="7" xfId="0" applyFont="1" applyFill="1" applyBorder="1" applyAlignment="1">
      <alignment horizontal="left"/>
    </xf>
    <xf numFmtId="0" fontId="45" fillId="5" borderId="5" xfId="0" applyFont="1" applyFill="1" applyBorder="1" applyAlignment="1">
      <alignment horizontal="left"/>
    </xf>
    <xf numFmtId="0" fontId="46" fillId="5" borderId="7" xfId="0" applyFont="1" applyFill="1" applyBorder="1" applyAlignment="1">
      <alignment horizontal="left"/>
    </xf>
    <xf numFmtId="0" fontId="46" fillId="5" borderId="5" xfId="0" applyFont="1" applyFill="1" applyBorder="1" applyAlignment="1">
      <alignment horizontal="left"/>
    </xf>
    <xf numFmtId="0" fontId="48" fillId="8" borderId="7" xfId="0" applyFont="1" applyFill="1" applyBorder="1" applyAlignment="1">
      <alignment horizontal="left" vertical="center"/>
    </xf>
    <xf numFmtId="0" fontId="48" fillId="8" borderId="5" xfId="0" applyFont="1" applyFill="1" applyBorder="1" applyAlignment="1">
      <alignment horizontal="left" vertical="center"/>
    </xf>
    <xf numFmtId="0" fontId="48" fillId="10" borderId="7" xfId="0" applyFont="1" applyFill="1" applyBorder="1" applyAlignment="1">
      <alignment horizontal="left" vertical="center"/>
    </xf>
    <xf numFmtId="0" fontId="48" fillId="10" borderId="5" xfId="0" applyFont="1" applyFill="1" applyBorder="1" applyAlignment="1">
      <alignment horizontal="left" vertical="center"/>
    </xf>
    <xf numFmtId="0" fontId="40" fillId="12" borderId="7" xfId="0" applyFont="1" applyFill="1" applyBorder="1" applyAlignment="1">
      <alignment horizontal="center" vertical="center"/>
    </xf>
    <xf numFmtId="0" fontId="40" fillId="12" borderId="5" xfId="0" applyFont="1" applyFill="1" applyBorder="1" applyAlignment="1">
      <alignment horizontal="center" vertical="center"/>
    </xf>
    <xf numFmtId="0" fontId="40" fillId="12" borderId="7" xfId="0" applyFont="1" applyFill="1" applyBorder="1" applyAlignment="1">
      <alignment horizontal="center" vertical="center" wrapText="1"/>
    </xf>
    <xf numFmtId="0" fontId="40" fillId="12" borderId="4" xfId="0" applyFont="1" applyFill="1" applyBorder="1" applyAlignment="1">
      <alignment horizontal="center" vertical="center" wrapText="1"/>
    </xf>
    <xf numFmtId="0" fontId="40" fillId="12" borderId="5" xfId="0" applyFont="1" applyFill="1" applyBorder="1" applyAlignment="1">
      <alignment horizontal="center" vertical="center" wrapText="1"/>
    </xf>
    <xf numFmtId="0" fontId="40" fillId="12" borderId="11" xfId="0" applyFont="1" applyFill="1" applyBorder="1" applyAlignment="1">
      <alignment horizontal="center" vertical="center" wrapText="1"/>
    </xf>
    <xf numFmtId="0" fontId="40" fillId="12" borderId="13" xfId="0" applyFont="1" applyFill="1" applyBorder="1" applyAlignment="1">
      <alignment horizontal="center" vertical="center" wrapText="1"/>
    </xf>
    <xf numFmtId="0" fontId="41" fillId="2" borderId="7" xfId="0" applyFont="1" applyFill="1" applyBorder="1" applyAlignment="1">
      <alignment horizontal="center" vertical="center" wrapText="1"/>
    </xf>
    <xf numFmtId="0" fontId="41" fillId="2" borderId="5" xfId="0" applyFont="1" applyFill="1" applyBorder="1" applyAlignment="1">
      <alignment horizontal="center" vertical="center" wrapText="1"/>
    </xf>
    <xf numFmtId="0" fontId="49" fillId="8" borderId="7" xfId="0" applyFont="1" applyFill="1" applyBorder="1" applyAlignment="1">
      <alignment horizontal="center" vertical="center"/>
    </xf>
    <xf numFmtId="0" fontId="49" fillId="8" borderId="5" xfId="0" applyFont="1" applyFill="1" applyBorder="1" applyAlignment="1">
      <alignment horizontal="center" vertical="center"/>
    </xf>
    <xf numFmtId="0" fontId="50" fillId="0" borderId="7" xfId="0" applyFont="1" applyBorder="1" applyAlignment="1">
      <alignment horizontal="center" vertical="center" wrapText="1"/>
    </xf>
    <xf numFmtId="0" fontId="50" fillId="0" borderId="5" xfId="0" applyFont="1" applyBorder="1" applyAlignment="1">
      <alignment horizontal="center" vertical="center" wrapText="1"/>
    </xf>
    <xf numFmtId="0" fontId="40" fillId="12" borderId="4" xfId="0" applyFont="1" applyFill="1" applyBorder="1" applyAlignment="1">
      <alignment horizontal="center" vertical="center"/>
    </xf>
    <xf numFmtId="43" fontId="52" fillId="8" borderId="7" xfId="0" applyNumberFormat="1" applyFont="1" applyFill="1" applyBorder="1" applyAlignment="1">
      <alignment horizontal="center" vertical="center"/>
    </xf>
    <xf numFmtId="43" fontId="52" fillId="8" borderId="5" xfId="0" applyNumberFormat="1" applyFont="1" applyFill="1" applyBorder="1" applyAlignment="1">
      <alignment horizontal="center" vertical="center"/>
    </xf>
    <xf numFmtId="0" fontId="51" fillId="2" borderId="7" xfId="0" applyFont="1" applyFill="1" applyBorder="1" applyAlignment="1">
      <alignment horizontal="center" vertical="center"/>
    </xf>
    <xf numFmtId="0" fontId="51" fillId="2" borderId="5" xfId="0" applyFont="1" applyFill="1" applyBorder="1" applyAlignment="1">
      <alignment horizontal="center" vertical="center"/>
    </xf>
    <xf numFmtId="0" fontId="41" fillId="0" borderId="7" xfId="0" applyFont="1" applyBorder="1" applyAlignment="1">
      <alignment horizontal="center" vertical="center"/>
    </xf>
    <xf numFmtId="0" fontId="41" fillId="0" borderId="5" xfId="0" applyFont="1" applyBorder="1" applyAlignment="1">
      <alignment horizontal="center" vertical="center"/>
    </xf>
    <xf numFmtId="1" fontId="12" fillId="0" borderId="0" xfId="3" applyNumberFormat="1" applyFont="1" applyAlignment="1">
      <alignment horizontal="center" vertical="center" wrapText="1"/>
    </xf>
  </cellXfs>
  <cellStyles count="6">
    <cellStyle name="Millares" xfId="2" builtinId="3"/>
    <cellStyle name="Moneda" xfId="5" builtinId="4"/>
    <cellStyle name="Normal" xfId="0" builtinId="0"/>
    <cellStyle name="Normal 2" xfId="3" xr:uid="{5C3167D0-3B1E-444B-B1D4-303D2CF86278}"/>
    <cellStyle name="Porcentaje" xfId="1" builtinId="5"/>
    <cellStyle name="Porcentaje 2" xfId="4" xr:uid="{45EADF5C-8EB1-4A92-B8C0-B73FF50165E3}"/>
  </cellStyles>
  <dxfs count="0"/>
  <tableStyles count="0" defaultTableStyle="TableStyleMedium2" defaultPivotStyle="PivotStyleLight16"/>
  <colors>
    <mruColors>
      <color rgb="FFB2DE82"/>
      <color rgb="FFC4E69E"/>
      <color rgb="FFBEE494"/>
      <color rgb="FFCBE9A9"/>
      <color rgb="FFD0EBB3"/>
      <color rgb="FFBCE292"/>
      <color rgb="FF4B91D1"/>
      <color rgb="FF428BCE"/>
      <color rgb="FFDFDDDD"/>
      <color rgb="FFFDE2C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4.xml"/><Relationship Id="rId18" Type="http://schemas.microsoft.com/office/2017/10/relationships/person" Target="persons/perso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3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20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2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externalLink" Target="externalLinks/externalLink1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5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91440</xdr:colOff>
      <xdr:row>22</xdr:row>
      <xdr:rowOff>160020</xdr:rowOff>
    </xdr:from>
    <xdr:to>
      <xdr:col>9</xdr:col>
      <xdr:colOff>83820</xdr:colOff>
      <xdr:row>49</xdr:row>
      <xdr:rowOff>47625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F86A9AFC-9D68-4566-BA9A-33345E47688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490460" y="1927860"/>
          <a:ext cx="4457700" cy="5229225"/>
        </a:xfrm>
        <a:prstGeom prst="rect">
          <a:avLst/>
        </a:prstGeom>
      </xdr:spPr>
    </xdr:pic>
    <xdr:clientData/>
  </xdr:twoCellAnchor>
  <xdr:twoCellAnchor editAs="oneCell">
    <xdr:from>
      <xdr:col>5</xdr:col>
      <xdr:colOff>1932940</xdr:colOff>
      <xdr:row>57</xdr:row>
      <xdr:rowOff>17780</xdr:rowOff>
    </xdr:from>
    <xdr:to>
      <xdr:col>11</xdr:col>
      <xdr:colOff>180975</xdr:colOff>
      <xdr:row>73</xdr:row>
      <xdr:rowOff>93345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BCD86F27-AB39-472C-952D-EA011E77876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331960" y="8704580"/>
          <a:ext cx="4298315" cy="324548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38100</xdr:colOff>
      <xdr:row>24</xdr:row>
      <xdr:rowOff>0</xdr:rowOff>
    </xdr:from>
    <xdr:to>
      <xdr:col>9</xdr:col>
      <xdr:colOff>30480</xdr:colOff>
      <xdr:row>50</xdr:row>
      <xdr:rowOff>85725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E52AC4BC-55CE-4552-9BC0-7D8154A4778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439025" y="2181225"/>
          <a:ext cx="4457700" cy="5229225"/>
        </a:xfrm>
        <a:prstGeom prst="rect">
          <a:avLst/>
        </a:prstGeom>
      </xdr:spPr>
    </xdr:pic>
    <xdr:clientData/>
  </xdr:twoCellAnchor>
  <xdr:twoCellAnchor editAs="oneCell">
    <xdr:from>
      <xdr:col>5</xdr:col>
      <xdr:colOff>12700</xdr:colOff>
      <xdr:row>53</xdr:row>
      <xdr:rowOff>63500</xdr:rowOff>
    </xdr:from>
    <xdr:to>
      <xdr:col>8</xdr:col>
      <xdr:colOff>638175</xdr:colOff>
      <xdr:row>69</xdr:row>
      <xdr:rowOff>146685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E08CE44C-3505-48EA-82E2-30A47D27201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417435" y="8032115"/>
          <a:ext cx="4298315" cy="324548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38100</xdr:colOff>
      <xdr:row>24</xdr:row>
      <xdr:rowOff>0</xdr:rowOff>
    </xdr:from>
    <xdr:to>
      <xdr:col>9</xdr:col>
      <xdr:colOff>30480</xdr:colOff>
      <xdr:row>50</xdr:row>
      <xdr:rowOff>85725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AEAF0870-83B7-4859-8B29-D172F834DE3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439025" y="2181225"/>
          <a:ext cx="4457700" cy="5229225"/>
        </a:xfrm>
        <a:prstGeom prst="rect">
          <a:avLst/>
        </a:prstGeom>
      </xdr:spPr>
    </xdr:pic>
    <xdr:clientData/>
  </xdr:twoCellAnchor>
  <xdr:twoCellAnchor editAs="oneCell">
    <xdr:from>
      <xdr:col>5</xdr:col>
      <xdr:colOff>12700</xdr:colOff>
      <xdr:row>53</xdr:row>
      <xdr:rowOff>63500</xdr:rowOff>
    </xdr:from>
    <xdr:to>
      <xdr:col>8</xdr:col>
      <xdr:colOff>638175</xdr:colOff>
      <xdr:row>69</xdr:row>
      <xdr:rowOff>146685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944442C7-F877-4A1E-9B90-63987724B17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417435" y="8032115"/>
          <a:ext cx="4298315" cy="3245485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472440</xdr:colOff>
      <xdr:row>29</xdr:row>
      <xdr:rowOff>38100</xdr:rowOff>
    </xdr:from>
    <xdr:to>
      <xdr:col>8</xdr:col>
      <xdr:colOff>670783</xdr:colOff>
      <xdr:row>51</xdr:row>
      <xdr:rowOff>160379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DED13547-0F1D-4614-BBE6-B29E54216F5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434840" y="6225540"/>
          <a:ext cx="2575783" cy="4145639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miguelrivera\Desktop\MODELO%20ALAMEDA%2021_10_19%20v7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ANDRES%20SOLER\Downloads\Parametro%20para%20modelacion%20de%20Manzana%20(1)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MESING/Carlos%20(C)/00-2004/Frigosin&#250;/Informe%20Final/Caudales%20y%20Equipo%20de%20Bombeo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ONT_RVV_99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f955ea4ace1855bd/05%20Profesional/SDP/Modelaciones%20POT/R%20-%20Renovacion/Oct%204%202021/Nueva%20carpeta/FAC%201%5eJ2%5eJ3%20y%204_%20TRU%20190%20vs%20POT%202021%20-%20Sep%2027%20202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solidado"/>
      <sheetName val="SUELO_UTIL"/>
    </sheetNames>
    <sheetDataSet>
      <sheetData sheetId="0" refreshError="1"/>
      <sheetData sheetId="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spectos previos"/>
      <sheetName val="Calculos por manzana"/>
      <sheetName val="Valores"/>
    </sheetNames>
    <sheetDataSet>
      <sheetData sheetId="0" refreshError="1"/>
      <sheetData sheetId="1" refreshError="1"/>
      <sheetData sheetId="2">
        <row r="3">
          <cell r="A3" t="str">
            <v>0 - 50</v>
          </cell>
        </row>
        <row r="4">
          <cell r="A4" t="str">
            <v>51 - 70</v>
          </cell>
        </row>
        <row r="5">
          <cell r="A5" t="str">
            <v>71 - 80</v>
          </cell>
        </row>
        <row r="6">
          <cell r="A6" t="str">
            <v>81 - 90</v>
          </cell>
        </row>
        <row r="7">
          <cell r="A7" t="str">
            <v>91 - 110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udales"/>
      <sheetName val="Diametros"/>
      <sheetName val="Punto de operación"/>
      <sheetName val="Perfiles"/>
      <sheetName val="Curva-sistemaº"/>
      <sheetName val="Curva.bombaº"/>
      <sheetName val="Datos-Gráfica-Bijagual"/>
      <sheetName val="Gráf.-Bijagualº"/>
      <sheetName val="Datos Garavito"/>
      <sheetName val="Gráfica Garavito"/>
      <sheetName val="Caudales del Sistema"/>
      <sheetName val="Diametro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/>
      <sheetData sheetId="1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LANCE"/>
      <sheetName val="AUXILIARES"/>
      <sheetName val="CTAS_PAG"/>
      <sheetName val="PRESUP"/>
    </sheetNames>
    <sheetDataSet>
      <sheetData sheetId="0" refreshError="1"/>
      <sheetData sheetId="1"/>
      <sheetData sheetId="2" refreshError="1">
        <row r="42">
          <cell r="A42" t="str">
            <v>EGR</v>
          </cell>
        </row>
        <row r="43">
          <cell r="A43" t="str">
            <v>EGR</v>
          </cell>
        </row>
        <row r="44">
          <cell r="A44" t="str">
            <v>EGR</v>
          </cell>
        </row>
        <row r="45">
          <cell r="A45" t="str">
            <v>EGR</v>
          </cell>
        </row>
        <row r="46">
          <cell r="A46" t="str">
            <v>EGR</v>
          </cell>
        </row>
        <row r="47">
          <cell r="A47" t="str">
            <v>EGR</v>
          </cell>
        </row>
        <row r="48">
          <cell r="A48" t="str">
            <v>EGR</v>
          </cell>
        </row>
        <row r="49">
          <cell r="A49" t="str">
            <v>EGR</v>
          </cell>
        </row>
        <row r="57">
          <cell r="A57" t="str">
            <v>ING</v>
          </cell>
        </row>
        <row r="58">
          <cell r="A58" t="str">
            <v>ING</v>
          </cell>
        </row>
        <row r="64">
          <cell r="A64" t="str">
            <v>EGR</v>
          </cell>
        </row>
        <row r="65">
          <cell r="A65" t="str">
            <v>EGR</v>
          </cell>
        </row>
        <row r="66">
          <cell r="A66" t="str">
            <v>EGR</v>
          </cell>
        </row>
        <row r="67">
          <cell r="A67" t="str">
            <v>EGR</v>
          </cell>
        </row>
        <row r="68">
          <cell r="A68" t="str">
            <v>EGR</v>
          </cell>
        </row>
      </sheetData>
      <sheetData sheetId="3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 "/>
      <sheetName val="Construcciones 03"/>
      <sheetName val="Construcciones 02"/>
      <sheetName val="Construcciones 01"/>
      <sheetName val="RVL 01"/>
      <sheetName val="RVL 01a"/>
      <sheetName val="RVL UPZ 1b"/>
      <sheetName val="RVL 02"/>
      <sheetName val="RVL 02a"/>
      <sheetName val="RVL UPZ 2b "/>
      <sheetName val="RC 03"/>
      <sheetName val="RC 03a"/>
      <sheetName val="AIM 04"/>
      <sheetName val="AIM 04a "/>
      <sheetName val="AIM 04b"/>
      <sheetName val="TABLAS"/>
      <sheetName val="RESUMEN "/>
      <sheetName val="FAC_TRU 190 vs POT 2021"/>
      <sheetName val="$ Venta Teusaquillo"/>
      <sheetName val="$ Venta Suba-Cordoba"/>
      <sheetName val="$ Venta chapiner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>
        <row r="64">
          <cell r="D64">
            <v>908526</v>
          </cell>
        </row>
      </sheetData>
      <sheetData sheetId="16"/>
      <sheetData sheetId="17"/>
      <sheetData sheetId="18"/>
      <sheetData sheetId="19"/>
      <sheetData sheetId="20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>
  <person displayName="Manuel Sanchez" id="{7E1DD76F-2D8D-4AB4-8679-FB39C9DBE719}" userId="Manuel Sanchez" providerId="None"/>
</personList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T5" dT="2019-07-02T16:14:03.51" personId="{7E1DD76F-2D8D-4AB4-8679-FB39C9DBE719}" id="{34B71CC9-B753-4AEC-8715-0A22437F82C3}">
    <text>Ultimos 6 meses</text>
  </threadedComment>
</ThreadedComment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4.xml"/><Relationship Id="rId4" Type="http://schemas.microsoft.com/office/2017/10/relationships/threadedComment" Target="../threadedComments/threadedComment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34"/>
  <sheetViews>
    <sheetView zoomScale="85" zoomScaleNormal="85" workbookViewId="0">
      <selection activeCell="B28" sqref="B28"/>
    </sheetView>
  </sheetViews>
  <sheetFormatPr baseColWidth="10" defaultRowHeight="14.4"/>
  <cols>
    <col min="1" max="1" width="5.88671875" customWidth="1"/>
    <col min="2" max="2" width="21.44140625" customWidth="1"/>
    <col min="4" max="4" width="83.109375" customWidth="1"/>
  </cols>
  <sheetData>
    <row r="1" spans="1:6">
      <c r="A1" s="2" t="s">
        <v>45</v>
      </c>
      <c r="B1" s="2" t="s">
        <v>5</v>
      </c>
      <c r="D1" s="2" t="s">
        <v>37</v>
      </c>
      <c r="E1" s="1"/>
      <c r="F1" s="1"/>
    </row>
    <row r="2" spans="1:6">
      <c r="A2" s="4">
        <v>1</v>
      </c>
      <c r="B2" t="s">
        <v>33</v>
      </c>
      <c r="D2" t="s">
        <v>35</v>
      </c>
    </row>
    <row r="3" spans="1:6">
      <c r="A3" s="4">
        <v>2</v>
      </c>
      <c r="B3" t="s">
        <v>60</v>
      </c>
      <c r="D3" t="s">
        <v>36</v>
      </c>
    </row>
    <row r="4" spans="1:6">
      <c r="A4" s="4">
        <v>3</v>
      </c>
      <c r="B4" t="s">
        <v>27</v>
      </c>
      <c r="D4" s="1" t="s">
        <v>46</v>
      </c>
      <c r="E4" s="1"/>
      <c r="F4" s="1"/>
    </row>
    <row r="5" spans="1:6">
      <c r="A5" s="4">
        <v>4</v>
      </c>
      <c r="B5" t="s">
        <v>32</v>
      </c>
      <c r="D5" s="1" t="s">
        <v>63</v>
      </c>
      <c r="E5" s="1"/>
      <c r="F5" s="1"/>
    </row>
    <row r="6" spans="1:6">
      <c r="A6" s="4">
        <v>5</v>
      </c>
      <c r="B6" t="s">
        <v>59</v>
      </c>
      <c r="D6" s="2" t="s">
        <v>34</v>
      </c>
    </row>
    <row r="7" spans="1:6">
      <c r="A7" s="4">
        <v>6</v>
      </c>
      <c r="B7" t="s">
        <v>58</v>
      </c>
      <c r="D7" t="s">
        <v>38</v>
      </c>
    </row>
    <row r="8" spans="1:6">
      <c r="A8" s="4">
        <v>7</v>
      </c>
      <c r="B8" t="s">
        <v>6</v>
      </c>
      <c r="D8" t="s">
        <v>39</v>
      </c>
    </row>
    <row r="9" spans="1:6">
      <c r="A9" s="4">
        <v>8</v>
      </c>
      <c r="B9" t="s">
        <v>8</v>
      </c>
      <c r="D9" s="3" t="s">
        <v>40</v>
      </c>
    </row>
    <row r="10" spans="1:6">
      <c r="A10" s="4">
        <v>9</v>
      </c>
      <c r="B10" t="s">
        <v>9</v>
      </c>
      <c r="D10" t="s">
        <v>41</v>
      </c>
    </row>
    <row r="11" spans="1:6">
      <c r="A11" s="4">
        <v>10</v>
      </c>
      <c r="B11" t="s">
        <v>10</v>
      </c>
      <c r="D11" s="3" t="s">
        <v>42</v>
      </c>
    </row>
    <row r="12" spans="1:6">
      <c r="A12" s="4">
        <v>11</v>
      </c>
      <c r="B12" t="s">
        <v>44</v>
      </c>
    </row>
    <row r="13" spans="1:6">
      <c r="A13" s="4">
        <v>12</v>
      </c>
      <c r="B13" t="s">
        <v>17</v>
      </c>
    </row>
    <row r="14" spans="1:6">
      <c r="A14" s="4">
        <v>13</v>
      </c>
      <c r="B14" t="s">
        <v>19</v>
      </c>
      <c r="D14" t="s">
        <v>48</v>
      </c>
    </row>
    <row r="15" spans="1:6">
      <c r="A15" s="4">
        <v>14</v>
      </c>
      <c r="B15" t="s">
        <v>23</v>
      </c>
      <c r="D15" t="s">
        <v>49</v>
      </c>
    </row>
    <row r="16" spans="1:6">
      <c r="A16" s="4">
        <v>15</v>
      </c>
      <c r="B16" t="s">
        <v>24</v>
      </c>
      <c r="D16" t="s">
        <v>50</v>
      </c>
    </row>
    <row r="17" spans="1:4">
      <c r="A17" s="4">
        <v>16</v>
      </c>
      <c r="B17" t="s">
        <v>25</v>
      </c>
      <c r="D17" t="s">
        <v>51</v>
      </c>
    </row>
    <row r="18" spans="1:4">
      <c r="A18" s="4">
        <v>17</v>
      </c>
      <c r="B18" t="s">
        <v>26</v>
      </c>
      <c r="D18" t="s">
        <v>52</v>
      </c>
    </row>
    <row r="19" spans="1:4">
      <c r="A19" s="4">
        <v>18</v>
      </c>
      <c r="B19" t="s">
        <v>22</v>
      </c>
    </row>
    <row r="20" spans="1:4">
      <c r="A20" s="4">
        <v>19</v>
      </c>
      <c r="B20" t="s">
        <v>28</v>
      </c>
      <c r="D20" t="s">
        <v>57</v>
      </c>
    </row>
    <row r="21" spans="1:4">
      <c r="A21" s="4">
        <v>20</v>
      </c>
      <c r="B21" t="s">
        <v>31</v>
      </c>
      <c r="D21" t="s">
        <v>64</v>
      </c>
    </row>
    <row r="22" spans="1:4">
      <c r="A22" s="4">
        <v>21</v>
      </c>
      <c r="B22" t="s">
        <v>30</v>
      </c>
    </row>
    <row r="23" spans="1:4">
      <c r="A23" s="4">
        <v>22</v>
      </c>
      <c r="B23" t="s">
        <v>29</v>
      </c>
      <c r="D23" t="s">
        <v>53</v>
      </c>
    </row>
    <row r="24" spans="1:4">
      <c r="A24" s="4">
        <v>23</v>
      </c>
      <c r="B24" t="s">
        <v>21</v>
      </c>
      <c r="D24" t="s">
        <v>54</v>
      </c>
    </row>
    <row r="25" spans="1:4">
      <c r="A25" s="4">
        <v>24</v>
      </c>
      <c r="B25" t="s">
        <v>14</v>
      </c>
      <c r="D25" t="s">
        <v>55</v>
      </c>
    </row>
    <row r="26" spans="1:4">
      <c r="A26" s="4">
        <v>25</v>
      </c>
      <c r="B26" t="s">
        <v>13</v>
      </c>
      <c r="D26" t="s">
        <v>56</v>
      </c>
    </row>
    <row r="27" spans="1:4">
      <c r="A27" s="4">
        <v>26</v>
      </c>
      <c r="B27" t="s">
        <v>7</v>
      </c>
    </row>
    <row r="28" spans="1:4">
      <c r="A28" s="4">
        <v>27</v>
      </c>
      <c r="B28" t="s">
        <v>12</v>
      </c>
    </row>
    <row r="29" spans="1:4">
      <c r="A29" s="4">
        <v>28</v>
      </c>
      <c r="B29" t="s">
        <v>11</v>
      </c>
    </row>
    <row r="30" spans="1:4">
      <c r="A30" s="4">
        <v>29</v>
      </c>
      <c r="B30" t="s">
        <v>16</v>
      </c>
    </row>
    <row r="31" spans="1:4">
      <c r="A31" s="4">
        <v>30</v>
      </c>
      <c r="B31" t="s">
        <v>18</v>
      </c>
    </row>
    <row r="32" spans="1:4">
      <c r="A32" s="4">
        <v>31</v>
      </c>
      <c r="B32" t="s">
        <v>20</v>
      </c>
    </row>
    <row r="33" spans="1:2">
      <c r="A33" s="4">
        <v>32</v>
      </c>
      <c r="B33" t="s">
        <v>4</v>
      </c>
    </row>
    <row r="34" spans="1:2">
      <c r="A34" s="4">
        <v>33</v>
      </c>
      <c r="B34" t="s">
        <v>15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D77565-B70F-4F79-84FC-BE0BE58CA61F}">
  <dimension ref="A1:L124"/>
  <sheetViews>
    <sheetView topLeftCell="A58" zoomScaleNormal="100" workbookViewId="0">
      <selection activeCell="F71" sqref="F71"/>
    </sheetView>
  </sheetViews>
  <sheetFormatPr baseColWidth="10" defaultRowHeight="15.6" outlineLevelRow="2"/>
  <cols>
    <col min="1" max="1" width="5" style="294" customWidth="1"/>
    <col min="2" max="2" width="61.33203125" style="295" customWidth="1"/>
    <col min="3" max="3" width="12.6640625" style="294" customWidth="1"/>
    <col min="4" max="4" width="19.44140625" style="296" customWidth="1"/>
    <col min="5" max="5" width="9.44140625" customWidth="1"/>
    <col min="6" max="6" width="30.33203125" bestFit="1" customWidth="1"/>
    <col min="7" max="7" width="11.6640625" bestFit="1" customWidth="1"/>
  </cols>
  <sheetData>
    <row r="1" spans="1:7" ht="15" customHeight="1">
      <c r="A1" s="377" t="s">
        <v>134</v>
      </c>
      <c r="B1" s="377"/>
      <c r="C1" s="377"/>
      <c r="D1" s="377"/>
      <c r="E1" s="224"/>
      <c r="F1" s="224"/>
      <c r="G1" s="224"/>
    </row>
    <row r="2" spans="1:7" ht="15" customHeight="1">
      <c r="A2" s="378" t="s">
        <v>135</v>
      </c>
      <c r="B2" s="378"/>
      <c r="C2" s="378"/>
      <c r="D2" s="378"/>
      <c r="E2" s="225"/>
      <c r="F2" s="225"/>
      <c r="G2" s="225"/>
    </row>
    <row r="4" spans="1:7">
      <c r="A4" s="379" t="s">
        <v>136</v>
      </c>
      <c r="B4" s="380"/>
      <c r="C4" s="380"/>
      <c r="D4" s="381"/>
    </row>
    <row r="5" spans="1:7" outlineLevel="1">
      <c r="A5" s="375" t="s">
        <v>137</v>
      </c>
      <c r="B5" s="376"/>
      <c r="C5" s="226" t="s">
        <v>138</v>
      </c>
      <c r="D5" s="227">
        <v>59</v>
      </c>
    </row>
    <row r="6" spans="1:7" outlineLevel="1">
      <c r="A6" s="375" t="s">
        <v>139</v>
      </c>
      <c r="B6" s="376"/>
      <c r="C6" s="226" t="s">
        <v>138</v>
      </c>
      <c r="D6" s="227">
        <v>11.56</v>
      </c>
    </row>
    <row r="7" spans="1:7" outlineLevel="1">
      <c r="A7" s="375" t="s">
        <v>140</v>
      </c>
      <c r="B7" s="376"/>
      <c r="C7" s="226" t="s">
        <v>138</v>
      </c>
      <c r="D7" s="227">
        <v>10.17</v>
      </c>
    </row>
    <row r="8" spans="1:7" outlineLevel="1">
      <c r="A8" s="375" t="s">
        <v>141</v>
      </c>
      <c r="B8" s="376"/>
      <c r="C8" s="226" t="s">
        <v>138</v>
      </c>
      <c r="D8" s="227">
        <v>12.4</v>
      </c>
    </row>
    <row r="9" spans="1:7" outlineLevel="1">
      <c r="A9" s="375" t="s">
        <v>142</v>
      </c>
      <c r="B9" s="376"/>
      <c r="C9" s="226" t="s">
        <v>138</v>
      </c>
      <c r="D9" s="228" t="s">
        <v>143</v>
      </c>
    </row>
    <row r="10" spans="1:7" outlineLevel="1">
      <c r="A10" s="375" t="s">
        <v>144</v>
      </c>
      <c r="B10" s="376"/>
      <c r="C10" s="226" t="s">
        <v>138</v>
      </c>
      <c r="D10" s="229">
        <v>0.6</v>
      </c>
    </row>
    <row r="11" spans="1:7" outlineLevel="1">
      <c r="A11" s="375" t="s">
        <v>145</v>
      </c>
      <c r="B11" s="376"/>
      <c r="C11" s="226" t="s">
        <v>138</v>
      </c>
      <c r="D11" s="229">
        <v>0.6</v>
      </c>
    </row>
    <row r="12" spans="1:7" outlineLevel="1">
      <c r="A12" s="375" t="s">
        <v>146</v>
      </c>
      <c r="B12" s="376"/>
      <c r="C12" s="226" t="s">
        <v>138</v>
      </c>
      <c r="D12" s="229">
        <v>0.6</v>
      </c>
    </row>
    <row r="13" spans="1:7" outlineLevel="1">
      <c r="A13" s="375" t="s">
        <v>147</v>
      </c>
      <c r="B13" s="376"/>
      <c r="C13" s="226" t="s">
        <v>138</v>
      </c>
      <c r="D13" s="229">
        <v>0.6</v>
      </c>
    </row>
    <row r="14" spans="1:7" outlineLevel="1">
      <c r="A14" s="383" t="s">
        <v>148</v>
      </c>
      <c r="B14" s="384"/>
      <c r="C14" s="226" t="s">
        <v>138</v>
      </c>
      <c r="D14" s="230">
        <v>0.6</v>
      </c>
    </row>
    <row r="15" spans="1:7" outlineLevel="1">
      <c r="A15" s="383" t="s">
        <v>149</v>
      </c>
      <c r="B15" s="384"/>
      <c r="C15" s="231" t="s">
        <v>150</v>
      </c>
      <c r="D15" s="232">
        <v>2</v>
      </c>
    </row>
    <row r="16" spans="1:7" outlineLevel="1">
      <c r="A16" s="385" t="s">
        <v>151</v>
      </c>
      <c r="B16" s="386"/>
      <c r="C16" s="231" t="s">
        <v>152</v>
      </c>
      <c r="D16" s="233">
        <v>5313.9177200000004</v>
      </c>
    </row>
    <row r="17" spans="1:7" outlineLevel="1">
      <c r="A17" s="375" t="s">
        <v>153</v>
      </c>
      <c r="B17" s="376"/>
      <c r="C17" s="382" t="s">
        <v>113</v>
      </c>
      <c r="D17" s="382"/>
    </row>
    <row r="18" spans="1:7">
      <c r="A18" s="379" t="s">
        <v>154</v>
      </c>
      <c r="B18" s="380"/>
      <c r="C18" s="380"/>
      <c r="D18" s="381"/>
      <c r="F18" t="s">
        <v>322</v>
      </c>
      <c r="G18">
        <v>1150000</v>
      </c>
    </row>
    <row r="19" spans="1:7" outlineLevel="1">
      <c r="A19" s="375" t="s">
        <v>137</v>
      </c>
      <c r="B19" s="376"/>
      <c r="C19" s="226" t="s">
        <v>138</v>
      </c>
      <c r="D19" s="227">
        <v>59</v>
      </c>
      <c r="F19" t="s">
        <v>323</v>
      </c>
      <c r="G19">
        <v>776364</v>
      </c>
    </row>
    <row r="20" spans="1:7" outlineLevel="1">
      <c r="A20" s="375" t="s">
        <v>139</v>
      </c>
      <c r="B20" s="376"/>
      <c r="C20" s="226" t="s">
        <v>138</v>
      </c>
      <c r="D20" s="227">
        <v>16</v>
      </c>
    </row>
    <row r="21" spans="1:7" outlineLevel="1">
      <c r="A21" s="375" t="s">
        <v>140</v>
      </c>
      <c r="B21" s="376"/>
      <c r="C21" s="226" t="s">
        <v>138</v>
      </c>
      <c r="D21" s="227">
        <v>16</v>
      </c>
    </row>
    <row r="22" spans="1:7" outlineLevel="1">
      <c r="A22" s="375" t="s">
        <v>141</v>
      </c>
      <c r="B22" s="376"/>
      <c r="C22" s="226" t="s">
        <v>138</v>
      </c>
      <c r="D22" s="227">
        <v>14</v>
      </c>
    </row>
    <row r="23" spans="1:7" outlineLevel="1">
      <c r="A23" s="375" t="s">
        <v>142</v>
      </c>
      <c r="B23" s="376"/>
      <c r="C23" s="226" t="s">
        <v>138</v>
      </c>
      <c r="D23" s="228" t="s">
        <v>143</v>
      </c>
    </row>
    <row r="24" spans="1:7" outlineLevel="1">
      <c r="A24" s="375" t="s">
        <v>144</v>
      </c>
      <c r="B24" s="376"/>
      <c r="C24" s="226" t="s">
        <v>138</v>
      </c>
      <c r="D24" s="229">
        <v>0.6</v>
      </c>
    </row>
    <row r="25" spans="1:7" outlineLevel="1">
      <c r="A25" s="375" t="s">
        <v>145</v>
      </c>
      <c r="B25" s="376"/>
      <c r="C25" s="226" t="s">
        <v>138</v>
      </c>
      <c r="D25" s="229">
        <v>0.6</v>
      </c>
    </row>
    <row r="26" spans="1:7" outlineLevel="1">
      <c r="A26" s="375" t="s">
        <v>146</v>
      </c>
      <c r="B26" s="376"/>
      <c r="C26" s="226" t="s">
        <v>138</v>
      </c>
      <c r="D26" s="229">
        <v>0.6</v>
      </c>
    </row>
    <row r="27" spans="1:7" outlineLevel="1">
      <c r="A27" s="375" t="s">
        <v>147</v>
      </c>
      <c r="B27" s="376"/>
      <c r="C27" s="226" t="s">
        <v>138</v>
      </c>
      <c r="D27" s="229">
        <v>0.6</v>
      </c>
    </row>
    <row r="28" spans="1:7" outlineLevel="1">
      <c r="A28" s="383" t="s">
        <v>148</v>
      </c>
      <c r="B28" s="384"/>
      <c r="C28" s="226" t="s">
        <v>138</v>
      </c>
      <c r="D28" s="230">
        <v>0.6</v>
      </c>
    </row>
    <row r="29" spans="1:7" outlineLevel="1">
      <c r="A29" s="383" t="s">
        <v>155</v>
      </c>
      <c r="B29" s="384"/>
      <c r="C29" s="231" t="s">
        <v>150</v>
      </c>
      <c r="D29" s="234">
        <v>3</v>
      </c>
    </row>
    <row r="30" spans="1:7" outlineLevel="1">
      <c r="A30" s="383" t="s">
        <v>156</v>
      </c>
      <c r="B30" s="384"/>
      <c r="C30" s="231" t="s">
        <v>150</v>
      </c>
      <c r="D30" s="234">
        <v>5</v>
      </c>
    </row>
    <row r="31" spans="1:7" outlineLevel="1">
      <c r="A31" s="385" t="s">
        <v>151</v>
      </c>
      <c r="B31" s="386"/>
      <c r="C31" s="231" t="s">
        <v>152</v>
      </c>
      <c r="D31" s="233">
        <v>5313.9177200000004</v>
      </c>
    </row>
    <row r="32" spans="1:7" outlineLevel="1">
      <c r="A32" s="375" t="s">
        <v>153</v>
      </c>
      <c r="B32" s="376"/>
      <c r="C32" s="391" t="s">
        <v>157</v>
      </c>
      <c r="D32" s="391"/>
    </row>
    <row r="33" spans="1:8">
      <c r="A33" s="379" t="s">
        <v>117</v>
      </c>
      <c r="B33" s="380"/>
      <c r="C33" s="380"/>
      <c r="D33" s="381"/>
    </row>
    <row r="34" spans="1:8" outlineLevel="1">
      <c r="A34" s="392" t="s">
        <v>43</v>
      </c>
      <c r="B34" s="393"/>
      <c r="C34" s="341" t="s">
        <v>150</v>
      </c>
      <c r="D34" s="235">
        <f>'Base (8p) Oct 26'!A32</f>
        <v>20</v>
      </c>
      <c r="G34" s="236"/>
      <c r="H34" s="237"/>
    </row>
    <row r="35" spans="1:8" outlineLevel="1">
      <c r="A35" s="385" t="s">
        <v>158</v>
      </c>
      <c r="B35" s="386"/>
      <c r="C35" s="238" t="s">
        <v>152</v>
      </c>
      <c r="D35" s="239">
        <f>'Base (8p) Oct 26'!B33</f>
        <v>2369.6000000000004</v>
      </c>
      <c r="F35" s="240"/>
      <c r="G35" s="6"/>
    </row>
    <row r="36" spans="1:8" outlineLevel="1">
      <c r="A36" s="383" t="s">
        <v>159</v>
      </c>
      <c r="B36" s="384"/>
      <c r="C36" s="241" t="s">
        <v>152</v>
      </c>
      <c r="D36" s="242">
        <f>'Base (8p) Oct 26'!F33</f>
        <v>4600</v>
      </c>
    </row>
    <row r="37" spans="1:8" outlineLevel="1">
      <c r="A37" s="385" t="s">
        <v>160</v>
      </c>
      <c r="B37" s="386"/>
      <c r="C37" s="238" t="s">
        <v>152</v>
      </c>
      <c r="D37" s="239">
        <f>'Base (8p) Oct 26'!F8</f>
        <v>10772.801299999999</v>
      </c>
    </row>
    <row r="38" spans="1:8" outlineLevel="1">
      <c r="A38" s="383" t="s">
        <v>161</v>
      </c>
      <c r="B38" s="384"/>
      <c r="C38" s="241" t="s">
        <v>152</v>
      </c>
      <c r="D38" s="242">
        <f>D37-D36</f>
        <v>6172.8012999999992</v>
      </c>
    </row>
    <row r="39" spans="1:8" outlineLevel="1">
      <c r="A39" s="392" t="s">
        <v>162</v>
      </c>
      <c r="B39" s="393"/>
      <c r="C39" s="341" t="s">
        <v>152</v>
      </c>
      <c r="D39" s="243">
        <f>D35</f>
        <v>2369.6000000000004</v>
      </c>
      <c r="E39" s="6"/>
    </row>
    <row r="40" spans="1:8" outlineLevel="1">
      <c r="A40" s="375" t="s">
        <v>163</v>
      </c>
      <c r="B40" s="376"/>
      <c r="C40" s="241" t="s">
        <v>150</v>
      </c>
      <c r="D40" s="244">
        <f>D36/D35</f>
        <v>1.941255908170155</v>
      </c>
    </row>
    <row r="41" spans="1:8" outlineLevel="1">
      <c r="A41" s="394" t="s">
        <v>164</v>
      </c>
      <c r="B41" s="395"/>
      <c r="C41" s="238" t="s">
        <v>150</v>
      </c>
      <c r="D41" s="245">
        <f>D37/D35</f>
        <v>4.5462530806887225</v>
      </c>
    </row>
    <row r="42" spans="1:8" outlineLevel="1">
      <c r="A42" s="394" t="s">
        <v>165</v>
      </c>
      <c r="B42" s="395"/>
      <c r="C42" s="238" t="s">
        <v>150</v>
      </c>
      <c r="D42" s="245">
        <f>(D37-D70-D68)/D39</f>
        <v>4.2402653401417947</v>
      </c>
      <c r="E42" s="236"/>
    </row>
    <row r="43" spans="1:8" outlineLevel="1">
      <c r="A43" s="394" t="s">
        <v>166</v>
      </c>
      <c r="B43" s="395"/>
      <c r="C43" s="246" t="s">
        <v>150</v>
      </c>
      <c r="D43" s="247">
        <f>D41-D42</f>
        <v>0.30598774054692779</v>
      </c>
    </row>
    <row r="44" spans="1:8" outlineLevel="1">
      <c r="A44" s="375" t="s">
        <v>167</v>
      </c>
      <c r="B44" s="376"/>
      <c r="C44" s="226" t="s">
        <v>138</v>
      </c>
      <c r="D44" s="242">
        <v>3.3</v>
      </c>
      <c r="F44" s="6"/>
    </row>
    <row r="45" spans="1:8" outlineLevel="1">
      <c r="A45" s="375" t="s">
        <v>168</v>
      </c>
      <c r="B45" s="376"/>
      <c r="C45" s="226" t="s">
        <v>138</v>
      </c>
      <c r="D45" s="242">
        <v>3.8</v>
      </c>
    </row>
    <row r="46" spans="1:8" outlineLevel="1">
      <c r="A46" s="387" t="s">
        <v>169</v>
      </c>
      <c r="B46" s="388"/>
      <c r="C46" s="226" t="s">
        <v>138</v>
      </c>
      <c r="D46" s="242">
        <v>13.2</v>
      </c>
    </row>
    <row r="47" spans="1:8" outlineLevel="1">
      <c r="A47" s="389"/>
      <c r="B47" s="390"/>
      <c r="C47" s="341" t="s">
        <v>150</v>
      </c>
      <c r="D47" s="235">
        <f>D29</f>
        <v>3</v>
      </c>
    </row>
    <row r="48" spans="1:8" ht="15" customHeight="1" outlineLevel="1">
      <c r="A48" s="387" t="s">
        <v>170</v>
      </c>
      <c r="B48" s="388"/>
      <c r="C48" s="231" t="s">
        <v>138</v>
      </c>
      <c r="D48" s="239">
        <f>((D49-1)*3.3)+3.8</f>
        <v>26.9</v>
      </c>
    </row>
    <row r="49" spans="1:7" outlineLevel="1">
      <c r="A49" s="389"/>
      <c r="B49" s="390"/>
      <c r="C49" s="341" t="s">
        <v>150</v>
      </c>
      <c r="D49" s="235">
        <v>8</v>
      </c>
    </row>
    <row r="50" spans="1:7" outlineLevel="1">
      <c r="A50" s="394" t="s">
        <v>171</v>
      </c>
      <c r="B50" s="395"/>
      <c r="C50" s="231" t="s">
        <v>150</v>
      </c>
      <c r="D50" s="239">
        <f ca="1">D51+D52+D53</f>
        <v>175</v>
      </c>
      <c r="E50" s="240"/>
    </row>
    <row r="51" spans="1:7" outlineLevel="1">
      <c r="A51" s="341">
        <v>1</v>
      </c>
      <c r="B51" s="342" t="s">
        <v>172</v>
      </c>
      <c r="C51" s="226" t="s">
        <v>150</v>
      </c>
      <c r="D51" s="248">
        <v>0</v>
      </c>
      <c r="E51" s="5">
        <f ca="1">D51/D50</f>
        <v>0</v>
      </c>
      <c r="G51" s="6"/>
    </row>
    <row r="52" spans="1:7" outlineLevel="2">
      <c r="A52" s="341">
        <v>2</v>
      </c>
      <c r="B52" s="342" t="s">
        <v>173</v>
      </c>
      <c r="C52" s="226" t="s">
        <v>150</v>
      </c>
      <c r="D52" s="248">
        <f ca="1">INT((D121*20%)/42)</f>
        <v>35</v>
      </c>
      <c r="E52" s="5">
        <f ca="1">D52/D50</f>
        <v>0.2</v>
      </c>
      <c r="F52" s="6">
        <f ca="1">D52*42</f>
        <v>1470</v>
      </c>
      <c r="G52" s="6"/>
    </row>
    <row r="53" spans="1:7" outlineLevel="2">
      <c r="A53" s="341">
        <v>3</v>
      </c>
      <c r="B53" s="342" t="s">
        <v>174</v>
      </c>
      <c r="C53" s="226" t="s">
        <v>150</v>
      </c>
      <c r="D53" s="248">
        <f ca="1">INT((D121*80%)/42)</f>
        <v>140</v>
      </c>
      <c r="E53" s="5">
        <f ca="1">D53/D50</f>
        <v>0.8</v>
      </c>
      <c r="F53" s="6">
        <f ca="1">D53*42</f>
        <v>5880</v>
      </c>
    </row>
    <row r="54" spans="1:7">
      <c r="A54" s="396" t="s">
        <v>47</v>
      </c>
      <c r="B54" s="396"/>
      <c r="C54" s="396"/>
      <c r="D54" s="396"/>
    </row>
    <row r="55" spans="1:7">
      <c r="A55" s="351">
        <v>1</v>
      </c>
      <c r="B55" s="352" t="s">
        <v>324</v>
      </c>
      <c r="C55" s="353" t="s">
        <v>152</v>
      </c>
      <c r="D55" s="354">
        <f ca="1">D87*(10/120)</f>
        <v>88.4897706153846</v>
      </c>
    </row>
    <row r="56" spans="1:7">
      <c r="A56" s="355">
        <v>2</v>
      </c>
      <c r="B56" s="352" t="s">
        <v>325</v>
      </c>
      <c r="C56" s="353" t="s">
        <v>152</v>
      </c>
      <c r="D56" s="354">
        <f ca="1">D58+D57</f>
        <v>945</v>
      </c>
    </row>
    <row r="57" spans="1:7" ht="15" customHeight="1" outlineLevel="1">
      <c r="A57" s="341">
        <v>2.1</v>
      </c>
      <c r="B57" s="249" t="s">
        <v>175</v>
      </c>
      <c r="C57" s="241" t="s">
        <v>152</v>
      </c>
      <c r="D57" s="243">
        <f ca="1">6*D52</f>
        <v>210</v>
      </c>
      <c r="E57" s="6">
        <f ca="1">D57*0.2</f>
        <v>42</v>
      </c>
    </row>
    <row r="58" spans="1:7" outlineLevel="1">
      <c r="A58" s="341">
        <v>2.2000000000000002</v>
      </c>
      <c r="B58" s="249" t="s">
        <v>176</v>
      </c>
      <c r="C58" s="241" t="s">
        <v>152</v>
      </c>
      <c r="D58" s="243">
        <f ca="1">(D53*42)*(10/80)</f>
        <v>735</v>
      </c>
      <c r="E58" s="6">
        <f ca="1">D58*0.2</f>
        <v>147</v>
      </c>
    </row>
    <row r="59" spans="1:7" ht="16.05" customHeight="1" outlineLevel="1">
      <c r="A59" s="397" t="s">
        <v>325</v>
      </c>
      <c r="B59" s="398"/>
      <c r="C59" s="398"/>
      <c r="D59" s="399"/>
    </row>
    <row r="60" spans="1:7" outlineLevel="2">
      <c r="A60" s="341">
        <v>1</v>
      </c>
      <c r="B60" s="250" t="s">
        <v>177</v>
      </c>
      <c r="C60" s="241" t="s">
        <v>152</v>
      </c>
      <c r="D60" s="251">
        <f ca="1">D56*0.2</f>
        <v>189</v>
      </c>
    </row>
    <row r="61" spans="1:7" outlineLevel="2">
      <c r="A61" s="341">
        <v>1.1000000000000001</v>
      </c>
      <c r="B61" s="249" t="s">
        <v>178</v>
      </c>
      <c r="C61" s="241" t="s">
        <v>152</v>
      </c>
      <c r="D61" s="252">
        <f ca="1">D89</f>
        <v>18.900000000000006</v>
      </c>
    </row>
    <row r="62" spans="1:7" outlineLevel="2">
      <c r="A62" s="341">
        <v>1.2</v>
      </c>
      <c r="B62" s="249" t="s">
        <v>179</v>
      </c>
      <c r="C62" s="241" t="s">
        <v>152</v>
      </c>
      <c r="D62" s="253">
        <f ca="1">+D103+D107+D111+D115+D119+D95</f>
        <v>170.1</v>
      </c>
    </row>
    <row r="63" spans="1:7" outlineLevel="2">
      <c r="A63" s="341">
        <v>2</v>
      </c>
      <c r="B63" s="250" t="s">
        <v>180</v>
      </c>
      <c r="C63" s="241" t="s">
        <v>152</v>
      </c>
      <c r="D63" s="251">
        <f ca="1">D56*0.4</f>
        <v>378</v>
      </c>
    </row>
    <row r="64" spans="1:7" outlineLevel="2">
      <c r="A64" s="341">
        <v>2.1</v>
      </c>
      <c r="B64" s="250" t="s">
        <v>181</v>
      </c>
      <c r="C64" s="241" t="s">
        <v>152</v>
      </c>
      <c r="D64" s="254">
        <v>0</v>
      </c>
    </row>
    <row r="65" spans="1:7" outlineLevel="2">
      <c r="A65" s="341">
        <v>2.2000000000000002</v>
      </c>
      <c r="B65" s="250" t="s">
        <v>182</v>
      </c>
      <c r="C65" s="241" t="s">
        <v>152</v>
      </c>
      <c r="D65" s="251">
        <f ca="1">D63-D64</f>
        <v>378</v>
      </c>
    </row>
    <row r="66" spans="1:7" outlineLevel="2">
      <c r="A66" s="341">
        <v>3</v>
      </c>
      <c r="B66" s="250" t="s">
        <v>183</v>
      </c>
      <c r="C66" s="241" t="s">
        <v>152</v>
      </c>
      <c r="D66" s="251">
        <f ca="1">D56*0.4</f>
        <v>378</v>
      </c>
    </row>
    <row r="67" spans="1:7">
      <c r="A67" s="379" t="s">
        <v>184</v>
      </c>
      <c r="B67" s="380"/>
      <c r="C67" s="380"/>
      <c r="D67" s="381"/>
    </row>
    <row r="68" spans="1:7" outlineLevel="1">
      <c r="A68" s="400">
        <v>1</v>
      </c>
      <c r="B68" s="402" t="s">
        <v>185</v>
      </c>
      <c r="C68" s="238" t="s">
        <v>152</v>
      </c>
      <c r="D68" s="255">
        <f>1796.39165-1663.7231</f>
        <v>132.6685500000001</v>
      </c>
      <c r="E68" s="7"/>
    </row>
    <row r="69" spans="1:7" outlineLevel="1">
      <c r="A69" s="401"/>
      <c r="B69" s="402"/>
      <c r="C69" s="241" t="s">
        <v>0</v>
      </c>
      <c r="D69" s="256">
        <f>D68/D35</f>
        <v>5.5987740546927782E-2</v>
      </c>
      <c r="F69" s="257"/>
    </row>
    <row r="70" spans="1:7" outlineLevel="1">
      <c r="A70" s="400">
        <v>2</v>
      </c>
      <c r="B70" s="404" t="s">
        <v>186</v>
      </c>
      <c r="C70" s="238" t="s">
        <v>152</v>
      </c>
      <c r="D70" s="258">
        <f>D35*D71</f>
        <v>592.40000000000009</v>
      </c>
    </row>
    <row r="71" spans="1:7" outlineLevel="1">
      <c r="A71" s="401"/>
      <c r="B71" s="404"/>
      <c r="C71" s="259" t="s">
        <v>0</v>
      </c>
      <c r="D71" s="260">
        <v>0.25</v>
      </c>
    </row>
    <row r="72" spans="1:7" outlineLevel="1">
      <c r="A72" s="379" t="s">
        <v>326</v>
      </c>
      <c r="B72" s="380"/>
      <c r="C72" s="380"/>
      <c r="D72" s="381"/>
    </row>
    <row r="73" spans="1:7" outlineLevel="1">
      <c r="A73" s="341">
        <v>1</v>
      </c>
      <c r="B73" s="343" t="s">
        <v>327</v>
      </c>
      <c r="C73" s="259" t="s">
        <v>152</v>
      </c>
      <c r="D73" s="356">
        <f>D68+541.54312</f>
        <v>674.21167000000014</v>
      </c>
    </row>
    <row r="74" spans="1:7">
      <c r="A74" s="379" t="s">
        <v>187</v>
      </c>
      <c r="B74" s="380"/>
      <c r="C74" s="380"/>
      <c r="D74" s="381"/>
    </row>
    <row r="75" spans="1:7" outlineLevel="1">
      <c r="A75" s="405" t="s">
        <v>188</v>
      </c>
      <c r="B75" s="406"/>
      <c r="C75" s="261"/>
      <c r="D75" s="262">
        <f ca="1">D77+D80+D82+D84</f>
        <v>848.17857900000001</v>
      </c>
    </row>
    <row r="76" spans="1:7" outlineLevel="2">
      <c r="A76" s="400">
        <v>1</v>
      </c>
      <c r="B76" s="403" t="s">
        <v>189</v>
      </c>
      <c r="C76" s="341" t="s">
        <v>150</v>
      </c>
      <c r="D76" s="243">
        <f ca="1">INT(D77/12)</f>
        <v>45</v>
      </c>
      <c r="F76" s="357" t="s">
        <v>328</v>
      </c>
      <c r="G76" s="358">
        <f ca="1">D50/D76</f>
        <v>3.8888888888888888</v>
      </c>
    </row>
    <row r="77" spans="1:7" outlineLevel="2">
      <c r="A77" s="401"/>
      <c r="B77" s="403"/>
      <c r="C77" s="341" t="s">
        <v>152</v>
      </c>
      <c r="D77" s="243">
        <f ca="1">G87-D80-D82-D84</f>
        <v>548.21500742000001</v>
      </c>
    </row>
    <row r="78" spans="1:7" outlineLevel="1">
      <c r="A78" s="407" t="s">
        <v>190</v>
      </c>
      <c r="B78" s="408"/>
      <c r="C78" s="246" t="s">
        <v>152</v>
      </c>
      <c r="D78" s="247">
        <f ca="1">D80+D82+D84</f>
        <v>299.96357158000001</v>
      </c>
      <c r="F78" s="6"/>
    </row>
    <row r="79" spans="1:7" outlineLevel="2">
      <c r="A79" s="400">
        <v>1</v>
      </c>
      <c r="B79" s="403" t="s">
        <v>191</v>
      </c>
      <c r="C79" s="341" t="s">
        <v>150</v>
      </c>
      <c r="D79" s="263">
        <f ca="1">1*D50</f>
        <v>175</v>
      </c>
    </row>
    <row r="80" spans="1:7" outlineLevel="2">
      <c r="A80" s="401"/>
      <c r="B80" s="403"/>
      <c r="C80" s="341" t="s">
        <v>152</v>
      </c>
      <c r="D80" s="243">
        <f ca="1">D79*1.3</f>
        <v>227.5</v>
      </c>
    </row>
    <row r="81" spans="1:9" outlineLevel="2">
      <c r="A81" s="400">
        <v>2</v>
      </c>
      <c r="B81" s="403" t="s">
        <v>192</v>
      </c>
      <c r="C81" s="341" t="s">
        <v>150</v>
      </c>
      <c r="D81" s="235">
        <f>INT(D37/3000)</f>
        <v>3</v>
      </c>
    </row>
    <row r="82" spans="1:9" outlineLevel="2">
      <c r="A82" s="401"/>
      <c r="B82" s="403"/>
      <c r="C82" s="341" t="s">
        <v>152</v>
      </c>
      <c r="D82" s="243">
        <f>D81*18.5</f>
        <v>55.5</v>
      </c>
    </row>
    <row r="83" spans="1:9" outlineLevel="2">
      <c r="A83" s="400">
        <v>3</v>
      </c>
      <c r="B83" s="403" t="s">
        <v>193</v>
      </c>
      <c r="C83" s="341" t="s">
        <v>150</v>
      </c>
      <c r="D83" s="235">
        <f ca="1">INT(D84/15)</f>
        <v>1</v>
      </c>
    </row>
    <row r="84" spans="1:9" outlineLevel="2">
      <c r="A84" s="401"/>
      <c r="B84" s="403"/>
      <c r="C84" s="341" t="s">
        <v>152</v>
      </c>
      <c r="D84" s="243">
        <f ca="1">D75*2%</f>
        <v>16.96357158</v>
      </c>
      <c r="E84" s="359"/>
    </row>
    <row r="85" spans="1:9">
      <c r="A85" s="396" t="s">
        <v>194</v>
      </c>
      <c r="B85" s="396"/>
      <c r="C85" s="396"/>
      <c r="D85" s="396"/>
      <c r="F85" s="358" t="s">
        <v>329</v>
      </c>
      <c r="G85" s="358">
        <f>451.446541-140</f>
        <v>311.44654100000002</v>
      </c>
    </row>
    <row r="86" spans="1:9" outlineLevel="2">
      <c r="A86" s="413" t="s">
        <v>195</v>
      </c>
      <c r="B86" s="414"/>
      <c r="C86" s="264" t="s">
        <v>152</v>
      </c>
      <c r="D86" s="265">
        <f>'Base (8p) Oct 26'!D4</f>
        <v>1663.7230999999999</v>
      </c>
      <c r="E86" s="6"/>
      <c r="F86" s="358" t="s">
        <v>330</v>
      </c>
      <c r="G86" s="360">
        <v>536.73203799999999</v>
      </c>
    </row>
    <row r="87" spans="1:9" outlineLevel="2">
      <c r="A87" s="341">
        <v>1</v>
      </c>
      <c r="B87" s="266" t="s">
        <v>196</v>
      </c>
      <c r="C87" s="267" t="s">
        <v>152</v>
      </c>
      <c r="D87" s="268">
        <f ca="1">D86-D88-D89-D91-D90</f>
        <v>1061.8772473846152</v>
      </c>
      <c r="E87" s="6"/>
      <c r="F87" s="358" t="s">
        <v>331</v>
      </c>
      <c r="G87" s="358">
        <f>G86+G85</f>
        <v>848.17857900000001</v>
      </c>
    </row>
    <row r="88" spans="1:9" outlineLevel="2">
      <c r="A88" s="341">
        <v>2</v>
      </c>
      <c r="B88" s="249" t="s">
        <v>189</v>
      </c>
      <c r="C88" s="341" t="s">
        <v>152</v>
      </c>
      <c r="D88" s="253">
        <f>G85</f>
        <v>311.44654100000002</v>
      </c>
      <c r="F88" s="6"/>
    </row>
    <row r="89" spans="1:9" outlineLevel="2">
      <c r="A89" s="341">
        <v>3</v>
      </c>
      <c r="B89" s="269" t="s">
        <v>325</v>
      </c>
      <c r="C89" s="270" t="s">
        <v>152</v>
      </c>
      <c r="D89" s="271">
        <f ca="1">D60-D95</f>
        <v>18.900000000000006</v>
      </c>
      <c r="E89" s="6"/>
      <c r="G89" s="6"/>
    </row>
    <row r="90" spans="1:9" outlineLevel="2">
      <c r="A90" s="341">
        <v>4</v>
      </c>
      <c r="B90" s="269" t="s">
        <v>324</v>
      </c>
      <c r="C90" s="270" t="s">
        <v>152</v>
      </c>
      <c r="D90" s="271">
        <f ca="1">D55</f>
        <v>88.4897706153846</v>
      </c>
      <c r="E90" s="6"/>
      <c r="G90" s="6"/>
    </row>
    <row r="91" spans="1:9" outlineLevel="2">
      <c r="A91" s="341">
        <v>5</v>
      </c>
      <c r="B91" s="249" t="s">
        <v>197</v>
      </c>
      <c r="C91" s="341" t="s">
        <v>152</v>
      </c>
      <c r="D91" s="253">
        <f>D86*D124</f>
        <v>183.00954099999998</v>
      </c>
      <c r="E91" s="6"/>
    </row>
    <row r="92" spans="1:9" outlineLevel="1">
      <c r="A92" s="413" t="s">
        <v>198</v>
      </c>
      <c r="B92" s="414"/>
      <c r="C92" s="264" t="s">
        <v>152</v>
      </c>
      <c r="D92" s="265">
        <f>'Base (8p) Oct 26'!D4</f>
        <v>1663.7230999999999</v>
      </c>
      <c r="I92" s="6"/>
    </row>
    <row r="93" spans="1:9" outlineLevel="2">
      <c r="A93" s="341">
        <v>1</v>
      </c>
      <c r="B93" s="272" t="s">
        <v>199</v>
      </c>
      <c r="C93" s="273" t="s">
        <v>152</v>
      </c>
      <c r="D93" s="274">
        <f ca="1">D92-D96-D94-D95</f>
        <v>773.88152100000002</v>
      </c>
    </row>
    <row r="94" spans="1:9" outlineLevel="2">
      <c r="A94" s="341">
        <v>2</v>
      </c>
      <c r="B94" s="249" t="s">
        <v>189</v>
      </c>
      <c r="C94" s="341" t="s">
        <v>152</v>
      </c>
      <c r="D94" s="253">
        <f>G86</f>
        <v>536.73203799999999</v>
      </c>
    </row>
    <row r="95" spans="1:9" outlineLevel="2">
      <c r="A95" s="341">
        <v>3</v>
      </c>
      <c r="B95" s="269" t="s">
        <v>47</v>
      </c>
      <c r="C95" s="270" t="s">
        <v>152</v>
      </c>
      <c r="D95" s="271">
        <f ca="1">D60*0.9</f>
        <v>170.1</v>
      </c>
    </row>
    <row r="96" spans="1:9" outlineLevel="2">
      <c r="A96" s="275">
        <v>3</v>
      </c>
      <c r="B96" s="276" t="s">
        <v>197</v>
      </c>
      <c r="C96" s="341" t="s">
        <v>152</v>
      </c>
      <c r="D96" s="253">
        <f>D92*D124</f>
        <v>183.00954099999998</v>
      </c>
    </row>
    <row r="97" spans="1:4" outlineLevel="1">
      <c r="A97" s="413" t="s">
        <v>200</v>
      </c>
      <c r="B97" s="414"/>
      <c r="C97" s="264" t="s">
        <v>152</v>
      </c>
      <c r="D97" s="265">
        <f>'Base (8p) Oct 26'!D5</f>
        <v>1360.98172</v>
      </c>
    </row>
    <row r="98" spans="1:4" outlineLevel="2">
      <c r="A98" s="341">
        <v>1</v>
      </c>
      <c r="B98" s="272" t="s">
        <v>199</v>
      </c>
      <c r="C98" s="273" t="s">
        <v>152</v>
      </c>
      <c r="D98" s="274">
        <f>D97-D100-D99</f>
        <v>1211.2737308000001</v>
      </c>
    </row>
    <row r="99" spans="1:4" outlineLevel="2">
      <c r="A99" s="341">
        <v>2</v>
      </c>
      <c r="B99" s="249" t="s">
        <v>189</v>
      </c>
      <c r="C99" s="341" t="s">
        <v>152</v>
      </c>
      <c r="D99" s="253">
        <v>0</v>
      </c>
    </row>
    <row r="100" spans="1:4" outlineLevel="2">
      <c r="A100" s="341">
        <v>3</v>
      </c>
      <c r="B100" s="249" t="s">
        <v>197</v>
      </c>
      <c r="C100" s="341" t="s">
        <v>152</v>
      </c>
      <c r="D100" s="253">
        <f>D97*D124</f>
        <v>149.70798920000001</v>
      </c>
    </row>
    <row r="101" spans="1:4" outlineLevel="1">
      <c r="A101" s="415" t="s">
        <v>201</v>
      </c>
      <c r="B101" s="416"/>
      <c r="C101" s="264" t="s">
        <v>152</v>
      </c>
      <c r="D101" s="265">
        <f>'Base (8p) Oct 26'!D6</f>
        <v>1280.5475799999999</v>
      </c>
    </row>
    <row r="102" spans="1:4" outlineLevel="2">
      <c r="A102" s="341">
        <v>1</v>
      </c>
      <c r="B102" s="277" t="s">
        <v>199</v>
      </c>
      <c r="C102" s="273" t="s">
        <v>152</v>
      </c>
      <c r="D102" s="274">
        <f>D101-D104-D103</f>
        <v>1139.6873461999999</v>
      </c>
    </row>
    <row r="103" spans="1:4" outlineLevel="2">
      <c r="A103" s="341">
        <v>2</v>
      </c>
      <c r="B103" s="278" t="s">
        <v>47</v>
      </c>
      <c r="C103" s="341" t="s">
        <v>152</v>
      </c>
      <c r="D103" s="235">
        <v>0</v>
      </c>
    </row>
    <row r="104" spans="1:4" outlineLevel="2">
      <c r="A104" s="341">
        <v>3</v>
      </c>
      <c r="B104" s="278" t="s">
        <v>197</v>
      </c>
      <c r="C104" s="341" t="s">
        <v>152</v>
      </c>
      <c r="D104" s="253">
        <f>D101*D124</f>
        <v>140.8602338</v>
      </c>
    </row>
    <row r="105" spans="1:4" outlineLevel="1">
      <c r="A105" s="415" t="s">
        <v>202</v>
      </c>
      <c r="B105" s="416"/>
      <c r="C105" s="264" t="s">
        <v>152</v>
      </c>
      <c r="D105" s="265">
        <f>'Base (8p) Oct 26'!D7</f>
        <v>1200.9564499999999</v>
      </c>
    </row>
    <row r="106" spans="1:4" outlineLevel="2">
      <c r="A106" s="341">
        <v>1</v>
      </c>
      <c r="B106" s="277" t="s">
        <v>199</v>
      </c>
      <c r="C106" s="273" t="s">
        <v>152</v>
      </c>
      <c r="D106" s="274">
        <f>D105-D108-D107</f>
        <v>1068.8512404999999</v>
      </c>
    </row>
    <row r="107" spans="1:4" outlineLevel="2">
      <c r="A107" s="341">
        <v>2</v>
      </c>
      <c r="B107" s="278" t="s">
        <v>47</v>
      </c>
      <c r="C107" s="341" t="s">
        <v>152</v>
      </c>
      <c r="D107" s="235">
        <v>0</v>
      </c>
    </row>
    <row r="108" spans="1:4" outlineLevel="2">
      <c r="A108" s="341">
        <v>3</v>
      </c>
      <c r="B108" s="278" t="s">
        <v>197</v>
      </c>
      <c r="C108" s="341" t="s">
        <v>152</v>
      </c>
      <c r="D108" s="279">
        <f>D105*D124</f>
        <v>132.1052095</v>
      </c>
    </row>
    <row r="109" spans="1:4" outlineLevel="1">
      <c r="A109" s="415" t="s">
        <v>203</v>
      </c>
      <c r="B109" s="416"/>
      <c r="C109" s="264" t="s">
        <v>152</v>
      </c>
      <c r="D109" s="265">
        <f>'Base (8p) Oct 26'!D7</f>
        <v>1200.9564499999999</v>
      </c>
    </row>
    <row r="110" spans="1:4" outlineLevel="2">
      <c r="A110" s="341">
        <v>1</v>
      </c>
      <c r="B110" s="277" t="s">
        <v>199</v>
      </c>
      <c r="C110" s="273" t="s">
        <v>152</v>
      </c>
      <c r="D110" s="274">
        <f>D109-D112-D111</f>
        <v>1068.8512404999999</v>
      </c>
    </row>
    <row r="111" spans="1:4" outlineLevel="2">
      <c r="A111" s="341">
        <v>2</v>
      </c>
      <c r="B111" s="278" t="s">
        <v>47</v>
      </c>
      <c r="C111" s="341" t="s">
        <v>152</v>
      </c>
      <c r="D111" s="235">
        <v>0</v>
      </c>
    </row>
    <row r="112" spans="1:4" outlineLevel="2">
      <c r="A112" s="341">
        <v>3</v>
      </c>
      <c r="B112" s="278" t="s">
        <v>197</v>
      </c>
      <c r="C112" s="341" t="s">
        <v>152</v>
      </c>
      <c r="D112" s="279">
        <f>D109*D124</f>
        <v>132.1052095</v>
      </c>
    </row>
    <row r="113" spans="1:12" outlineLevel="1">
      <c r="A113" s="415" t="s">
        <v>204</v>
      </c>
      <c r="B113" s="416"/>
      <c r="C113" s="264" t="s">
        <v>152</v>
      </c>
      <c r="D113" s="265">
        <f>'Base (8p) Oct 26'!D7</f>
        <v>1200.9564499999999</v>
      </c>
    </row>
    <row r="114" spans="1:12" outlineLevel="2">
      <c r="A114" s="341">
        <v>1</v>
      </c>
      <c r="B114" s="277" t="s">
        <v>199</v>
      </c>
      <c r="C114" s="273" t="s">
        <v>152</v>
      </c>
      <c r="D114" s="274">
        <f>D113-D116-D115</f>
        <v>1068.8512404999999</v>
      </c>
    </row>
    <row r="115" spans="1:12" outlineLevel="2">
      <c r="A115" s="341">
        <v>2</v>
      </c>
      <c r="B115" s="278" t="s">
        <v>47</v>
      </c>
      <c r="C115" s="341" t="s">
        <v>152</v>
      </c>
      <c r="D115" s="235">
        <v>0</v>
      </c>
    </row>
    <row r="116" spans="1:12" outlineLevel="2">
      <c r="A116" s="341">
        <v>3</v>
      </c>
      <c r="B116" s="278" t="s">
        <v>197</v>
      </c>
      <c r="C116" s="341" t="s">
        <v>152</v>
      </c>
      <c r="D116" s="279">
        <f>D113*D124</f>
        <v>132.1052095</v>
      </c>
    </row>
    <row r="117" spans="1:12" outlineLevel="1">
      <c r="A117" s="415" t="s">
        <v>205</v>
      </c>
      <c r="B117" s="416"/>
      <c r="C117" s="264" t="s">
        <v>152</v>
      </c>
      <c r="D117" s="265">
        <f>'Base (8p) Oct 26'!D7</f>
        <v>1200.9564499999999</v>
      </c>
    </row>
    <row r="118" spans="1:12" outlineLevel="2">
      <c r="A118" s="341">
        <v>1</v>
      </c>
      <c r="B118" s="277" t="s">
        <v>199</v>
      </c>
      <c r="C118" s="273" t="s">
        <v>152</v>
      </c>
      <c r="D118" s="274">
        <f>D117-D120-D119</f>
        <v>1068.8512404999999</v>
      </c>
    </row>
    <row r="119" spans="1:12" outlineLevel="2">
      <c r="A119" s="341">
        <v>2</v>
      </c>
      <c r="B119" s="278" t="s">
        <v>47</v>
      </c>
      <c r="C119" s="341" t="s">
        <v>152</v>
      </c>
      <c r="D119" s="235">
        <v>0</v>
      </c>
    </row>
    <row r="120" spans="1:12" outlineLevel="2">
      <c r="A120" s="341">
        <v>3</v>
      </c>
      <c r="B120" s="278" t="s">
        <v>197</v>
      </c>
      <c r="C120" s="341" t="s">
        <v>152</v>
      </c>
      <c r="D120" s="279">
        <f>D117*D124</f>
        <v>132.1052095</v>
      </c>
      <c r="F120" t="s">
        <v>321</v>
      </c>
      <c r="G120" t="s">
        <v>223</v>
      </c>
      <c r="H120" t="s">
        <v>224</v>
      </c>
      <c r="J120" s="315" t="s">
        <v>197</v>
      </c>
      <c r="K120" t="s">
        <v>223</v>
      </c>
      <c r="L120" t="s">
        <v>224</v>
      </c>
    </row>
    <row r="121" spans="1:12" outlineLevel="1">
      <c r="A121" s="417" t="s">
        <v>206</v>
      </c>
      <c r="B121" s="418"/>
      <c r="C121" s="280" t="s">
        <v>152</v>
      </c>
      <c r="D121" s="281">
        <f ca="1">D118+D114+D110+D106+D102+D98+D93</f>
        <v>7400.2475599999989</v>
      </c>
      <c r="E121" s="240"/>
      <c r="F121" s="6">
        <f ca="1">D121-SUM(F52:F53)</f>
        <v>50.247559999998884</v>
      </c>
      <c r="G121" s="6">
        <f ca="1">F121*E52</f>
        <v>10.049511999999778</v>
      </c>
      <c r="H121" s="6">
        <f ca="1">F121*E53</f>
        <v>40.198047999999112</v>
      </c>
      <c r="J121" s="282">
        <f ca="1">D123*(D121/SUM(D121:D122))</f>
        <v>1036.3063436695188</v>
      </c>
      <c r="K121" s="314">
        <f ca="1">J121*E52</f>
        <v>207.26126873390376</v>
      </c>
      <c r="L121" s="314">
        <f ca="1">J121*E53</f>
        <v>829.04507493561505</v>
      </c>
    </row>
    <row r="122" spans="1:12" outlineLevel="1">
      <c r="A122" s="419" t="s">
        <v>207</v>
      </c>
      <c r="B122" s="420"/>
      <c r="C122" s="284" t="s">
        <v>152</v>
      </c>
      <c r="D122" s="285">
        <f ca="1">D87</f>
        <v>1061.8772473846152</v>
      </c>
      <c r="E122" s="240"/>
      <c r="J122" s="282">
        <f ca="1">D123*(D122/SUM(D121:D122))</f>
        <v>148.70179933048129</v>
      </c>
      <c r="K122" s="282"/>
      <c r="L122" s="283"/>
    </row>
    <row r="123" spans="1:12" outlineLevel="1">
      <c r="A123" s="409" t="s">
        <v>208</v>
      </c>
      <c r="B123" s="410"/>
      <c r="C123" s="286" t="s">
        <v>152</v>
      </c>
      <c r="D123" s="287">
        <f>D120+D116+D112+D108+D104+D100+D96+D91</f>
        <v>1185.008143</v>
      </c>
      <c r="F123" s="288"/>
      <c r="G123" s="289"/>
      <c r="H123" s="290"/>
      <c r="I123" s="291"/>
      <c r="J123" s="291"/>
      <c r="K123" s="291"/>
    </row>
    <row r="124" spans="1:12" outlineLevel="1">
      <c r="A124" s="411"/>
      <c r="B124" s="412"/>
      <c r="C124" s="292" t="s">
        <v>0</v>
      </c>
      <c r="D124" s="293">
        <v>0.11</v>
      </c>
    </row>
  </sheetData>
  <mergeCells count="80">
    <mergeCell ref="A123:B124"/>
    <mergeCell ref="A85:D85"/>
    <mergeCell ref="A86:B86"/>
    <mergeCell ref="A92:B92"/>
    <mergeCell ref="A97:B97"/>
    <mergeCell ref="A101:B101"/>
    <mergeCell ref="A105:B105"/>
    <mergeCell ref="A109:B109"/>
    <mergeCell ref="A113:B113"/>
    <mergeCell ref="A117:B117"/>
    <mergeCell ref="A121:B121"/>
    <mergeCell ref="A122:B122"/>
    <mergeCell ref="A83:A84"/>
    <mergeCell ref="B83:B84"/>
    <mergeCell ref="A70:A71"/>
    <mergeCell ref="B70:B71"/>
    <mergeCell ref="A72:D72"/>
    <mergeCell ref="A74:D74"/>
    <mergeCell ref="A75:B75"/>
    <mergeCell ref="A76:A77"/>
    <mergeCell ref="B76:B77"/>
    <mergeCell ref="A78:B78"/>
    <mergeCell ref="A79:A80"/>
    <mergeCell ref="B79:B80"/>
    <mergeCell ref="A81:A82"/>
    <mergeCell ref="B81:B82"/>
    <mergeCell ref="A42:B42"/>
    <mergeCell ref="A43:B43"/>
    <mergeCell ref="A44:B44"/>
    <mergeCell ref="A45:B45"/>
    <mergeCell ref="A68:A69"/>
    <mergeCell ref="B68:B69"/>
    <mergeCell ref="A50:B50"/>
    <mergeCell ref="A54:D54"/>
    <mergeCell ref="A59:D59"/>
    <mergeCell ref="A67:D67"/>
    <mergeCell ref="A48:B49"/>
    <mergeCell ref="A46:B47"/>
    <mergeCell ref="A28:B28"/>
    <mergeCell ref="A29:B29"/>
    <mergeCell ref="C32:D32"/>
    <mergeCell ref="A33:D33"/>
    <mergeCell ref="A34:B34"/>
    <mergeCell ref="A30:B30"/>
    <mergeCell ref="A31:B31"/>
    <mergeCell ref="A32:B32"/>
    <mergeCell ref="A35:B35"/>
    <mergeCell ref="A36:B36"/>
    <mergeCell ref="A37:B37"/>
    <mergeCell ref="A38:B38"/>
    <mergeCell ref="A39:B39"/>
    <mergeCell ref="A40:B40"/>
    <mergeCell ref="A41:B41"/>
    <mergeCell ref="A14:B14"/>
    <mergeCell ref="A15:B15"/>
    <mergeCell ref="A16:B16"/>
    <mergeCell ref="A17:B17"/>
    <mergeCell ref="A19:B19"/>
    <mergeCell ref="A25:B25"/>
    <mergeCell ref="A26:B26"/>
    <mergeCell ref="A27:B27"/>
    <mergeCell ref="C17:D17"/>
    <mergeCell ref="A18:D18"/>
    <mergeCell ref="A24:B24"/>
    <mergeCell ref="A20:B20"/>
    <mergeCell ref="A21:B21"/>
    <mergeCell ref="A22:B22"/>
    <mergeCell ref="A23:B23"/>
    <mergeCell ref="A13:B13"/>
    <mergeCell ref="A7:B7"/>
    <mergeCell ref="A1:D1"/>
    <mergeCell ref="A2:D2"/>
    <mergeCell ref="A4:D4"/>
    <mergeCell ref="A5:B5"/>
    <mergeCell ref="A6:B6"/>
    <mergeCell ref="A8:B8"/>
    <mergeCell ref="A9:B9"/>
    <mergeCell ref="A10:B10"/>
    <mergeCell ref="A11:B11"/>
    <mergeCell ref="A12:B12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8615A4-294C-4BBD-82E1-42D88303B1BE}">
  <dimension ref="A1:F33"/>
  <sheetViews>
    <sheetView topLeftCell="A19" workbookViewId="0">
      <selection activeCell="F71" sqref="F71"/>
    </sheetView>
  </sheetViews>
  <sheetFormatPr baseColWidth="10" defaultRowHeight="14.4"/>
  <cols>
    <col min="1" max="1" width="28.6640625" customWidth="1"/>
    <col min="4" max="4" width="17.109375" customWidth="1"/>
    <col min="5" max="5" width="15.44140625" customWidth="1"/>
    <col min="6" max="6" width="18.44140625" customWidth="1"/>
  </cols>
  <sheetData>
    <row r="1" spans="1:6">
      <c r="A1" s="423" t="s">
        <v>209</v>
      </c>
      <c r="B1" s="424"/>
      <c r="C1" s="424"/>
      <c r="D1" s="424"/>
      <c r="E1" s="424"/>
      <c r="F1" s="425"/>
    </row>
    <row r="2" spans="1:6">
      <c r="A2" s="426" t="s">
        <v>210</v>
      </c>
      <c r="B2" s="423" t="s">
        <v>211</v>
      </c>
      <c r="C2" s="425"/>
      <c r="D2" s="339" t="s">
        <v>3</v>
      </c>
      <c r="E2" s="421" t="s">
        <v>212</v>
      </c>
      <c r="F2" s="422"/>
    </row>
    <row r="3" spans="1:6">
      <c r="A3" s="427"/>
      <c r="B3" s="428" t="s">
        <v>150</v>
      </c>
      <c r="C3" s="429"/>
      <c r="D3" s="340" t="s">
        <v>152</v>
      </c>
      <c r="E3" s="297"/>
      <c r="F3" s="340" t="s">
        <v>152</v>
      </c>
    </row>
    <row r="4" spans="1:6">
      <c r="A4" s="298" t="s">
        <v>213</v>
      </c>
      <c r="B4" s="430">
        <v>2</v>
      </c>
      <c r="C4" s="431"/>
      <c r="D4" s="299">
        <f>1663.7231</f>
        <v>1663.7230999999999</v>
      </c>
      <c r="E4" s="300" t="s">
        <v>1</v>
      </c>
      <c r="F4" s="301">
        <f>B4*D4</f>
        <v>3327.4461999999999</v>
      </c>
    </row>
    <row r="5" spans="1:6">
      <c r="A5" s="298" t="s">
        <v>200</v>
      </c>
      <c r="B5" s="430">
        <v>1</v>
      </c>
      <c r="C5" s="431"/>
      <c r="D5" s="299">
        <v>1360.98172</v>
      </c>
      <c r="E5" s="300" t="s">
        <v>1</v>
      </c>
      <c r="F5" s="301">
        <f t="shared" ref="F5:F7" si="0">B5*D5</f>
        <v>1360.98172</v>
      </c>
    </row>
    <row r="6" spans="1:6">
      <c r="A6" s="298" t="s">
        <v>201</v>
      </c>
      <c r="B6" s="430">
        <v>1</v>
      </c>
      <c r="C6" s="431"/>
      <c r="D6" s="299">
        <v>1280.5475799999999</v>
      </c>
      <c r="E6" s="300" t="s">
        <v>214</v>
      </c>
      <c r="F6" s="301">
        <f t="shared" si="0"/>
        <v>1280.5475799999999</v>
      </c>
    </row>
    <row r="7" spans="1:6">
      <c r="A7" s="302" t="s">
        <v>215</v>
      </c>
      <c r="B7" s="430">
        <v>4</v>
      </c>
      <c r="C7" s="431"/>
      <c r="D7" s="299">
        <v>1200.9564499999999</v>
      </c>
      <c r="E7" s="300" t="s">
        <v>1</v>
      </c>
      <c r="F7" s="301">
        <f t="shared" si="0"/>
        <v>4803.8257999999996</v>
      </c>
    </row>
    <row r="8" spans="1:6">
      <c r="A8" s="302" t="s">
        <v>216</v>
      </c>
      <c r="B8" s="432">
        <f>SUM(B4:B7)</f>
        <v>8</v>
      </c>
      <c r="C8" s="433"/>
      <c r="D8" s="303" t="s">
        <v>217</v>
      </c>
      <c r="E8" s="339" t="s">
        <v>1</v>
      </c>
      <c r="F8" s="304">
        <f>SUM(F4:F7)</f>
        <v>10772.801299999999</v>
      </c>
    </row>
    <row r="10" spans="1:6">
      <c r="A10" s="421" t="s">
        <v>218</v>
      </c>
      <c r="B10" s="434"/>
      <c r="C10" s="434"/>
      <c r="D10" s="434"/>
      <c r="E10" s="434"/>
      <c r="F10" s="422"/>
    </row>
    <row r="11" spans="1:6">
      <c r="A11" s="344" t="s">
        <v>219</v>
      </c>
      <c r="B11" s="305" t="s">
        <v>220</v>
      </c>
      <c r="C11" s="421" t="s">
        <v>2</v>
      </c>
      <c r="D11" s="422"/>
      <c r="E11" s="421" t="s">
        <v>212</v>
      </c>
      <c r="F11" s="422"/>
    </row>
    <row r="12" spans="1:6">
      <c r="A12" s="345" t="s">
        <v>150</v>
      </c>
      <c r="B12" s="306" t="s">
        <v>152</v>
      </c>
      <c r="C12" s="437" t="s">
        <v>150</v>
      </c>
      <c r="D12" s="438"/>
      <c r="E12" s="345"/>
      <c r="F12" s="346" t="s">
        <v>152</v>
      </c>
    </row>
    <row r="13" spans="1:6">
      <c r="A13" s="307">
        <v>1</v>
      </c>
      <c r="B13" s="308">
        <v>45.6</v>
      </c>
      <c r="C13" s="435">
        <v>1</v>
      </c>
      <c r="D13" s="436"/>
      <c r="E13" s="300" t="s">
        <v>1</v>
      </c>
      <c r="F13" s="309">
        <f>C13*B13</f>
        <v>45.6</v>
      </c>
    </row>
    <row r="14" spans="1:6">
      <c r="A14" s="310">
        <v>2</v>
      </c>
      <c r="B14" s="308">
        <v>61.3</v>
      </c>
      <c r="C14" s="435">
        <v>3</v>
      </c>
      <c r="D14" s="436"/>
      <c r="E14" s="300" t="s">
        <v>1</v>
      </c>
      <c r="F14" s="309">
        <f t="shared" ref="F14:F32" si="1">C14*B14</f>
        <v>183.89999999999998</v>
      </c>
    </row>
    <row r="15" spans="1:6">
      <c r="A15" s="310">
        <v>3</v>
      </c>
      <c r="B15" s="308">
        <v>86</v>
      </c>
      <c r="C15" s="435">
        <v>2</v>
      </c>
      <c r="D15" s="436"/>
      <c r="E15" s="300" t="s">
        <v>1</v>
      </c>
      <c r="F15" s="309">
        <f t="shared" si="1"/>
        <v>172</v>
      </c>
    </row>
    <row r="16" spans="1:6">
      <c r="A16" s="307">
        <v>4</v>
      </c>
      <c r="B16" s="308">
        <v>109.9</v>
      </c>
      <c r="C16" s="435">
        <v>2</v>
      </c>
      <c r="D16" s="436"/>
      <c r="E16" s="300" t="s">
        <v>1</v>
      </c>
      <c r="F16" s="309">
        <f t="shared" si="1"/>
        <v>219.8</v>
      </c>
    </row>
    <row r="17" spans="1:6">
      <c r="A17" s="310">
        <v>5</v>
      </c>
      <c r="B17" s="308">
        <v>138.9</v>
      </c>
      <c r="C17" s="435">
        <v>1</v>
      </c>
      <c r="D17" s="436"/>
      <c r="E17" s="300" t="s">
        <v>1</v>
      </c>
      <c r="F17" s="309">
        <f t="shared" si="1"/>
        <v>138.9</v>
      </c>
    </row>
    <row r="18" spans="1:6">
      <c r="A18" s="310">
        <v>6</v>
      </c>
      <c r="B18" s="308">
        <v>139.6</v>
      </c>
      <c r="C18" s="435">
        <v>2</v>
      </c>
      <c r="D18" s="436"/>
      <c r="E18" s="300" t="s">
        <v>1</v>
      </c>
      <c r="F18" s="309">
        <f t="shared" si="1"/>
        <v>279.2</v>
      </c>
    </row>
    <row r="19" spans="1:6">
      <c r="A19" s="307">
        <v>7</v>
      </c>
      <c r="B19" s="308">
        <v>123</v>
      </c>
      <c r="C19" s="435">
        <v>2</v>
      </c>
      <c r="D19" s="436"/>
      <c r="E19" s="300" t="s">
        <v>1</v>
      </c>
      <c r="F19" s="309">
        <f t="shared" si="1"/>
        <v>246</v>
      </c>
    </row>
    <row r="20" spans="1:6">
      <c r="A20" s="310">
        <v>8</v>
      </c>
      <c r="B20" s="308">
        <v>67</v>
      </c>
      <c r="C20" s="435">
        <v>2</v>
      </c>
      <c r="D20" s="436"/>
      <c r="E20" s="300" t="s">
        <v>1</v>
      </c>
      <c r="F20" s="309">
        <f t="shared" si="1"/>
        <v>134</v>
      </c>
    </row>
    <row r="21" spans="1:6">
      <c r="A21" s="310">
        <v>9</v>
      </c>
      <c r="B21" s="308">
        <v>125.6</v>
      </c>
      <c r="C21" s="435">
        <v>3</v>
      </c>
      <c r="D21" s="436"/>
      <c r="E21" s="300" t="s">
        <v>1</v>
      </c>
      <c r="F21" s="309">
        <f t="shared" si="1"/>
        <v>376.79999999999995</v>
      </c>
    </row>
    <row r="22" spans="1:6">
      <c r="A22" s="307">
        <v>10</v>
      </c>
      <c r="B22" s="308">
        <v>170.9</v>
      </c>
      <c r="C22" s="435">
        <v>3</v>
      </c>
      <c r="D22" s="436"/>
      <c r="E22" s="300" t="s">
        <v>1</v>
      </c>
      <c r="F22" s="309">
        <f t="shared" si="1"/>
        <v>512.70000000000005</v>
      </c>
    </row>
    <row r="23" spans="1:6">
      <c r="A23" s="310">
        <v>11</v>
      </c>
      <c r="B23" s="308">
        <v>171</v>
      </c>
      <c r="C23" s="435">
        <v>1</v>
      </c>
      <c r="D23" s="436"/>
      <c r="E23" s="300" t="s">
        <v>1</v>
      </c>
      <c r="F23" s="309">
        <f t="shared" si="1"/>
        <v>171</v>
      </c>
    </row>
    <row r="24" spans="1:6">
      <c r="A24" s="310">
        <v>12</v>
      </c>
      <c r="B24" s="308">
        <v>170.8</v>
      </c>
      <c r="C24" s="435">
        <v>2</v>
      </c>
      <c r="D24" s="436"/>
      <c r="E24" s="300" t="s">
        <v>1</v>
      </c>
      <c r="F24" s="309">
        <f t="shared" si="1"/>
        <v>341.6</v>
      </c>
    </row>
    <row r="25" spans="1:6">
      <c r="A25" s="307">
        <v>13</v>
      </c>
      <c r="B25" s="308">
        <v>171</v>
      </c>
      <c r="C25" s="435">
        <v>2</v>
      </c>
      <c r="D25" s="436"/>
      <c r="E25" s="300" t="s">
        <v>1</v>
      </c>
      <c r="F25" s="309">
        <f t="shared" si="1"/>
        <v>342</v>
      </c>
    </row>
    <row r="26" spans="1:6">
      <c r="A26" s="310">
        <v>14</v>
      </c>
      <c r="B26" s="308">
        <v>171.1</v>
      </c>
      <c r="C26" s="435">
        <v>2</v>
      </c>
      <c r="D26" s="436"/>
      <c r="E26" s="300" t="s">
        <v>1</v>
      </c>
      <c r="F26" s="309">
        <f t="shared" si="1"/>
        <v>342.2</v>
      </c>
    </row>
    <row r="27" spans="1:6">
      <c r="A27" s="310">
        <v>15</v>
      </c>
      <c r="B27" s="308">
        <v>170.6</v>
      </c>
      <c r="C27" s="435">
        <v>1</v>
      </c>
      <c r="D27" s="436"/>
      <c r="E27" s="300" t="s">
        <v>1</v>
      </c>
      <c r="F27" s="309">
        <f t="shared" si="1"/>
        <v>170.6</v>
      </c>
    </row>
    <row r="28" spans="1:6">
      <c r="A28" s="307">
        <v>16</v>
      </c>
      <c r="B28" s="308">
        <v>140.4</v>
      </c>
      <c r="C28" s="435">
        <v>3</v>
      </c>
      <c r="D28" s="436"/>
      <c r="E28" s="300" t="s">
        <v>1</v>
      </c>
      <c r="F28" s="309">
        <f t="shared" si="1"/>
        <v>421.20000000000005</v>
      </c>
    </row>
    <row r="29" spans="1:6">
      <c r="A29" s="310">
        <v>17</v>
      </c>
      <c r="B29" s="308">
        <v>111.3</v>
      </c>
      <c r="C29" s="435">
        <v>1</v>
      </c>
      <c r="D29" s="436"/>
      <c r="E29" s="300" t="s">
        <v>1</v>
      </c>
      <c r="F29" s="309">
        <f t="shared" si="1"/>
        <v>111.3</v>
      </c>
    </row>
    <row r="30" spans="1:6">
      <c r="A30" s="310">
        <v>18</v>
      </c>
      <c r="B30" s="308">
        <v>86.3</v>
      </c>
      <c r="C30" s="435">
        <v>2</v>
      </c>
      <c r="D30" s="436"/>
      <c r="E30" s="300" t="s">
        <v>1</v>
      </c>
      <c r="F30" s="309">
        <f t="shared" si="1"/>
        <v>172.6</v>
      </c>
    </row>
    <row r="31" spans="1:6">
      <c r="A31" s="307">
        <v>19</v>
      </c>
      <c r="B31" s="308">
        <v>62</v>
      </c>
      <c r="C31" s="435">
        <v>2</v>
      </c>
      <c r="D31" s="436"/>
      <c r="E31" s="300" t="s">
        <v>1</v>
      </c>
      <c r="F31" s="309">
        <f t="shared" si="1"/>
        <v>124</v>
      </c>
    </row>
    <row r="32" spans="1:6">
      <c r="A32" s="310">
        <v>20</v>
      </c>
      <c r="B32" s="308">
        <v>47.3</v>
      </c>
      <c r="C32" s="435">
        <v>2</v>
      </c>
      <c r="D32" s="436"/>
      <c r="E32" s="300" t="s">
        <v>1</v>
      </c>
      <c r="F32" s="309">
        <f t="shared" si="1"/>
        <v>94.6</v>
      </c>
    </row>
    <row r="33" spans="1:6">
      <c r="A33" s="347" t="s">
        <v>221</v>
      </c>
      <c r="B33" s="311">
        <f>SUM(B13:B32)</f>
        <v>2369.6000000000004</v>
      </c>
      <c r="C33" s="439" t="s">
        <v>222</v>
      </c>
      <c r="D33" s="440"/>
      <c r="E33" s="300" t="s">
        <v>1</v>
      </c>
      <c r="F33" s="311">
        <f>SUM(F13:F32)</f>
        <v>4600</v>
      </c>
    </row>
  </sheetData>
  <mergeCells count="35">
    <mergeCell ref="C30:D30"/>
    <mergeCell ref="C31:D31"/>
    <mergeCell ref="C32:D32"/>
    <mergeCell ref="C33:D33"/>
    <mergeCell ref="C24:D24"/>
    <mergeCell ref="C25:D25"/>
    <mergeCell ref="C26:D26"/>
    <mergeCell ref="C27:D27"/>
    <mergeCell ref="C28:D28"/>
    <mergeCell ref="C29:D29"/>
    <mergeCell ref="C23:D23"/>
    <mergeCell ref="C12:D12"/>
    <mergeCell ref="C13:D13"/>
    <mergeCell ref="C14:D14"/>
    <mergeCell ref="C15:D15"/>
    <mergeCell ref="C16:D16"/>
    <mergeCell ref="C17:D17"/>
    <mergeCell ref="C18:D18"/>
    <mergeCell ref="C19:D19"/>
    <mergeCell ref="C20:D20"/>
    <mergeCell ref="C21:D21"/>
    <mergeCell ref="C22:D22"/>
    <mergeCell ref="C11:D11"/>
    <mergeCell ref="E11:F11"/>
    <mergeCell ref="A1:F1"/>
    <mergeCell ref="A2:A3"/>
    <mergeCell ref="B2:C2"/>
    <mergeCell ref="E2:F2"/>
    <mergeCell ref="B3:C3"/>
    <mergeCell ref="B4:C4"/>
    <mergeCell ref="B5:C5"/>
    <mergeCell ref="B6:C6"/>
    <mergeCell ref="B7:C7"/>
    <mergeCell ref="B8:C8"/>
    <mergeCell ref="A10:F10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A12AF7-D4EA-4AE2-ABB6-8A842ADBC9DC}">
  <dimension ref="A1:L124"/>
  <sheetViews>
    <sheetView topLeftCell="A24" zoomScaleNormal="100" workbookViewId="0">
      <selection activeCell="D37" sqref="D37"/>
    </sheetView>
  </sheetViews>
  <sheetFormatPr baseColWidth="10" defaultRowHeight="15.6" outlineLevelRow="2"/>
  <cols>
    <col min="1" max="1" width="5" style="294" customWidth="1"/>
    <col min="2" max="2" width="61.33203125" style="295" customWidth="1"/>
    <col min="3" max="3" width="12.6640625" style="294" customWidth="1"/>
    <col min="4" max="4" width="19.44140625" style="296" customWidth="1"/>
    <col min="5" max="5" width="9.44140625" customWidth="1"/>
    <col min="6" max="6" width="30.33203125" bestFit="1" customWidth="1"/>
    <col min="7" max="7" width="11.6640625" bestFit="1" customWidth="1"/>
  </cols>
  <sheetData>
    <row r="1" spans="1:7" ht="15" customHeight="1">
      <c r="A1" s="377" t="s">
        <v>134</v>
      </c>
      <c r="B1" s="377"/>
      <c r="C1" s="377"/>
      <c r="D1" s="377"/>
      <c r="E1" s="224"/>
      <c r="F1" s="224"/>
      <c r="G1" s="224"/>
    </row>
    <row r="2" spans="1:7" ht="15" customHeight="1">
      <c r="A2" s="378" t="s">
        <v>135</v>
      </c>
      <c r="B2" s="378"/>
      <c r="C2" s="378"/>
      <c r="D2" s="378"/>
      <c r="E2" s="225"/>
      <c r="F2" s="225"/>
      <c r="G2" s="225"/>
    </row>
    <row r="4" spans="1:7">
      <c r="A4" s="379" t="s">
        <v>136</v>
      </c>
      <c r="B4" s="380"/>
      <c r="C4" s="380"/>
      <c r="D4" s="381"/>
    </row>
    <row r="5" spans="1:7" hidden="1" outlineLevel="1">
      <c r="A5" s="375" t="s">
        <v>137</v>
      </c>
      <c r="B5" s="376"/>
      <c r="C5" s="226" t="s">
        <v>138</v>
      </c>
      <c r="D5" s="227">
        <v>59</v>
      </c>
    </row>
    <row r="6" spans="1:7" hidden="1" outlineLevel="1">
      <c r="A6" s="375" t="s">
        <v>139</v>
      </c>
      <c r="B6" s="376"/>
      <c r="C6" s="226" t="s">
        <v>138</v>
      </c>
      <c r="D6" s="227">
        <v>11.56</v>
      </c>
    </row>
    <row r="7" spans="1:7" hidden="1" outlineLevel="1">
      <c r="A7" s="375" t="s">
        <v>140</v>
      </c>
      <c r="B7" s="376"/>
      <c r="C7" s="226" t="s">
        <v>138</v>
      </c>
      <c r="D7" s="227">
        <v>10.17</v>
      </c>
    </row>
    <row r="8" spans="1:7" hidden="1" outlineLevel="1">
      <c r="A8" s="375" t="s">
        <v>141</v>
      </c>
      <c r="B8" s="376"/>
      <c r="C8" s="226" t="s">
        <v>138</v>
      </c>
      <c r="D8" s="227">
        <v>12.4</v>
      </c>
    </row>
    <row r="9" spans="1:7" hidden="1" outlineLevel="1">
      <c r="A9" s="375" t="s">
        <v>142</v>
      </c>
      <c r="B9" s="376"/>
      <c r="C9" s="226" t="s">
        <v>138</v>
      </c>
      <c r="D9" s="228" t="s">
        <v>143</v>
      </c>
    </row>
    <row r="10" spans="1:7" hidden="1" outlineLevel="1">
      <c r="A10" s="375" t="s">
        <v>144</v>
      </c>
      <c r="B10" s="376"/>
      <c r="C10" s="226" t="s">
        <v>138</v>
      </c>
      <c r="D10" s="229">
        <v>0.6</v>
      </c>
    </row>
    <row r="11" spans="1:7" hidden="1" outlineLevel="1">
      <c r="A11" s="375" t="s">
        <v>145</v>
      </c>
      <c r="B11" s="376"/>
      <c r="C11" s="226" t="s">
        <v>138</v>
      </c>
      <c r="D11" s="229">
        <v>0.6</v>
      </c>
    </row>
    <row r="12" spans="1:7" hidden="1" outlineLevel="1">
      <c r="A12" s="375" t="s">
        <v>146</v>
      </c>
      <c r="B12" s="376"/>
      <c r="C12" s="226" t="s">
        <v>138</v>
      </c>
      <c r="D12" s="229">
        <v>0.6</v>
      </c>
    </row>
    <row r="13" spans="1:7" hidden="1" outlineLevel="1">
      <c r="A13" s="375" t="s">
        <v>147</v>
      </c>
      <c r="B13" s="376"/>
      <c r="C13" s="226" t="s">
        <v>138</v>
      </c>
      <c r="D13" s="229">
        <v>0.6</v>
      </c>
    </row>
    <row r="14" spans="1:7" hidden="1" outlineLevel="1">
      <c r="A14" s="383" t="s">
        <v>148</v>
      </c>
      <c r="B14" s="384"/>
      <c r="C14" s="226" t="s">
        <v>138</v>
      </c>
      <c r="D14" s="230">
        <v>0.6</v>
      </c>
    </row>
    <row r="15" spans="1:7" hidden="1" outlineLevel="1">
      <c r="A15" s="383" t="s">
        <v>149</v>
      </c>
      <c r="B15" s="384"/>
      <c r="C15" s="231" t="s">
        <v>150</v>
      </c>
      <c r="D15" s="232">
        <v>2</v>
      </c>
    </row>
    <row r="16" spans="1:7" hidden="1" outlineLevel="1">
      <c r="A16" s="385" t="s">
        <v>151</v>
      </c>
      <c r="B16" s="386"/>
      <c r="C16" s="231" t="s">
        <v>152</v>
      </c>
      <c r="D16" s="233">
        <v>5313.9177200000004</v>
      </c>
    </row>
    <row r="17" spans="1:4" hidden="1" outlineLevel="1">
      <c r="A17" s="375" t="s">
        <v>153</v>
      </c>
      <c r="B17" s="376"/>
      <c r="C17" s="382" t="s">
        <v>113</v>
      </c>
      <c r="D17" s="382"/>
    </row>
    <row r="18" spans="1:4" collapsed="1">
      <c r="A18" s="379" t="s">
        <v>154</v>
      </c>
      <c r="B18" s="380"/>
      <c r="C18" s="380"/>
      <c r="D18" s="381"/>
    </row>
    <row r="19" spans="1:4" outlineLevel="1">
      <c r="A19" s="375" t="s">
        <v>137</v>
      </c>
      <c r="B19" s="376"/>
      <c r="C19" s="226" t="s">
        <v>138</v>
      </c>
      <c r="D19" s="227">
        <v>59</v>
      </c>
    </row>
    <row r="20" spans="1:4" outlineLevel="1">
      <c r="A20" s="375" t="s">
        <v>139</v>
      </c>
      <c r="B20" s="376"/>
      <c r="C20" s="226" t="s">
        <v>138</v>
      </c>
      <c r="D20" s="227">
        <v>16</v>
      </c>
    </row>
    <row r="21" spans="1:4" outlineLevel="1">
      <c r="A21" s="375" t="s">
        <v>140</v>
      </c>
      <c r="B21" s="376"/>
      <c r="C21" s="226" t="s">
        <v>138</v>
      </c>
      <c r="D21" s="227">
        <v>16</v>
      </c>
    </row>
    <row r="22" spans="1:4" outlineLevel="1">
      <c r="A22" s="375" t="s">
        <v>141</v>
      </c>
      <c r="B22" s="376"/>
      <c r="C22" s="226" t="s">
        <v>138</v>
      </c>
      <c r="D22" s="227">
        <v>14</v>
      </c>
    </row>
    <row r="23" spans="1:4" outlineLevel="1">
      <c r="A23" s="375" t="s">
        <v>142</v>
      </c>
      <c r="B23" s="376"/>
      <c r="C23" s="226" t="s">
        <v>138</v>
      </c>
      <c r="D23" s="228" t="s">
        <v>143</v>
      </c>
    </row>
    <row r="24" spans="1:4" outlineLevel="1">
      <c r="A24" s="375" t="s">
        <v>144</v>
      </c>
      <c r="B24" s="376"/>
      <c r="C24" s="226" t="s">
        <v>138</v>
      </c>
      <c r="D24" s="229">
        <v>0.6</v>
      </c>
    </row>
    <row r="25" spans="1:4" outlineLevel="1">
      <c r="A25" s="375" t="s">
        <v>145</v>
      </c>
      <c r="B25" s="376"/>
      <c r="C25" s="226" t="s">
        <v>138</v>
      </c>
      <c r="D25" s="229">
        <v>0.6</v>
      </c>
    </row>
    <row r="26" spans="1:4" outlineLevel="1">
      <c r="A26" s="375" t="s">
        <v>146</v>
      </c>
      <c r="B26" s="376"/>
      <c r="C26" s="226" t="s">
        <v>138</v>
      </c>
      <c r="D26" s="229">
        <v>0.6</v>
      </c>
    </row>
    <row r="27" spans="1:4" outlineLevel="1">
      <c r="A27" s="375" t="s">
        <v>147</v>
      </c>
      <c r="B27" s="376"/>
      <c r="C27" s="226" t="s">
        <v>138</v>
      </c>
      <c r="D27" s="229">
        <v>0.6</v>
      </c>
    </row>
    <row r="28" spans="1:4" outlineLevel="1">
      <c r="A28" s="383" t="s">
        <v>148</v>
      </c>
      <c r="B28" s="384"/>
      <c r="C28" s="226" t="s">
        <v>138</v>
      </c>
      <c r="D28" s="230">
        <v>0.6</v>
      </c>
    </row>
    <row r="29" spans="1:4" outlineLevel="1">
      <c r="A29" s="383" t="s">
        <v>155</v>
      </c>
      <c r="B29" s="384"/>
      <c r="C29" s="231" t="s">
        <v>150</v>
      </c>
      <c r="D29" s="234">
        <v>3</v>
      </c>
    </row>
    <row r="30" spans="1:4" outlineLevel="1">
      <c r="A30" s="383" t="s">
        <v>156</v>
      </c>
      <c r="B30" s="384"/>
      <c r="C30" s="231" t="s">
        <v>150</v>
      </c>
      <c r="D30" s="234">
        <v>5</v>
      </c>
    </row>
    <row r="31" spans="1:4" outlineLevel="1">
      <c r="A31" s="385" t="s">
        <v>151</v>
      </c>
      <c r="B31" s="386"/>
      <c r="C31" s="231" t="s">
        <v>152</v>
      </c>
      <c r="D31" s="233">
        <v>5313.9177200000004</v>
      </c>
    </row>
    <row r="32" spans="1:4" outlineLevel="1">
      <c r="A32" s="375" t="s">
        <v>153</v>
      </c>
      <c r="B32" s="376"/>
      <c r="C32" s="391" t="s">
        <v>157</v>
      </c>
      <c r="D32" s="391"/>
    </row>
    <row r="33" spans="1:8">
      <c r="A33" s="379" t="s">
        <v>117</v>
      </c>
      <c r="B33" s="380"/>
      <c r="C33" s="380"/>
      <c r="D33" s="381"/>
    </row>
    <row r="34" spans="1:8" outlineLevel="1">
      <c r="A34" s="392" t="s">
        <v>43</v>
      </c>
      <c r="B34" s="393"/>
      <c r="C34" s="365" t="s">
        <v>150</v>
      </c>
      <c r="D34" s="235">
        <f>'Base (8p) No Vis Nov 8 '!A32</f>
        <v>20</v>
      </c>
      <c r="G34" s="236"/>
      <c r="H34" s="237"/>
    </row>
    <row r="35" spans="1:8" outlineLevel="1">
      <c r="A35" s="385" t="s">
        <v>158</v>
      </c>
      <c r="B35" s="386"/>
      <c r="C35" s="238" t="s">
        <v>152</v>
      </c>
      <c r="D35" s="239">
        <f>'Base (8p) No Vis Nov 8 '!B33</f>
        <v>2369.6000000000004</v>
      </c>
      <c r="F35" s="240"/>
      <c r="G35" s="6"/>
    </row>
    <row r="36" spans="1:8" outlineLevel="1">
      <c r="A36" s="383" t="s">
        <v>159</v>
      </c>
      <c r="B36" s="384"/>
      <c r="C36" s="241" t="s">
        <v>152</v>
      </c>
      <c r="D36" s="242">
        <f>'Base (8p) No Vis Nov 8 '!F33</f>
        <v>4600</v>
      </c>
    </row>
    <row r="37" spans="1:8" outlineLevel="1">
      <c r="A37" s="385" t="s">
        <v>160</v>
      </c>
      <c r="B37" s="386"/>
      <c r="C37" s="238" t="s">
        <v>152</v>
      </c>
      <c r="D37" s="239">
        <f>'Base (8p) No Vis Nov 8 '!F8</f>
        <v>10772.801299999999</v>
      </c>
    </row>
    <row r="38" spans="1:8" outlineLevel="1">
      <c r="A38" s="383" t="s">
        <v>161</v>
      </c>
      <c r="B38" s="384"/>
      <c r="C38" s="241" t="s">
        <v>152</v>
      </c>
      <c r="D38" s="242">
        <f>D37-D36</f>
        <v>6172.8012999999992</v>
      </c>
    </row>
    <row r="39" spans="1:8" outlineLevel="1">
      <c r="A39" s="392" t="s">
        <v>162</v>
      </c>
      <c r="B39" s="393"/>
      <c r="C39" s="365" t="s">
        <v>152</v>
      </c>
      <c r="D39" s="243">
        <f>D35</f>
        <v>2369.6000000000004</v>
      </c>
      <c r="E39" s="6"/>
    </row>
    <row r="40" spans="1:8" outlineLevel="1">
      <c r="A40" s="375" t="s">
        <v>163</v>
      </c>
      <c r="B40" s="376"/>
      <c r="C40" s="241" t="s">
        <v>150</v>
      </c>
      <c r="D40" s="244">
        <f>D36/D35</f>
        <v>1.941255908170155</v>
      </c>
    </row>
    <row r="41" spans="1:8" outlineLevel="1">
      <c r="A41" s="394" t="s">
        <v>164</v>
      </c>
      <c r="B41" s="395"/>
      <c r="C41" s="238" t="s">
        <v>150</v>
      </c>
      <c r="D41" s="245">
        <f>D37/D35</f>
        <v>4.5462530806887225</v>
      </c>
    </row>
    <row r="42" spans="1:8" outlineLevel="1">
      <c r="A42" s="394" t="s">
        <v>332</v>
      </c>
      <c r="B42" s="395"/>
      <c r="C42" s="238" t="s">
        <v>150</v>
      </c>
      <c r="D42" s="245">
        <f ca="1">(D121+D122-(D52*42))/D35</f>
        <v>3.5728783337661651</v>
      </c>
      <c r="E42" s="236"/>
    </row>
    <row r="43" spans="1:8" outlineLevel="1">
      <c r="A43" s="394" t="s">
        <v>166</v>
      </c>
      <c r="B43" s="395"/>
      <c r="C43" s="246" t="s">
        <v>150</v>
      </c>
      <c r="D43" s="247">
        <f ca="1">D41-D42</f>
        <v>0.97337474692255732</v>
      </c>
    </row>
    <row r="44" spans="1:8" outlineLevel="1">
      <c r="A44" s="375" t="s">
        <v>167</v>
      </c>
      <c r="B44" s="376"/>
      <c r="C44" s="226" t="s">
        <v>138</v>
      </c>
      <c r="D44" s="242">
        <v>3.3</v>
      </c>
      <c r="F44" s="6"/>
    </row>
    <row r="45" spans="1:8" outlineLevel="1">
      <c r="A45" s="375" t="s">
        <v>168</v>
      </c>
      <c r="B45" s="376"/>
      <c r="C45" s="226" t="s">
        <v>138</v>
      </c>
      <c r="D45" s="242">
        <v>3.8</v>
      </c>
    </row>
    <row r="46" spans="1:8" outlineLevel="1">
      <c r="A46" s="387" t="s">
        <v>169</v>
      </c>
      <c r="B46" s="388"/>
      <c r="C46" s="226" t="s">
        <v>138</v>
      </c>
      <c r="D46" s="242">
        <v>13.2</v>
      </c>
    </row>
    <row r="47" spans="1:8" outlineLevel="1">
      <c r="A47" s="389"/>
      <c r="B47" s="390"/>
      <c r="C47" s="365" t="s">
        <v>150</v>
      </c>
      <c r="D47" s="235">
        <f>D29</f>
        <v>3</v>
      </c>
    </row>
    <row r="48" spans="1:8" ht="15" customHeight="1" outlineLevel="1">
      <c r="A48" s="387" t="s">
        <v>170</v>
      </c>
      <c r="B48" s="388"/>
      <c r="C48" s="231" t="s">
        <v>138</v>
      </c>
      <c r="D48" s="239">
        <f>((D49-1)*3.3)+3.8</f>
        <v>26.9</v>
      </c>
    </row>
    <row r="49" spans="1:7" outlineLevel="1">
      <c r="A49" s="389"/>
      <c r="B49" s="390"/>
      <c r="C49" s="365" t="s">
        <v>150</v>
      </c>
      <c r="D49" s="235">
        <v>8</v>
      </c>
    </row>
    <row r="50" spans="1:7" outlineLevel="1">
      <c r="A50" s="394" t="s">
        <v>171</v>
      </c>
      <c r="B50" s="395"/>
      <c r="C50" s="231" t="s">
        <v>150</v>
      </c>
      <c r="D50" s="239">
        <f ca="1">D51+D52+D53</f>
        <v>176</v>
      </c>
      <c r="E50" s="240"/>
    </row>
    <row r="51" spans="1:7" outlineLevel="1">
      <c r="A51" s="365">
        <v>1</v>
      </c>
      <c r="B51" s="367" t="s">
        <v>172</v>
      </c>
      <c r="C51" s="226" t="s">
        <v>150</v>
      </c>
      <c r="D51" s="248">
        <v>0</v>
      </c>
      <c r="E51" s="5">
        <f ca="1">D51/D50</f>
        <v>0</v>
      </c>
      <c r="G51" s="6"/>
    </row>
    <row r="52" spans="1:7" outlineLevel="2">
      <c r="A52" s="365">
        <v>2</v>
      </c>
      <c r="B52" s="367" t="s">
        <v>173</v>
      </c>
      <c r="C52" s="226" t="s">
        <v>150</v>
      </c>
      <c r="D52" s="248">
        <v>0</v>
      </c>
      <c r="E52" s="5">
        <f ca="1">D52/D50</f>
        <v>0</v>
      </c>
      <c r="F52" s="6">
        <f>D52*42</f>
        <v>0</v>
      </c>
      <c r="G52" s="6"/>
    </row>
    <row r="53" spans="1:7" outlineLevel="2">
      <c r="A53" s="365">
        <v>3</v>
      </c>
      <c r="B53" s="367" t="s">
        <v>174</v>
      </c>
      <c r="C53" s="226" t="s">
        <v>150</v>
      </c>
      <c r="D53" s="248">
        <f ca="1">INT((D121*100%)/42)</f>
        <v>176</v>
      </c>
      <c r="E53" s="5">
        <f ca="1">D53/D50</f>
        <v>1</v>
      </c>
      <c r="F53" s="6">
        <f ca="1">D53*42</f>
        <v>7392</v>
      </c>
    </row>
    <row r="54" spans="1:7">
      <c r="A54" s="396" t="s">
        <v>47</v>
      </c>
      <c r="B54" s="396"/>
      <c r="C54" s="396"/>
      <c r="D54" s="396"/>
    </row>
    <row r="55" spans="1:7">
      <c r="A55" s="351">
        <v>1</v>
      </c>
      <c r="B55" s="352" t="s">
        <v>324</v>
      </c>
      <c r="C55" s="353" t="s">
        <v>152</v>
      </c>
      <c r="D55" s="354">
        <f ca="1">D87*(10/120)</f>
        <v>88.522078307692311</v>
      </c>
    </row>
    <row r="56" spans="1:7">
      <c r="A56" s="366">
        <v>2</v>
      </c>
      <c r="B56" s="352" t="s">
        <v>325</v>
      </c>
      <c r="C56" s="353" t="s">
        <v>152</v>
      </c>
      <c r="D56" s="354">
        <f ca="1">D58+D57</f>
        <v>924</v>
      </c>
    </row>
    <row r="57" spans="1:7" ht="15" customHeight="1" outlineLevel="1">
      <c r="A57" s="365">
        <v>2.1</v>
      </c>
      <c r="B57" s="249" t="s">
        <v>175</v>
      </c>
      <c r="C57" s="241" t="s">
        <v>152</v>
      </c>
      <c r="D57" s="243">
        <f>6*D52</f>
        <v>0</v>
      </c>
    </row>
    <row r="58" spans="1:7" outlineLevel="1">
      <c r="A58" s="365">
        <v>2.2000000000000002</v>
      </c>
      <c r="B58" s="249" t="s">
        <v>176</v>
      </c>
      <c r="C58" s="241" t="s">
        <v>152</v>
      </c>
      <c r="D58" s="243">
        <f ca="1">(D53*42)*(10/80)</f>
        <v>924</v>
      </c>
    </row>
    <row r="59" spans="1:7" ht="16.05" customHeight="1" outlineLevel="1">
      <c r="A59" s="397" t="s">
        <v>325</v>
      </c>
      <c r="B59" s="398"/>
      <c r="C59" s="398"/>
      <c r="D59" s="399"/>
    </row>
    <row r="60" spans="1:7" outlineLevel="2">
      <c r="A60" s="365">
        <v>1</v>
      </c>
      <c r="B60" s="250" t="s">
        <v>177</v>
      </c>
      <c r="C60" s="241" t="s">
        <v>152</v>
      </c>
      <c r="D60" s="251">
        <f ca="1">D56*0.2</f>
        <v>184.8</v>
      </c>
    </row>
    <row r="61" spans="1:7" outlineLevel="2">
      <c r="A61" s="365">
        <v>1.1000000000000001</v>
      </c>
      <c r="B61" s="249" t="s">
        <v>178</v>
      </c>
      <c r="C61" s="241" t="s">
        <v>152</v>
      </c>
      <c r="D61" s="252">
        <f ca="1">D89</f>
        <v>18.47999999999999</v>
      </c>
    </row>
    <row r="62" spans="1:7" outlineLevel="2">
      <c r="A62" s="365">
        <v>1.2</v>
      </c>
      <c r="B62" s="249" t="s">
        <v>179</v>
      </c>
      <c r="C62" s="241" t="s">
        <v>152</v>
      </c>
      <c r="D62" s="253">
        <f ca="1">+D103+D107+D111+D115+D119+D95</f>
        <v>166.32000000000002</v>
      </c>
    </row>
    <row r="63" spans="1:7" outlineLevel="2">
      <c r="A63" s="365">
        <v>2</v>
      </c>
      <c r="B63" s="250" t="s">
        <v>180</v>
      </c>
      <c r="C63" s="241" t="s">
        <v>152</v>
      </c>
      <c r="D63" s="251">
        <f ca="1">D56*0.4</f>
        <v>369.6</v>
      </c>
    </row>
    <row r="64" spans="1:7" outlineLevel="2">
      <c r="A64" s="365">
        <v>2.1</v>
      </c>
      <c r="B64" s="250" t="s">
        <v>181</v>
      </c>
      <c r="C64" s="241" t="s">
        <v>152</v>
      </c>
      <c r="D64" s="254">
        <v>0</v>
      </c>
    </row>
    <row r="65" spans="1:7" outlineLevel="2">
      <c r="A65" s="365">
        <v>2.2000000000000002</v>
      </c>
      <c r="B65" s="250" t="s">
        <v>182</v>
      </c>
      <c r="C65" s="241" t="s">
        <v>152</v>
      </c>
      <c r="D65" s="251">
        <f ca="1">D63-D64</f>
        <v>369.6</v>
      </c>
    </row>
    <row r="66" spans="1:7" outlineLevel="2">
      <c r="A66" s="365">
        <v>3</v>
      </c>
      <c r="B66" s="250" t="s">
        <v>183</v>
      </c>
      <c r="C66" s="241" t="s">
        <v>152</v>
      </c>
      <c r="D66" s="251">
        <f ca="1">D56*0.4</f>
        <v>369.6</v>
      </c>
    </row>
    <row r="67" spans="1:7">
      <c r="A67" s="379" t="s">
        <v>184</v>
      </c>
      <c r="B67" s="380"/>
      <c r="C67" s="380"/>
      <c r="D67" s="381"/>
    </row>
    <row r="68" spans="1:7" outlineLevel="1">
      <c r="A68" s="400">
        <v>1</v>
      </c>
      <c r="B68" s="402" t="s">
        <v>185</v>
      </c>
      <c r="C68" s="238" t="s">
        <v>152</v>
      </c>
      <c r="D68" s="255">
        <f>1796.39165-1663.7231</f>
        <v>132.6685500000001</v>
      </c>
      <c r="E68" s="7"/>
    </row>
    <row r="69" spans="1:7" outlineLevel="1">
      <c r="A69" s="401"/>
      <c r="B69" s="402"/>
      <c r="C69" s="241" t="s">
        <v>0</v>
      </c>
      <c r="D69" s="256">
        <f>D68/D35</f>
        <v>5.5987740546927782E-2</v>
      </c>
      <c r="F69" s="257"/>
    </row>
    <row r="70" spans="1:7" outlineLevel="1">
      <c r="A70" s="400">
        <v>2</v>
      </c>
      <c r="B70" s="404" t="s">
        <v>186</v>
      </c>
      <c r="C70" s="238" t="s">
        <v>152</v>
      </c>
      <c r="D70" s="258">
        <f>D35*D71</f>
        <v>592.40000000000009</v>
      </c>
    </row>
    <row r="71" spans="1:7" outlineLevel="1">
      <c r="A71" s="401"/>
      <c r="B71" s="404"/>
      <c r="C71" s="259" t="s">
        <v>0</v>
      </c>
      <c r="D71" s="260">
        <v>0.25</v>
      </c>
    </row>
    <row r="72" spans="1:7" outlineLevel="1">
      <c r="A72" s="379" t="s">
        <v>326</v>
      </c>
      <c r="B72" s="380"/>
      <c r="C72" s="380"/>
      <c r="D72" s="381"/>
    </row>
    <row r="73" spans="1:7" outlineLevel="1">
      <c r="A73" s="365">
        <v>1</v>
      </c>
      <c r="B73" s="368" t="s">
        <v>327</v>
      </c>
      <c r="C73" s="259" t="s">
        <v>152</v>
      </c>
      <c r="D73" s="356">
        <f>D68+541.54312</f>
        <v>674.21167000000014</v>
      </c>
    </row>
    <row r="74" spans="1:7">
      <c r="A74" s="379" t="s">
        <v>187</v>
      </c>
      <c r="B74" s="380"/>
      <c r="C74" s="380"/>
      <c r="D74" s="381"/>
    </row>
    <row r="75" spans="1:7" outlineLevel="1">
      <c r="A75" s="405" t="s">
        <v>188</v>
      </c>
      <c r="B75" s="406"/>
      <c r="C75" s="261"/>
      <c r="D75" s="262">
        <f ca="1">D77+D80+D82+D84</f>
        <v>848.1785789999999</v>
      </c>
    </row>
    <row r="76" spans="1:7" outlineLevel="2">
      <c r="A76" s="400">
        <v>1</v>
      </c>
      <c r="B76" s="403" t="s">
        <v>189</v>
      </c>
      <c r="C76" s="365" t="s">
        <v>150</v>
      </c>
      <c r="D76" s="243">
        <f ca="1">INT(D77/12)</f>
        <v>45</v>
      </c>
      <c r="F76" s="357" t="s">
        <v>328</v>
      </c>
      <c r="G76" s="358">
        <f ca="1">D50/D76</f>
        <v>3.911111111111111</v>
      </c>
    </row>
    <row r="77" spans="1:7" outlineLevel="2">
      <c r="A77" s="401"/>
      <c r="B77" s="403"/>
      <c r="C77" s="365" t="s">
        <v>152</v>
      </c>
      <c r="D77" s="243">
        <f ca="1">G87-D80-D82-D84</f>
        <v>546.91500741999994</v>
      </c>
    </row>
    <row r="78" spans="1:7" outlineLevel="1">
      <c r="A78" s="407" t="s">
        <v>190</v>
      </c>
      <c r="B78" s="408"/>
      <c r="C78" s="246" t="s">
        <v>152</v>
      </c>
      <c r="D78" s="247">
        <f ca="1">D80+D82+D84</f>
        <v>301.26357158000002</v>
      </c>
      <c r="F78" s="6"/>
    </row>
    <row r="79" spans="1:7" outlineLevel="2">
      <c r="A79" s="400">
        <v>1</v>
      </c>
      <c r="B79" s="403" t="s">
        <v>191</v>
      </c>
      <c r="C79" s="365" t="s">
        <v>150</v>
      </c>
      <c r="D79" s="263">
        <f ca="1">1*D50</f>
        <v>176</v>
      </c>
    </row>
    <row r="80" spans="1:7" outlineLevel="2">
      <c r="A80" s="401"/>
      <c r="B80" s="403"/>
      <c r="C80" s="365" t="s">
        <v>152</v>
      </c>
      <c r="D80" s="243">
        <f ca="1">D79*1.3</f>
        <v>228.8</v>
      </c>
    </row>
    <row r="81" spans="1:9" outlineLevel="2">
      <c r="A81" s="400">
        <v>2</v>
      </c>
      <c r="B81" s="403" t="s">
        <v>192</v>
      </c>
      <c r="C81" s="365" t="s">
        <v>150</v>
      </c>
      <c r="D81" s="235">
        <f>INT(D37/3000)</f>
        <v>3</v>
      </c>
    </row>
    <row r="82" spans="1:9" outlineLevel="2">
      <c r="A82" s="401"/>
      <c r="B82" s="403"/>
      <c r="C82" s="365" t="s">
        <v>152</v>
      </c>
      <c r="D82" s="243">
        <f>D81*18.5</f>
        <v>55.5</v>
      </c>
    </row>
    <row r="83" spans="1:9" outlineLevel="2">
      <c r="A83" s="400">
        <v>3</v>
      </c>
      <c r="B83" s="403" t="s">
        <v>193</v>
      </c>
      <c r="C83" s="365" t="s">
        <v>150</v>
      </c>
      <c r="D83" s="235">
        <f ca="1">INT(D84/15)</f>
        <v>1</v>
      </c>
    </row>
    <row r="84" spans="1:9" outlineLevel="2">
      <c r="A84" s="401"/>
      <c r="B84" s="403"/>
      <c r="C84" s="365" t="s">
        <v>152</v>
      </c>
      <c r="D84" s="243">
        <f ca="1">D75*2%</f>
        <v>16.96357158</v>
      </c>
      <c r="E84" s="359"/>
    </row>
    <row r="85" spans="1:9">
      <c r="A85" s="396" t="s">
        <v>194</v>
      </c>
      <c r="B85" s="396"/>
      <c r="C85" s="396"/>
      <c r="D85" s="396"/>
      <c r="F85" s="358" t="s">
        <v>329</v>
      </c>
      <c r="G85" s="358">
        <f>451.446541-140</f>
        <v>311.44654100000002</v>
      </c>
    </row>
    <row r="86" spans="1:9" outlineLevel="2">
      <c r="A86" s="413" t="s">
        <v>195</v>
      </c>
      <c r="B86" s="414"/>
      <c r="C86" s="264" t="s">
        <v>152</v>
      </c>
      <c r="D86" s="265">
        <f>'Base (8p) No Vis Nov 8 '!D4</f>
        <v>1663.7230999999999</v>
      </c>
      <c r="E86" s="6"/>
      <c r="F86" s="358" t="s">
        <v>330</v>
      </c>
      <c r="G86" s="360">
        <v>536.73203799999999</v>
      </c>
    </row>
    <row r="87" spans="1:9" outlineLevel="2">
      <c r="A87" s="365">
        <v>1</v>
      </c>
      <c r="B87" s="266" t="s">
        <v>196</v>
      </c>
      <c r="C87" s="267" t="s">
        <v>152</v>
      </c>
      <c r="D87" s="268">
        <f ca="1">D86-D88-D89-D91-D90</f>
        <v>1062.2649396923077</v>
      </c>
      <c r="E87" s="6"/>
      <c r="F87" s="358" t="s">
        <v>331</v>
      </c>
      <c r="G87" s="358">
        <f>G86+G85</f>
        <v>848.17857900000001</v>
      </c>
    </row>
    <row r="88" spans="1:9" outlineLevel="2">
      <c r="A88" s="365">
        <v>2</v>
      </c>
      <c r="B88" s="249" t="s">
        <v>189</v>
      </c>
      <c r="C88" s="365" t="s">
        <v>152</v>
      </c>
      <c r="D88" s="253">
        <f>G85</f>
        <v>311.44654100000002</v>
      </c>
      <c r="F88" s="6"/>
    </row>
    <row r="89" spans="1:9" outlineLevel="2">
      <c r="A89" s="365">
        <v>3</v>
      </c>
      <c r="B89" s="269" t="s">
        <v>325</v>
      </c>
      <c r="C89" s="270" t="s">
        <v>152</v>
      </c>
      <c r="D89" s="271">
        <f ca="1">D60-D95</f>
        <v>18.47999999999999</v>
      </c>
      <c r="E89" s="6"/>
      <c r="G89" s="6"/>
    </row>
    <row r="90" spans="1:9" outlineLevel="2">
      <c r="A90" s="365">
        <v>4</v>
      </c>
      <c r="B90" s="269" t="s">
        <v>324</v>
      </c>
      <c r="C90" s="270" t="s">
        <v>152</v>
      </c>
      <c r="D90" s="271">
        <f ca="1">D55</f>
        <v>88.522078307692311</v>
      </c>
      <c r="E90" s="6"/>
      <c r="G90" s="6"/>
    </row>
    <row r="91" spans="1:9" outlineLevel="2">
      <c r="A91" s="365">
        <v>5</v>
      </c>
      <c r="B91" s="249" t="s">
        <v>197</v>
      </c>
      <c r="C91" s="365" t="s">
        <v>152</v>
      </c>
      <c r="D91" s="253">
        <f>D86*D124</f>
        <v>183.00954099999998</v>
      </c>
      <c r="E91" s="6"/>
    </row>
    <row r="92" spans="1:9" outlineLevel="1">
      <c r="A92" s="413" t="s">
        <v>198</v>
      </c>
      <c r="B92" s="414"/>
      <c r="C92" s="264" t="s">
        <v>152</v>
      </c>
      <c r="D92" s="265">
        <f>'Base (8p) No Vis Nov 8 '!D4</f>
        <v>1663.7230999999999</v>
      </c>
      <c r="I92" s="6"/>
    </row>
    <row r="93" spans="1:9" outlineLevel="2">
      <c r="A93" s="365">
        <v>1</v>
      </c>
      <c r="B93" s="272" t="s">
        <v>199</v>
      </c>
      <c r="C93" s="273" t="s">
        <v>152</v>
      </c>
      <c r="D93" s="274">
        <f ca="1">D92-D96-D94-D95</f>
        <v>777.66152099999999</v>
      </c>
    </row>
    <row r="94" spans="1:9" outlineLevel="2">
      <c r="A94" s="365">
        <v>2</v>
      </c>
      <c r="B94" s="249" t="s">
        <v>189</v>
      </c>
      <c r="C94" s="365" t="s">
        <v>152</v>
      </c>
      <c r="D94" s="253">
        <f>G86</f>
        <v>536.73203799999999</v>
      </c>
    </row>
    <row r="95" spans="1:9" outlineLevel="2">
      <c r="A95" s="365">
        <v>3</v>
      </c>
      <c r="B95" s="269" t="s">
        <v>47</v>
      </c>
      <c r="C95" s="270" t="s">
        <v>152</v>
      </c>
      <c r="D95" s="271">
        <f ca="1">D60*0.9</f>
        <v>166.32000000000002</v>
      </c>
    </row>
    <row r="96" spans="1:9" outlineLevel="2">
      <c r="A96" s="275">
        <v>3</v>
      </c>
      <c r="B96" s="276" t="s">
        <v>197</v>
      </c>
      <c r="C96" s="365" t="s">
        <v>152</v>
      </c>
      <c r="D96" s="253">
        <f>D92*D124</f>
        <v>183.00954099999998</v>
      </c>
    </row>
    <row r="97" spans="1:4" outlineLevel="1">
      <c r="A97" s="413" t="s">
        <v>200</v>
      </c>
      <c r="B97" s="414"/>
      <c r="C97" s="264" t="s">
        <v>152</v>
      </c>
      <c r="D97" s="265">
        <f>'Base (8p) No Vis Nov 8 '!D5</f>
        <v>1360.98172</v>
      </c>
    </row>
    <row r="98" spans="1:4" outlineLevel="2">
      <c r="A98" s="365">
        <v>1</v>
      </c>
      <c r="B98" s="272" t="s">
        <v>199</v>
      </c>
      <c r="C98" s="273" t="s">
        <v>152</v>
      </c>
      <c r="D98" s="274">
        <f>D97-D100-D99</f>
        <v>1211.2737308000001</v>
      </c>
    </row>
    <row r="99" spans="1:4" outlineLevel="2">
      <c r="A99" s="365">
        <v>2</v>
      </c>
      <c r="B99" s="249" t="s">
        <v>189</v>
      </c>
      <c r="C99" s="365" t="s">
        <v>152</v>
      </c>
      <c r="D99" s="253">
        <v>0</v>
      </c>
    </row>
    <row r="100" spans="1:4" outlineLevel="2">
      <c r="A100" s="365">
        <v>3</v>
      </c>
      <c r="B100" s="249" t="s">
        <v>197</v>
      </c>
      <c r="C100" s="365" t="s">
        <v>152</v>
      </c>
      <c r="D100" s="253">
        <f>D97*D124</f>
        <v>149.70798920000001</v>
      </c>
    </row>
    <row r="101" spans="1:4" outlineLevel="1">
      <c r="A101" s="415" t="s">
        <v>201</v>
      </c>
      <c r="B101" s="416"/>
      <c r="C101" s="264" t="s">
        <v>152</v>
      </c>
      <c r="D101" s="265">
        <f>'Base (8p) No Vis Nov 8 '!D6</f>
        <v>1280.5475799999999</v>
      </c>
    </row>
    <row r="102" spans="1:4" outlineLevel="2">
      <c r="A102" s="365">
        <v>1</v>
      </c>
      <c r="B102" s="277" t="s">
        <v>199</v>
      </c>
      <c r="C102" s="273" t="s">
        <v>152</v>
      </c>
      <c r="D102" s="274">
        <f>D101-D104-D103</f>
        <v>1139.6873461999999</v>
      </c>
    </row>
    <row r="103" spans="1:4" outlineLevel="2">
      <c r="A103" s="365">
        <v>2</v>
      </c>
      <c r="B103" s="278" t="s">
        <v>47</v>
      </c>
      <c r="C103" s="365" t="s">
        <v>152</v>
      </c>
      <c r="D103" s="235">
        <v>0</v>
      </c>
    </row>
    <row r="104" spans="1:4" outlineLevel="2">
      <c r="A104" s="365">
        <v>3</v>
      </c>
      <c r="B104" s="278" t="s">
        <v>197</v>
      </c>
      <c r="C104" s="365" t="s">
        <v>152</v>
      </c>
      <c r="D104" s="253">
        <f>D101*D124</f>
        <v>140.8602338</v>
      </c>
    </row>
    <row r="105" spans="1:4" outlineLevel="1">
      <c r="A105" s="415" t="s">
        <v>202</v>
      </c>
      <c r="B105" s="416"/>
      <c r="C105" s="264" t="s">
        <v>152</v>
      </c>
      <c r="D105" s="265">
        <f>'Base (8p) No Vis Nov 8 '!D7</f>
        <v>1200.9564499999999</v>
      </c>
    </row>
    <row r="106" spans="1:4" outlineLevel="2">
      <c r="A106" s="365">
        <v>1</v>
      </c>
      <c r="B106" s="277" t="s">
        <v>199</v>
      </c>
      <c r="C106" s="273" t="s">
        <v>152</v>
      </c>
      <c r="D106" s="274">
        <f>D105-D108-D107</f>
        <v>1068.8512404999999</v>
      </c>
    </row>
    <row r="107" spans="1:4" outlineLevel="2">
      <c r="A107" s="365">
        <v>2</v>
      </c>
      <c r="B107" s="278" t="s">
        <v>47</v>
      </c>
      <c r="C107" s="365" t="s">
        <v>152</v>
      </c>
      <c r="D107" s="235">
        <v>0</v>
      </c>
    </row>
    <row r="108" spans="1:4" outlineLevel="2">
      <c r="A108" s="365">
        <v>3</v>
      </c>
      <c r="B108" s="278" t="s">
        <v>197</v>
      </c>
      <c r="C108" s="365" t="s">
        <v>152</v>
      </c>
      <c r="D108" s="279">
        <f>D105*D124</f>
        <v>132.1052095</v>
      </c>
    </row>
    <row r="109" spans="1:4" outlineLevel="1">
      <c r="A109" s="415" t="s">
        <v>203</v>
      </c>
      <c r="B109" s="416"/>
      <c r="C109" s="264" t="s">
        <v>152</v>
      </c>
      <c r="D109" s="265">
        <f>'Base (8p) No Vis Nov 8 '!D7</f>
        <v>1200.9564499999999</v>
      </c>
    </row>
    <row r="110" spans="1:4" outlineLevel="2">
      <c r="A110" s="365">
        <v>1</v>
      </c>
      <c r="B110" s="277" t="s">
        <v>199</v>
      </c>
      <c r="C110" s="273" t="s">
        <v>152</v>
      </c>
      <c r="D110" s="274">
        <f>D109-D112-D111</f>
        <v>1068.8512404999999</v>
      </c>
    </row>
    <row r="111" spans="1:4" outlineLevel="2">
      <c r="A111" s="365">
        <v>2</v>
      </c>
      <c r="B111" s="278" t="s">
        <v>47</v>
      </c>
      <c r="C111" s="365" t="s">
        <v>152</v>
      </c>
      <c r="D111" s="235">
        <v>0</v>
      </c>
    </row>
    <row r="112" spans="1:4" outlineLevel="2">
      <c r="A112" s="365">
        <v>3</v>
      </c>
      <c r="B112" s="278" t="s">
        <v>197</v>
      </c>
      <c r="C112" s="365" t="s">
        <v>152</v>
      </c>
      <c r="D112" s="279">
        <f>D109*D124</f>
        <v>132.1052095</v>
      </c>
    </row>
    <row r="113" spans="1:12" outlineLevel="1">
      <c r="A113" s="415" t="s">
        <v>204</v>
      </c>
      <c r="B113" s="416"/>
      <c r="C113" s="264" t="s">
        <v>152</v>
      </c>
      <c r="D113" s="265">
        <f>'Base (8p) No Vis Nov 8 '!D7</f>
        <v>1200.9564499999999</v>
      </c>
    </row>
    <row r="114" spans="1:12" outlineLevel="2">
      <c r="A114" s="365">
        <v>1</v>
      </c>
      <c r="B114" s="277" t="s">
        <v>199</v>
      </c>
      <c r="C114" s="273" t="s">
        <v>152</v>
      </c>
      <c r="D114" s="274">
        <f>D113-D116-D115</f>
        <v>1068.8512404999999</v>
      </c>
    </row>
    <row r="115" spans="1:12" outlineLevel="2">
      <c r="A115" s="365">
        <v>2</v>
      </c>
      <c r="B115" s="278" t="s">
        <v>47</v>
      </c>
      <c r="C115" s="365" t="s">
        <v>152</v>
      </c>
      <c r="D115" s="235">
        <v>0</v>
      </c>
    </row>
    <row r="116" spans="1:12" outlineLevel="2">
      <c r="A116" s="365">
        <v>3</v>
      </c>
      <c r="B116" s="278" t="s">
        <v>197</v>
      </c>
      <c r="C116" s="365" t="s">
        <v>152</v>
      </c>
      <c r="D116" s="279">
        <f>D113*D124</f>
        <v>132.1052095</v>
      </c>
    </row>
    <row r="117" spans="1:12" outlineLevel="1">
      <c r="A117" s="415" t="s">
        <v>205</v>
      </c>
      <c r="B117" s="416"/>
      <c r="C117" s="264" t="s">
        <v>152</v>
      </c>
      <c r="D117" s="265">
        <f>'Base (8p) No Vis Nov 8 '!D7</f>
        <v>1200.9564499999999</v>
      </c>
    </row>
    <row r="118" spans="1:12" outlineLevel="2">
      <c r="A118" s="365">
        <v>1</v>
      </c>
      <c r="B118" s="277" t="s">
        <v>199</v>
      </c>
      <c r="C118" s="273" t="s">
        <v>152</v>
      </c>
      <c r="D118" s="274">
        <f>D117-D120-D119</f>
        <v>1068.8512404999999</v>
      </c>
    </row>
    <row r="119" spans="1:12" outlineLevel="2">
      <c r="A119" s="365">
        <v>2</v>
      </c>
      <c r="B119" s="278" t="s">
        <v>47</v>
      </c>
      <c r="C119" s="365" t="s">
        <v>152</v>
      </c>
      <c r="D119" s="235">
        <v>0</v>
      </c>
    </row>
    <row r="120" spans="1:12" outlineLevel="2">
      <c r="A120" s="365">
        <v>3</v>
      </c>
      <c r="B120" s="278" t="s">
        <v>197</v>
      </c>
      <c r="C120" s="365" t="s">
        <v>152</v>
      </c>
      <c r="D120" s="279">
        <f>D117*D124</f>
        <v>132.1052095</v>
      </c>
      <c r="F120" t="s">
        <v>321</v>
      </c>
      <c r="G120" t="s">
        <v>223</v>
      </c>
      <c r="H120" t="s">
        <v>224</v>
      </c>
      <c r="J120" s="315" t="s">
        <v>197</v>
      </c>
      <c r="K120" t="s">
        <v>223</v>
      </c>
      <c r="L120" t="s">
        <v>224</v>
      </c>
    </row>
    <row r="121" spans="1:12" outlineLevel="1">
      <c r="A121" s="417" t="s">
        <v>206</v>
      </c>
      <c r="B121" s="418"/>
      <c r="C121" s="280" t="s">
        <v>152</v>
      </c>
      <c r="D121" s="281">
        <f ca="1">D118+D114+D110+D106+D102+D98+D93</f>
        <v>7404.0275599999986</v>
      </c>
      <c r="E121" s="240"/>
      <c r="F121" s="6">
        <f ca="1">D121-SUM(F52:F53)</f>
        <v>12.02755999999863</v>
      </c>
      <c r="G121" s="6">
        <f ca="1">F121*E52</f>
        <v>0</v>
      </c>
      <c r="H121" s="6">
        <f ca="1">F121*E53</f>
        <v>12.02755999999863</v>
      </c>
      <c r="J121" s="282">
        <f ca="1">D123*(D121/SUM(D121:D122))</f>
        <v>1036.3252805068203</v>
      </c>
      <c r="K121" s="314">
        <f ca="1">J121*E52</f>
        <v>0</v>
      </c>
      <c r="L121" s="314">
        <f ca="1">J121*E53</f>
        <v>1036.3252805068203</v>
      </c>
    </row>
    <row r="122" spans="1:12" outlineLevel="1">
      <c r="A122" s="419" t="s">
        <v>207</v>
      </c>
      <c r="B122" s="420"/>
      <c r="C122" s="284" t="s">
        <v>152</v>
      </c>
      <c r="D122" s="285">
        <f ca="1">D87</f>
        <v>1062.2649396923077</v>
      </c>
      <c r="E122" s="240"/>
      <c r="J122" s="282">
        <f ca="1">D123*(D122/SUM(D121:D122))</f>
        <v>148.68286249317956</v>
      </c>
      <c r="K122" s="282"/>
      <c r="L122" s="283"/>
    </row>
    <row r="123" spans="1:12" outlineLevel="1">
      <c r="A123" s="409" t="s">
        <v>208</v>
      </c>
      <c r="B123" s="410"/>
      <c r="C123" s="286" t="s">
        <v>152</v>
      </c>
      <c r="D123" s="287">
        <f>D120+D116+D112+D108+D104+D100+D96+D91</f>
        <v>1185.008143</v>
      </c>
      <c r="F123" s="288"/>
      <c r="G123" s="289"/>
      <c r="H123" s="290"/>
      <c r="I123" s="291"/>
      <c r="J123" s="291"/>
      <c r="K123" s="291"/>
    </row>
    <row r="124" spans="1:12" outlineLevel="1">
      <c r="A124" s="411"/>
      <c r="B124" s="412"/>
      <c r="C124" s="292" t="s">
        <v>0</v>
      </c>
      <c r="D124" s="293">
        <v>0.11</v>
      </c>
    </row>
  </sheetData>
  <mergeCells count="80">
    <mergeCell ref="A7:B7"/>
    <mergeCell ref="A1:D1"/>
    <mergeCell ref="A2:D2"/>
    <mergeCell ref="A4:D4"/>
    <mergeCell ref="A5:B5"/>
    <mergeCell ref="A6:B6"/>
    <mergeCell ref="C17:D17"/>
    <mergeCell ref="A18:D18"/>
    <mergeCell ref="A8:B8"/>
    <mergeCell ref="A9:B9"/>
    <mergeCell ref="A10:B10"/>
    <mergeCell ref="A11:B11"/>
    <mergeCell ref="A12:B12"/>
    <mergeCell ref="A13:B13"/>
    <mergeCell ref="A24:B24"/>
    <mergeCell ref="A14:B14"/>
    <mergeCell ref="A15:B15"/>
    <mergeCell ref="A16:B16"/>
    <mergeCell ref="A17:B17"/>
    <mergeCell ref="A19:B19"/>
    <mergeCell ref="A20:B20"/>
    <mergeCell ref="A21:B21"/>
    <mergeCell ref="A22:B22"/>
    <mergeCell ref="A23:B23"/>
    <mergeCell ref="A35:B35"/>
    <mergeCell ref="A25:B25"/>
    <mergeCell ref="A26:B26"/>
    <mergeCell ref="A27:B27"/>
    <mergeCell ref="A28:B28"/>
    <mergeCell ref="A29:B29"/>
    <mergeCell ref="A30:B30"/>
    <mergeCell ref="A31:B31"/>
    <mergeCell ref="A32:B32"/>
    <mergeCell ref="C32:D32"/>
    <mergeCell ref="A33:D33"/>
    <mergeCell ref="A34:B34"/>
    <mergeCell ref="A48:B49"/>
    <mergeCell ref="A36:B36"/>
    <mergeCell ref="A37:B37"/>
    <mergeCell ref="A38:B38"/>
    <mergeCell ref="A39:B39"/>
    <mergeCell ref="A40:B40"/>
    <mergeCell ref="A41:B41"/>
    <mergeCell ref="A42:B42"/>
    <mergeCell ref="A43:B43"/>
    <mergeCell ref="A44:B44"/>
    <mergeCell ref="A45:B45"/>
    <mergeCell ref="A46:B47"/>
    <mergeCell ref="A50:B50"/>
    <mergeCell ref="A54:D54"/>
    <mergeCell ref="A59:D59"/>
    <mergeCell ref="A67:D67"/>
    <mergeCell ref="A68:A69"/>
    <mergeCell ref="B68:B69"/>
    <mergeCell ref="A83:A84"/>
    <mergeCell ref="B83:B84"/>
    <mergeCell ref="A70:A71"/>
    <mergeCell ref="B70:B71"/>
    <mergeCell ref="A72:D72"/>
    <mergeCell ref="A74:D74"/>
    <mergeCell ref="A75:B75"/>
    <mergeCell ref="A76:A77"/>
    <mergeCell ref="B76:B77"/>
    <mergeCell ref="A78:B78"/>
    <mergeCell ref="A79:A80"/>
    <mergeCell ref="B79:B80"/>
    <mergeCell ref="A81:A82"/>
    <mergeCell ref="B81:B82"/>
    <mergeCell ref="A123:B124"/>
    <mergeCell ref="A85:D85"/>
    <mergeCell ref="A86:B86"/>
    <mergeCell ref="A92:B92"/>
    <mergeCell ref="A97:B97"/>
    <mergeCell ref="A101:B101"/>
    <mergeCell ref="A105:B105"/>
    <mergeCell ref="A109:B109"/>
    <mergeCell ref="A113:B113"/>
    <mergeCell ref="A117:B117"/>
    <mergeCell ref="A121:B121"/>
    <mergeCell ref="A122:B122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1664F8-D36D-4A57-B492-0EC1836FC9E8}">
  <dimension ref="A1:F33"/>
  <sheetViews>
    <sheetView topLeftCell="A13" workbookViewId="0">
      <selection activeCell="A30" sqref="A30:B30"/>
    </sheetView>
  </sheetViews>
  <sheetFormatPr baseColWidth="10" defaultRowHeight="14.4"/>
  <cols>
    <col min="1" max="1" width="28.6640625" customWidth="1"/>
    <col min="4" max="4" width="17.109375" customWidth="1"/>
    <col min="5" max="5" width="15.44140625" customWidth="1"/>
    <col min="6" max="6" width="18.44140625" customWidth="1"/>
  </cols>
  <sheetData>
    <row r="1" spans="1:6">
      <c r="A1" s="423" t="s">
        <v>209</v>
      </c>
      <c r="B1" s="424"/>
      <c r="C1" s="424"/>
      <c r="D1" s="424"/>
      <c r="E1" s="424"/>
      <c r="F1" s="425"/>
    </row>
    <row r="2" spans="1:6">
      <c r="A2" s="426" t="s">
        <v>210</v>
      </c>
      <c r="B2" s="423" t="s">
        <v>211</v>
      </c>
      <c r="C2" s="425"/>
      <c r="D2" s="363" t="s">
        <v>3</v>
      </c>
      <c r="E2" s="421" t="s">
        <v>212</v>
      </c>
      <c r="F2" s="422"/>
    </row>
    <row r="3" spans="1:6">
      <c r="A3" s="427"/>
      <c r="B3" s="428" t="s">
        <v>150</v>
      </c>
      <c r="C3" s="429"/>
      <c r="D3" s="364" t="s">
        <v>152</v>
      </c>
      <c r="E3" s="297"/>
      <c r="F3" s="364" t="s">
        <v>152</v>
      </c>
    </row>
    <row r="4" spans="1:6">
      <c r="A4" s="298" t="s">
        <v>213</v>
      </c>
      <c r="B4" s="430">
        <v>2</v>
      </c>
      <c r="C4" s="431"/>
      <c r="D4" s="299">
        <f>1663.7231</f>
        <v>1663.7230999999999</v>
      </c>
      <c r="E4" s="300" t="s">
        <v>1</v>
      </c>
      <c r="F4" s="301">
        <f>B4*D4</f>
        <v>3327.4461999999999</v>
      </c>
    </row>
    <row r="5" spans="1:6">
      <c r="A5" s="298" t="s">
        <v>200</v>
      </c>
      <c r="B5" s="430">
        <v>1</v>
      </c>
      <c r="C5" s="431"/>
      <c r="D5" s="299">
        <v>1360.98172</v>
      </c>
      <c r="E5" s="300" t="s">
        <v>1</v>
      </c>
      <c r="F5" s="301">
        <f t="shared" ref="F5:F7" si="0">B5*D5</f>
        <v>1360.98172</v>
      </c>
    </row>
    <row r="6" spans="1:6">
      <c r="A6" s="298" t="s">
        <v>201</v>
      </c>
      <c r="B6" s="430">
        <v>1</v>
      </c>
      <c r="C6" s="431"/>
      <c r="D6" s="299">
        <v>1280.5475799999999</v>
      </c>
      <c r="E6" s="300" t="s">
        <v>214</v>
      </c>
      <c r="F6" s="301">
        <f t="shared" si="0"/>
        <v>1280.5475799999999</v>
      </c>
    </row>
    <row r="7" spans="1:6">
      <c r="A7" s="302" t="s">
        <v>215</v>
      </c>
      <c r="B7" s="430">
        <v>4</v>
      </c>
      <c r="C7" s="431"/>
      <c r="D7" s="299">
        <v>1200.9564499999999</v>
      </c>
      <c r="E7" s="300" t="s">
        <v>1</v>
      </c>
      <c r="F7" s="301">
        <f t="shared" si="0"/>
        <v>4803.8257999999996</v>
      </c>
    </row>
    <row r="8" spans="1:6">
      <c r="A8" s="302" t="s">
        <v>216</v>
      </c>
      <c r="B8" s="432">
        <f>SUM(B4:B7)</f>
        <v>8</v>
      </c>
      <c r="C8" s="433"/>
      <c r="D8" s="303" t="s">
        <v>217</v>
      </c>
      <c r="E8" s="363" t="s">
        <v>1</v>
      </c>
      <c r="F8" s="304">
        <f>SUM(F4:F7)</f>
        <v>10772.801299999999</v>
      </c>
    </row>
    <row r="10" spans="1:6">
      <c r="A10" s="421" t="s">
        <v>218</v>
      </c>
      <c r="B10" s="434"/>
      <c r="C10" s="434"/>
      <c r="D10" s="434"/>
      <c r="E10" s="434"/>
      <c r="F10" s="422"/>
    </row>
    <row r="11" spans="1:6">
      <c r="A11" s="369" t="s">
        <v>219</v>
      </c>
      <c r="B11" s="305" t="s">
        <v>220</v>
      </c>
      <c r="C11" s="421" t="s">
        <v>2</v>
      </c>
      <c r="D11" s="422"/>
      <c r="E11" s="421" t="s">
        <v>212</v>
      </c>
      <c r="F11" s="422"/>
    </row>
    <row r="12" spans="1:6">
      <c r="A12" s="370" t="s">
        <v>150</v>
      </c>
      <c r="B12" s="306" t="s">
        <v>152</v>
      </c>
      <c r="C12" s="437" t="s">
        <v>150</v>
      </c>
      <c r="D12" s="438"/>
      <c r="E12" s="370"/>
      <c r="F12" s="371" t="s">
        <v>152</v>
      </c>
    </row>
    <row r="13" spans="1:6">
      <c r="A13" s="307">
        <v>1</v>
      </c>
      <c r="B13" s="308">
        <v>45.6</v>
      </c>
      <c r="C13" s="435">
        <v>1</v>
      </c>
      <c r="D13" s="436"/>
      <c r="E13" s="300" t="s">
        <v>1</v>
      </c>
      <c r="F13" s="309">
        <f>C13*B13</f>
        <v>45.6</v>
      </c>
    </row>
    <row r="14" spans="1:6">
      <c r="A14" s="310">
        <v>2</v>
      </c>
      <c r="B14" s="308">
        <v>61.3</v>
      </c>
      <c r="C14" s="435">
        <v>3</v>
      </c>
      <c r="D14" s="436"/>
      <c r="E14" s="300" t="s">
        <v>1</v>
      </c>
      <c r="F14" s="309">
        <f t="shared" ref="F14:F32" si="1">C14*B14</f>
        <v>183.89999999999998</v>
      </c>
    </row>
    <row r="15" spans="1:6">
      <c r="A15" s="310">
        <v>3</v>
      </c>
      <c r="B15" s="308">
        <v>86</v>
      </c>
      <c r="C15" s="435">
        <v>2</v>
      </c>
      <c r="D15" s="436"/>
      <c r="E15" s="300" t="s">
        <v>1</v>
      </c>
      <c r="F15" s="309">
        <f t="shared" si="1"/>
        <v>172</v>
      </c>
    </row>
    <row r="16" spans="1:6">
      <c r="A16" s="307">
        <v>4</v>
      </c>
      <c r="B16" s="308">
        <v>109.9</v>
      </c>
      <c r="C16" s="435">
        <v>2</v>
      </c>
      <c r="D16" s="436"/>
      <c r="E16" s="300" t="s">
        <v>1</v>
      </c>
      <c r="F16" s="309">
        <f t="shared" si="1"/>
        <v>219.8</v>
      </c>
    </row>
    <row r="17" spans="1:6">
      <c r="A17" s="310">
        <v>5</v>
      </c>
      <c r="B17" s="308">
        <v>138.9</v>
      </c>
      <c r="C17" s="435">
        <v>1</v>
      </c>
      <c r="D17" s="436"/>
      <c r="E17" s="300" t="s">
        <v>1</v>
      </c>
      <c r="F17" s="309">
        <f t="shared" si="1"/>
        <v>138.9</v>
      </c>
    </row>
    <row r="18" spans="1:6">
      <c r="A18" s="310">
        <v>6</v>
      </c>
      <c r="B18" s="308">
        <v>139.6</v>
      </c>
      <c r="C18" s="435">
        <v>2</v>
      </c>
      <c r="D18" s="436"/>
      <c r="E18" s="300" t="s">
        <v>1</v>
      </c>
      <c r="F18" s="309">
        <f t="shared" si="1"/>
        <v>279.2</v>
      </c>
    </row>
    <row r="19" spans="1:6">
      <c r="A19" s="307">
        <v>7</v>
      </c>
      <c r="B19" s="308">
        <v>123</v>
      </c>
      <c r="C19" s="435">
        <v>2</v>
      </c>
      <c r="D19" s="436"/>
      <c r="E19" s="300" t="s">
        <v>1</v>
      </c>
      <c r="F19" s="309">
        <f t="shared" si="1"/>
        <v>246</v>
      </c>
    </row>
    <row r="20" spans="1:6">
      <c r="A20" s="310">
        <v>8</v>
      </c>
      <c r="B20" s="308">
        <v>67</v>
      </c>
      <c r="C20" s="435">
        <v>2</v>
      </c>
      <c r="D20" s="436"/>
      <c r="E20" s="300" t="s">
        <v>1</v>
      </c>
      <c r="F20" s="309">
        <f t="shared" si="1"/>
        <v>134</v>
      </c>
    </row>
    <row r="21" spans="1:6">
      <c r="A21" s="310">
        <v>9</v>
      </c>
      <c r="B21" s="308">
        <v>125.6</v>
      </c>
      <c r="C21" s="435">
        <v>3</v>
      </c>
      <c r="D21" s="436"/>
      <c r="E21" s="300" t="s">
        <v>1</v>
      </c>
      <c r="F21" s="309">
        <f t="shared" si="1"/>
        <v>376.79999999999995</v>
      </c>
    </row>
    <row r="22" spans="1:6">
      <c r="A22" s="307">
        <v>10</v>
      </c>
      <c r="B22" s="308">
        <v>170.9</v>
      </c>
      <c r="C22" s="435">
        <v>3</v>
      </c>
      <c r="D22" s="436"/>
      <c r="E22" s="300" t="s">
        <v>1</v>
      </c>
      <c r="F22" s="309">
        <f t="shared" si="1"/>
        <v>512.70000000000005</v>
      </c>
    </row>
    <row r="23" spans="1:6">
      <c r="A23" s="310">
        <v>11</v>
      </c>
      <c r="B23" s="308">
        <v>171</v>
      </c>
      <c r="C23" s="435">
        <v>1</v>
      </c>
      <c r="D23" s="436"/>
      <c r="E23" s="300" t="s">
        <v>1</v>
      </c>
      <c r="F23" s="309">
        <f t="shared" si="1"/>
        <v>171</v>
      </c>
    </row>
    <row r="24" spans="1:6">
      <c r="A24" s="310">
        <v>12</v>
      </c>
      <c r="B24" s="308">
        <v>170.8</v>
      </c>
      <c r="C24" s="435">
        <v>2</v>
      </c>
      <c r="D24" s="436"/>
      <c r="E24" s="300" t="s">
        <v>1</v>
      </c>
      <c r="F24" s="309">
        <f t="shared" si="1"/>
        <v>341.6</v>
      </c>
    </row>
    <row r="25" spans="1:6">
      <c r="A25" s="307">
        <v>13</v>
      </c>
      <c r="B25" s="308">
        <v>171</v>
      </c>
      <c r="C25" s="435">
        <v>2</v>
      </c>
      <c r="D25" s="436"/>
      <c r="E25" s="300" t="s">
        <v>1</v>
      </c>
      <c r="F25" s="309">
        <f t="shared" si="1"/>
        <v>342</v>
      </c>
    </row>
    <row r="26" spans="1:6">
      <c r="A26" s="310">
        <v>14</v>
      </c>
      <c r="B26" s="308">
        <v>171.1</v>
      </c>
      <c r="C26" s="435">
        <v>2</v>
      </c>
      <c r="D26" s="436"/>
      <c r="E26" s="300" t="s">
        <v>1</v>
      </c>
      <c r="F26" s="309">
        <f t="shared" si="1"/>
        <v>342.2</v>
      </c>
    </row>
    <row r="27" spans="1:6">
      <c r="A27" s="310">
        <v>15</v>
      </c>
      <c r="B27" s="308">
        <v>170.6</v>
      </c>
      <c r="C27" s="435">
        <v>1</v>
      </c>
      <c r="D27" s="436"/>
      <c r="E27" s="300" t="s">
        <v>1</v>
      </c>
      <c r="F27" s="309">
        <f t="shared" si="1"/>
        <v>170.6</v>
      </c>
    </row>
    <row r="28" spans="1:6">
      <c r="A28" s="307">
        <v>16</v>
      </c>
      <c r="B28" s="308">
        <v>140.4</v>
      </c>
      <c r="C28" s="435">
        <v>3</v>
      </c>
      <c r="D28" s="436"/>
      <c r="E28" s="300" t="s">
        <v>1</v>
      </c>
      <c r="F28" s="309">
        <f t="shared" si="1"/>
        <v>421.20000000000005</v>
      </c>
    </row>
    <row r="29" spans="1:6">
      <c r="A29" s="310">
        <v>17</v>
      </c>
      <c r="B29" s="308">
        <v>111.3</v>
      </c>
      <c r="C29" s="435">
        <v>1</v>
      </c>
      <c r="D29" s="436"/>
      <c r="E29" s="300" t="s">
        <v>1</v>
      </c>
      <c r="F29" s="309">
        <f t="shared" si="1"/>
        <v>111.3</v>
      </c>
    </row>
    <row r="30" spans="1:6">
      <c r="A30" s="310">
        <v>18</v>
      </c>
      <c r="B30" s="308">
        <v>86.3</v>
      </c>
      <c r="C30" s="435">
        <v>2</v>
      </c>
      <c r="D30" s="436"/>
      <c r="E30" s="300" t="s">
        <v>1</v>
      </c>
      <c r="F30" s="309">
        <f t="shared" si="1"/>
        <v>172.6</v>
      </c>
    </row>
    <row r="31" spans="1:6">
      <c r="A31" s="307">
        <v>19</v>
      </c>
      <c r="B31" s="308">
        <v>62</v>
      </c>
      <c r="C31" s="435">
        <v>2</v>
      </c>
      <c r="D31" s="436"/>
      <c r="E31" s="300" t="s">
        <v>1</v>
      </c>
      <c r="F31" s="309">
        <f t="shared" si="1"/>
        <v>124</v>
      </c>
    </row>
    <row r="32" spans="1:6">
      <c r="A32" s="310">
        <v>20</v>
      </c>
      <c r="B32" s="308">
        <v>47.3</v>
      </c>
      <c r="C32" s="435">
        <v>2</v>
      </c>
      <c r="D32" s="436"/>
      <c r="E32" s="300" t="s">
        <v>1</v>
      </c>
      <c r="F32" s="309">
        <f t="shared" si="1"/>
        <v>94.6</v>
      </c>
    </row>
    <row r="33" spans="1:6">
      <c r="A33" s="372" t="s">
        <v>221</v>
      </c>
      <c r="B33" s="311">
        <f>SUM(B13:B32)</f>
        <v>2369.6000000000004</v>
      </c>
      <c r="C33" s="439" t="s">
        <v>222</v>
      </c>
      <c r="D33" s="440"/>
      <c r="E33" s="300" t="s">
        <v>1</v>
      </c>
      <c r="F33" s="311">
        <f>SUM(F13:F32)</f>
        <v>4600</v>
      </c>
    </row>
  </sheetData>
  <mergeCells count="35">
    <mergeCell ref="C11:D11"/>
    <mergeCell ref="E11:F11"/>
    <mergeCell ref="A1:F1"/>
    <mergeCell ref="A2:A3"/>
    <mergeCell ref="B2:C2"/>
    <mergeCell ref="E2:F2"/>
    <mergeCell ref="B3:C3"/>
    <mergeCell ref="B4:C4"/>
    <mergeCell ref="B5:C5"/>
    <mergeCell ref="B6:C6"/>
    <mergeCell ref="B7:C7"/>
    <mergeCell ref="B8:C8"/>
    <mergeCell ref="A10:F10"/>
    <mergeCell ref="C23:D23"/>
    <mergeCell ref="C12:D12"/>
    <mergeCell ref="C13:D13"/>
    <mergeCell ref="C14:D14"/>
    <mergeCell ref="C15:D15"/>
    <mergeCell ref="C16:D16"/>
    <mergeCell ref="C17:D17"/>
    <mergeCell ref="C18:D18"/>
    <mergeCell ref="C19:D19"/>
    <mergeCell ref="C20:D20"/>
    <mergeCell ref="C21:D21"/>
    <mergeCell ref="C22:D22"/>
    <mergeCell ref="C30:D30"/>
    <mergeCell ref="C31:D31"/>
    <mergeCell ref="C32:D32"/>
    <mergeCell ref="C33:D33"/>
    <mergeCell ref="C24:D24"/>
    <mergeCell ref="C25:D25"/>
    <mergeCell ref="C26:D26"/>
    <mergeCell ref="C27:D27"/>
    <mergeCell ref="C28:D28"/>
    <mergeCell ref="C29:D29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74278F-DE21-4DF1-A171-476DAC76FA59}">
  <dimension ref="A1:L124"/>
  <sheetViews>
    <sheetView topLeftCell="B75" zoomScaleNormal="100" workbookViewId="0">
      <selection activeCell="F120" sqref="F120:L122"/>
    </sheetView>
  </sheetViews>
  <sheetFormatPr baseColWidth="10" defaultRowHeight="15.6" outlineLevelRow="2"/>
  <cols>
    <col min="1" max="1" width="5" style="294" customWidth="1"/>
    <col min="2" max="2" width="61.33203125" style="295" customWidth="1"/>
    <col min="3" max="3" width="12.6640625" style="294" customWidth="1"/>
    <col min="4" max="4" width="19.44140625" style="296" customWidth="1"/>
    <col min="5" max="5" width="9.44140625" customWidth="1"/>
    <col min="6" max="6" width="30.33203125" bestFit="1" customWidth="1"/>
    <col min="7" max="7" width="11.6640625" bestFit="1" customWidth="1"/>
  </cols>
  <sheetData>
    <row r="1" spans="1:7" ht="15" customHeight="1">
      <c r="A1" s="377" t="s">
        <v>134</v>
      </c>
      <c r="B1" s="377"/>
      <c r="C1" s="377"/>
      <c r="D1" s="377"/>
      <c r="E1" s="224"/>
      <c r="F1" s="224"/>
      <c r="G1" s="224"/>
    </row>
    <row r="2" spans="1:7" ht="15" customHeight="1">
      <c r="A2" s="378" t="s">
        <v>135</v>
      </c>
      <c r="B2" s="378"/>
      <c r="C2" s="378"/>
      <c r="D2" s="378"/>
      <c r="E2" s="225"/>
      <c r="F2" s="225"/>
      <c r="G2" s="225"/>
    </row>
    <row r="4" spans="1:7">
      <c r="A4" s="379" t="s">
        <v>136</v>
      </c>
      <c r="B4" s="380"/>
      <c r="C4" s="380"/>
      <c r="D4" s="381"/>
    </row>
    <row r="5" spans="1:7" hidden="1" outlineLevel="1">
      <c r="A5" s="375" t="s">
        <v>137</v>
      </c>
      <c r="B5" s="376"/>
      <c r="C5" s="226" t="s">
        <v>138</v>
      </c>
      <c r="D5" s="227">
        <v>59</v>
      </c>
    </row>
    <row r="6" spans="1:7" hidden="1" outlineLevel="1">
      <c r="A6" s="375" t="s">
        <v>139</v>
      </c>
      <c r="B6" s="376"/>
      <c r="C6" s="226" t="s">
        <v>138</v>
      </c>
      <c r="D6" s="227">
        <v>11.56</v>
      </c>
    </row>
    <row r="7" spans="1:7" hidden="1" outlineLevel="1">
      <c r="A7" s="375" t="s">
        <v>140</v>
      </c>
      <c r="B7" s="376"/>
      <c r="C7" s="226" t="s">
        <v>138</v>
      </c>
      <c r="D7" s="227">
        <v>10.17</v>
      </c>
    </row>
    <row r="8" spans="1:7" hidden="1" outlineLevel="1">
      <c r="A8" s="375" t="s">
        <v>141</v>
      </c>
      <c r="B8" s="376"/>
      <c r="C8" s="226" t="s">
        <v>138</v>
      </c>
      <c r="D8" s="227">
        <v>12.4</v>
      </c>
    </row>
    <row r="9" spans="1:7" hidden="1" outlineLevel="1">
      <c r="A9" s="375" t="s">
        <v>142</v>
      </c>
      <c r="B9" s="376"/>
      <c r="C9" s="226" t="s">
        <v>138</v>
      </c>
      <c r="D9" s="228" t="s">
        <v>143</v>
      </c>
    </row>
    <row r="10" spans="1:7" hidden="1" outlineLevel="1">
      <c r="A10" s="375" t="s">
        <v>144</v>
      </c>
      <c r="B10" s="376"/>
      <c r="C10" s="226" t="s">
        <v>138</v>
      </c>
      <c r="D10" s="229">
        <v>0.6</v>
      </c>
    </row>
    <row r="11" spans="1:7" hidden="1" outlineLevel="1">
      <c r="A11" s="375" t="s">
        <v>145</v>
      </c>
      <c r="B11" s="376"/>
      <c r="C11" s="226" t="s">
        <v>138</v>
      </c>
      <c r="D11" s="229">
        <v>0.6</v>
      </c>
    </row>
    <row r="12" spans="1:7" hidden="1" outlineLevel="1">
      <c r="A12" s="375" t="s">
        <v>146</v>
      </c>
      <c r="B12" s="376"/>
      <c r="C12" s="226" t="s">
        <v>138</v>
      </c>
      <c r="D12" s="229">
        <v>0.6</v>
      </c>
    </row>
    <row r="13" spans="1:7" hidden="1" outlineLevel="1">
      <c r="A13" s="375" t="s">
        <v>147</v>
      </c>
      <c r="B13" s="376"/>
      <c r="C13" s="226" t="s">
        <v>138</v>
      </c>
      <c r="D13" s="229">
        <v>0.6</v>
      </c>
    </row>
    <row r="14" spans="1:7" hidden="1" outlineLevel="1">
      <c r="A14" s="383" t="s">
        <v>148</v>
      </c>
      <c r="B14" s="384"/>
      <c r="C14" s="226" t="s">
        <v>138</v>
      </c>
      <c r="D14" s="230">
        <v>0.6</v>
      </c>
    </row>
    <row r="15" spans="1:7" hidden="1" outlineLevel="1">
      <c r="A15" s="383" t="s">
        <v>149</v>
      </c>
      <c r="B15" s="384"/>
      <c r="C15" s="231" t="s">
        <v>150</v>
      </c>
      <c r="D15" s="232">
        <v>2</v>
      </c>
    </row>
    <row r="16" spans="1:7" hidden="1" outlineLevel="1">
      <c r="A16" s="385" t="s">
        <v>151</v>
      </c>
      <c r="B16" s="386"/>
      <c r="C16" s="231" t="s">
        <v>152</v>
      </c>
      <c r="D16" s="233">
        <v>5313.9177200000004</v>
      </c>
    </row>
    <row r="17" spans="1:4" hidden="1" outlineLevel="1">
      <c r="A17" s="375" t="s">
        <v>153</v>
      </c>
      <c r="B17" s="376"/>
      <c r="C17" s="382" t="s">
        <v>113</v>
      </c>
      <c r="D17" s="382"/>
    </row>
    <row r="18" spans="1:4" collapsed="1">
      <c r="A18" s="379" t="s">
        <v>154</v>
      </c>
      <c r="B18" s="380"/>
      <c r="C18" s="380"/>
      <c r="D18" s="381"/>
    </row>
    <row r="19" spans="1:4" outlineLevel="1">
      <c r="A19" s="375" t="s">
        <v>137</v>
      </c>
      <c r="B19" s="376"/>
      <c r="C19" s="226" t="s">
        <v>138</v>
      </c>
      <c r="D19" s="227">
        <v>59</v>
      </c>
    </row>
    <row r="20" spans="1:4" outlineLevel="1">
      <c r="A20" s="375" t="s">
        <v>139</v>
      </c>
      <c r="B20" s="376"/>
      <c r="C20" s="226" t="s">
        <v>138</v>
      </c>
      <c r="D20" s="227">
        <v>16</v>
      </c>
    </row>
    <row r="21" spans="1:4" outlineLevel="1">
      <c r="A21" s="375" t="s">
        <v>140</v>
      </c>
      <c r="B21" s="376"/>
      <c r="C21" s="226" t="s">
        <v>138</v>
      </c>
      <c r="D21" s="227">
        <v>16</v>
      </c>
    </row>
    <row r="22" spans="1:4" outlineLevel="1">
      <c r="A22" s="375" t="s">
        <v>141</v>
      </c>
      <c r="B22" s="376"/>
      <c r="C22" s="226" t="s">
        <v>138</v>
      </c>
      <c r="D22" s="227">
        <v>14</v>
      </c>
    </row>
    <row r="23" spans="1:4" outlineLevel="1">
      <c r="A23" s="375" t="s">
        <v>142</v>
      </c>
      <c r="B23" s="376"/>
      <c r="C23" s="226" t="s">
        <v>138</v>
      </c>
      <c r="D23" s="228" t="s">
        <v>143</v>
      </c>
    </row>
    <row r="24" spans="1:4" outlineLevel="1">
      <c r="A24" s="375" t="s">
        <v>144</v>
      </c>
      <c r="B24" s="376"/>
      <c r="C24" s="226" t="s">
        <v>138</v>
      </c>
      <c r="D24" s="229">
        <v>0.6</v>
      </c>
    </row>
    <row r="25" spans="1:4" outlineLevel="1">
      <c r="A25" s="375" t="s">
        <v>145</v>
      </c>
      <c r="B25" s="376"/>
      <c r="C25" s="226" t="s">
        <v>138</v>
      </c>
      <c r="D25" s="229">
        <v>0.6</v>
      </c>
    </row>
    <row r="26" spans="1:4" outlineLevel="1">
      <c r="A26" s="375" t="s">
        <v>146</v>
      </c>
      <c r="B26" s="376"/>
      <c r="C26" s="226" t="s">
        <v>138</v>
      </c>
      <c r="D26" s="229">
        <v>0.6</v>
      </c>
    </row>
    <row r="27" spans="1:4" outlineLevel="1">
      <c r="A27" s="375" t="s">
        <v>147</v>
      </c>
      <c r="B27" s="376"/>
      <c r="C27" s="226" t="s">
        <v>138</v>
      </c>
      <c r="D27" s="229">
        <v>0.6</v>
      </c>
    </row>
    <row r="28" spans="1:4" outlineLevel="1">
      <c r="A28" s="383" t="s">
        <v>148</v>
      </c>
      <c r="B28" s="384"/>
      <c r="C28" s="226" t="s">
        <v>138</v>
      </c>
      <c r="D28" s="230">
        <v>0.6</v>
      </c>
    </row>
    <row r="29" spans="1:4" outlineLevel="1">
      <c r="A29" s="383" t="s">
        <v>155</v>
      </c>
      <c r="B29" s="384"/>
      <c r="C29" s="231" t="s">
        <v>150</v>
      </c>
      <c r="D29" s="234">
        <v>3</v>
      </c>
    </row>
    <row r="30" spans="1:4" outlineLevel="1">
      <c r="A30" s="383" t="s">
        <v>156</v>
      </c>
      <c r="B30" s="384"/>
      <c r="C30" s="231" t="s">
        <v>150</v>
      </c>
      <c r="D30" s="234">
        <v>5</v>
      </c>
    </row>
    <row r="31" spans="1:4" outlineLevel="1">
      <c r="A31" s="385" t="s">
        <v>151</v>
      </c>
      <c r="B31" s="386"/>
      <c r="C31" s="231" t="s">
        <v>152</v>
      </c>
      <c r="D31" s="233">
        <v>5313.9177200000004</v>
      </c>
    </row>
    <row r="32" spans="1:4" outlineLevel="1">
      <c r="A32" s="375" t="s">
        <v>153</v>
      </c>
      <c r="B32" s="376"/>
      <c r="C32" s="391" t="s">
        <v>157</v>
      </c>
      <c r="D32" s="391"/>
    </row>
    <row r="33" spans="1:8">
      <c r="A33" s="379" t="s">
        <v>117</v>
      </c>
      <c r="B33" s="380"/>
      <c r="C33" s="380"/>
      <c r="D33" s="381"/>
    </row>
    <row r="34" spans="1:8" outlineLevel="1">
      <c r="A34" s="392" t="s">
        <v>43</v>
      </c>
      <c r="B34" s="393"/>
      <c r="C34" s="365" t="s">
        <v>150</v>
      </c>
      <c r="D34" s="235">
        <f>'Base (8p) Nov 8'!A32</f>
        <v>20</v>
      </c>
      <c r="G34" s="236"/>
      <c r="H34" s="237"/>
    </row>
    <row r="35" spans="1:8" outlineLevel="1">
      <c r="A35" s="385" t="s">
        <v>158</v>
      </c>
      <c r="B35" s="386"/>
      <c r="C35" s="238" t="s">
        <v>152</v>
      </c>
      <c r="D35" s="239">
        <f>'Base (8p) Nov 8'!B33</f>
        <v>2369.6000000000004</v>
      </c>
      <c r="F35" s="240"/>
      <c r="G35" s="6"/>
    </row>
    <row r="36" spans="1:8" outlineLevel="1">
      <c r="A36" s="383" t="s">
        <v>159</v>
      </c>
      <c r="B36" s="384"/>
      <c r="C36" s="241" t="s">
        <v>152</v>
      </c>
      <c r="D36" s="242">
        <f>'Base (8p) Nov 8'!F33</f>
        <v>4600</v>
      </c>
    </row>
    <row r="37" spans="1:8" outlineLevel="1">
      <c r="A37" s="385" t="s">
        <v>160</v>
      </c>
      <c r="B37" s="386"/>
      <c r="C37" s="238" t="s">
        <v>152</v>
      </c>
      <c r="D37" s="239">
        <f>'Base (8p) Nov 8'!F8</f>
        <v>10772.801299999999</v>
      </c>
    </row>
    <row r="38" spans="1:8" outlineLevel="1">
      <c r="A38" s="383" t="s">
        <v>161</v>
      </c>
      <c r="B38" s="384"/>
      <c r="C38" s="241" t="s">
        <v>152</v>
      </c>
      <c r="D38" s="242">
        <f>D37-D36</f>
        <v>6172.8012999999992</v>
      </c>
    </row>
    <row r="39" spans="1:8" outlineLevel="1">
      <c r="A39" s="392" t="s">
        <v>162</v>
      </c>
      <c r="B39" s="393"/>
      <c r="C39" s="365" t="s">
        <v>152</v>
      </c>
      <c r="D39" s="243">
        <f>D35</f>
        <v>2369.6000000000004</v>
      </c>
      <c r="E39" s="6"/>
    </row>
    <row r="40" spans="1:8" outlineLevel="1">
      <c r="A40" s="375" t="s">
        <v>163</v>
      </c>
      <c r="B40" s="376"/>
      <c r="C40" s="241" t="s">
        <v>150</v>
      </c>
      <c r="D40" s="244">
        <f>D36/D35</f>
        <v>1.941255908170155</v>
      </c>
    </row>
    <row r="41" spans="1:8" outlineLevel="1">
      <c r="A41" s="394" t="s">
        <v>164</v>
      </c>
      <c r="B41" s="395"/>
      <c r="C41" s="238" t="s">
        <v>150</v>
      </c>
      <c r="D41" s="245">
        <f>D37/D35</f>
        <v>4.5462530806887225</v>
      </c>
    </row>
    <row r="42" spans="1:8" outlineLevel="1">
      <c r="A42" s="394" t="s">
        <v>332</v>
      </c>
      <c r="B42" s="395"/>
      <c r="C42" s="238" t="s">
        <v>150</v>
      </c>
      <c r="D42" s="245">
        <f ca="1">(D121+D122-(D52*42))/D35</f>
        <v>2.9507616506518457</v>
      </c>
      <c r="E42" s="236"/>
    </row>
    <row r="43" spans="1:8" outlineLevel="1">
      <c r="A43" s="394" t="s">
        <v>166</v>
      </c>
      <c r="B43" s="395"/>
      <c r="C43" s="246" t="s">
        <v>150</v>
      </c>
      <c r="D43" s="247">
        <f ca="1">D41-D42</f>
        <v>1.5954914300368768</v>
      </c>
    </row>
    <row r="44" spans="1:8" outlineLevel="1">
      <c r="A44" s="375" t="s">
        <v>167</v>
      </c>
      <c r="B44" s="376"/>
      <c r="C44" s="226" t="s">
        <v>138</v>
      </c>
      <c r="D44" s="242">
        <v>3.3</v>
      </c>
      <c r="F44" s="6"/>
    </row>
    <row r="45" spans="1:8" outlineLevel="1">
      <c r="A45" s="375" t="s">
        <v>168</v>
      </c>
      <c r="B45" s="376"/>
      <c r="C45" s="226" t="s">
        <v>138</v>
      </c>
      <c r="D45" s="242">
        <v>3.8</v>
      </c>
    </row>
    <row r="46" spans="1:8" outlineLevel="1">
      <c r="A46" s="387" t="s">
        <v>169</v>
      </c>
      <c r="B46" s="388"/>
      <c r="C46" s="226" t="s">
        <v>138</v>
      </c>
      <c r="D46" s="242">
        <v>13.2</v>
      </c>
    </row>
    <row r="47" spans="1:8" outlineLevel="1">
      <c r="A47" s="389"/>
      <c r="B47" s="390"/>
      <c r="C47" s="365" t="s">
        <v>150</v>
      </c>
      <c r="D47" s="235">
        <f>D29</f>
        <v>3</v>
      </c>
    </row>
    <row r="48" spans="1:8" ht="15" customHeight="1" outlineLevel="1">
      <c r="A48" s="387" t="s">
        <v>170</v>
      </c>
      <c r="B48" s="388"/>
      <c r="C48" s="231" t="s">
        <v>138</v>
      </c>
      <c r="D48" s="239">
        <f>((D49-1)*3.3)+3.8</f>
        <v>26.9</v>
      </c>
    </row>
    <row r="49" spans="1:7" outlineLevel="1">
      <c r="A49" s="389"/>
      <c r="B49" s="390"/>
      <c r="C49" s="365" t="s">
        <v>150</v>
      </c>
      <c r="D49" s="235">
        <v>8</v>
      </c>
    </row>
    <row r="50" spans="1:7" outlineLevel="1">
      <c r="A50" s="394" t="s">
        <v>171</v>
      </c>
      <c r="B50" s="395"/>
      <c r="C50" s="231" t="s">
        <v>150</v>
      </c>
      <c r="D50" s="239">
        <f ca="1">D51+D52+D53</f>
        <v>175</v>
      </c>
      <c r="E50" s="240"/>
    </row>
    <row r="51" spans="1:7" outlineLevel="1">
      <c r="A51" s="365">
        <v>1</v>
      </c>
      <c r="B51" s="367" t="s">
        <v>172</v>
      </c>
      <c r="C51" s="226" t="s">
        <v>150</v>
      </c>
      <c r="D51" s="248">
        <v>0</v>
      </c>
      <c r="E51" s="5">
        <f ca="1">D51/D50</f>
        <v>0</v>
      </c>
      <c r="G51" s="6"/>
    </row>
    <row r="52" spans="1:7" outlineLevel="2">
      <c r="A52" s="365">
        <v>2</v>
      </c>
      <c r="B52" s="367" t="s">
        <v>173</v>
      </c>
      <c r="C52" s="226" t="s">
        <v>150</v>
      </c>
      <c r="D52" s="248">
        <f ca="1">INT((D121*20%)/42)</f>
        <v>35</v>
      </c>
      <c r="E52" s="5">
        <f ca="1">D52/D50</f>
        <v>0.2</v>
      </c>
      <c r="F52" s="6">
        <f ca="1">D52*42</f>
        <v>1470</v>
      </c>
      <c r="G52" s="6"/>
    </row>
    <row r="53" spans="1:7" outlineLevel="2">
      <c r="A53" s="365">
        <v>3</v>
      </c>
      <c r="B53" s="367" t="s">
        <v>174</v>
      </c>
      <c r="C53" s="226" t="s">
        <v>150</v>
      </c>
      <c r="D53" s="248">
        <f ca="1">INT((D121*80%)/42)</f>
        <v>140</v>
      </c>
      <c r="E53" s="5">
        <f ca="1">D53/D50</f>
        <v>0.8</v>
      </c>
      <c r="F53" s="6">
        <f ca="1">D53*42</f>
        <v>5880</v>
      </c>
    </row>
    <row r="54" spans="1:7">
      <c r="A54" s="396" t="s">
        <v>47</v>
      </c>
      <c r="B54" s="396"/>
      <c r="C54" s="396"/>
      <c r="D54" s="396"/>
    </row>
    <row r="55" spans="1:7">
      <c r="A55" s="351">
        <v>1</v>
      </c>
      <c r="B55" s="352" t="s">
        <v>324</v>
      </c>
      <c r="C55" s="353" t="s">
        <v>152</v>
      </c>
      <c r="D55" s="354">
        <f ca="1">D87*(10/120)</f>
        <v>88.4897706153846</v>
      </c>
    </row>
    <row r="56" spans="1:7">
      <c r="A56" s="366">
        <v>2</v>
      </c>
      <c r="B56" s="352" t="s">
        <v>325</v>
      </c>
      <c r="C56" s="353" t="s">
        <v>152</v>
      </c>
      <c r="D56" s="354">
        <f ca="1">D58+D57</f>
        <v>945</v>
      </c>
    </row>
    <row r="57" spans="1:7" ht="15" customHeight="1" outlineLevel="1">
      <c r="A57" s="365">
        <v>2.1</v>
      </c>
      <c r="B57" s="249" t="s">
        <v>175</v>
      </c>
      <c r="C57" s="241" t="s">
        <v>152</v>
      </c>
      <c r="D57" s="243">
        <f ca="1">6*D52</f>
        <v>210</v>
      </c>
      <c r="E57" s="6">
        <f ca="1">D57*0.2</f>
        <v>42</v>
      </c>
    </row>
    <row r="58" spans="1:7" outlineLevel="1">
      <c r="A58" s="365">
        <v>2.2000000000000002</v>
      </c>
      <c r="B58" s="249" t="s">
        <v>176</v>
      </c>
      <c r="C58" s="241" t="s">
        <v>152</v>
      </c>
      <c r="D58" s="243">
        <f ca="1">(D53*42)*(10/80)</f>
        <v>735</v>
      </c>
      <c r="E58" s="6">
        <f ca="1">D58*0.2</f>
        <v>147</v>
      </c>
    </row>
    <row r="59" spans="1:7" ht="16.05" customHeight="1" outlineLevel="1">
      <c r="A59" s="397" t="s">
        <v>325</v>
      </c>
      <c r="B59" s="398"/>
      <c r="C59" s="398"/>
      <c r="D59" s="399"/>
    </row>
    <row r="60" spans="1:7" outlineLevel="2">
      <c r="A60" s="365">
        <v>1</v>
      </c>
      <c r="B60" s="250" t="s">
        <v>177</v>
      </c>
      <c r="C60" s="241" t="s">
        <v>152</v>
      </c>
      <c r="D60" s="251">
        <f ca="1">D56*0.2</f>
        <v>189</v>
      </c>
    </row>
    <row r="61" spans="1:7" outlineLevel="2">
      <c r="A61" s="365">
        <v>1.1000000000000001</v>
      </c>
      <c r="B61" s="249" t="s">
        <v>178</v>
      </c>
      <c r="C61" s="241" t="s">
        <v>152</v>
      </c>
      <c r="D61" s="252">
        <f ca="1">D89</f>
        <v>18.900000000000006</v>
      </c>
    </row>
    <row r="62" spans="1:7" outlineLevel="2">
      <c r="A62" s="365">
        <v>1.2</v>
      </c>
      <c r="B62" s="249" t="s">
        <v>179</v>
      </c>
      <c r="C62" s="241" t="s">
        <v>152</v>
      </c>
      <c r="D62" s="253">
        <f ca="1">+D103+D107+D111+D115+D119+D95</f>
        <v>170.1</v>
      </c>
    </row>
    <row r="63" spans="1:7" outlineLevel="2">
      <c r="A63" s="365">
        <v>2</v>
      </c>
      <c r="B63" s="250" t="s">
        <v>180</v>
      </c>
      <c r="C63" s="241" t="s">
        <v>152</v>
      </c>
      <c r="D63" s="251">
        <f ca="1">D56*0.4</f>
        <v>378</v>
      </c>
    </row>
    <row r="64" spans="1:7" outlineLevel="2">
      <c r="A64" s="365">
        <v>2.1</v>
      </c>
      <c r="B64" s="250" t="s">
        <v>181</v>
      </c>
      <c r="C64" s="241" t="s">
        <v>152</v>
      </c>
      <c r="D64" s="254">
        <v>0</v>
      </c>
    </row>
    <row r="65" spans="1:7" outlineLevel="2">
      <c r="A65" s="365">
        <v>2.2000000000000002</v>
      </c>
      <c r="B65" s="250" t="s">
        <v>182</v>
      </c>
      <c r="C65" s="241" t="s">
        <v>152</v>
      </c>
      <c r="D65" s="251">
        <f ca="1">D63-D64</f>
        <v>378</v>
      </c>
    </row>
    <row r="66" spans="1:7" outlineLevel="2">
      <c r="A66" s="365">
        <v>3</v>
      </c>
      <c r="B66" s="250" t="s">
        <v>183</v>
      </c>
      <c r="C66" s="241" t="s">
        <v>152</v>
      </c>
      <c r="D66" s="251">
        <f ca="1">D56*0.4</f>
        <v>378</v>
      </c>
    </row>
    <row r="67" spans="1:7">
      <c r="A67" s="379" t="s">
        <v>184</v>
      </c>
      <c r="B67" s="380"/>
      <c r="C67" s="380"/>
      <c r="D67" s="381"/>
    </row>
    <row r="68" spans="1:7" outlineLevel="1">
      <c r="A68" s="400">
        <v>1</v>
      </c>
      <c r="B68" s="402" t="s">
        <v>185</v>
      </c>
      <c r="C68" s="238" t="s">
        <v>152</v>
      </c>
      <c r="D68" s="255">
        <f>1796.39165-1663.7231</f>
        <v>132.6685500000001</v>
      </c>
      <c r="E68" s="7"/>
    </row>
    <row r="69" spans="1:7" outlineLevel="1">
      <c r="A69" s="401"/>
      <c r="B69" s="402"/>
      <c r="C69" s="241" t="s">
        <v>0</v>
      </c>
      <c r="D69" s="256">
        <f>D68/D35</f>
        <v>5.5987740546927782E-2</v>
      </c>
      <c r="F69" s="257"/>
    </row>
    <row r="70" spans="1:7" outlineLevel="1">
      <c r="A70" s="400">
        <v>2</v>
      </c>
      <c r="B70" s="404" t="s">
        <v>186</v>
      </c>
      <c r="C70" s="238" t="s">
        <v>152</v>
      </c>
      <c r="D70" s="258">
        <f>D35*D71</f>
        <v>592.40000000000009</v>
      </c>
    </row>
    <row r="71" spans="1:7" outlineLevel="1">
      <c r="A71" s="401"/>
      <c r="B71" s="404"/>
      <c r="C71" s="259" t="s">
        <v>0</v>
      </c>
      <c r="D71" s="260">
        <v>0.25</v>
      </c>
    </row>
    <row r="72" spans="1:7" outlineLevel="1">
      <c r="A72" s="379" t="s">
        <v>326</v>
      </c>
      <c r="B72" s="380"/>
      <c r="C72" s="380"/>
      <c r="D72" s="381"/>
    </row>
    <row r="73" spans="1:7" outlineLevel="1">
      <c r="A73" s="365">
        <v>1</v>
      </c>
      <c r="B73" s="368" t="s">
        <v>327</v>
      </c>
      <c r="C73" s="259" t="s">
        <v>152</v>
      </c>
      <c r="D73" s="356">
        <f>D68+541.54312</f>
        <v>674.21167000000014</v>
      </c>
    </row>
    <row r="74" spans="1:7">
      <c r="A74" s="379" t="s">
        <v>187</v>
      </c>
      <c r="B74" s="380"/>
      <c r="C74" s="380"/>
      <c r="D74" s="381"/>
    </row>
    <row r="75" spans="1:7" outlineLevel="1">
      <c r="A75" s="405" t="s">
        <v>188</v>
      </c>
      <c r="B75" s="406"/>
      <c r="C75" s="261"/>
      <c r="D75" s="262">
        <f ca="1">D77+D80+D82+D84</f>
        <v>848.17857900000001</v>
      </c>
    </row>
    <row r="76" spans="1:7" outlineLevel="2">
      <c r="A76" s="400">
        <v>1</v>
      </c>
      <c r="B76" s="403" t="s">
        <v>189</v>
      </c>
      <c r="C76" s="365" t="s">
        <v>150</v>
      </c>
      <c r="D76" s="243">
        <f ca="1">INT(D77/12)</f>
        <v>45</v>
      </c>
      <c r="F76" s="357" t="s">
        <v>328</v>
      </c>
      <c r="G76" s="358">
        <f ca="1">D50/D76</f>
        <v>3.8888888888888888</v>
      </c>
    </row>
    <row r="77" spans="1:7" outlineLevel="2">
      <c r="A77" s="401"/>
      <c r="B77" s="403"/>
      <c r="C77" s="365" t="s">
        <v>152</v>
      </c>
      <c r="D77" s="243">
        <f ca="1">G87-D80-D82-D84</f>
        <v>548.21500742000001</v>
      </c>
    </row>
    <row r="78" spans="1:7" outlineLevel="1">
      <c r="A78" s="407" t="s">
        <v>190</v>
      </c>
      <c r="B78" s="408"/>
      <c r="C78" s="246" t="s">
        <v>152</v>
      </c>
      <c r="D78" s="247">
        <f ca="1">D80+D82+D84</f>
        <v>299.96357158000001</v>
      </c>
      <c r="F78" s="6"/>
    </row>
    <row r="79" spans="1:7" outlineLevel="2">
      <c r="A79" s="400">
        <v>1</v>
      </c>
      <c r="B79" s="403" t="s">
        <v>191</v>
      </c>
      <c r="C79" s="365" t="s">
        <v>150</v>
      </c>
      <c r="D79" s="263">
        <f ca="1">1*D50</f>
        <v>175</v>
      </c>
    </row>
    <row r="80" spans="1:7" outlineLevel="2">
      <c r="A80" s="401"/>
      <c r="B80" s="403"/>
      <c r="C80" s="365" t="s">
        <v>152</v>
      </c>
      <c r="D80" s="243">
        <f ca="1">D79*1.3</f>
        <v>227.5</v>
      </c>
    </row>
    <row r="81" spans="1:9" outlineLevel="2">
      <c r="A81" s="400">
        <v>2</v>
      </c>
      <c r="B81" s="403" t="s">
        <v>192</v>
      </c>
      <c r="C81" s="365" t="s">
        <v>150</v>
      </c>
      <c r="D81" s="235">
        <f>INT(D37/3000)</f>
        <v>3</v>
      </c>
    </row>
    <row r="82" spans="1:9" outlineLevel="2">
      <c r="A82" s="401"/>
      <c r="B82" s="403"/>
      <c r="C82" s="365" t="s">
        <v>152</v>
      </c>
      <c r="D82" s="243">
        <f>D81*18.5</f>
        <v>55.5</v>
      </c>
    </row>
    <row r="83" spans="1:9" outlineLevel="2">
      <c r="A83" s="400">
        <v>3</v>
      </c>
      <c r="B83" s="403" t="s">
        <v>193</v>
      </c>
      <c r="C83" s="365" t="s">
        <v>150</v>
      </c>
      <c r="D83" s="235">
        <f ca="1">INT(D84/15)</f>
        <v>1</v>
      </c>
    </row>
    <row r="84" spans="1:9" outlineLevel="2">
      <c r="A84" s="401"/>
      <c r="B84" s="403"/>
      <c r="C84" s="365" t="s">
        <v>152</v>
      </c>
      <c r="D84" s="243">
        <f ca="1">D75*2%</f>
        <v>16.96357158</v>
      </c>
      <c r="E84" s="359"/>
    </row>
    <row r="85" spans="1:9">
      <c r="A85" s="396" t="s">
        <v>194</v>
      </c>
      <c r="B85" s="396"/>
      <c r="C85" s="396"/>
      <c r="D85" s="396"/>
      <c r="F85" s="358" t="s">
        <v>329</v>
      </c>
      <c r="G85" s="358">
        <f>451.446541-140</f>
        <v>311.44654100000002</v>
      </c>
    </row>
    <row r="86" spans="1:9" outlineLevel="2">
      <c r="A86" s="413" t="s">
        <v>195</v>
      </c>
      <c r="B86" s="414"/>
      <c r="C86" s="264" t="s">
        <v>152</v>
      </c>
      <c r="D86" s="265">
        <f>'Base (8p) Nov 8'!D4</f>
        <v>1663.7230999999999</v>
      </c>
      <c r="E86" s="6"/>
      <c r="F86" s="358" t="s">
        <v>330</v>
      </c>
      <c r="G86" s="360">
        <v>536.73203799999999</v>
      </c>
    </row>
    <row r="87" spans="1:9" outlineLevel="2">
      <c r="A87" s="365">
        <v>1</v>
      </c>
      <c r="B87" s="266" t="s">
        <v>196</v>
      </c>
      <c r="C87" s="267" t="s">
        <v>152</v>
      </c>
      <c r="D87" s="268">
        <f ca="1">D86-D88-D89-D91-D90</f>
        <v>1061.8772473846152</v>
      </c>
      <c r="E87" s="6"/>
      <c r="F87" s="358" t="s">
        <v>331</v>
      </c>
      <c r="G87" s="358">
        <f>G86+G85</f>
        <v>848.17857900000001</v>
      </c>
    </row>
    <row r="88" spans="1:9" outlineLevel="2">
      <c r="A88" s="365">
        <v>2</v>
      </c>
      <c r="B88" s="249" t="s">
        <v>189</v>
      </c>
      <c r="C88" s="365" t="s">
        <v>152</v>
      </c>
      <c r="D88" s="253">
        <f>G85</f>
        <v>311.44654100000002</v>
      </c>
      <c r="F88" s="6"/>
    </row>
    <row r="89" spans="1:9" outlineLevel="2">
      <c r="A89" s="365">
        <v>3</v>
      </c>
      <c r="B89" s="269" t="s">
        <v>325</v>
      </c>
      <c r="C89" s="270" t="s">
        <v>152</v>
      </c>
      <c r="D89" s="271">
        <f ca="1">D60-D95</f>
        <v>18.900000000000006</v>
      </c>
      <c r="E89" s="6"/>
      <c r="G89" s="6"/>
    </row>
    <row r="90" spans="1:9" outlineLevel="2">
      <c r="A90" s="365">
        <v>4</v>
      </c>
      <c r="B90" s="269" t="s">
        <v>324</v>
      </c>
      <c r="C90" s="270" t="s">
        <v>152</v>
      </c>
      <c r="D90" s="271">
        <f ca="1">D55</f>
        <v>88.4897706153846</v>
      </c>
      <c r="E90" s="6"/>
      <c r="G90" s="6"/>
    </row>
    <row r="91" spans="1:9" outlineLevel="2">
      <c r="A91" s="365">
        <v>5</v>
      </c>
      <c r="B91" s="249" t="s">
        <v>197</v>
      </c>
      <c r="C91" s="365" t="s">
        <v>152</v>
      </c>
      <c r="D91" s="253">
        <f>D86*D124</f>
        <v>183.00954099999998</v>
      </c>
      <c r="E91" s="6"/>
    </row>
    <row r="92" spans="1:9" outlineLevel="1">
      <c r="A92" s="413" t="s">
        <v>198</v>
      </c>
      <c r="B92" s="414"/>
      <c r="C92" s="264" t="s">
        <v>152</v>
      </c>
      <c r="D92" s="265">
        <f>'Base (8p) Nov 8'!D4</f>
        <v>1663.7230999999999</v>
      </c>
      <c r="I92" s="6"/>
    </row>
    <row r="93" spans="1:9" outlineLevel="2">
      <c r="A93" s="365">
        <v>1</v>
      </c>
      <c r="B93" s="272" t="s">
        <v>199</v>
      </c>
      <c r="C93" s="273" t="s">
        <v>152</v>
      </c>
      <c r="D93" s="274">
        <f ca="1">D92-D96-D94-D95</f>
        <v>773.88152100000002</v>
      </c>
    </row>
    <row r="94" spans="1:9" outlineLevel="2">
      <c r="A94" s="365">
        <v>2</v>
      </c>
      <c r="B94" s="249" t="s">
        <v>189</v>
      </c>
      <c r="C94" s="365" t="s">
        <v>152</v>
      </c>
      <c r="D94" s="253">
        <f>G86</f>
        <v>536.73203799999999</v>
      </c>
    </row>
    <row r="95" spans="1:9" outlineLevel="2">
      <c r="A95" s="365">
        <v>3</v>
      </c>
      <c r="B95" s="269" t="s">
        <v>47</v>
      </c>
      <c r="C95" s="270" t="s">
        <v>152</v>
      </c>
      <c r="D95" s="271">
        <f ca="1">D60*0.9</f>
        <v>170.1</v>
      </c>
    </row>
    <row r="96" spans="1:9" outlineLevel="2">
      <c r="A96" s="275">
        <v>3</v>
      </c>
      <c r="B96" s="276" t="s">
        <v>197</v>
      </c>
      <c r="C96" s="365" t="s">
        <v>152</v>
      </c>
      <c r="D96" s="253">
        <f>D92*D124</f>
        <v>183.00954099999998</v>
      </c>
    </row>
    <row r="97" spans="1:4" outlineLevel="1">
      <c r="A97" s="413" t="s">
        <v>200</v>
      </c>
      <c r="B97" s="414"/>
      <c r="C97" s="264" t="s">
        <v>152</v>
      </c>
      <c r="D97" s="265">
        <f>'Base (8p) Nov 8'!D5</f>
        <v>1360.98172</v>
      </c>
    </row>
    <row r="98" spans="1:4" outlineLevel="2">
      <c r="A98" s="365">
        <v>1</v>
      </c>
      <c r="B98" s="272" t="s">
        <v>199</v>
      </c>
      <c r="C98" s="273" t="s">
        <v>152</v>
      </c>
      <c r="D98" s="274">
        <f>D97-D100-D99</f>
        <v>1211.2737308000001</v>
      </c>
    </row>
    <row r="99" spans="1:4" outlineLevel="2">
      <c r="A99" s="365">
        <v>2</v>
      </c>
      <c r="B99" s="249" t="s">
        <v>189</v>
      </c>
      <c r="C99" s="365" t="s">
        <v>152</v>
      </c>
      <c r="D99" s="253">
        <v>0</v>
      </c>
    </row>
    <row r="100" spans="1:4" outlineLevel="2">
      <c r="A100" s="365">
        <v>3</v>
      </c>
      <c r="B100" s="249" t="s">
        <v>197</v>
      </c>
      <c r="C100" s="365" t="s">
        <v>152</v>
      </c>
      <c r="D100" s="253">
        <f>D97*D124</f>
        <v>149.70798920000001</v>
      </c>
    </row>
    <row r="101" spans="1:4" outlineLevel="1">
      <c r="A101" s="415" t="s">
        <v>201</v>
      </c>
      <c r="B101" s="416"/>
      <c r="C101" s="264" t="s">
        <v>152</v>
      </c>
      <c r="D101" s="265">
        <f>'Base (8p) Nov 8'!D6</f>
        <v>1280.5475799999999</v>
      </c>
    </row>
    <row r="102" spans="1:4" outlineLevel="2">
      <c r="A102" s="365">
        <v>1</v>
      </c>
      <c r="B102" s="277" t="s">
        <v>199</v>
      </c>
      <c r="C102" s="273" t="s">
        <v>152</v>
      </c>
      <c r="D102" s="274">
        <f>D101-D104-D103</f>
        <v>1139.6873461999999</v>
      </c>
    </row>
    <row r="103" spans="1:4" outlineLevel="2">
      <c r="A103" s="365">
        <v>2</v>
      </c>
      <c r="B103" s="278" t="s">
        <v>47</v>
      </c>
      <c r="C103" s="365" t="s">
        <v>152</v>
      </c>
      <c r="D103" s="235">
        <v>0</v>
      </c>
    </row>
    <row r="104" spans="1:4" outlineLevel="2">
      <c r="A104" s="365">
        <v>3</v>
      </c>
      <c r="B104" s="278" t="s">
        <v>197</v>
      </c>
      <c r="C104" s="365" t="s">
        <v>152</v>
      </c>
      <c r="D104" s="253">
        <f>D101*D124</f>
        <v>140.8602338</v>
      </c>
    </row>
    <row r="105" spans="1:4" outlineLevel="1">
      <c r="A105" s="415" t="s">
        <v>202</v>
      </c>
      <c r="B105" s="416"/>
      <c r="C105" s="264" t="s">
        <v>152</v>
      </c>
      <c r="D105" s="265">
        <f>'Base (8p) Nov 8'!D7</f>
        <v>1200.9564499999999</v>
      </c>
    </row>
    <row r="106" spans="1:4" outlineLevel="2">
      <c r="A106" s="365">
        <v>1</v>
      </c>
      <c r="B106" s="277" t="s">
        <v>199</v>
      </c>
      <c r="C106" s="273" t="s">
        <v>152</v>
      </c>
      <c r="D106" s="274">
        <f>D105-D108-D107</f>
        <v>1068.8512404999999</v>
      </c>
    </row>
    <row r="107" spans="1:4" outlineLevel="2">
      <c r="A107" s="365">
        <v>2</v>
      </c>
      <c r="B107" s="278" t="s">
        <v>47</v>
      </c>
      <c r="C107" s="365" t="s">
        <v>152</v>
      </c>
      <c r="D107" s="235">
        <v>0</v>
      </c>
    </row>
    <row r="108" spans="1:4" outlineLevel="2">
      <c r="A108" s="365">
        <v>3</v>
      </c>
      <c r="B108" s="278" t="s">
        <v>197</v>
      </c>
      <c r="C108" s="365" t="s">
        <v>152</v>
      </c>
      <c r="D108" s="279">
        <f>D105*D124</f>
        <v>132.1052095</v>
      </c>
    </row>
    <row r="109" spans="1:4" outlineLevel="1">
      <c r="A109" s="415" t="s">
        <v>203</v>
      </c>
      <c r="B109" s="416"/>
      <c r="C109" s="264" t="s">
        <v>152</v>
      </c>
      <c r="D109" s="265">
        <f>'Base (8p) Nov 8'!D7</f>
        <v>1200.9564499999999</v>
      </c>
    </row>
    <row r="110" spans="1:4" outlineLevel="2">
      <c r="A110" s="365">
        <v>1</v>
      </c>
      <c r="B110" s="277" t="s">
        <v>199</v>
      </c>
      <c r="C110" s="273" t="s">
        <v>152</v>
      </c>
      <c r="D110" s="274">
        <f>D109-D112-D111</f>
        <v>1068.8512404999999</v>
      </c>
    </row>
    <row r="111" spans="1:4" outlineLevel="2">
      <c r="A111" s="365">
        <v>2</v>
      </c>
      <c r="B111" s="278" t="s">
        <v>47</v>
      </c>
      <c r="C111" s="365" t="s">
        <v>152</v>
      </c>
      <c r="D111" s="235">
        <v>0</v>
      </c>
    </row>
    <row r="112" spans="1:4" outlineLevel="2">
      <c r="A112" s="365">
        <v>3</v>
      </c>
      <c r="B112" s="278" t="s">
        <v>197</v>
      </c>
      <c r="C112" s="365" t="s">
        <v>152</v>
      </c>
      <c r="D112" s="279">
        <f>D109*D124</f>
        <v>132.1052095</v>
      </c>
    </row>
    <row r="113" spans="1:12" outlineLevel="1">
      <c r="A113" s="415" t="s">
        <v>204</v>
      </c>
      <c r="B113" s="416"/>
      <c r="C113" s="264" t="s">
        <v>152</v>
      </c>
      <c r="D113" s="265">
        <f>'Base (8p) Nov 8'!D7</f>
        <v>1200.9564499999999</v>
      </c>
    </row>
    <row r="114" spans="1:12" outlineLevel="2">
      <c r="A114" s="365">
        <v>1</v>
      </c>
      <c r="B114" s="277" t="s">
        <v>199</v>
      </c>
      <c r="C114" s="273" t="s">
        <v>152</v>
      </c>
      <c r="D114" s="274">
        <f>D113-D116-D115</f>
        <v>1068.8512404999999</v>
      </c>
    </row>
    <row r="115" spans="1:12" outlineLevel="2">
      <c r="A115" s="365">
        <v>2</v>
      </c>
      <c r="B115" s="278" t="s">
        <v>47</v>
      </c>
      <c r="C115" s="365" t="s">
        <v>152</v>
      </c>
      <c r="D115" s="235">
        <v>0</v>
      </c>
    </row>
    <row r="116" spans="1:12" outlineLevel="2">
      <c r="A116" s="365">
        <v>3</v>
      </c>
      <c r="B116" s="278" t="s">
        <v>197</v>
      </c>
      <c r="C116" s="365" t="s">
        <v>152</v>
      </c>
      <c r="D116" s="279">
        <f>D113*D124</f>
        <v>132.1052095</v>
      </c>
    </row>
    <row r="117" spans="1:12" outlineLevel="1">
      <c r="A117" s="415" t="s">
        <v>205</v>
      </c>
      <c r="B117" s="416"/>
      <c r="C117" s="264" t="s">
        <v>152</v>
      </c>
      <c r="D117" s="265">
        <f>'Base (8p) Nov 8'!D7</f>
        <v>1200.9564499999999</v>
      </c>
    </row>
    <row r="118" spans="1:12" outlineLevel="2">
      <c r="A118" s="365">
        <v>1</v>
      </c>
      <c r="B118" s="277" t="s">
        <v>199</v>
      </c>
      <c r="C118" s="273" t="s">
        <v>152</v>
      </c>
      <c r="D118" s="274">
        <f>D117-D120-D119</f>
        <v>1068.8512404999999</v>
      </c>
    </row>
    <row r="119" spans="1:12" outlineLevel="2">
      <c r="A119" s="365">
        <v>2</v>
      </c>
      <c r="B119" s="278" t="s">
        <v>47</v>
      </c>
      <c r="C119" s="365" t="s">
        <v>152</v>
      </c>
      <c r="D119" s="235">
        <v>0</v>
      </c>
    </row>
    <row r="120" spans="1:12" outlineLevel="2">
      <c r="A120" s="365">
        <v>3</v>
      </c>
      <c r="B120" s="278" t="s">
        <v>197</v>
      </c>
      <c r="C120" s="365" t="s">
        <v>152</v>
      </c>
      <c r="D120" s="279">
        <f>D117*D124</f>
        <v>132.1052095</v>
      </c>
      <c r="F120" t="s">
        <v>321</v>
      </c>
      <c r="G120" t="s">
        <v>223</v>
      </c>
      <c r="H120" t="s">
        <v>224</v>
      </c>
      <c r="J120" s="315" t="s">
        <v>197</v>
      </c>
      <c r="K120" t="s">
        <v>223</v>
      </c>
      <c r="L120" t="s">
        <v>224</v>
      </c>
    </row>
    <row r="121" spans="1:12" outlineLevel="1">
      <c r="A121" s="417" t="s">
        <v>206</v>
      </c>
      <c r="B121" s="418"/>
      <c r="C121" s="280" t="s">
        <v>152</v>
      </c>
      <c r="D121" s="281">
        <f ca="1">D118+D114+D110+D106+D102+D98+D93</f>
        <v>7400.2475599999989</v>
      </c>
      <c r="E121" s="240"/>
      <c r="F121" s="6">
        <f ca="1">D121-SUM(F52:F53)</f>
        <v>50.247559999998884</v>
      </c>
      <c r="G121" s="6">
        <f ca="1">F121*E52</f>
        <v>10.049511999999778</v>
      </c>
      <c r="H121" s="6">
        <f ca="1">F121*E53</f>
        <v>40.198047999999112</v>
      </c>
      <c r="J121" s="282">
        <f ca="1">D123*(D121/SUM(D121:D122))</f>
        <v>1036.3063436695188</v>
      </c>
      <c r="K121" s="314">
        <f ca="1">J121*E52</f>
        <v>207.26126873390376</v>
      </c>
      <c r="L121" s="314">
        <f ca="1">J121*E53</f>
        <v>829.04507493561505</v>
      </c>
    </row>
    <row r="122" spans="1:12" outlineLevel="1">
      <c r="A122" s="419" t="s">
        <v>207</v>
      </c>
      <c r="B122" s="420"/>
      <c r="C122" s="284" t="s">
        <v>152</v>
      </c>
      <c r="D122" s="285">
        <f ca="1">D87</f>
        <v>1061.8772473846152</v>
      </c>
      <c r="E122" s="240"/>
      <c r="J122" s="282">
        <f ca="1">D123*(D122/SUM(D121:D122))</f>
        <v>148.70179933048129</v>
      </c>
      <c r="K122" s="282"/>
      <c r="L122" s="283"/>
    </row>
    <row r="123" spans="1:12" outlineLevel="1">
      <c r="A123" s="409" t="s">
        <v>208</v>
      </c>
      <c r="B123" s="410"/>
      <c r="C123" s="286" t="s">
        <v>152</v>
      </c>
      <c r="D123" s="287">
        <f>D120+D116+D112+D108+D104+D100+D96+D91</f>
        <v>1185.008143</v>
      </c>
      <c r="F123" s="288"/>
      <c r="G123" s="289"/>
      <c r="H123" s="290"/>
      <c r="I123" s="291"/>
      <c r="J123" s="291"/>
      <c r="K123" s="291"/>
    </row>
    <row r="124" spans="1:12" outlineLevel="1">
      <c r="A124" s="411"/>
      <c r="B124" s="412"/>
      <c r="C124" s="292" t="s">
        <v>0</v>
      </c>
      <c r="D124" s="293">
        <v>0.11</v>
      </c>
    </row>
  </sheetData>
  <mergeCells count="80">
    <mergeCell ref="A7:B7"/>
    <mergeCell ref="A1:D1"/>
    <mergeCell ref="A2:D2"/>
    <mergeCell ref="A4:D4"/>
    <mergeCell ref="A5:B5"/>
    <mergeCell ref="A6:B6"/>
    <mergeCell ref="C17:D17"/>
    <mergeCell ref="A18:D18"/>
    <mergeCell ref="A8:B8"/>
    <mergeCell ref="A9:B9"/>
    <mergeCell ref="A10:B10"/>
    <mergeCell ref="A11:B11"/>
    <mergeCell ref="A12:B12"/>
    <mergeCell ref="A13:B13"/>
    <mergeCell ref="A24:B24"/>
    <mergeCell ref="A14:B14"/>
    <mergeCell ref="A15:B15"/>
    <mergeCell ref="A16:B16"/>
    <mergeCell ref="A17:B17"/>
    <mergeCell ref="A19:B19"/>
    <mergeCell ref="A20:B20"/>
    <mergeCell ref="A21:B21"/>
    <mergeCell ref="A22:B22"/>
    <mergeCell ref="A23:B23"/>
    <mergeCell ref="A35:B35"/>
    <mergeCell ref="A25:B25"/>
    <mergeCell ref="A26:B26"/>
    <mergeCell ref="A27:B27"/>
    <mergeCell ref="A28:B28"/>
    <mergeCell ref="A29:B29"/>
    <mergeCell ref="A30:B30"/>
    <mergeCell ref="A31:B31"/>
    <mergeCell ref="A32:B32"/>
    <mergeCell ref="C32:D32"/>
    <mergeCell ref="A33:D33"/>
    <mergeCell ref="A34:B34"/>
    <mergeCell ref="A48:B49"/>
    <mergeCell ref="A36:B36"/>
    <mergeCell ref="A37:B37"/>
    <mergeCell ref="A38:B38"/>
    <mergeCell ref="A39:B39"/>
    <mergeCell ref="A40:B40"/>
    <mergeCell ref="A41:B41"/>
    <mergeCell ref="A42:B42"/>
    <mergeCell ref="A43:B43"/>
    <mergeCell ref="A44:B44"/>
    <mergeCell ref="A45:B45"/>
    <mergeCell ref="A46:B47"/>
    <mergeCell ref="A50:B50"/>
    <mergeCell ref="A54:D54"/>
    <mergeCell ref="A59:D59"/>
    <mergeCell ref="A67:D67"/>
    <mergeCell ref="A68:A69"/>
    <mergeCell ref="B68:B69"/>
    <mergeCell ref="A83:A84"/>
    <mergeCell ref="B83:B84"/>
    <mergeCell ref="A70:A71"/>
    <mergeCell ref="B70:B71"/>
    <mergeCell ref="A72:D72"/>
    <mergeCell ref="A74:D74"/>
    <mergeCell ref="A75:B75"/>
    <mergeCell ref="A76:A77"/>
    <mergeCell ref="B76:B77"/>
    <mergeCell ref="A78:B78"/>
    <mergeCell ref="A79:A80"/>
    <mergeCell ref="B79:B80"/>
    <mergeCell ref="A81:A82"/>
    <mergeCell ref="B81:B82"/>
    <mergeCell ref="A123:B124"/>
    <mergeCell ref="A85:D85"/>
    <mergeCell ref="A86:B86"/>
    <mergeCell ref="A92:B92"/>
    <mergeCell ref="A97:B97"/>
    <mergeCell ref="A101:B101"/>
    <mergeCell ref="A105:B105"/>
    <mergeCell ref="A109:B109"/>
    <mergeCell ref="A113:B113"/>
    <mergeCell ref="A117:B117"/>
    <mergeCell ref="A121:B121"/>
    <mergeCell ref="A122:B122"/>
  </mergeCells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D7261E-70C5-4772-8D63-074CC9D51CE8}">
  <dimension ref="A1:F33"/>
  <sheetViews>
    <sheetView topLeftCell="A19" workbookViewId="0">
      <selection activeCell="F71" sqref="F71"/>
    </sheetView>
  </sheetViews>
  <sheetFormatPr baseColWidth="10" defaultRowHeight="14.4"/>
  <cols>
    <col min="1" max="1" width="28.6640625" customWidth="1"/>
    <col min="4" max="4" width="17.109375" customWidth="1"/>
    <col min="5" max="5" width="15.44140625" customWidth="1"/>
    <col min="6" max="6" width="18.44140625" customWidth="1"/>
  </cols>
  <sheetData>
    <row r="1" spans="1:6">
      <c r="A1" s="423" t="s">
        <v>209</v>
      </c>
      <c r="B1" s="424"/>
      <c r="C1" s="424"/>
      <c r="D1" s="424"/>
      <c r="E1" s="424"/>
      <c r="F1" s="425"/>
    </row>
    <row r="2" spans="1:6">
      <c r="A2" s="426" t="s">
        <v>210</v>
      </c>
      <c r="B2" s="423" t="s">
        <v>211</v>
      </c>
      <c r="C2" s="425"/>
      <c r="D2" s="363" t="s">
        <v>3</v>
      </c>
      <c r="E2" s="421" t="s">
        <v>212</v>
      </c>
      <c r="F2" s="422"/>
    </row>
    <row r="3" spans="1:6">
      <c r="A3" s="427"/>
      <c r="B3" s="428" t="s">
        <v>150</v>
      </c>
      <c r="C3" s="429"/>
      <c r="D3" s="364" t="s">
        <v>152</v>
      </c>
      <c r="E3" s="297"/>
      <c r="F3" s="364" t="s">
        <v>152</v>
      </c>
    </row>
    <row r="4" spans="1:6">
      <c r="A4" s="298" t="s">
        <v>213</v>
      </c>
      <c r="B4" s="430">
        <v>2</v>
      </c>
      <c r="C4" s="431"/>
      <c r="D4" s="299">
        <f>1663.7231</f>
        <v>1663.7230999999999</v>
      </c>
      <c r="E4" s="300" t="s">
        <v>1</v>
      </c>
      <c r="F4" s="301">
        <f>B4*D4</f>
        <v>3327.4461999999999</v>
      </c>
    </row>
    <row r="5" spans="1:6">
      <c r="A5" s="298" t="s">
        <v>200</v>
      </c>
      <c r="B5" s="430">
        <v>1</v>
      </c>
      <c r="C5" s="431"/>
      <c r="D5" s="299">
        <v>1360.98172</v>
      </c>
      <c r="E5" s="300" t="s">
        <v>1</v>
      </c>
      <c r="F5" s="301">
        <f t="shared" ref="F5:F7" si="0">B5*D5</f>
        <v>1360.98172</v>
      </c>
    </row>
    <row r="6" spans="1:6">
      <c r="A6" s="298" t="s">
        <v>201</v>
      </c>
      <c r="B6" s="430">
        <v>1</v>
      </c>
      <c r="C6" s="431"/>
      <c r="D6" s="299">
        <v>1280.5475799999999</v>
      </c>
      <c r="E6" s="300" t="s">
        <v>214</v>
      </c>
      <c r="F6" s="301">
        <f t="shared" si="0"/>
        <v>1280.5475799999999</v>
      </c>
    </row>
    <row r="7" spans="1:6">
      <c r="A7" s="302" t="s">
        <v>215</v>
      </c>
      <c r="B7" s="430">
        <v>4</v>
      </c>
      <c r="C7" s="431"/>
      <c r="D7" s="299">
        <v>1200.9564499999999</v>
      </c>
      <c r="E7" s="300" t="s">
        <v>1</v>
      </c>
      <c r="F7" s="301">
        <f t="shared" si="0"/>
        <v>4803.8257999999996</v>
      </c>
    </row>
    <row r="8" spans="1:6">
      <c r="A8" s="302" t="s">
        <v>216</v>
      </c>
      <c r="B8" s="432">
        <f>SUM(B4:B7)</f>
        <v>8</v>
      </c>
      <c r="C8" s="433"/>
      <c r="D8" s="303" t="s">
        <v>217</v>
      </c>
      <c r="E8" s="363" t="s">
        <v>1</v>
      </c>
      <c r="F8" s="304">
        <f>SUM(F4:F7)</f>
        <v>10772.801299999999</v>
      </c>
    </row>
    <row r="10" spans="1:6">
      <c r="A10" s="421" t="s">
        <v>218</v>
      </c>
      <c r="B10" s="434"/>
      <c r="C10" s="434"/>
      <c r="D10" s="434"/>
      <c r="E10" s="434"/>
      <c r="F10" s="422"/>
    </row>
    <row r="11" spans="1:6">
      <c r="A11" s="369" t="s">
        <v>219</v>
      </c>
      <c r="B11" s="305" t="s">
        <v>220</v>
      </c>
      <c r="C11" s="421" t="s">
        <v>2</v>
      </c>
      <c r="D11" s="422"/>
      <c r="E11" s="421" t="s">
        <v>212</v>
      </c>
      <c r="F11" s="422"/>
    </row>
    <row r="12" spans="1:6">
      <c r="A12" s="370" t="s">
        <v>150</v>
      </c>
      <c r="B12" s="306" t="s">
        <v>152</v>
      </c>
      <c r="C12" s="437" t="s">
        <v>150</v>
      </c>
      <c r="D12" s="438"/>
      <c r="E12" s="370"/>
      <c r="F12" s="371" t="s">
        <v>152</v>
      </c>
    </row>
    <row r="13" spans="1:6">
      <c r="A13" s="307">
        <v>1</v>
      </c>
      <c r="B13" s="308">
        <v>45.6</v>
      </c>
      <c r="C13" s="435">
        <v>1</v>
      </c>
      <c r="D13" s="436"/>
      <c r="E13" s="300" t="s">
        <v>1</v>
      </c>
      <c r="F13" s="309">
        <f>C13*B13</f>
        <v>45.6</v>
      </c>
    </row>
    <row r="14" spans="1:6">
      <c r="A14" s="310">
        <v>2</v>
      </c>
      <c r="B14" s="308">
        <v>61.3</v>
      </c>
      <c r="C14" s="435">
        <v>3</v>
      </c>
      <c r="D14" s="436"/>
      <c r="E14" s="300" t="s">
        <v>1</v>
      </c>
      <c r="F14" s="309">
        <f t="shared" ref="F14:F32" si="1">C14*B14</f>
        <v>183.89999999999998</v>
      </c>
    </row>
    <row r="15" spans="1:6">
      <c r="A15" s="310">
        <v>3</v>
      </c>
      <c r="B15" s="308">
        <v>86</v>
      </c>
      <c r="C15" s="435">
        <v>2</v>
      </c>
      <c r="D15" s="436"/>
      <c r="E15" s="300" t="s">
        <v>1</v>
      </c>
      <c r="F15" s="309">
        <f t="shared" si="1"/>
        <v>172</v>
      </c>
    </row>
    <row r="16" spans="1:6">
      <c r="A16" s="307">
        <v>4</v>
      </c>
      <c r="B16" s="308">
        <v>109.9</v>
      </c>
      <c r="C16" s="435">
        <v>2</v>
      </c>
      <c r="D16" s="436"/>
      <c r="E16" s="300" t="s">
        <v>1</v>
      </c>
      <c r="F16" s="309">
        <f t="shared" si="1"/>
        <v>219.8</v>
      </c>
    </row>
    <row r="17" spans="1:6">
      <c r="A17" s="310">
        <v>5</v>
      </c>
      <c r="B17" s="308">
        <v>138.9</v>
      </c>
      <c r="C17" s="435">
        <v>1</v>
      </c>
      <c r="D17" s="436"/>
      <c r="E17" s="300" t="s">
        <v>1</v>
      </c>
      <c r="F17" s="309">
        <f t="shared" si="1"/>
        <v>138.9</v>
      </c>
    </row>
    <row r="18" spans="1:6">
      <c r="A18" s="310">
        <v>6</v>
      </c>
      <c r="B18" s="308">
        <v>139.6</v>
      </c>
      <c r="C18" s="435">
        <v>2</v>
      </c>
      <c r="D18" s="436"/>
      <c r="E18" s="300" t="s">
        <v>1</v>
      </c>
      <c r="F18" s="309">
        <f t="shared" si="1"/>
        <v>279.2</v>
      </c>
    </row>
    <row r="19" spans="1:6">
      <c r="A19" s="307">
        <v>7</v>
      </c>
      <c r="B19" s="308">
        <v>123</v>
      </c>
      <c r="C19" s="435">
        <v>2</v>
      </c>
      <c r="D19" s="436"/>
      <c r="E19" s="300" t="s">
        <v>1</v>
      </c>
      <c r="F19" s="309">
        <f t="shared" si="1"/>
        <v>246</v>
      </c>
    </row>
    <row r="20" spans="1:6">
      <c r="A20" s="310">
        <v>8</v>
      </c>
      <c r="B20" s="308">
        <v>67</v>
      </c>
      <c r="C20" s="435">
        <v>2</v>
      </c>
      <c r="D20" s="436"/>
      <c r="E20" s="300" t="s">
        <v>1</v>
      </c>
      <c r="F20" s="309">
        <f t="shared" si="1"/>
        <v>134</v>
      </c>
    </row>
    <row r="21" spans="1:6">
      <c r="A21" s="310">
        <v>9</v>
      </c>
      <c r="B21" s="308">
        <v>125.6</v>
      </c>
      <c r="C21" s="435">
        <v>3</v>
      </c>
      <c r="D21" s="436"/>
      <c r="E21" s="300" t="s">
        <v>1</v>
      </c>
      <c r="F21" s="309">
        <f t="shared" si="1"/>
        <v>376.79999999999995</v>
      </c>
    </row>
    <row r="22" spans="1:6">
      <c r="A22" s="307">
        <v>10</v>
      </c>
      <c r="B22" s="308">
        <v>170.9</v>
      </c>
      <c r="C22" s="435">
        <v>3</v>
      </c>
      <c r="D22" s="436"/>
      <c r="E22" s="300" t="s">
        <v>1</v>
      </c>
      <c r="F22" s="309">
        <f t="shared" si="1"/>
        <v>512.70000000000005</v>
      </c>
    </row>
    <row r="23" spans="1:6">
      <c r="A23" s="310">
        <v>11</v>
      </c>
      <c r="B23" s="308">
        <v>171</v>
      </c>
      <c r="C23" s="435">
        <v>1</v>
      </c>
      <c r="D23" s="436"/>
      <c r="E23" s="300" t="s">
        <v>1</v>
      </c>
      <c r="F23" s="309">
        <f t="shared" si="1"/>
        <v>171</v>
      </c>
    </row>
    <row r="24" spans="1:6">
      <c r="A24" s="310">
        <v>12</v>
      </c>
      <c r="B24" s="308">
        <v>170.8</v>
      </c>
      <c r="C24" s="435">
        <v>2</v>
      </c>
      <c r="D24" s="436"/>
      <c r="E24" s="300" t="s">
        <v>1</v>
      </c>
      <c r="F24" s="309">
        <f t="shared" si="1"/>
        <v>341.6</v>
      </c>
    </row>
    <row r="25" spans="1:6">
      <c r="A25" s="307">
        <v>13</v>
      </c>
      <c r="B25" s="308">
        <v>171</v>
      </c>
      <c r="C25" s="435">
        <v>2</v>
      </c>
      <c r="D25" s="436"/>
      <c r="E25" s="300" t="s">
        <v>1</v>
      </c>
      <c r="F25" s="309">
        <f t="shared" si="1"/>
        <v>342</v>
      </c>
    </row>
    <row r="26" spans="1:6">
      <c r="A26" s="310">
        <v>14</v>
      </c>
      <c r="B26" s="308">
        <v>171.1</v>
      </c>
      <c r="C26" s="435">
        <v>2</v>
      </c>
      <c r="D26" s="436"/>
      <c r="E26" s="300" t="s">
        <v>1</v>
      </c>
      <c r="F26" s="309">
        <f t="shared" si="1"/>
        <v>342.2</v>
      </c>
    </row>
    <row r="27" spans="1:6">
      <c r="A27" s="310">
        <v>15</v>
      </c>
      <c r="B27" s="308">
        <v>170.6</v>
      </c>
      <c r="C27" s="435">
        <v>1</v>
      </c>
      <c r="D27" s="436"/>
      <c r="E27" s="300" t="s">
        <v>1</v>
      </c>
      <c r="F27" s="309">
        <f t="shared" si="1"/>
        <v>170.6</v>
      </c>
    </row>
    <row r="28" spans="1:6">
      <c r="A28" s="307">
        <v>16</v>
      </c>
      <c r="B28" s="308">
        <v>140.4</v>
      </c>
      <c r="C28" s="435">
        <v>3</v>
      </c>
      <c r="D28" s="436"/>
      <c r="E28" s="300" t="s">
        <v>1</v>
      </c>
      <c r="F28" s="309">
        <f t="shared" si="1"/>
        <v>421.20000000000005</v>
      </c>
    </row>
    <row r="29" spans="1:6">
      <c r="A29" s="310">
        <v>17</v>
      </c>
      <c r="B29" s="308">
        <v>111.3</v>
      </c>
      <c r="C29" s="435">
        <v>1</v>
      </c>
      <c r="D29" s="436"/>
      <c r="E29" s="300" t="s">
        <v>1</v>
      </c>
      <c r="F29" s="309">
        <f t="shared" si="1"/>
        <v>111.3</v>
      </c>
    </row>
    <row r="30" spans="1:6">
      <c r="A30" s="310">
        <v>18</v>
      </c>
      <c r="B30" s="308">
        <v>86.3</v>
      </c>
      <c r="C30" s="435">
        <v>2</v>
      </c>
      <c r="D30" s="436"/>
      <c r="E30" s="300" t="s">
        <v>1</v>
      </c>
      <c r="F30" s="309">
        <f t="shared" si="1"/>
        <v>172.6</v>
      </c>
    </row>
    <row r="31" spans="1:6">
      <c r="A31" s="307">
        <v>19</v>
      </c>
      <c r="B31" s="308">
        <v>62</v>
      </c>
      <c r="C31" s="435">
        <v>2</v>
      </c>
      <c r="D31" s="436"/>
      <c r="E31" s="300" t="s">
        <v>1</v>
      </c>
      <c r="F31" s="309">
        <f t="shared" si="1"/>
        <v>124</v>
      </c>
    </row>
    <row r="32" spans="1:6">
      <c r="A32" s="310">
        <v>20</v>
      </c>
      <c r="B32" s="308">
        <v>47.3</v>
      </c>
      <c r="C32" s="435">
        <v>2</v>
      </c>
      <c r="D32" s="436"/>
      <c r="E32" s="300" t="s">
        <v>1</v>
      </c>
      <c r="F32" s="309">
        <f t="shared" si="1"/>
        <v>94.6</v>
      </c>
    </row>
    <row r="33" spans="1:6">
      <c r="A33" s="372" t="s">
        <v>221</v>
      </c>
      <c r="B33" s="311">
        <f>SUM(B13:B32)</f>
        <v>2369.6000000000004</v>
      </c>
      <c r="C33" s="439" t="s">
        <v>222</v>
      </c>
      <c r="D33" s="440"/>
      <c r="E33" s="300" t="s">
        <v>1</v>
      </c>
      <c r="F33" s="311">
        <f>SUM(F13:F32)</f>
        <v>4600</v>
      </c>
    </row>
  </sheetData>
  <mergeCells count="35">
    <mergeCell ref="C11:D11"/>
    <mergeCell ref="E11:F11"/>
    <mergeCell ref="A1:F1"/>
    <mergeCell ref="A2:A3"/>
    <mergeCell ref="B2:C2"/>
    <mergeCell ref="E2:F2"/>
    <mergeCell ref="B3:C3"/>
    <mergeCell ref="B4:C4"/>
    <mergeCell ref="B5:C5"/>
    <mergeCell ref="B6:C6"/>
    <mergeCell ref="B7:C7"/>
    <mergeCell ref="B8:C8"/>
    <mergeCell ref="A10:F10"/>
    <mergeCell ref="C23:D23"/>
    <mergeCell ref="C12:D12"/>
    <mergeCell ref="C13:D13"/>
    <mergeCell ref="C14:D14"/>
    <mergeCell ref="C15:D15"/>
    <mergeCell ref="C16:D16"/>
    <mergeCell ref="C17:D17"/>
    <mergeCell ref="C18:D18"/>
    <mergeCell ref="C19:D19"/>
    <mergeCell ref="C20:D20"/>
    <mergeCell ref="C21:D21"/>
    <mergeCell ref="C22:D22"/>
    <mergeCell ref="C30:D30"/>
    <mergeCell ref="C31:D31"/>
    <mergeCell ref="C32:D32"/>
    <mergeCell ref="C33:D33"/>
    <mergeCell ref="C24:D24"/>
    <mergeCell ref="C25:D25"/>
    <mergeCell ref="C26:D26"/>
    <mergeCell ref="C27:D27"/>
    <mergeCell ref="C28:D28"/>
    <mergeCell ref="C29:D29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426309-DA03-4366-838E-A06EBDF45504}">
  <sheetPr>
    <tabColor rgb="FF0070C0"/>
  </sheetPr>
  <dimension ref="A1:T105"/>
  <sheetViews>
    <sheetView showGridLines="0" tabSelected="1" zoomScale="70" zoomScaleNormal="70" workbookViewId="0">
      <pane xSplit="2" ySplit="10" topLeftCell="C11" activePane="bottomRight" state="frozen"/>
      <selection pane="topRight" activeCell="D16" sqref="D16"/>
      <selection pane="bottomLeft" activeCell="D16" sqref="D16"/>
      <selection pane="bottomRight" activeCell="T10" sqref="T10"/>
    </sheetView>
  </sheetViews>
  <sheetFormatPr baseColWidth="10" defaultColWidth="10.6640625" defaultRowHeight="14.4" outlineLevelRow="2" outlineLevelCol="1"/>
  <cols>
    <col min="1" max="1" width="7" style="8" customWidth="1"/>
    <col min="2" max="2" width="49.5546875" style="9" bestFit="1" customWidth="1"/>
    <col min="3" max="3" width="0.6640625" style="9" customWidth="1"/>
    <col min="4" max="4" width="18" style="9" customWidth="1" outlineLevel="1"/>
    <col min="5" max="5" width="15" style="9" customWidth="1" outlineLevel="1"/>
    <col min="6" max="6" width="16.109375" style="9" customWidth="1" outlineLevel="1"/>
    <col min="7" max="7" width="16.88671875" style="9" customWidth="1" outlineLevel="1"/>
    <col min="8" max="8" width="18.33203125" style="9" bestFit="1" customWidth="1"/>
    <col min="9" max="9" width="1.44140625" style="9" customWidth="1"/>
    <col min="10" max="10" width="18" style="9" customWidth="1" outlineLevel="1"/>
    <col min="11" max="11" width="15" style="9" customWidth="1" outlineLevel="1"/>
    <col min="12" max="12" width="16.109375" style="9" customWidth="1" outlineLevel="1"/>
    <col min="13" max="13" width="16.88671875" style="9" customWidth="1" outlineLevel="1"/>
    <col min="14" max="14" width="18.33203125" style="9" bestFit="1" customWidth="1"/>
    <col min="15" max="15" width="2.44140625" style="9" customWidth="1"/>
    <col min="16" max="16" width="18" style="9" customWidth="1" outlineLevel="1"/>
    <col min="17" max="17" width="15" style="9" customWidth="1" outlineLevel="1"/>
    <col min="18" max="18" width="16.109375" style="9" customWidth="1" outlineLevel="1"/>
    <col min="19" max="19" width="16.88671875" style="9" customWidth="1" outlineLevel="1"/>
    <col min="20" max="20" width="18.33203125" style="9" bestFit="1" customWidth="1"/>
    <col min="21" max="16384" width="10.6640625" style="9"/>
  </cols>
  <sheetData>
    <row r="1" spans="1:20">
      <c r="D1" s="10" t="s">
        <v>65</v>
      </c>
      <c r="J1" s="10" t="s">
        <v>65</v>
      </c>
      <c r="P1" s="10" t="s">
        <v>65</v>
      </c>
    </row>
    <row r="2" spans="1:20">
      <c r="D2" s="11" t="s">
        <v>66</v>
      </c>
      <c r="E2" s="12">
        <v>908.52599999999995</v>
      </c>
      <c r="J2" s="11" t="s">
        <v>66</v>
      </c>
      <c r="K2" s="12">
        <v>908.52599999999995</v>
      </c>
      <c r="P2" s="11" t="s">
        <v>66</v>
      </c>
      <c r="Q2" s="12">
        <v>908.52599999999995</v>
      </c>
    </row>
    <row r="3" spans="1:20">
      <c r="D3" s="11" t="s">
        <v>67</v>
      </c>
      <c r="E3" s="13">
        <v>1</v>
      </c>
      <c r="F3" s="14"/>
      <c r="G3" s="15" t="s">
        <v>68</v>
      </c>
      <c r="H3" s="16">
        <f>'Modelacion (8p) Oct 26'!D35</f>
        <v>2369.6000000000004</v>
      </c>
      <c r="J3" s="11" t="s">
        <v>67</v>
      </c>
      <c r="K3" s="13">
        <v>1</v>
      </c>
      <c r="L3" s="14"/>
      <c r="M3" s="15" t="s">
        <v>68</v>
      </c>
      <c r="N3" s="16">
        <f>'Modelacion (8p) Nov 8'!D35</f>
        <v>2369.6000000000004</v>
      </c>
      <c r="P3" s="11" t="s">
        <v>67</v>
      </c>
      <c r="Q3" s="13">
        <v>1</v>
      </c>
      <c r="R3" s="14"/>
      <c r="S3" s="15" t="s">
        <v>68</v>
      </c>
      <c r="T3" s="16">
        <f>'Modelacion (8p) No VIS Nov 8'!D35</f>
        <v>2369.6000000000004</v>
      </c>
    </row>
    <row r="4" spans="1:20">
      <c r="D4" s="11" t="s">
        <v>69</v>
      </c>
      <c r="E4" s="17">
        <v>42</v>
      </c>
      <c r="F4" s="14"/>
      <c r="G4" s="18" t="s">
        <v>70</v>
      </c>
      <c r="H4" s="16">
        <f ca="1">SUM('Modelacion (8p) Oct 26'!D121:D122)</f>
        <v>8462.1248073846145</v>
      </c>
      <c r="J4" s="11" t="s">
        <v>69</v>
      </c>
      <c r="K4" s="17">
        <v>42</v>
      </c>
      <c r="L4" s="14"/>
      <c r="M4" s="18" t="s">
        <v>70</v>
      </c>
      <c r="N4" s="16">
        <f ca="1">N3*N5</f>
        <v>6992.1248073846145</v>
      </c>
      <c r="P4" s="11" t="s">
        <v>69</v>
      </c>
      <c r="Q4" s="17">
        <v>42</v>
      </c>
      <c r="R4" s="14"/>
      <c r="S4" s="18" t="s">
        <v>70</v>
      </c>
      <c r="T4" s="16">
        <f ca="1">T3*T5</f>
        <v>8466.2924996923066</v>
      </c>
    </row>
    <row r="5" spans="1:20">
      <c r="D5" s="11" t="s">
        <v>71</v>
      </c>
      <c r="E5" s="17">
        <v>42</v>
      </c>
      <c r="F5" s="14"/>
      <c r="G5" s="19" t="s">
        <v>72</v>
      </c>
      <c r="H5" s="349">
        <f ca="1">H4/H3</f>
        <v>3.5711195169583951</v>
      </c>
      <c r="J5" s="11" t="s">
        <v>71</v>
      </c>
      <c r="K5" s="17">
        <v>42</v>
      </c>
      <c r="L5" s="14"/>
      <c r="M5" s="19" t="s">
        <v>72</v>
      </c>
      <c r="N5" s="349">
        <f ca="1">'Modelacion (8p) Nov 8'!D42</f>
        <v>2.9507616506518457</v>
      </c>
      <c r="P5" s="11" t="s">
        <v>71</v>
      </c>
      <c r="Q5" s="17">
        <v>42</v>
      </c>
      <c r="R5" s="14"/>
      <c r="S5" s="19" t="s">
        <v>72</v>
      </c>
      <c r="T5" s="349">
        <f ca="1">'Modelacion (8p) No VIS Nov 8'!D42</f>
        <v>3.5728783337661651</v>
      </c>
    </row>
    <row r="6" spans="1:20">
      <c r="D6" s="11" t="s">
        <v>73</v>
      </c>
      <c r="E6" s="348">
        <f>'Modelacion (8p) Oct 26'!G19/1000</f>
        <v>776.36400000000003</v>
      </c>
      <c r="F6" s="14"/>
      <c r="G6" s="11" t="s">
        <v>74</v>
      </c>
      <c r="H6" s="13">
        <v>0.5</v>
      </c>
      <c r="J6" s="11" t="s">
        <v>73</v>
      </c>
      <c r="K6" s="348">
        <f>E6</f>
        <v>776.36400000000003</v>
      </c>
      <c r="L6" s="14"/>
      <c r="M6" s="11" t="s">
        <v>74</v>
      </c>
      <c r="N6" s="13">
        <v>0.5</v>
      </c>
      <c r="P6" s="11" t="s">
        <v>73</v>
      </c>
      <c r="Q6" s="348">
        <f>K6</f>
        <v>776.36400000000003</v>
      </c>
      <c r="R6" s="14"/>
      <c r="S6" s="11" t="s">
        <v>74</v>
      </c>
      <c r="T6" s="13">
        <v>0.5</v>
      </c>
    </row>
    <row r="7" spans="1:20">
      <c r="D7" s="11" t="s">
        <v>75</v>
      </c>
      <c r="E7" s="348"/>
      <c r="G7" s="20" t="s">
        <v>76</v>
      </c>
      <c r="H7" s="21">
        <f>E6*(1+H6)</f>
        <v>1164.546</v>
      </c>
      <c r="J7" s="11" t="s">
        <v>75</v>
      </c>
      <c r="K7" s="348"/>
      <c r="M7" s="20" t="s">
        <v>76</v>
      </c>
      <c r="N7" s="21">
        <f>K6*(1+N6)</f>
        <v>1164.546</v>
      </c>
      <c r="P7" s="11" t="s">
        <v>75</v>
      </c>
      <c r="Q7" s="348"/>
      <c r="S7" s="20" t="s">
        <v>76</v>
      </c>
      <c r="T7" s="21">
        <f>Q6*(1+T6)</f>
        <v>1164.546</v>
      </c>
    </row>
    <row r="8" spans="1:20">
      <c r="D8" s="11" t="s">
        <v>77</v>
      </c>
      <c r="E8" s="348">
        <f>'Modelacion (8p) Oct 26'!G18/1000</f>
        <v>1150</v>
      </c>
      <c r="H8" s="22" t="str">
        <f>IF(H7&gt;=E8,"ok","revisar")</f>
        <v>ok</v>
      </c>
      <c r="J8" s="11" t="s">
        <v>77</v>
      </c>
      <c r="K8" s="348">
        <f>E8</f>
        <v>1150</v>
      </c>
      <c r="N8" s="22" t="str">
        <f>IF(N7&gt;=K8,"ok","revisar")</f>
        <v>ok</v>
      </c>
      <c r="P8" s="11" t="s">
        <v>77</v>
      </c>
      <c r="Q8" s="348">
        <f>K8</f>
        <v>1150</v>
      </c>
      <c r="T8" s="22" t="str">
        <f>IF(T7&gt;=Q8,"ok","revisar")</f>
        <v>ok</v>
      </c>
    </row>
    <row r="9" spans="1:20" ht="6" customHeight="1"/>
    <row r="10" spans="1:20" s="26" customFormat="1" ht="31.2">
      <c r="A10" s="23"/>
      <c r="B10" s="24" t="s">
        <v>78</v>
      </c>
      <c r="C10" s="25"/>
      <c r="D10" s="312" t="str">
        <f>'Modelacion (8p) Oct 26'!A1</f>
        <v>ACTUACIÓN SIN ANTEJARDÍN - 8 PISOS - PARQUE EL TUNAL</v>
      </c>
      <c r="G10" s="27"/>
      <c r="H10" s="28" t="s">
        <v>333</v>
      </c>
      <c r="J10" s="312" t="str">
        <f>'Modelacion (8p) Nov 8'!A1</f>
        <v>ACTUACIÓN SIN ANTEJARDÍN - 8 PISOS - PARQUE EL TUNAL</v>
      </c>
      <c r="M10" s="27"/>
      <c r="N10" s="28" t="s">
        <v>334</v>
      </c>
      <c r="P10" s="312" t="str">
        <f>'Modelacion (8p) No VIS Nov 8'!A1</f>
        <v>ACTUACIÓN SIN ANTEJARDÍN - 8 PISOS - PARQUE EL TUNAL</v>
      </c>
      <c r="S10" s="27"/>
      <c r="T10" s="441" t="s">
        <v>335</v>
      </c>
    </row>
    <row r="11" spans="1:20" s="25" customFormat="1" outlineLevel="1">
      <c r="A11" s="23"/>
      <c r="B11" s="29"/>
      <c r="C11" s="9"/>
      <c r="D11" s="30" t="s">
        <v>79</v>
      </c>
      <c r="E11" s="31" t="s">
        <v>80</v>
      </c>
      <c r="F11" s="31" t="s">
        <v>81</v>
      </c>
      <c r="G11" s="32" t="s">
        <v>82</v>
      </c>
      <c r="H11" s="33" t="s">
        <v>66</v>
      </c>
      <c r="J11" s="30" t="s">
        <v>79</v>
      </c>
      <c r="K11" s="31" t="s">
        <v>80</v>
      </c>
      <c r="L11" s="31" t="s">
        <v>81</v>
      </c>
      <c r="M11" s="32" t="s">
        <v>82</v>
      </c>
      <c r="N11" s="33" t="s">
        <v>66</v>
      </c>
      <c r="P11" s="30" t="s">
        <v>79</v>
      </c>
      <c r="Q11" s="31" t="s">
        <v>80</v>
      </c>
      <c r="R11" s="31" t="s">
        <v>81</v>
      </c>
      <c r="S11" s="32" t="s">
        <v>82</v>
      </c>
      <c r="T11" s="33" t="s">
        <v>66</v>
      </c>
    </row>
    <row r="12" spans="1:20" outlineLevel="1">
      <c r="A12" s="34"/>
      <c r="B12" s="35" t="s">
        <v>61</v>
      </c>
      <c r="D12" s="36">
        <f ca="1">'Modelacion (8p) Oct 26'!D52</f>
        <v>35</v>
      </c>
      <c r="E12" s="37">
        <f>H12*$E$2</f>
        <v>81767.34</v>
      </c>
      <c r="F12" s="38">
        <f>E12/E4</f>
        <v>1946.8414285714284</v>
      </c>
      <c r="G12" s="39">
        <f ca="1">E12*D12</f>
        <v>2861856.9</v>
      </c>
      <c r="H12" s="40">
        <v>90</v>
      </c>
      <c r="J12" s="36">
        <f ca="1">'Modelacion (8p) Nov 8'!D52</f>
        <v>35</v>
      </c>
      <c r="K12" s="37">
        <f>N12*$E$2</f>
        <v>81767.34</v>
      </c>
      <c r="L12" s="38">
        <f>K12/K4</f>
        <v>1946.8414285714284</v>
      </c>
      <c r="M12" s="39">
        <f ca="1">K12*J12</f>
        <v>2861856.9</v>
      </c>
      <c r="N12" s="40">
        <v>90</v>
      </c>
      <c r="P12" s="36"/>
      <c r="Q12" s="37">
        <f>T12*$E$2</f>
        <v>0</v>
      </c>
      <c r="R12" s="38">
        <f>Q12/Q4</f>
        <v>0</v>
      </c>
      <c r="S12" s="39">
        <f>Q12*P12</f>
        <v>0</v>
      </c>
      <c r="T12" s="40">
        <v>0</v>
      </c>
    </row>
    <row r="13" spans="1:20" outlineLevel="1">
      <c r="A13" s="41"/>
      <c r="B13" s="42"/>
      <c r="D13" s="43">
        <f ca="1">D12</f>
        <v>35</v>
      </c>
      <c r="E13" s="44">
        <f ca="1">D13*E4</f>
        <v>1470</v>
      </c>
      <c r="F13" s="45">
        <f ca="1">E13+'Modelacion (8p) Oct 26'!G121+'Modelacion (8p) Oct 26'!K121+'Modelacion (8p) Oct 26'!E57</f>
        <v>1729.3107807339036</v>
      </c>
      <c r="G13" s="46">
        <f ca="1">SUM(G12:G12)</f>
        <v>2861856.9</v>
      </c>
      <c r="H13" s="47">
        <f ca="1">G13/G$36</f>
        <v>9.3285448248268982E-2</v>
      </c>
      <c r="J13" s="43">
        <f ca="1">J12</f>
        <v>35</v>
      </c>
      <c r="K13" s="44">
        <f ca="1">J13*K4</f>
        <v>1470</v>
      </c>
      <c r="L13" s="45">
        <f ca="1">K13+'Modelacion (8p) Nov 8'!G121+'Modelacion (8p) Nov 8'!K121+'Modelacion (8p) Nov 8'!E57</f>
        <v>1729.3107807339036</v>
      </c>
      <c r="M13" s="46">
        <f ca="1">SUM(M12:M12)</f>
        <v>2861856.9</v>
      </c>
      <c r="N13" s="47">
        <f ca="1">M13/M$36</f>
        <v>9.3285448248268982E-2</v>
      </c>
      <c r="P13" s="43">
        <f>P12</f>
        <v>0</v>
      </c>
      <c r="Q13" s="44">
        <f>P13*Q4</f>
        <v>0</v>
      </c>
      <c r="R13" s="45"/>
      <c r="S13" s="46">
        <f>SUM(S12:S12)</f>
        <v>0</v>
      </c>
      <c r="T13" s="47">
        <f ca="1">S13/S$36</f>
        <v>0</v>
      </c>
    </row>
    <row r="14" spans="1:20" outlineLevel="1">
      <c r="A14" s="41"/>
      <c r="B14" s="42"/>
      <c r="D14" s="48"/>
      <c r="E14" s="49">
        <f ca="1">IFERROR(E13/F13,0)</f>
        <v>0.85004963617710494</v>
      </c>
      <c r="F14" s="50"/>
      <c r="G14" s="51"/>
      <c r="H14" s="47"/>
      <c r="J14" s="48"/>
      <c r="K14" s="49">
        <f ca="1">IFERROR(K13/L13,0)</f>
        <v>0.85004963617710494</v>
      </c>
      <c r="L14" s="50"/>
      <c r="M14" s="51"/>
      <c r="N14" s="47"/>
      <c r="P14" s="48"/>
      <c r="Q14" s="49">
        <f>IFERROR(Q13/R13,0)</f>
        <v>0</v>
      </c>
      <c r="R14" s="50"/>
      <c r="S14" s="51"/>
      <c r="T14" s="47"/>
    </row>
    <row r="15" spans="1:20" ht="6" customHeight="1" outlineLevel="1">
      <c r="A15" s="41"/>
      <c r="B15" s="42"/>
      <c r="D15" s="48"/>
      <c r="E15" s="44"/>
      <c r="F15" s="52"/>
      <c r="G15" s="51"/>
      <c r="H15" s="47"/>
      <c r="J15" s="48"/>
      <c r="K15" s="44"/>
      <c r="L15" s="52"/>
      <c r="M15" s="51"/>
      <c r="N15" s="47"/>
      <c r="P15" s="48"/>
      <c r="Q15" s="44"/>
      <c r="R15" s="52"/>
      <c r="S15" s="51"/>
      <c r="T15" s="47"/>
    </row>
    <row r="16" spans="1:20" outlineLevel="1">
      <c r="A16" s="34"/>
      <c r="B16" s="35" t="s">
        <v>62</v>
      </c>
      <c r="D16" s="36">
        <v>0</v>
      </c>
      <c r="E16" s="37">
        <f>H16*$E$2</f>
        <v>0</v>
      </c>
      <c r="F16" s="38">
        <f>E16/E4</f>
        <v>0</v>
      </c>
      <c r="G16" s="39">
        <f>E16*D16</f>
        <v>0</v>
      </c>
      <c r="H16" s="40">
        <v>0</v>
      </c>
      <c r="J16" s="36"/>
      <c r="K16" s="37">
        <f>N16*$E$2</f>
        <v>0</v>
      </c>
      <c r="L16" s="38">
        <f>K16/K4</f>
        <v>0</v>
      </c>
      <c r="M16" s="39">
        <f>K16*J16</f>
        <v>0</v>
      </c>
      <c r="N16" s="40">
        <v>0</v>
      </c>
      <c r="P16" s="36"/>
      <c r="Q16" s="37">
        <f>T16*$E$2</f>
        <v>0</v>
      </c>
      <c r="R16" s="38">
        <f>Q16/Q4</f>
        <v>0</v>
      </c>
      <c r="S16" s="39">
        <f>Q16*P16</f>
        <v>0</v>
      </c>
      <c r="T16" s="40">
        <v>0</v>
      </c>
    </row>
    <row r="17" spans="1:20" outlineLevel="1">
      <c r="A17" s="41"/>
      <c r="B17" s="42"/>
      <c r="D17" s="43">
        <f>D15+D16</f>
        <v>0</v>
      </c>
      <c r="E17" s="44">
        <f>D17*E4</f>
        <v>0</v>
      </c>
      <c r="F17" s="45">
        <v>0</v>
      </c>
      <c r="G17" s="46">
        <f>SUM(G15:G16)</f>
        <v>0</v>
      </c>
      <c r="H17" s="47">
        <f ca="1">G17/G$36</f>
        <v>0</v>
      </c>
      <c r="J17" s="43">
        <f>J15+J16</f>
        <v>0</v>
      </c>
      <c r="K17" s="44">
        <f>J17*K4</f>
        <v>0</v>
      </c>
      <c r="L17" s="45"/>
      <c r="M17" s="46">
        <f>SUM(M15:M16)</f>
        <v>0</v>
      </c>
      <c r="N17" s="47">
        <f ca="1">M17/M$36</f>
        <v>0</v>
      </c>
      <c r="P17" s="43">
        <f>P15+P16</f>
        <v>0</v>
      </c>
      <c r="Q17" s="44">
        <f>P17*Q4</f>
        <v>0</v>
      </c>
      <c r="R17" s="45"/>
      <c r="S17" s="46">
        <f>SUM(S15:S16)</f>
        <v>0</v>
      </c>
      <c r="T17" s="47">
        <f ca="1">S17/S$36</f>
        <v>0</v>
      </c>
    </row>
    <row r="18" spans="1:20" outlineLevel="1">
      <c r="B18" s="42"/>
      <c r="D18" s="48"/>
      <c r="E18" s="49">
        <f>IFERROR(E17/F17,0)</f>
        <v>0</v>
      </c>
      <c r="F18" s="50"/>
      <c r="G18" s="51"/>
      <c r="H18" s="47"/>
      <c r="J18" s="48"/>
      <c r="K18" s="49">
        <f>IFERROR(K17/L17,0)</f>
        <v>0</v>
      </c>
      <c r="L18" s="50"/>
      <c r="M18" s="51"/>
      <c r="N18" s="47"/>
      <c r="P18" s="48"/>
      <c r="Q18" s="49">
        <f>IFERROR(Q17/R17,0)</f>
        <v>0</v>
      </c>
      <c r="R18" s="50"/>
      <c r="S18" s="51"/>
      <c r="T18" s="47"/>
    </row>
    <row r="19" spans="1:20" s="55" customFormat="1" ht="4.95" customHeight="1" outlineLevel="1">
      <c r="A19" s="53"/>
      <c r="B19" s="42"/>
      <c r="C19" s="9"/>
      <c r="D19" s="48"/>
      <c r="E19" s="50"/>
      <c r="F19" s="50"/>
      <c r="G19" s="51"/>
      <c r="H19" s="54"/>
      <c r="J19" s="48"/>
      <c r="K19" s="50"/>
      <c r="L19" s="50"/>
      <c r="M19" s="51"/>
      <c r="N19" s="54"/>
      <c r="P19" s="48"/>
      <c r="Q19" s="50"/>
      <c r="R19" s="50"/>
      <c r="S19" s="51"/>
      <c r="T19" s="54"/>
    </row>
    <row r="20" spans="1:20" outlineLevel="1">
      <c r="A20" s="56"/>
      <c r="B20" s="35" t="s">
        <v>83</v>
      </c>
      <c r="D20" s="36">
        <f ca="1">'Modelacion (8p) Oct 26'!D53</f>
        <v>140</v>
      </c>
      <c r="E20" s="37">
        <f>H20*$E$2</f>
        <v>163800</v>
      </c>
      <c r="F20" s="38">
        <f>E20/E5</f>
        <v>3900</v>
      </c>
      <c r="G20" s="39">
        <f ca="1">E20*D20</f>
        <v>22932000</v>
      </c>
      <c r="H20" s="57">
        <v>180.29203346959801</v>
      </c>
      <c r="J20" s="36">
        <f ca="1">'Modelacion (8p) Nov 8'!D53</f>
        <v>140</v>
      </c>
      <c r="K20" s="37">
        <f>N20*$E$2</f>
        <v>163800</v>
      </c>
      <c r="L20" s="38">
        <f>K20/K5</f>
        <v>3900</v>
      </c>
      <c r="M20" s="39">
        <f ca="1">K20*J20</f>
        <v>22932000</v>
      </c>
      <c r="N20" s="57">
        <v>180.29203346959801</v>
      </c>
      <c r="P20" s="36">
        <f ca="1">'Modelacion (8p) No VIS Nov 8'!D53</f>
        <v>176</v>
      </c>
      <c r="Q20" s="37">
        <f>T20*$E$2</f>
        <v>163800</v>
      </c>
      <c r="R20" s="38">
        <f>Q20/Q5</f>
        <v>3900</v>
      </c>
      <c r="S20" s="39">
        <f ca="1">Q20*P20</f>
        <v>28828800</v>
      </c>
      <c r="T20" s="57">
        <v>180.29203346959801</v>
      </c>
    </row>
    <row r="21" spans="1:20" outlineLevel="1">
      <c r="B21" s="42"/>
      <c r="D21" s="43">
        <f ca="1">D20</f>
        <v>140</v>
      </c>
      <c r="E21" s="44">
        <f ca="1">D20*E5</f>
        <v>5880</v>
      </c>
      <c r="F21" s="45">
        <f ca="1">E21+'Modelacion (8p) Oct 26'!H121+'Modelacion (8p) Oct 26'!L121+'Modelacion (8p) Oct 26'!E58</f>
        <v>6896.2431229356143</v>
      </c>
      <c r="G21" s="46">
        <f ca="1">SUM(G20:G20)</f>
        <v>22932000</v>
      </c>
      <c r="H21" s="47">
        <f ca="1">G21/G$36</f>
        <v>0.74749436256903845</v>
      </c>
      <c r="J21" s="43">
        <f ca="1">J20</f>
        <v>140</v>
      </c>
      <c r="K21" s="44">
        <f ca="1">J20*K5</f>
        <v>5880</v>
      </c>
      <c r="L21" s="45">
        <f ca="1">K21+'Modelacion (8p) Nov 8'!H121+'Modelacion (8p) Nov 8'!L121+'Modelacion (8p) Nov 8'!E58</f>
        <v>6896.2431229356143</v>
      </c>
      <c r="M21" s="46">
        <f ca="1">SUM(M20:M20)</f>
        <v>22932000</v>
      </c>
      <c r="N21" s="47">
        <f ca="1">M21/M$36</f>
        <v>0.74749436256903845</v>
      </c>
      <c r="P21" s="43">
        <f ca="1">P20</f>
        <v>176</v>
      </c>
      <c r="Q21" s="44">
        <f ca="1">P20*Q5</f>
        <v>7392</v>
      </c>
      <c r="R21" s="45">
        <f ca="1">Q21+'Modelacion (8p) No VIS Nov 8'!H121+'Modelacion (8p) No VIS Nov 8'!L121+'Modelacion (8p) No VIS Nov 8'!D89+'Modelacion (8p) No VIS Nov 8'!D95</f>
        <v>8625.1528405068184</v>
      </c>
      <c r="S21" s="46">
        <f ca="1">SUM(S20:S20)</f>
        <v>28828800</v>
      </c>
      <c r="T21" s="47">
        <f ca="1">S21/S$36</f>
        <v>0.85506786229711229</v>
      </c>
    </row>
    <row r="22" spans="1:20" outlineLevel="1">
      <c r="B22" s="42"/>
      <c r="D22" s="48"/>
      <c r="E22" s="361">
        <f ca="1">IFERROR(E21/F21,0)</f>
        <v>0.85263815314808433</v>
      </c>
      <c r="F22" s="50"/>
      <c r="G22" s="51"/>
      <c r="H22" s="47"/>
      <c r="J22" s="48"/>
      <c r="K22" s="361">
        <f ca="1">IFERROR(K21/L21,0)</f>
        <v>0.85263815314808433</v>
      </c>
      <c r="L22" s="50"/>
      <c r="M22" s="51"/>
      <c r="N22" s="47"/>
      <c r="P22" s="48"/>
      <c r="Q22" s="361">
        <f ca="1">IFERROR(Q21/R21,0)</f>
        <v>0.85702829117236168</v>
      </c>
      <c r="R22" s="50"/>
      <c r="S22" s="51"/>
      <c r="T22" s="47"/>
    </row>
    <row r="23" spans="1:20" ht="5.4" customHeight="1" outlineLevel="1">
      <c r="B23" s="42"/>
      <c r="D23" s="58"/>
      <c r="E23" s="50"/>
      <c r="F23" s="50"/>
      <c r="H23" s="59"/>
      <c r="J23" s="58"/>
      <c r="K23" s="50"/>
      <c r="L23" s="50"/>
      <c r="N23" s="59"/>
      <c r="P23" s="58"/>
      <c r="Q23" s="50"/>
      <c r="R23" s="50"/>
      <c r="T23" s="59"/>
    </row>
    <row r="24" spans="1:20" outlineLevel="1">
      <c r="A24" s="56"/>
      <c r="B24" s="35" t="s">
        <v>84</v>
      </c>
      <c r="D24" s="60">
        <f ca="1">'Modelacion (8p) Oct 26'!D122</f>
        <v>1061.8772473846152</v>
      </c>
      <c r="E24" s="37"/>
      <c r="F24" s="38">
        <v>4600</v>
      </c>
      <c r="G24" s="39">
        <f ca="1">F24*D24</f>
        <v>4884635.3379692296</v>
      </c>
      <c r="H24" s="40"/>
      <c r="J24" s="60">
        <f ca="1">'Modelacion (8p) Nov 8'!D122</f>
        <v>1061.8772473846152</v>
      </c>
      <c r="K24" s="37"/>
      <c r="L24" s="38">
        <v>4600</v>
      </c>
      <c r="M24" s="39">
        <f ca="1">L24*J24</f>
        <v>4884635.3379692296</v>
      </c>
      <c r="N24" s="40"/>
      <c r="P24" s="60">
        <f ca="1">'Modelacion (8p) No VIS Nov 8'!D122</f>
        <v>1062.2649396923077</v>
      </c>
      <c r="Q24" s="37"/>
      <c r="R24" s="38">
        <v>4600</v>
      </c>
      <c r="S24" s="39">
        <f ca="1">R24*P24</f>
        <v>4886418.7225846155</v>
      </c>
      <c r="T24" s="40"/>
    </row>
    <row r="25" spans="1:20" outlineLevel="1">
      <c r="B25" s="42"/>
      <c r="D25" s="43">
        <f ca="1">D24/30</f>
        <v>35.395908246153837</v>
      </c>
      <c r="E25" s="44">
        <f ca="1">D24</f>
        <v>1061.8772473846152</v>
      </c>
      <c r="F25" s="45">
        <f ca="1">E25+'Modelacion (8p) Oct 26'!J122+'Modelacion (8p) Oct 26'!D90</f>
        <v>1299.0688173304811</v>
      </c>
      <c r="G25" s="46">
        <f ca="1">SUM(G24:G24)</f>
        <v>4884635.3379692296</v>
      </c>
      <c r="H25" s="47">
        <f ca="1">G25/G$36</f>
        <v>0.15922018918269268</v>
      </c>
      <c r="J25" s="43">
        <f ca="1">J24/30</f>
        <v>35.395908246153837</v>
      </c>
      <c r="K25" s="44">
        <f ca="1">J24</f>
        <v>1061.8772473846152</v>
      </c>
      <c r="L25" s="45">
        <f ca="1">K25+'Modelacion (8p) Nov 8'!J122+'Modelacion (8p) Nov 8'!D90</f>
        <v>1299.0688173304811</v>
      </c>
      <c r="M25" s="46">
        <f ca="1">SUM(M24:M24)</f>
        <v>4884635.3379692296</v>
      </c>
      <c r="N25" s="47">
        <f ca="1">M25/M$36</f>
        <v>0.15922018918269268</v>
      </c>
      <c r="P25" s="43">
        <f ca="1">P24/30</f>
        <v>35.408831323076924</v>
      </c>
      <c r="Q25" s="44">
        <f ca="1">P24</f>
        <v>1062.2649396923077</v>
      </c>
      <c r="R25" s="45">
        <f ca="1">Q25+'Modelacion (8p) No VIS Nov 8'!J122+'Modelacion (8p) No VIS Nov 8'!D90</f>
        <v>1299.4698804931795</v>
      </c>
      <c r="S25" s="46">
        <f ca="1">SUM(S24:S24)</f>
        <v>4886418.7225846155</v>
      </c>
      <c r="T25" s="47">
        <f ca="1">S25/S$36</f>
        <v>0.14493213770288785</v>
      </c>
    </row>
    <row r="26" spans="1:20" outlineLevel="1">
      <c r="B26" s="42"/>
      <c r="D26" s="48"/>
      <c r="E26" s="49">
        <f ca="1">IFERROR(E25/F25,0)</f>
        <v>0.81741416098857467</v>
      </c>
      <c r="F26" s="50"/>
      <c r="G26" s="51"/>
      <c r="H26" s="47"/>
      <c r="J26" s="48"/>
      <c r="K26" s="49">
        <f ca="1">IFERROR(K25/L25,0)</f>
        <v>0.81741416098857467</v>
      </c>
      <c r="L26" s="50"/>
      <c r="M26" s="51"/>
      <c r="N26" s="47"/>
      <c r="P26" s="48"/>
      <c r="Q26" s="49">
        <f ca="1">IFERROR(Q25/R25,0)</f>
        <v>0.81746022407934005</v>
      </c>
      <c r="R26" s="50"/>
      <c r="S26" s="51"/>
      <c r="T26" s="47"/>
    </row>
    <row r="27" spans="1:20" outlineLevel="1">
      <c r="B27" s="61"/>
      <c r="D27" s="58"/>
      <c r="E27" s="62"/>
      <c r="F27" s="62"/>
      <c r="G27" s="63"/>
      <c r="H27" s="59"/>
      <c r="J27" s="58"/>
      <c r="K27" s="62"/>
      <c r="L27" s="62"/>
      <c r="M27" s="63"/>
      <c r="N27" s="59"/>
      <c r="P27" s="58"/>
      <c r="Q27" s="62"/>
      <c r="R27" s="62"/>
      <c r="S27" s="63"/>
      <c r="T27" s="59"/>
    </row>
    <row r="28" spans="1:20" outlineLevel="1">
      <c r="A28" s="56"/>
      <c r="B28" s="35" t="s">
        <v>85</v>
      </c>
      <c r="D28" s="60">
        <v>0</v>
      </c>
      <c r="E28" s="37"/>
      <c r="F28" s="38">
        <v>0</v>
      </c>
      <c r="G28" s="39">
        <f>F28*D28</f>
        <v>0</v>
      </c>
      <c r="H28" s="40"/>
      <c r="J28" s="60"/>
      <c r="K28" s="37"/>
      <c r="L28" s="38">
        <v>0</v>
      </c>
      <c r="M28" s="39">
        <f>L28*J28</f>
        <v>0</v>
      </c>
      <c r="N28" s="40"/>
      <c r="P28" s="60"/>
      <c r="Q28" s="37"/>
      <c r="R28" s="38">
        <v>0</v>
      </c>
      <c r="S28" s="39">
        <f>R28*P28</f>
        <v>0</v>
      </c>
      <c r="T28" s="40"/>
    </row>
    <row r="29" spans="1:20" outlineLevel="1">
      <c r="B29" s="42"/>
      <c r="D29" s="43">
        <f>D28/80</f>
        <v>0</v>
      </c>
      <c r="E29" s="44">
        <f>D28</f>
        <v>0</v>
      </c>
      <c r="F29" s="45">
        <v>0</v>
      </c>
      <c r="G29" s="46">
        <f>SUM(G28:G28)</f>
        <v>0</v>
      </c>
      <c r="H29" s="47">
        <f ca="1">G29/G$36</f>
        <v>0</v>
      </c>
      <c r="J29" s="43">
        <f>J28/80</f>
        <v>0</v>
      </c>
      <c r="K29" s="44">
        <f>J28</f>
        <v>0</v>
      </c>
      <c r="L29" s="45"/>
      <c r="M29" s="46">
        <f>SUM(M28:M28)</f>
        <v>0</v>
      </c>
      <c r="N29" s="47">
        <f ca="1">M29/M$36</f>
        <v>0</v>
      </c>
      <c r="P29" s="43">
        <f>P28/80</f>
        <v>0</v>
      </c>
      <c r="Q29" s="44">
        <f>P28</f>
        <v>0</v>
      </c>
      <c r="R29" s="45"/>
      <c r="S29" s="46">
        <f>SUM(S28:S28)</f>
        <v>0</v>
      </c>
      <c r="T29" s="47">
        <f ca="1">S29/S$36</f>
        <v>0</v>
      </c>
    </row>
    <row r="30" spans="1:20" outlineLevel="1">
      <c r="B30" s="42"/>
      <c r="D30" s="48"/>
      <c r="E30" s="49">
        <f>IFERROR(E29/F29,0)</f>
        <v>0</v>
      </c>
      <c r="F30" s="50"/>
      <c r="G30" s="51"/>
      <c r="H30" s="47"/>
      <c r="J30" s="48"/>
      <c r="K30" s="49">
        <f>IFERROR(K29/L29,0)</f>
        <v>0</v>
      </c>
      <c r="L30" s="50"/>
      <c r="M30" s="51"/>
      <c r="N30" s="47"/>
      <c r="P30" s="48"/>
      <c r="Q30" s="49">
        <f>IFERROR(Q29/R29,0)</f>
        <v>0</v>
      </c>
      <c r="R30" s="50"/>
      <c r="S30" s="51"/>
      <c r="T30" s="47"/>
    </row>
    <row r="31" spans="1:20" outlineLevel="1">
      <c r="B31" s="42"/>
      <c r="D31" s="48"/>
      <c r="E31" s="49"/>
      <c r="F31" s="50"/>
      <c r="G31" s="51"/>
      <c r="H31" s="47"/>
      <c r="J31" s="48"/>
      <c r="K31" s="49"/>
      <c r="L31" s="50"/>
      <c r="M31" s="51"/>
      <c r="N31" s="47"/>
      <c r="P31" s="48"/>
      <c r="Q31" s="49"/>
      <c r="R31" s="50"/>
      <c r="S31" s="51"/>
      <c r="T31" s="47"/>
    </row>
    <row r="32" spans="1:20" outlineLevel="1">
      <c r="A32" s="56"/>
      <c r="B32" s="35" t="s">
        <v>114</v>
      </c>
      <c r="D32" s="60">
        <v>0</v>
      </c>
      <c r="E32" s="37"/>
      <c r="F32" s="38">
        <v>0</v>
      </c>
      <c r="G32" s="39">
        <f>F32*D32</f>
        <v>0</v>
      </c>
      <c r="H32" s="40"/>
      <c r="J32" s="60">
        <v>0</v>
      </c>
      <c r="K32" s="37"/>
      <c r="L32" s="38">
        <v>0</v>
      </c>
      <c r="M32" s="39">
        <f>L32*J32</f>
        <v>0</v>
      </c>
      <c r="N32" s="40"/>
      <c r="P32" s="60"/>
      <c r="Q32" s="37"/>
      <c r="R32" s="38">
        <v>0</v>
      </c>
      <c r="S32" s="39">
        <f>R32*P32</f>
        <v>0</v>
      </c>
      <c r="T32" s="40"/>
    </row>
    <row r="33" spans="1:20" outlineLevel="1">
      <c r="B33" s="42"/>
      <c r="D33" s="43">
        <f>D32/80</f>
        <v>0</v>
      </c>
      <c r="E33" s="44">
        <f>D32</f>
        <v>0</v>
      </c>
      <c r="F33" s="45">
        <v>0</v>
      </c>
      <c r="G33" s="46">
        <f>SUM(G32:G32)</f>
        <v>0</v>
      </c>
      <c r="H33" s="47">
        <f ca="1">G33/G$36</f>
        <v>0</v>
      </c>
      <c r="J33" s="43">
        <f>J32/80</f>
        <v>0</v>
      </c>
      <c r="K33" s="44">
        <f>J32</f>
        <v>0</v>
      </c>
      <c r="L33" s="45">
        <v>0</v>
      </c>
      <c r="M33" s="46">
        <f>SUM(M32:M32)</f>
        <v>0</v>
      </c>
      <c r="N33" s="47">
        <f ca="1">M33/M$36</f>
        <v>0</v>
      </c>
      <c r="P33" s="43">
        <f>P32/80</f>
        <v>0</v>
      </c>
      <c r="Q33" s="44">
        <f>P32</f>
        <v>0</v>
      </c>
      <c r="R33" s="45"/>
      <c r="S33" s="46">
        <f>SUM(S32:S32)</f>
        <v>0</v>
      </c>
      <c r="T33" s="47">
        <f ca="1">S33/S$36</f>
        <v>0</v>
      </c>
    </row>
    <row r="34" spans="1:20" outlineLevel="1">
      <c r="B34" s="42"/>
      <c r="D34" s="48"/>
      <c r="E34" s="49">
        <f>IFERROR(E33/F33,0)</f>
        <v>0</v>
      </c>
      <c r="F34" s="50"/>
      <c r="G34" s="51"/>
      <c r="H34" s="47"/>
      <c r="J34" s="48"/>
      <c r="K34" s="49">
        <f>IFERROR(K33/L33,0)</f>
        <v>0</v>
      </c>
      <c r="L34" s="50"/>
      <c r="M34" s="51"/>
      <c r="N34" s="47"/>
      <c r="P34" s="48"/>
      <c r="Q34" s="49">
        <f>IFERROR(Q33/R33,0)</f>
        <v>0</v>
      </c>
      <c r="R34" s="50"/>
      <c r="S34" s="51"/>
      <c r="T34" s="47"/>
    </row>
    <row r="35" spans="1:20" outlineLevel="1">
      <c r="B35" s="42"/>
      <c r="D35" s="48"/>
      <c r="E35" s="49"/>
      <c r="F35" s="50"/>
      <c r="G35" s="51"/>
      <c r="H35" s="47"/>
      <c r="J35" s="48"/>
      <c r="K35" s="49"/>
      <c r="L35" s="50"/>
      <c r="M35" s="51"/>
      <c r="N35" s="47"/>
      <c r="P35" s="48"/>
      <c r="Q35" s="49"/>
      <c r="R35" s="50"/>
      <c r="S35" s="51"/>
      <c r="T35" s="47"/>
    </row>
    <row r="36" spans="1:20" s="64" customFormat="1" ht="15.6">
      <c r="B36" s="65" t="s">
        <v>86</v>
      </c>
      <c r="C36" s="66"/>
      <c r="D36" s="67">
        <f>'Modelacion (8p) Oct 26'!D49</f>
        <v>8</v>
      </c>
      <c r="E36" s="68">
        <f ca="1">E13+E17+E21+E25+E29</f>
        <v>8411.8772473846147</v>
      </c>
      <c r="F36" s="69">
        <f ca="1">F13+F17+F21+F25+F29</f>
        <v>9924.6227209999979</v>
      </c>
      <c r="G36" s="70">
        <f ca="1">G13+G17+G21+G25+G29</f>
        <v>30678492.237969227</v>
      </c>
      <c r="H36" s="71">
        <v>1</v>
      </c>
      <c r="J36" s="67">
        <f>'Modelacion (8p) Nov 8'!D49</f>
        <v>8</v>
      </c>
      <c r="K36" s="68">
        <f ca="1">K13+K17+K21+K25+K29</f>
        <v>8411.8772473846147</v>
      </c>
      <c r="L36" s="69">
        <f ca="1">L13+L17+L21+L25+L29</f>
        <v>9924.6227209999979</v>
      </c>
      <c r="M36" s="70">
        <f ca="1">M13+M17+M21+M25+M29</f>
        <v>30678492.237969227</v>
      </c>
      <c r="N36" s="71">
        <v>1</v>
      </c>
      <c r="P36" s="67">
        <f>'Modelacion (8p) Nov 8'!J49</f>
        <v>0</v>
      </c>
      <c r="Q36" s="68">
        <f ca="1">Q13+Q17+Q21+Q25+Q29</f>
        <v>8454.264939692308</v>
      </c>
      <c r="R36" s="69">
        <f ca="1">R13+R17+R21+R25+R29</f>
        <v>9924.6227209999979</v>
      </c>
      <c r="S36" s="70">
        <f ca="1">S13+S17+S21+S25+S29</f>
        <v>33715218.722584613</v>
      </c>
      <c r="T36" s="71">
        <v>1</v>
      </c>
    </row>
    <row r="37" spans="1:20">
      <c r="B37" s="73"/>
      <c r="D37" s="74"/>
      <c r="E37" s="75"/>
      <c r="F37" s="74"/>
      <c r="G37" s="74"/>
      <c r="H37" s="74"/>
      <c r="J37" s="74"/>
      <c r="K37" s="75"/>
      <c r="L37" s="74"/>
      <c r="M37" s="74"/>
      <c r="N37" s="74"/>
      <c r="P37" s="74"/>
      <c r="Q37" s="75"/>
      <c r="R37" s="74"/>
      <c r="S37" s="74"/>
      <c r="T37" s="74"/>
    </row>
    <row r="38" spans="1:20" s="72" customFormat="1" ht="18">
      <c r="A38" s="8"/>
      <c r="B38" s="76" t="s">
        <v>87</v>
      </c>
      <c r="C38" s="9"/>
      <c r="D38" s="77"/>
      <c r="E38" s="78">
        <v>1000</v>
      </c>
      <c r="F38" s="79">
        <f ca="1">F75</f>
        <v>-0.31160543136240776</v>
      </c>
      <c r="G38" s="80">
        <f ca="1">G77</f>
        <v>1594401.6355298678</v>
      </c>
      <c r="H38" s="81">
        <f ca="1">H77</f>
        <v>5.197131668539294E-2</v>
      </c>
      <c r="J38" s="77"/>
      <c r="K38" s="78">
        <v>1000</v>
      </c>
      <c r="L38" s="79">
        <f ca="1">L75</f>
        <v>-0.30844540161691086</v>
      </c>
      <c r="M38" s="80">
        <f ca="1">M77</f>
        <v>1603121.7635298665</v>
      </c>
      <c r="N38" s="81">
        <f ca="1">N77</f>
        <v>5.2255559076849395E-2</v>
      </c>
      <c r="P38" s="77"/>
      <c r="Q38" s="78">
        <v>1000</v>
      </c>
      <c r="R38" s="79">
        <f ca="1">R75</f>
        <v>0.16824634833935187</v>
      </c>
      <c r="S38" s="80">
        <f ca="1">S77</f>
        <v>3835799.0503901537</v>
      </c>
      <c r="T38" s="81">
        <f ca="1">T77</f>
        <v>0.11377055216375298</v>
      </c>
    </row>
    <row r="39" spans="1:20" s="88" customFormat="1" ht="24" customHeight="1" outlineLevel="1">
      <c r="A39" s="82"/>
      <c r="B39" s="83" t="s">
        <v>88</v>
      </c>
      <c r="C39" s="72"/>
      <c r="D39" s="84"/>
      <c r="E39" s="85"/>
      <c r="F39" s="85"/>
      <c r="G39" s="86">
        <f ca="1">SUM(G42:G47)</f>
        <v>17440.256000000005</v>
      </c>
      <c r="H39" s="87">
        <f ca="1">G39/G36</f>
        <v>5.684847829129972E-4</v>
      </c>
      <c r="J39" s="84"/>
      <c r="K39" s="85"/>
      <c r="L39" s="85"/>
      <c r="M39" s="86">
        <f ca="1">SUM(M42:M47)</f>
        <v>8720.1280000000024</v>
      </c>
      <c r="N39" s="87">
        <f ca="1">M39/M36</f>
        <v>2.842423914564986E-4</v>
      </c>
      <c r="P39" s="84"/>
      <c r="Q39" s="85"/>
      <c r="R39" s="85"/>
      <c r="S39" s="86">
        <f ca="1">SUM(S42:S47)</f>
        <v>17440.256000000005</v>
      </c>
      <c r="T39" s="87">
        <f ca="1">S39/S36</f>
        <v>5.1728141358066892E-4</v>
      </c>
    </row>
    <row r="40" spans="1:20" s="95" customFormat="1" ht="22.2" customHeight="1" outlineLevel="2">
      <c r="A40" s="34"/>
      <c r="B40" s="89" t="s">
        <v>89</v>
      </c>
      <c r="C40" s="9"/>
      <c r="D40" s="90">
        <v>0.1</v>
      </c>
      <c r="E40" s="91">
        <f>E41/H3</f>
        <v>0</v>
      </c>
      <c r="F40" s="92">
        <v>0.25</v>
      </c>
      <c r="G40" s="93"/>
      <c r="H40" s="94"/>
      <c r="J40" s="90">
        <v>0.05</v>
      </c>
      <c r="K40" s="91">
        <f>K41/N3</f>
        <v>0</v>
      </c>
      <c r="L40" s="92">
        <v>0.25</v>
      </c>
      <c r="M40" s="93"/>
      <c r="N40" s="94"/>
      <c r="P40" s="90">
        <v>0.1</v>
      </c>
      <c r="Q40" s="91">
        <f>Q41/T3</f>
        <v>0</v>
      </c>
      <c r="R40" s="92">
        <v>0.25</v>
      </c>
      <c r="S40" s="93"/>
      <c r="T40" s="94"/>
    </row>
    <row r="41" spans="1:20" s="95" customFormat="1" ht="22.2" customHeight="1" outlineLevel="2">
      <c r="A41" s="34"/>
      <c r="B41" s="96" t="s">
        <v>90</v>
      </c>
      <c r="C41" s="9"/>
      <c r="D41" s="350">
        <f>D40*H3</f>
        <v>236.96000000000004</v>
      </c>
      <c r="E41" s="97">
        <v>0</v>
      </c>
      <c r="F41" s="97">
        <f>F40*H3</f>
        <v>592.40000000000009</v>
      </c>
      <c r="G41" s="98"/>
      <c r="H41" s="99"/>
      <c r="J41" s="350">
        <f>J40*N3</f>
        <v>118.48000000000002</v>
      </c>
      <c r="K41" s="97">
        <v>0</v>
      </c>
      <c r="L41" s="97">
        <f>L40*N3</f>
        <v>592.40000000000009</v>
      </c>
      <c r="M41" s="98"/>
      <c r="N41" s="99"/>
      <c r="P41" s="350">
        <f>P40*T3</f>
        <v>236.96000000000004</v>
      </c>
      <c r="Q41" s="97">
        <v>0</v>
      </c>
      <c r="R41" s="97">
        <f>R40*T3</f>
        <v>592.40000000000009</v>
      </c>
      <c r="S41" s="98"/>
      <c r="T41" s="99"/>
    </row>
    <row r="42" spans="1:20" s="95" customFormat="1" ht="22.2" customHeight="1" outlineLevel="2">
      <c r="A42" s="34"/>
      <c r="B42" s="100" t="s">
        <v>91</v>
      </c>
      <c r="C42" s="9"/>
      <c r="D42" s="101">
        <v>400</v>
      </c>
      <c r="E42" s="102">
        <v>0.8</v>
      </c>
      <c r="F42" s="103"/>
      <c r="G42" s="104">
        <f>IF(F41&lt;D42,F41*(E8*E42),)</f>
        <v>0</v>
      </c>
      <c r="H42" s="105">
        <f ca="1">G42/G36</f>
        <v>0</v>
      </c>
      <c r="J42" s="101">
        <v>400</v>
      </c>
      <c r="K42" s="102">
        <v>0.8</v>
      </c>
      <c r="L42" s="103"/>
      <c r="M42" s="104">
        <f>IF(L41&lt;J42,L41*(K8*K42),)</f>
        <v>0</v>
      </c>
      <c r="N42" s="105">
        <f ca="1">M42/M36</f>
        <v>0</v>
      </c>
      <c r="P42" s="101">
        <v>400</v>
      </c>
      <c r="Q42" s="102">
        <v>0.8</v>
      </c>
      <c r="R42" s="103"/>
      <c r="S42" s="104">
        <f>IF(R41&lt;P42,R41*(Q8*Q42),)</f>
        <v>0</v>
      </c>
      <c r="T42" s="105">
        <f ca="1">S42/S36</f>
        <v>0</v>
      </c>
    </row>
    <row r="43" spans="1:20" s="95" customFormat="1" ht="22.2" customHeight="1" outlineLevel="2">
      <c r="A43" s="34"/>
      <c r="B43" s="108" t="s">
        <v>92</v>
      </c>
      <c r="C43" s="9"/>
      <c r="D43" s="109"/>
      <c r="E43" s="110">
        <v>0.75</v>
      </c>
      <c r="F43" s="103">
        <v>0</v>
      </c>
      <c r="G43" s="104">
        <f>E41*E8*E43</f>
        <v>0</v>
      </c>
      <c r="H43" s="105">
        <f ca="1">G43/G36</f>
        <v>0</v>
      </c>
      <c r="J43" s="109"/>
      <c r="K43" s="110">
        <v>0.75</v>
      </c>
      <c r="L43" s="103">
        <v>0</v>
      </c>
      <c r="M43" s="104">
        <f>K41*K8*K43</f>
        <v>0</v>
      </c>
      <c r="N43" s="105">
        <f ca="1">M43/M36</f>
        <v>0</v>
      </c>
      <c r="P43" s="109"/>
      <c r="Q43" s="110">
        <v>0.75</v>
      </c>
      <c r="R43" s="103">
        <v>0</v>
      </c>
      <c r="S43" s="104">
        <f>Q41*Q8*Q43</f>
        <v>0</v>
      </c>
      <c r="T43" s="105">
        <f ca="1">S43/S36</f>
        <v>0</v>
      </c>
    </row>
    <row r="44" spans="1:20" s="95" customFormat="1" ht="22.2" customHeight="1" outlineLevel="2">
      <c r="A44" s="34"/>
      <c r="B44" s="108" t="s">
        <v>93</v>
      </c>
      <c r="C44" s="9"/>
      <c r="D44" s="109"/>
      <c r="E44" s="107">
        <v>6.4000000000000001E-2</v>
      </c>
      <c r="F44" s="103">
        <v>0</v>
      </c>
      <c r="G44" s="104">
        <f>D41*E8*E44</f>
        <v>17440.256000000005</v>
      </c>
      <c r="H44" s="105">
        <f ca="1">G44/G36</f>
        <v>5.684847829129972E-4</v>
      </c>
      <c r="J44" s="109"/>
      <c r="K44" s="107">
        <v>6.4000000000000001E-2</v>
      </c>
      <c r="L44" s="103">
        <v>0</v>
      </c>
      <c r="M44" s="104">
        <f>J41*K8*K44</f>
        <v>8720.1280000000024</v>
      </c>
      <c r="N44" s="105">
        <f ca="1">M44/M36</f>
        <v>2.842423914564986E-4</v>
      </c>
      <c r="P44" s="109"/>
      <c r="Q44" s="107">
        <v>6.4000000000000001E-2</v>
      </c>
      <c r="R44" s="103">
        <v>0</v>
      </c>
      <c r="S44" s="104">
        <f>P41*Q8*Q44</f>
        <v>17440.256000000005</v>
      </c>
      <c r="T44" s="105">
        <f ca="1">S44/S36</f>
        <v>5.1728141358066892E-4</v>
      </c>
    </row>
    <row r="45" spans="1:20" s="95" customFormat="1" ht="22.2" customHeight="1" outlineLevel="2">
      <c r="B45" s="111" t="s">
        <v>94</v>
      </c>
      <c r="C45" s="9"/>
      <c r="D45" s="106">
        <f ca="1">+(IF(H5&lt;4,0,IF(H5&lt;=5,0.05,IF(H5&lt;=6,0.1,IF(H5&lt;=7,0.1,IF(H5&lt;=11,0.1)))))*H4)</f>
        <v>0</v>
      </c>
      <c r="E45" s="107">
        <v>0.18</v>
      </c>
      <c r="F45" s="103"/>
      <c r="G45" s="104">
        <f ca="1">D45*E8*E45</f>
        <v>0</v>
      </c>
      <c r="H45" s="105">
        <f ca="1">G45/G36</f>
        <v>0</v>
      </c>
      <c r="J45" s="106">
        <f ca="1">+(IF(N5&lt;4,0,IF(N5&lt;=5,0.05,IF(N5&lt;=6,0.1,IF(N5&lt;=7,0.1,IF(N5&lt;=11,0.1)))))*N4)</f>
        <v>0</v>
      </c>
      <c r="K45" s="107">
        <v>0.18</v>
      </c>
      <c r="L45" s="103"/>
      <c r="M45" s="104">
        <f ca="1">J45*K8*K45</f>
        <v>0</v>
      </c>
      <c r="N45" s="105">
        <f ca="1">M45/M36</f>
        <v>0</v>
      </c>
      <c r="P45" s="106">
        <f ca="1">+(IF(T5&lt;4,0,IF(T5&lt;=5,0.05,IF(T5&lt;=6,0.1,IF(T5&lt;=7,0.1,IF(T5&lt;=11,0.1)))))*T4)</f>
        <v>0</v>
      </c>
      <c r="Q45" s="107">
        <v>0.18</v>
      </c>
      <c r="R45" s="103"/>
      <c r="S45" s="104">
        <f ca="1">P45*Q8*Q45</f>
        <v>0</v>
      </c>
      <c r="T45" s="105">
        <f ca="1">S45/S36</f>
        <v>0</v>
      </c>
    </row>
    <row r="46" spans="1:20" s="95" customFormat="1" ht="22.2" customHeight="1" outlineLevel="2">
      <c r="B46" s="111" t="s">
        <v>95</v>
      </c>
      <c r="C46" s="9"/>
      <c r="D46" s="106">
        <v>0</v>
      </c>
      <c r="E46" s="107">
        <v>0.18</v>
      </c>
      <c r="F46" s="103">
        <v>0</v>
      </c>
      <c r="G46" s="104">
        <f>D46*E8*E46</f>
        <v>0</v>
      </c>
      <c r="H46" s="105">
        <f ca="1">G46/G36</f>
        <v>0</v>
      </c>
      <c r="J46" s="106">
        <v>0</v>
      </c>
      <c r="K46" s="107">
        <v>0.18</v>
      </c>
      <c r="L46" s="103">
        <v>0</v>
      </c>
      <c r="M46" s="104">
        <f>J46*K8*K46</f>
        <v>0</v>
      </c>
      <c r="N46" s="105">
        <f ca="1">M46/M36</f>
        <v>0</v>
      </c>
      <c r="P46" s="106">
        <v>0</v>
      </c>
      <c r="Q46" s="107">
        <v>0.18</v>
      </c>
      <c r="R46" s="103">
        <v>0</v>
      </c>
      <c r="S46" s="104">
        <f>P46*Q8*Q46</f>
        <v>0</v>
      </c>
      <c r="T46" s="105">
        <f ca="1">S46/S36</f>
        <v>0</v>
      </c>
    </row>
    <row r="47" spans="1:20" s="115" customFormat="1" ht="22.2" customHeight="1" outlineLevel="2">
      <c r="A47" s="34"/>
      <c r="B47" s="112" t="s">
        <v>96</v>
      </c>
      <c r="C47" s="113"/>
      <c r="D47" s="106">
        <v>0</v>
      </c>
      <c r="E47" s="114">
        <v>0.1</v>
      </c>
      <c r="F47" s="103">
        <v>0</v>
      </c>
      <c r="G47" s="104">
        <f>D47*E47*E8</f>
        <v>0</v>
      </c>
      <c r="H47" s="105">
        <f ca="1">G47/G36</f>
        <v>0</v>
      </c>
      <c r="J47" s="106">
        <v>0</v>
      </c>
      <c r="K47" s="114">
        <v>0.1</v>
      </c>
      <c r="L47" s="103">
        <v>0</v>
      </c>
      <c r="M47" s="104">
        <f>J47*K47*K8</f>
        <v>0</v>
      </c>
      <c r="N47" s="105">
        <f ca="1">M47/M36</f>
        <v>0</v>
      </c>
      <c r="P47" s="106">
        <v>0</v>
      </c>
      <c r="Q47" s="114">
        <v>0.1</v>
      </c>
      <c r="R47" s="103">
        <v>0</v>
      </c>
      <c r="S47" s="104">
        <f>P47*Q47*Q8</f>
        <v>0</v>
      </c>
      <c r="T47" s="105">
        <f ca="1">S47/S36</f>
        <v>0</v>
      </c>
    </row>
    <row r="48" spans="1:20" s="116" customFormat="1" ht="3.6" customHeight="1" outlineLevel="1">
      <c r="B48" s="117"/>
      <c r="D48" s="117"/>
      <c r="E48" s="117"/>
      <c r="F48" s="117"/>
      <c r="G48" s="117"/>
      <c r="H48" s="117"/>
      <c r="J48" s="117"/>
      <c r="K48" s="117"/>
      <c r="L48" s="117"/>
      <c r="M48" s="117"/>
      <c r="N48" s="117"/>
      <c r="P48" s="117"/>
      <c r="Q48" s="117"/>
      <c r="R48" s="117"/>
      <c r="S48" s="117"/>
      <c r="T48" s="117"/>
    </row>
    <row r="49" spans="1:20" s="124" customFormat="1" ht="19.95" customHeight="1" outlineLevel="1">
      <c r="A49" s="118"/>
      <c r="B49" s="119" t="s">
        <v>97</v>
      </c>
      <c r="C49" s="116"/>
      <c r="D49" s="120"/>
      <c r="E49" s="121"/>
      <c r="F49" s="121"/>
      <c r="G49" s="122">
        <f>SUM(G50:G52)</f>
        <v>891042.33400000003</v>
      </c>
      <c r="H49" s="123">
        <f ca="1">G49/G36</f>
        <v>2.9044528234578679E-2</v>
      </c>
      <c r="J49" s="120"/>
      <c r="K49" s="121"/>
      <c r="L49" s="121"/>
      <c r="M49" s="122">
        <f>SUM(M50:M52)</f>
        <v>891042.33400000003</v>
      </c>
      <c r="N49" s="123">
        <f ca="1">M49/M36</f>
        <v>2.9044528234578679E-2</v>
      </c>
      <c r="P49" s="120"/>
      <c r="Q49" s="121"/>
      <c r="R49" s="121"/>
      <c r="S49" s="122">
        <f>SUM(S50:S52)</f>
        <v>296200.00000000006</v>
      </c>
      <c r="T49" s="123">
        <f ca="1">S49/S36</f>
        <v>8.7853500947803823E-3</v>
      </c>
    </row>
    <row r="50" spans="1:20" s="124" customFormat="1" ht="19.95" customHeight="1" outlineLevel="2">
      <c r="A50" s="125"/>
      <c r="B50" s="126" t="s">
        <v>98</v>
      </c>
      <c r="C50" s="116"/>
      <c r="D50" s="127"/>
      <c r="E50" s="128">
        <f>'Modelacion (8p) Oct 26'!D73</f>
        <v>674.21167000000014</v>
      </c>
      <c r="F50" s="129">
        <v>200</v>
      </c>
      <c r="G50" s="130">
        <f>E50*F50</f>
        <v>134842.33400000003</v>
      </c>
      <c r="H50" s="131"/>
      <c r="J50" s="127"/>
      <c r="K50" s="128">
        <f>'Modelacion (8p) Nov 8'!D73</f>
        <v>674.21167000000014</v>
      </c>
      <c r="L50" s="129">
        <v>200</v>
      </c>
      <c r="M50" s="130">
        <f>K50*L50</f>
        <v>134842.33400000003</v>
      </c>
      <c r="N50" s="131"/>
      <c r="P50" s="127"/>
      <c r="Q50" s="128">
        <f>'Modelacion (8p) Nov 8'!J73</f>
        <v>0</v>
      </c>
      <c r="R50" s="129">
        <v>200</v>
      </c>
      <c r="S50" s="130">
        <f>Q50*R50</f>
        <v>0</v>
      </c>
      <c r="T50" s="131"/>
    </row>
    <row r="51" spans="1:20" s="124" customFormat="1" ht="19.95" customHeight="1" outlineLevel="2">
      <c r="A51" s="125"/>
      <c r="B51" s="126" t="s">
        <v>99</v>
      </c>
      <c r="C51" s="116"/>
      <c r="D51" s="127"/>
      <c r="E51" s="132">
        <f>IF(F41&gt;400,F41,)</f>
        <v>592.40000000000009</v>
      </c>
      <c r="F51" s="129">
        <v>500</v>
      </c>
      <c r="G51" s="130">
        <f t="shared" ref="G51:G52" si="0">E51*F51</f>
        <v>296200.00000000006</v>
      </c>
      <c r="H51" s="131"/>
      <c r="J51" s="127"/>
      <c r="K51" s="132">
        <f>IF(L41&gt;400,L41,)</f>
        <v>592.40000000000009</v>
      </c>
      <c r="L51" s="129">
        <v>500</v>
      </c>
      <c r="M51" s="130">
        <f t="shared" ref="M51:M52" si="1">K51*L51</f>
        <v>296200.00000000006</v>
      </c>
      <c r="N51" s="131"/>
      <c r="P51" s="127"/>
      <c r="Q51" s="132">
        <f>IF(R41&gt;400,R41,)</f>
        <v>592.40000000000009</v>
      </c>
      <c r="R51" s="129">
        <v>500</v>
      </c>
      <c r="S51" s="130">
        <f t="shared" ref="S51:S52" si="2">Q51*R51</f>
        <v>296200.00000000006</v>
      </c>
      <c r="T51" s="131"/>
    </row>
    <row r="52" spans="1:20" s="139" customFormat="1" ht="19.95" customHeight="1" outlineLevel="2">
      <c r="A52" s="133"/>
      <c r="B52" s="134" t="s">
        <v>100</v>
      </c>
      <c r="C52" s="116"/>
      <c r="D52" s="135"/>
      <c r="E52" s="136">
        <f>'Base (8p) Oct 26'!F33</f>
        <v>4600</v>
      </c>
      <c r="F52" s="129">
        <v>100</v>
      </c>
      <c r="G52" s="137">
        <f t="shared" si="0"/>
        <v>460000</v>
      </c>
      <c r="H52" s="138"/>
      <c r="J52" s="135"/>
      <c r="K52" s="136">
        <f>'Base (8p) Nov 8'!F33</f>
        <v>4600</v>
      </c>
      <c r="L52" s="129">
        <v>100</v>
      </c>
      <c r="M52" s="137">
        <f t="shared" si="1"/>
        <v>460000</v>
      </c>
      <c r="N52" s="138"/>
      <c r="P52" s="135"/>
      <c r="Q52" s="136">
        <f>'Base (8p) Nov 8'!L33</f>
        <v>0</v>
      </c>
      <c r="R52" s="129">
        <v>100</v>
      </c>
      <c r="S52" s="137">
        <f t="shared" si="2"/>
        <v>0</v>
      </c>
      <c r="T52" s="138"/>
    </row>
    <row r="53" spans="1:20" s="116" customFormat="1" ht="4.95" customHeight="1" outlineLevel="1">
      <c r="A53" s="140"/>
      <c r="B53" s="140"/>
      <c r="D53" s="140"/>
      <c r="E53" s="141"/>
      <c r="F53" s="141"/>
      <c r="G53" s="140"/>
      <c r="H53" s="140"/>
      <c r="J53" s="140"/>
      <c r="K53" s="141"/>
      <c r="L53" s="141"/>
      <c r="M53" s="140"/>
      <c r="N53" s="140"/>
      <c r="P53" s="140"/>
      <c r="Q53" s="141"/>
      <c r="R53" s="141"/>
      <c r="S53" s="140"/>
      <c r="T53" s="140"/>
    </row>
    <row r="54" spans="1:20" s="95" customFormat="1" outlineLevel="1">
      <c r="A54" s="140"/>
      <c r="B54" s="142" t="s">
        <v>101</v>
      </c>
      <c r="C54" s="9"/>
      <c r="D54" s="143"/>
      <c r="E54" s="144"/>
      <c r="F54" s="144"/>
      <c r="G54" s="145">
        <f ca="1">SUM(G56:G62)</f>
        <v>18360046.596106436</v>
      </c>
      <c r="H54" s="146">
        <f ca="1">G54/G36</f>
        <v>0.59846639312290351</v>
      </c>
      <c r="J54" s="143"/>
      <c r="K54" s="144"/>
      <c r="L54" s="144"/>
      <c r="M54" s="145">
        <f ca="1">SUM(M56:M62)</f>
        <v>18360046.596106436</v>
      </c>
      <c r="N54" s="146">
        <f ca="1">M54/M36</f>
        <v>0.59846639312290351</v>
      </c>
      <c r="P54" s="143"/>
      <c r="Q54" s="144"/>
      <c r="R54" s="144"/>
      <c r="S54" s="145">
        <f ca="1">SUM(S56:S62)</f>
        <v>19051770.908399995</v>
      </c>
      <c r="T54" s="146">
        <f ca="1">S54/S36</f>
        <v>0.56507926183607704</v>
      </c>
    </row>
    <row r="55" spans="1:20" outlineLevel="2">
      <c r="A55" s="140"/>
      <c r="B55" s="147"/>
      <c r="D55" s="148"/>
      <c r="E55" s="149"/>
      <c r="F55" s="149"/>
      <c r="G55" s="150"/>
      <c r="H55" s="151"/>
      <c r="J55" s="148"/>
      <c r="K55" s="149"/>
      <c r="L55" s="149"/>
      <c r="M55" s="150"/>
      <c r="N55" s="151"/>
      <c r="P55" s="148"/>
      <c r="Q55" s="149"/>
      <c r="R55" s="149"/>
      <c r="S55" s="150"/>
      <c r="T55" s="151"/>
    </row>
    <row r="56" spans="1:20" ht="20.399999999999999" customHeight="1" outlineLevel="2">
      <c r="A56" s="140"/>
      <c r="B56" s="152" t="str">
        <f>B12</f>
        <v>VIP</v>
      </c>
      <c r="D56" s="153">
        <f ca="1">F13</f>
        <v>1729.3107807339036</v>
      </c>
      <c r="E56" s="154">
        <v>1400</v>
      </c>
      <c r="F56" s="155"/>
      <c r="G56" s="156">
        <f ca="1">D56*(E56+F56)</f>
        <v>2421035.093027465</v>
      </c>
      <c r="H56" s="157">
        <f ca="1">G56/G36</f>
        <v>7.8916365062787264E-2</v>
      </c>
      <c r="J56" s="153">
        <f ca="1">L13</f>
        <v>1729.3107807339036</v>
      </c>
      <c r="K56" s="154">
        <v>1400</v>
      </c>
      <c r="L56" s="155"/>
      <c r="M56" s="156">
        <f ca="1">J56*(K56+L56)</f>
        <v>2421035.093027465</v>
      </c>
      <c r="N56" s="157">
        <f ca="1">M56/M36</f>
        <v>7.8916365062787264E-2</v>
      </c>
      <c r="P56" s="153">
        <f>R13</f>
        <v>0</v>
      </c>
      <c r="Q56" s="154">
        <v>0</v>
      </c>
      <c r="R56" s="155"/>
      <c r="S56" s="156">
        <f>P56*(Q56+R56)</f>
        <v>0</v>
      </c>
      <c r="T56" s="157">
        <f ca="1">S56/S36</f>
        <v>0</v>
      </c>
    </row>
    <row r="57" spans="1:20" ht="20.399999999999999" customHeight="1" outlineLevel="2">
      <c r="B57" s="111" t="str">
        <f>B16</f>
        <v>VIS</v>
      </c>
      <c r="D57" s="153">
        <f>F17</f>
        <v>0</v>
      </c>
      <c r="E57" s="154">
        <v>0</v>
      </c>
      <c r="F57" s="158"/>
      <c r="G57" s="156">
        <f>D57*(E57+F57)</f>
        <v>0</v>
      </c>
      <c r="H57" s="159">
        <f ca="1">G57/G36</f>
        <v>0</v>
      </c>
      <c r="J57" s="153">
        <f>L17</f>
        <v>0</v>
      </c>
      <c r="K57" s="154">
        <v>0</v>
      </c>
      <c r="L57" s="158"/>
      <c r="M57" s="156">
        <f>J57*(K57+L57)</f>
        <v>0</v>
      </c>
      <c r="N57" s="159">
        <f ca="1">M57/M36</f>
        <v>0</v>
      </c>
      <c r="P57" s="153">
        <f>R17</f>
        <v>0</v>
      </c>
      <c r="Q57" s="154">
        <v>0</v>
      </c>
      <c r="R57" s="158"/>
      <c r="S57" s="156">
        <f>P57*(Q57+R57)</f>
        <v>0</v>
      </c>
      <c r="T57" s="159">
        <f ca="1">S57/S36</f>
        <v>0</v>
      </c>
    </row>
    <row r="58" spans="1:20" ht="20.399999999999999" customHeight="1" outlineLevel="2">
      <c r="B58" s="111" t="str">
        <f>B20</f>
        <v>No VIS</v>
      </c>
      <c r="D58" s="101">
        <f ca="1">F21</f>
        <v>6896.2431229356143</v>
      </c>
      <c r="E58" s="154">
        <v>1800</v>
      </c>
      <c r="F58" s="158"/>
      <c r="G58" s="160">
        <f ca="1">D58*(E58+F58)</f>
        <v>12413237.621284105</v>
      </c>
      <c r="H58" s="159">
        <f ca="1">G58/G36</f>
        <v>0.40462345818680312</v>
      </c>
      <c r="J58" s="101">
        <f ca="1">L21</f>
        <v>6896.2431229356143</v>
      </c>
      <c r="K58" s="154">
        <v>1800</v>
      </c>
      <c r="L58" s="158"/>
      <c r="M58" s="160">
        <f ca="1">J58*(K58+L58)</f>
        <v>12413237.621284105</v>
      </c>
      <c r="N58" s="159">
        <f ca="1">M58/M36</f>
        <v>0.40462345818680312</v>
      </c>
      <c r="P58" s="101">
        <f ca="1">R21</f>
        <v>8625.1528405068184</v>
      </c>
      <c r="Q58" s="154">
        <v>1800</v>
      </c>
      <c r="R58" s="158"/>
      <c r="S58" s="160">
        <f ca="1">P58*(Q58+R58)</f>
        <v>15525275.112912273</v>
      </c>
      <c r="T58" s="159">
        <f ca="1">S58/S36</f>
        <v>0.46048270487749943</v>
      </c>
    </row>
    <row r="59" spans="1:20" ht="20.399999999999999" customHeight="1" outlineLevel="2">
      <c r="B59" s="111" t="str">
        <f>B24</f>
        <v>Comercio</v>
      </c>
      <c r="D59" s="101">
        <f ca="1">F25</f>
        <v>1299.0688173304811</v>
      </c>
      <c r="E59" s="154">
        <v>1800</v>
      </c>
      <c r="F59" s="158"/>
      <c r="G59" s="156">
        <f ca="1">D59*(E59+F59)</f>
        <v>2338323.871194866</v>
      </c>
      <c r="H59" s="159">
        <f ca="1">G59/G36</f>
        <v>7.6220299650216844E-2</v>
      </c>
      <c r="J59" s="101">
        <f ca="1">L25</f>
        <v>1299.0688173304811</v>
      </c>
      <c r="K59" s="154">
        <v>1800</v>
      </c>
      <c r="L59" s="158"/>
      <c r="M59" s="156">
        <f ca="1">J59*(K59+L59)</f>
        <v>2338323.871194866</v>
      </c>
      <c r="N59" s="159">
        <f ca="1">M59/M36</f>
        <v>7.6220299650216844E-2</v>
      </c>
      <c r="P59" s="101">
        <f ca="1">R25</f>
        <v>1299.4698804931795</v>
      </c>
      <c r="Q59" s="154">
        <v>1800</v>
      </c>
      <c r="R59" s="158"/>
      <c r="S59" s="156">
        <f ca="1">P59*(Q59+R59)</f>
        <v>2339045.7848877232</v>
      </c>
      <c r="T59" s="159">
        <f ca="1">S59/S36</f>
        <v>6.937655674530388E-2</v>
      </c>
    </row>
    <row r="60" spans="1:20" ht="20.399999999999999" customHeight="1" outlineLevel="2">
      <c r="B60" s="111" t="str">
        <f>B28</f>
        <v>Servicios</v>
      </c>
      <c r="D60" s="101">
        <f>F29</f>
        <v>0</v>
      </c>
      <c r="E60" s="154">
        <v>0</v>
      </c>
      <c r="F60" s="158"/>
      <c r="G60" s="156">
        <f>D60*(E60+F60)</f>
        <v>0</v>
      </c>
      <c r="H60" s="159">
        <f ca="1">G60/G36</f>
        <v>0</v>
      </c>
      <c r="J60" s="101">
        <f>L29</f>
        <v>0</v>
      </c>
      <c r="K60" s="154">
        <v>0</v>
      </c>
      <c r="L60" s="158"/>
      <c r="M60" s="156">
        <f>J60*(K60+L60)</f>
        <v>0</v>
      </c>
      <c r="N60" s="159">
        <f ca="1">M60/M36</f>
        <v>0</v>
      </c>
      <c r="P60" s="101">
        <f>R29</f>
        <v>0</v>
      </c>
      <c r="Q60" s="154">
        <v>0</v>
      </c>
      <c r="R60" s="158"/>
      <c r="S60" s="156">
        <f>P60*(Q60+R60)</f>
        <v>0</v>
      </c>
      <c r="T60" s="159">
        <f ca="1">S60/S36</f>
        <v>0</v>
      </c>
    </row>
    <row r="61" spans="1:20" ht="20.399999999999999" customHeight="1" outlineLevel="2">
      <c r="A61" s="56"/>
      <c r="B61" s="111" t="s">
        <v>112</v>
      </c>
      <c r="D61" s="101">
        <v>0</v>
      </c>
      <c r="E61" s="154">
        <v>0</v>
      </c>
      <c r="F61" s="158"/>
      <c r="G61" s="160">
        <f>D61*E61</f>
        <v>0</v>
      </c>
      <c r="H61" s="159">
        <f ca="1">G61/G36</f>
        <v>0</v>
      </c>
      <c r="J61" s="101">
        <v>0</v>
      </c>
      <c r="K61" s="154">
        <v>0</v>
      </c>
      <c r="L61" s="158"/>
      <c r="M61" s="160">
        <f>J61*K61</f>
        <v>0</v>
      </c>
      <c r="N61" s="159">
        <f ca="1">M61/M36</f>
        <v>0</v>
      </c>
      <c r="P61" s="101">
        <v>0</v>
      </c>
      <c r="Q61" s="154">
        <v>0</v>
      </c>
      <c r="R61" s="158"/>
      <c r="S61" s="160">
        <f>P61*Q61</f>
        <v>0</v>
      </c>
      <c r="T61" s="159">
        <f ca="1">S61/S36</f>
        <v>0</v>
      </c>
    </row>
    <row r="62" spans="1:20" ht="20.399999999999999" customHeight="1" outlineLevel="2">
      <c r="A62" s="56"/>
      <c r="B62" s="111" t="s">
        <v>189</v>
      </c>
      <c r="D62" s="101">
        <f>'Modelacion (8p) Oct 26'!D88+'Modelacion (8p) Oct 26'!D94</f>
        <v>848.17857900000001</v>
      </c>
      <c r="E62" s="154">
        <v>1400</v>
      </c>
      <c r="F62" s="158"/>
      <c r="G62" s="160">
        <f>D62*E62</f>
        <v>1187450.0105999999</v>
      </c>
      <c r="H62" s="159">
        <f ca="1">G62/G36</f>
        <v>3.870627022309632E-2</v>
      </c>
      <c r="J62" s="101">
        <f>'Modelacion (8p) Nov 8'!D88+'Modelacion (8p) Nov 8'!D94</f>
        <v>848.17857900000001</v>
      </c>
      <c r="K62" s="154">
        <v>1400</v>
      </c>
      <c r="L62" s="158"/>
      <c r="M62" s="160">
        <f>J62*K62</f>
        <v>1187450.0105999999</v>
      </c>
      <c r="N62" s="159">
        <f ca="1">M62/M36</f>
        <v>3.870627022309632E-2</v>
      </c>
      <c r="P62" s="101">
        <f>'Modelacion (8p) No VIS Nov 8'!D88+'Modelacion (8p) No VIS Nov 8'!D94</f>
        <v>848.17857900000001</v>
      </c>
      <c r="Q62" s="154">
        <v>1400</v>
      </c>
      <c r="R62" s="158"/>
      <c r="S62" s="160">
        <f>P62*Q62</f>
        <v>1187450.0105999999</v>
      </c>
      <c r="T62" s="159">
        <f ca="1">S62/S36</f>
        <v>3.5220000213273712E-2</v>
      </c>
    </row>
    <row r="63" spans="1:20" s="10" customFormat="1" outlineLevel="2">
      <c r="A63" s="161"/>
      <c r="B63" s="162"/>
      <c r="D63" s="163">
        <f ca="1">SUM(D56:D61)</f>
        <v>9924.6227209999979</v>
      </c>
      <c r="E63" s="338">
        <f ca="1">SUM(D61:D62)+D63</f>
        <v>10772.801299999997</v>
      </c>
      <c r="F63" s="164">
        <f ca="1">G54/E63</f>
        <v>1704.2964113806165</v>
      </c>
      <c r="G63" s="165"/>
      <c r="H63" s="166"/>
      <c r="I63" s="9"/>
      <c r="J63" s="163">
        <f ca="1">SUM(J56:J61)</f>
        <v>9924.6227209999979</v>
      </c>
      <c r="K63" s="338">
        <f ca="1">SUM(J61:J62)+J63</f>
        <v>10772.801299999997</v>
      </c>
      <c r="L63" s="164">
        <f ca="1">M54/K63</f>
        <v>1704.2964113806165</v>
      </c>
      <c r="M63" s="165"/>
      <c r="N63" s="166"/>
      <c r="P63" s="163">
        <f ca="1">SUM(P56:P61)</f>
        <v>9924.6227209999979</v>
      </c>
      <c r="Q63" s="338">
        <f ca="1">SUM(P61:P62)+P63</f>
        <v>10772.801299999997</v>
      </c>
      <c r="R63" s="164">
        <f ca="1">S54/Q63</f>
        <v>1768.5066658010298</v>
      </c>
      <c r="S63" s="165"/>
      <c r="T63" s="166"/>
    </row>
    <row r="64" spans="1:20" ht="3" customHeight="1" outlineLevel="1">
      <c r="A64" s="56"/>
      <c r="B64" s="56"/>
      <c r="C64" s="56"/>
      <c r="D64" s="56"/>
      <c r="E64" s="56"/>
      <c r="F64" s="167"/>
      <c r="J64" s="56"/>
      <c r="K64" s="56"/>
      <c r="L64" s="167"/>
      <c r="P64" s="56"/>
      <c r="Q64" s="56"/>
      <c r="R64" s="167"/>
    </row>
    <row r="65" spans="1:20" s="95" customFormat="1" outlineLevel="1">
      <c r="A65" s="140"/>
      <c r="B65" s="142" t="s">
        <v>102</v>
      </c>
      <c r="C65" s="9"/>
      <c r="D65" s="143"/>
      <c r="E65" s="168">
        <v>0.23</v>
      </c>
      <c r="F65" s="144"/>
      <c r="G65" s="169">
        <f ca="1">E65*G36</f>
        <v>7056053.2147329226</v>
      </c>
      <c r="H65" s="146">
        <f ca="1">G65/G36</f>
        <v>0.23</v>
      </c>
      <c r="I65" s="9"/>
      <c r="J65" s="143"/>
      <c r="K65" s="168">
        <v>0.23</v>
      </c>
      <c r="L65" s="144"/>
      <c r="M65" s="169">
        <f ca="1">K65*M36</f>
        <v>7056053.2147329226</v>
      </c>
      <c r="N65" s="146">
        <f ca="1">M65/M36</f>
        <v>0.23</v>
      </c>
      <c r="P65" s="143"/>
      <c r="Q65" s="168">
        <v>0.23</v>
      </c>
      <c r="R65" s="144"/>
      <c r="S65" s="169">
        <f ca="1">Q65*S36</f>
        <v>7754500.306194461</v>
      </c>
      <c r="T65" s="146">
        <f ca="1">S65/S36</f>
        <v>0.23</v>
      </c>
    </row>
    <row r="66" spans="1:20" s="10" customFormat="1" outlineLevel="2">
      <c r="A66" s="161"/>
      <c r="B66" s="170" t="s">
        <v>103</v>
      </c>
      <c r="C66" s="9"/>
      <c r="D66" s="171"/>
      <c r="E66" s="172"/>
      <c r="F66" s="173">
        <f ca="1">G65/E63</f>
        <v>654.98778063723535</v>
      </c>
      <c r="G66" s="174"/>
      <c r="H66" s="175"/>
      <c r="I66" s="9"/>
      <c r="J66" s="171"/>
      <c r="K66" s="172"/>
      <c r="L66" s="173">
        <f ca="1">M65/K63</f>
        <v>654.98778063723535</v>
      </c>
      <c r="M66" s="174"/>
      <c r="N66" s="175"/>
      <c r="P66" s="171"/>
      <c r="Q66" s="172"/>
      <c r="R66" s="173">
        <f ca="1">S65/Q63</f>
        <v>719.82208621952987</v>
      </c>
      <c r="S66" s="174"/>
      <c r="T66" s="175"/>
    </row>
    <row r="67" spans="1:20" s="64" customFormat="1" ht="15.6">
      <c r="B67" s="176" t="s">
        <v>104</v>
      </c>
      <c r="C67" s="66"/>
      <c r="D67" s="177"/>
      <c r="E67" s="68"/>
      <c r="F67" s="69"/>
      <c r="G67" s="70">
        <f ca="1">G39+G49+G54+G65</f>
        <v>26324582.400839359</v>
      </c>
      <c r="H67" s="178">
        <f ca="1">G67/G36</f>
        <v>0.85807940614039524</v>
      </c>
      <c r="I67" s="9"/>
      <c r="J67" s="177"/>
      <c r="K67" s="68"/>
      <c r="L67" s="69"/>
      <c r="M67" s="70">
        <f ca="1">M39+M49+M54+M65</f>
        <v>26315862.27283936</v>
      </c>
      <c r="N67" s="178">
        <f ca="1">M67/M36</f>
        <v>0.85779516374893872</v>
      </c>
      <c r="P67" s="177"/>
      <c r="Q67" s="68"/>
      <c r="R67" s="69"/>
      <c r="S67" s="70">
        <f ca="1">S39+S49+S54+S65</f>
        <v>27119911.470594458</v>
      </c>
      <c r="T67" s="178">
        <f ca="1">S67/S36</f>
        <v>0.8043818933444381</v>
      </c>
    </row>
    <row r="68" spans="1:20" ht="4.95" customHeight="1"/>
    <row r="69" spans="1:20" s="72" customFormat="1" ht="15.6">
      <c r="A69" s="179"/>
      <c r="B69" s="180" t="s">
        <v>105</v>
      </c>
      <c r="D69" s="181"/>
      <c r="E69" s="182"/>
      <c r="F69" s="182"/>
      <c r="G69" s="183">
        <f ca="1">G36-G67</f>
        <v>4353909.8371298686</v>
      </c>
      <c r="H69" s="184">
        <f ca="1">G69/G36</f>
        <v>0.14192059385960479</v>
      </c>
      <c r="I69" s="9"/>
      <c r="J69" s="181"/>
      <c r="K69" s="182"/>
      <c r="L69" s="182"/>
      <c r="M69" s="183">
        <f ca="1">M36-M67</f>
        <v>4362629.9651298672</v>
      </c>
      <c r="N69" s="184">
        <f ca="1">M69/M36</f>
        <v>0.14220483625106123</v>
      </c>
      <c r="P69" s="181"/>
      <c r="Q69" s="182"/>
      <c r="R69" s="182"/>
      <c r="S69" s="183">
        <f ca="1">S36-S67</f>
        <v>6595307.2519901544</v>
      </c>
      <c r="T69" s="184">
        <f ca="1">S69/S36</f>
        <v>0.1956181066555619</v>
      </c>
    </row>
    <row r="70" spans="1:20" s="72" customFormat="1" ht="15.6">
      <c r="A70" s="179"/>
      <c r="B70" s="185" t="s">
        <v>106</v>
      </c>
      <c r="D70" s="186"/>
      <c r="E70" s="187">
        <v>0.08</v>
      </c>
      <c r="F70" s="188"/>
      <c r="G70" s="189">
        <f ca="1">E70*G36</f>
        <v>2454279.3790375381</v>
      </c>
      <c r="H70" s="190">
        <f ca="1">G70/G36</f>
        <v>0.08</v>
      </c>
      <c r="I70" s="9"/>
      <c r="J70" s="186"/>
      <c r="K70" s="187">
        <v>0.08</v>
      </c>
      <c r="L70" s="188"/>
      <c r="M70" s="189">
        <f ca="1">K70*M36</f>
        <v>2454279.3790375381</v>
      </c>
      <c r="N70" s="190">
        <f ca="1">M70/M36</f>
        <v>0.08</v>
      </c>
      <c r="P70" s="186"/>
      <c r="Q70" s="187">
        <v>0.1</v>
      </c>
      <c r="R70" s="188"/>
      <c r="S70" s="189">
        <f ca="1">Q70*S36</f>
        <v>3371521.8722584615</v>
      </c>
      <c r="T70" s="190">
        <f ca="1">S70/S36</f>
        <v>0.1</v>
      </c>
    </row>
    <row r="71" spans="1:20" ht="4.95" customHeight="1"/>
    <row r="72" spans="1:20" s="72" customFormat="1" ht="15.6">
      <c r="A72" s="179"/>
      <c r="B72" s="191" t="s">
        <v>107</v>
      </c>
      <c r="D72" s="373">
        <f ca="1">G72/H3</f>
        <v>801.66714132863365</v>
      </c>
      <c r="E72" s="192"/>
      <c r="F72" s="192"/>
      <c r="G72" s="193">
        <f ca="1">G69-G70</f>
        <v>1899630.4580923305</v>
      </c>
      <c r="H72" s="194">
        <f ca="1">G72/G36</f>
        <v>6.1920593859604786E-2</v>
      </c>
      <c r="J72" s="373">
        <f ca="1">M72/N3</f>
        <v>805.34714132863303</v>
      </c>
      <c r="K72" s="192"/>
      <c r="L72" s="192"/>
      <c r="M72" s="193">
        <f ca="1">M69-M70</f>
        <v>1908350.5860923291</v>
      </c>
      <c r="N72" s="194">
        <f ca="1">M72/M36</f>
        <v>6.2204836251061241E-2</v>
      </c>
      <c r="P72" s="373">
        <f ca="1">S72/T3</f>
        <v>1360.4766119731989</v>
      </c>
      <c r="Q72" s="192"/>
      <c r="R72" s="192"/>
      <c r="S72" s="193">
        <f ca="1">S69-S70</f>
        <v>3223785.3797316928</v>
      </c>
      <c r="T72" s="194">
        <f ca="1">S72/S36</f>
        <v>9.5618106655561891E-2</v>
      </c>
    </row>
    <row r="73" spans="1:20" s="72" customFormat="1" ht="15.6">
      <c r="A73" s="179"/>
      <c r="B73" s="195" t="s">
        <v>108</v>
      </c>
      <c r="D73" s="374">
        <f>H7</f>
        <v>1164.546</v>
      </c>
      <c r="E73" s="196"/>
      <c r="F73" s="197"/>
      <c r="G73" s="198">
        <f>(E6*(1+H6))*H3</f>
        <v>2759508.2016000007</v>
      </c>
      <c r="H73" s="199">
        <f ca="1">G73/G36</f>
        <v>8.9949277174211847E-2</v>
      </c>
      <c r="J73" s="374">
        <f>N7</f>
        <v>1164.546</v>
      </c>
      <c r="K73" s="196"/>
      <c r="L73" s="197"/>
      <c r="M73" s="198">
        <f>(K6*(1+N6))*N3</f>
        <v>2759508.2016000007</v>
      </c>
      <c r="N73" s="199">
        <f ca="1">M73/M36</f>
        <v>8.9949277174211847E-2</v>
      </c>
      <c r="P73" s="374">
        <f>T7</f>
        <v>1164.546</v>
      </c>
      <c r="Q73" s="196"/>
      <c r="R73" s="197"/>
      <c r="S73" s="198">
        <f>(Q6*(1+T6))*T3</f>
        <v>2759508.2016000007</v>
      </c>
      <c r="T73" s="199">
        <f ca="1">S73/S36</f>
        <v>8.184755449180893E-2</v>
      </c>
    </row>
    <row r="74" spans="1:20" ht="5.4" customHeight="1"/>
    <row r="75" spans="1:20" s="72" customFormat="1" ht="15.6">
      <c r="A75" s="179"/>
      <c r="B75" s="200" t="s">
        <v>109</v>
      </c>
      <c r="D75" s="201"/>
      <c r="E75" s="202" t="s">
        <v>110</v>
      </c>
      <c r="F75" s="203">
        <f ca="1">G75/G73</f>
        <v>-0.31160543136240776</v>
      </c>
      <c r="G75" s="204">
        <f ca="1">G72-G73</f>
        <v>-859877.74350767024</v>
      </c>
      <c r="H75" s="205">
        <f ca="1">G75/G36</f>
        <v>-2.8028683314607058E-2</v>
      </c>
      <c r="J75" s="201"/>
      <c r="K75" s="202" t="s">
        <v>110</v>
      </c>
      <c r="L75" s="203">
        <f ca="1">M75/M73</f>
        <v>-0.30844540161691086</v>
      </c>
      <c r="M75" s="204">
        <f ca="1">M72-M73</f>
        <v>-851157.61550767161</v>
      </c>
      <c r="N75" s="205">
        <f ca="1">M75/M36</f>
        <v>-2.7744440923150603E-2</v>
      </c>
      <c r="P75" s="201"/>
      <c r="Q75" s="202" t="s">
        <v>110</v>
      </c>
      <c r="R75" s="203">
        <f ca="1">S75/S73</f>
        <v>0.16824634833935187</v>
      </c>
      <c r="S75" s="204">
        <f ca="1">S72-S73</f>
        <v>464277.17813169211</v>
      </c>
      <c r="T75" s="205">
        <f ca="1">S75/S36</f>
        <v>1.3770552163752968E-2</v>
      </c>
    </row>
    <row r="76" spans="1:20" ht="4.95" customHeight="1"/>
    <row r="77" spans="1:20" s="72" customFormat="1" ht="31.2">
      <c r="A77" s="179"/>
      <c r="B77" s="206" t="s">
        <v>111</v>
      </c>
      <c r="D77" s="207"/>
      <c r="E77" s="204"/>
      <c r="F77" s="208"/>
      <c r="G77" s="204">
        <f ca="1">G69-G73</f>
        <v>1594401.6355298678</v>
      </c>
      <c r="H77" s="205">
        <f ca="1">G77/G36</f>
        <v>5.197131668539294E-2</v>
      </c>
      <c r="J77" s="207"/>
      <c r="K77" s="204"/>
      <c r="L77" s="208"/>
      <c r="M77" s="204">
        <f ca="1">M69-M73</f>
        <v>1603121.7635298665</v>
      </c>
      <c r="N77" s="205">
        <f ca="1">M77/M36</f>
        <v>5.2255559076849395E-2</v>
      </c>
      <c r="P77" s="207"/>
      <c r="Q77" s="204"/>
      <c r="R77" s="208"/>
      <c r="S77" s="204">
        <f ca="1">S69-S73</f>
        <v>3835799.0503901537</v>
      </c>
      <c r="T77" s="205">
        <f ca="1">S77/S36</f>
        <v>0.11377055216375298</v>
      </c>
    </row>
    <row r="79" spans="1:20">
      <c r="B79" s="95"/>
      <c r="H79" s="25" t="s">
        <v>133</v>
      </c>
      <c r="N79" s="25" t="s">
        <v>133</v>
      </c>
      <c r="T79" s="25" t="s">
        <v>133</v>
      </c>
    </row>
    <row r="80" spans="1:20" ht="55.2">
      <c r="B80" s="95"/>
      <c r="H80" s="313" t="str">
        <f>D10</f>
        <v>ACTUACIÓN SIN ANTEJARDÍN - 8 PISOS - PARQUE EL TUNAL</v>
      </c>
      <c r="N80" s="313" t="str">
        <f>J10</f>
        <v>ACTUACIÓN SIN ANTEJARDÍN - 8 PISOS - PARQUE EL TUNAL</v>
      </c>
      <c r="T80" s="313" t="str">
        <f>P10</f>
        <v>ACTUACIÓN SIN ANTEJARDÍN - 8 PISOS - PARQUE EL TUNAL</v>
      </c>
    </row>
    <row r="81" spans="2:20">
      <c r="B81" s="95"/>
    </row>
    <row r="82" spans="2:20">
      <c r="B82" s="95"/>
      <c r="H82" s="212"/>
      <c r="N82" s="212"/>
      <c r="T82" s="212"/>
    </row>
    <row r="83" spans="2:20">
      <c r="B83" s="209" t="s">
        <v>115</v>
      </c>
      <c r="H83" s="211" t="s">
        <v>225</v>
      </c>
      <c r="N83" s="211" t="s">
        <v>225</v>
      </c>
      <c r="T83" s="211" t="s">
        <v>225</v>
      </c>
    </row>
    <row r="84" spans="2:20">
      <c r="B84" s="95"/>
      <c r="H84" s="212"/>
      <c r="N84" s="212"/>
      <c r="T84" s="212"/>
    </row>
    <row r="85" spans="2:20">
      <c r="B85" s="95" t="s">
        <v>116</v>
      </c>
      <c r="H85" s="213">
        <f>H3</f>
        <v>2369.6000000000004</v>
      </c>
      <c r="N85" s="213">
        <f>N3</f>
        <v>2369.6000000000004</v>
      </c>
      <c r="T85" s="213">
        <f>T3</f>
        <v>2369.6000000000004</v>
      </c>
    </row>
    <row r="86" spans="2:20">
      <c r="B86" s="95" t="s">
        <v>117</v>
      </c>
      <c r="H86" s="213">
        <f ca="1">H4</f>
        <v>8462.1248073846145</v>
      </c>
      <c r="N86" s="213">
        <f ca="1">N4</f>
        <v>6992.1248073846145</v>
      </c>
      <c r="T86" s="213">
        <f ca="1">T4</f>
        <v>8466.2924996923066</v>
      </c>
    </row>
    <row r="87" spans="2:20">
      <c r="B87" s="95" t="s">
        <v>118</v>
      </c>
      <c r="H87" s="214">
        <f ca="1">H5</f>
        <v>3.5711195169583951</v>
      </c>
      <c r="N87" s="214">
        <f ca="1">N5</f>
        <v>2.9507616506518457</v>
      </c>
      <c r="T87" s="214">
        <f ca="1">T5</f>
        <v>3.5728783337661651</v>
      </c>
    </row>
    <row r="88" spans="2:20">
      <c r="B88" s="95" t="s">
        <v>119</v>
      </c>
      <c r="H88" s="215">
        <f ca="1">D13+D17</f>
        <v>35</v>
      </c>
      <c r="N88" s="215">
        <f ca="1">J13+J17</f>
        <v>35</v>
      </c>
      <c r="T88" s="215">
        <f>P13+P17</f>
        <v>0</v>
      </c>
    </row>
    <row r="89" spans="2:20">
      <c r="B89" s="95" t="s">
        <v>120</v>
      </c>
      <c r="H89" s="215">
        <f ca="1">D21</f>
        <v>140</v>
      </c>
      <c r="N89" s="215">
        <f ca="1">J21</f>
        <v>140</v>
      </c>
      <c r="T89" s="215">
        <f ca="1">P21</f>
        <v>176</v>
      </c>
    </row>
    <row r="90" spans="2:20">
      <c r="B90" s="95" t="s">
        <v>84</v>
      </c>
      <c r="H90" s="213">
        <f ca="1">D24</f>
        <v>1061.8772473846152</v>
      </c>
      <c r="N90" s="213">
        <f ca="1">J24</f>
        <v>1061.8772473846152</v>
      </c>
      <c r="T90" s="213">
        <f ca="1">P24</f>
        <v>1062.2649396923077</v>
      </c>
    </row>
    <row r="91" spans="2:20">
      <c r="B91" s="210" t="s">
        <v>85</v>
      </c>
      <c r="H91" s="216">
        <f>D28</f>
        <v>0</v>
      </c>
      <c r="N91" s="216">
        <f>J28</f>
        <v>0</v>
      </c>
      <c r="T91" s="216">
        <f>P28</f>
        <v>0</v>
      </c>
    </row>
    <row r="92" spans="2:20">
      <c r="B92" s="95"/>
      <c r="H92" s="217"/>
      <c r="N92" s="217"/>
      <c r="T92" s="217"/>
    </row>
    <row r="93" spans="2:20">
      <c r="B93" s="95" t="s">
        <v>121</v>
      </c>
      <c r="H93" s="218">
        <f ca="1">G36</f>
        <v>30678492.237969227</v>
      </c>
      <c r="N93" s="218">
        <f ca="1">M36</f>
        <v>30678492.237969227</v>
      </c>
      <c r="T93" s="218">
        <f ca="1">S36</f>
        <v>33715218.722584613</v>
      </c>
    </row>
    <row r="94" spans="2:20">
      <c r="B94" s="95" t="s">
        <v>122</v>
      </c>
      <c r="H94" s="219">
        <f ca="1">G39</f>
        <v>17440.256000000005</v>
      </c>
      <c r="N94" s="219">
        <f ca="1">M39</f>
        <v>8720.1280000000024</v>
      </c>
      <c r="T94" s="219">
        <f ca="1">S39</f>
        <v>17440.256000000005</v>
      </c>
    </row>
    <row r="95" spans="2:20">
      <c r="B95" s="95" t="s">
        <v>123</v>
      </c>
      <c r="H95" s="220">
        <f ca="1">H39</f>
        <v>5.684847829129972E-4</v>
      </c>
      <c r="N95" s="220">
        <f ca="1">N39</f>
        <v>2.842423914564986E-4</v>
      </c>
      <c r="T95" s="220">
        <f ca="1">T39</f>
        <v>5.1728141358066892E-4</v>
      </c>
    </row>
    <row r="96" spans="2:20">
      <c r="B96" s="95" t="s">
        <v>124</v>
      </c>
      <c r="H96" s="219">
        <f>G49</f>
        <v>891042.33400000003</v>
      </c>
      <c r="N96" s="219">
        <f>M49</f>
        <v>891042.33400000003</v>
      </c>
      <c r="T96" s="219">
        <f>S49</f>
        <v>296200.00000000006</v>
      </c>
    </row>
    <row r="97" spans="2:20">
      <c r="B97" s="95" t="s">
        <v>125</v>
      </c>
      <c r="H97" s="219">
        <f ca="1">G54</f>
        <v>18360046.596106436</v>
      </c>
      <c r="N97" s="219">
        <f ca="1">M54</f>
        <v>18360046.596106436</v>
      </c>
      <c r="T97" s="219">
        <f ca="1">S54</f>
        <v>19051770.908399995</v>
      </c>
    </row>
    <row r="98" spans="2:20">
      <c r="B98" s="95" t="s">
        <v>126</v>
      </c>
      <c r="H98" s="219">
        <f ca="1">G65</f>
        <v>7056053.2147329226</v>
      </c>
      <c r="N98" s="219">
        <f ca="1">M65</f>
        <v>7056053.2147329226</v>
      </c>
      <c r="T98" s="219">
        <f ca="1">S65</f>
        <v>7754500.306194461</v>
      </c>
    </row>
    <row r="99" spans="2:20">
      <c r="B99" s="95" t="s">
        <v>127</v>
      </c>
      <c r="H99" s="219">
        <f ca="1">G72</f>
        <v>1899630.4580923305</v>
      </c>
      <c r="N99" s="219">
        <f ca="1">M72</f>
        <v>1908350.5860923291</v>
      </c>
      <c r="T99" s="219">
        <f ca="1">S72</f>
        <v>3223785.3797316928</v>
      </c>
    </row>
    <row r="100" spans="2:20">
      <c r="B100" s="95" t="s">
        <v>128</v>
      </c>
      <c r="H100" s="219">
        <f ca="1">G77</f>
        <v>1594401.6355298678</v>
      </c>
      <c r="N100" s="219">
        <f ca="1">M77</f>
        <v>1603121.7635298665</v>
      </c>
      <c r="T100" s="219">
        <f ca="1">S77</f>
        <v>3835799.0503901537</v>
      </c>
    </row>
    <row r="101" spans="2:20">
      <c r="B101" s="210" t="s">
        <v>129</v>
      </c>
      <c r="H101" s="221">
        <f ca="1">H77</f>
        <v>5.197131668539294E-2</v>
      </c>
      <c r="N101" s="221">
        <f ca="1">N77</f>
        <v>5.2255559076849395E-2</v>
      </c>
      <c r="T101" s="221">
        <f ca="1">T77</f>
        <v>0.11377055216375298</v>
      </c>
    </row>
    <row r="102" spans="2:20">
      <c r="B102" s="95"/>
      <c r="H102" s="217"/>
      <c r="N102" s="217"/>
      <c r="T102" s="217"/>
    </row>
    <row r="103" spans="2:20">
      <c r="B103" s="95" t="s">
        <v>130</v>
      </c>
      <c r="H103" s="222">
        <f>F20</f>
        <v>3900</v>
      </c>
      <c r="N103" s="222">
        <f>L20</f>
        <v>3900</v>
      </c>
      <c r="T103" s="222">
        <f>R20</f>
        <v>3900</v>
      </c>
    </row>
    <row r="104" spans="2:20">
      <c r="B104" s="95" t="s">
        <v>131</v>
      </c>
      <c r="H104" s="222">
        <f>F24</f>
        <v>4600</v>
      </c>
      <c r="N104" s="222">
        <f>L24</f>
        <v>4600</v>
      </c>
      <c r="T104" s="222">
        <f>R24</f>
        <v>4600</v>
      </c>
    </row>
    <row r="105" spans="2:20">
      <c r="B105" s="210" t="s">
        <v>132</v>
      </c>
      <c r="H105" s="223">
        <f>F28</f>
        <v>0</v>
      </c>
      <c r="N105" s="223">
        <f>L28</f>
        <v>0</v>
      </c>
      <c r="T105" s="223">
        <f>R28</f>
        <v>0</v>
      </c>
    </row>
  </sheetData>
  <pageMargins left="0.7" right="0.7" top="0.75" bottom="0.75" header="0.3" footer="0.3"/>
  <pageSetup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55AFE0-6DDD-49C1-89F9-24072B2680B3}">
  <dimension ref="A1:AA32"/>
  <sheetViews>
    <sheetView topLeftCell="K3" workbookViewId="0">
      <selection activeCell="AA6" sqref="AA6:AA27"/>
    </sheetView>
  </sheetViews>
  <sheetFormatPr baseColWidth="10" defaultRowHeight="14.4"/>
  <cols>
    <col min="5" max="5" width="14.33203125" bestFit="1" customWidth="1"/>
    <col min="27" max="27" width="16.44140625" bestFit="1" customWidth="1"/>
  </cols>
  <sheetData>
    <row r="1" spans="1:27">
      <c r="H1" t="s">
        <v>316</v>
      </c>
      <c r="I1" s="336">
        <f>AVERAGE(I6:I27)</f>
        <v>3922884.9843334034</v>
      </c>
    </row>
    <row r="2" spans="1:27">
      <c r="H2" t="s">
        <v>317</v>
      </c>
      <c r="I2" s="335">
        <f>MIN(I6:I27)</f>
        <v>3264513.8521263455</v>
      </c>
    </row>
    <row r="3" spans="1:27">
      <c r="H3" t="s">
        <v>318</v>
      </c>
      <c r="I3" s="335">
        <f>MAX(I6:I27)</f>
        <v>4993176.961301784</v>
      </c>
    </row>
    <row r="4" spans="1:27">
      <c r="H4" t="s">
        <v>319</v>
      </c>
      <c r="I4" s="335">
        <f>MEDIAN(I6:I27)</f>
        <v>3853152.1624127347</v>
      </c>
    </row>
    <row r="5" spans="1:27" ht="57.6">
      <c r="A5" s="316" t="s">
        <v>226</v>
      </c>
      <c r="B5" s="317" t="s">
        <v>227</v>
      </c>
      <c r="C5" s="316" t="s">
        <v>228</v>
      </c>
      <c r="D5" s="316" t="s">
        <v>229</v>
      </c>
      <c r="E5" s="316" t="s">
        <v>230</v>
      </c>
      <c r="F5" s="316" t="s">
        <v>231</v>
      </c>
      <c r="G5" s="316" t="s">
        <v>232</v>
      </c>
      <c r="H5" s="316" t="s">
        <v>233</v>
      </c>
      <c r="I5" s="318" t="s">
        <v>234</v>
      </c>
      <c r="J5" s="318" t="s">
        <v>235</v>
      </c>
      <c r="K5" s="319" t="s">
        <v>236</v>
      </c>
      <c r="L5" s="320" t="s">
        <v>237</v>
      </c>
      <c r="M5" s="318" t="s">
        <v>238</v>
      </c>
      <c r="N5" s="321" t="s">
        <v>239</v>
      </c>
      <c r="O5" s="322" t="s">
        <v>240</v>
      </c>
      <c r="P5" s="322" t="s">
        <v>241</v>
      </c>
      <c r="Q5" s="322" t="s">
        <v>242</v>
      </c>
      <c r="R5" s="323" t="s">
        <v>243</v>
      </c>
      <c r="S5" s="322" t="s">
        <v>244</v>
      </c>
      <c r="T5" s="320" t="s">
        <v>245</v>
      </c>
      <c r="U5" s="320" t="s">
        <v>246</v>
      </c>
      <c r="V5" s="318" t="s">
        <v>247</v>
      </c>
      <c r="W5" s="318" t="s">
        <v>248</v>
      </c>
      <c r="X5" s="316" t="s">
        <v>249</v>
      </c>
      <c r="Y5" s="316" t="s">
        <v>250</v>
      </c>
    </row>
    <row r="6" spans="1:27" ht="15.6">
      <c r="A6" s="324">
        <v>429</v>
      </c>
      <c r="B6" s="325">
        <v>407153</v>
      </c>
      <c r="C6" s="326" t="s">
        <v>251</v>
      </c>
      <c r="D6" s="326" t="s">
        <v>252</v>
      </c>
      <c r="E6" s="326" t="s">
        <v>252</v>
      </c>
      <c r="F6" s="326" t="s">
        <v>253</v>
      </c>
      <c r="G6" s="326" t="s">
        <v>254</v>
      </c>
      <c r="H6" s="326" t="s">
        <v>255</v>
      </c>
      <c r="I6" s="327" t="s">
        <v>256</v>
      </c>
      <c r="J6" s="328">
        <v>1</v>
      </c>
      <c r="K6" s="329">
        <v>2</v>
      </c>
      <c r="L6" s="328">
        <v>780</v>
      </c>
      <c r="M6" s="328">
        <v>0</v>
      </c>
      <c r="N6" s="330">
        <v>43831</v>
      </c>
      <c r="O6" s="331">
        <v>0.67441860465116277</v>
      </c>
      <c r="P6" s="328">
        <v>9</v>
      </c>
      <c r="Q6" s="328">
        <v>9</v>
      </c>
      <c r="R6" s="329">
        <v>0.5625</v>
      </c>
      <c r="S6" s="331">
        <v>1</v>
      </c>
      <c r="T6" s="332">
        <v>390</v>
      </c>
      <c r="U6" s="333">
        <v>0</v>
      </c>
      <c r="V6" s="328">
        <v>0</v>
      </c>
      <c r="W6" s="328" t="s">
        <v>256</v>
      </c>
      <c r="X6" s="334" t="s">
        <v>257</v>
      </c>
      <c r="Y6" s="334" t="s">
        <v>258</v>
      </c>
      <c r="AA6" s="362" t="e">
        <f>W6*I6</f>
        <v>#VALUE!</v>
      </c>
    </row>
    <row r="7" spans="1:27" ht="15.6">
      <c r="A7" s="324">
        <v>459</v>
      </c>
      <c r="B7" s="325">
        <v>407061</v>
      </c>
      <c r="C7" s="326" t="s">
        <v>259</v>
      </c>
      <c r="D7" s="326" t="s">
        <v>252</v>
      </c>
      <c r="E7" s="326" t="s">
        <v>252</v>
      </c>
      <c r="F7" s="326" t="s">
        <v>260</v>
      </c>
      <c r="G7" s="326" t="s">
        <v>254</v>
      </c>
      <c r="H7" s="326" t="s">
        <v>255</v>
      </c>
      <c r="I7" s="327">
        <v>4068244.6233329326</v>
      </c>
      <c r="J7" s="328">
        <v>6</v>
      </c>
      <c r="K7" s="329">
        <v>2.1666666666666665</v>
      </c>
      <c r="L7" s="328">
        <v>696.19706666666661</v>
      </c>
      <c r="M7" s="328">
        <v>4</v>
      </c>
      <c r="N7" s="330">
        <v>43556</v>
      </c>
      <c r="O7" s="331">
        <v>0.66279069767441867</v>
      </c>
      <c r="P7" s="328">
        <v>60</v>
      </c>
      <c r="Q7" s="328">
        <v>56</v>
      </c>
      <c r="R7" s="329">
        <v>1.8666666666666667</v>
      </c>
      <c r="S7" s="331">
        <v>0.93333333333333335</v>
      </c>
      <c r="T7" s="332">
        <v>336.74679358974362</v>
      </c>
      <c r="U7" s="333">
        <v>1</v>
      </c>
      <c r="V7" s="328">
        <v>344</v>
      </c>
      <c r="W7" s="328">
        <v>83.23</v>
      </c>
      <c r="X7" s="334" t="s">
        <v>257</v>
      </c>
      <c r="Y7" s="334" t="s">
        <v>258</v>
      </c>
      <c r="AA7" s="362">
        <f t="shared" ref="AA7:AA27" si="0">W7*I7</f>
        <v>338600000</v>
      </c>
    </row>
    <row r="8" spans="1:27" ht="15.6">
      <c r="A8" s="324">
        <v>499</v>
      </c>
      <c r="B8" s="325">
        <v>407140</v>
      </c>
      <c r="C8" s="326" t="s">
        <v>261</v>
      </c>
      <c r="D8" s="326" t="s">
        <v>262</v>
      </c>
      <c r="E8" s="326" t="s">
        <v>262</v>
      </c>
      <c r="F8" s="326" t="s">
        <v>263</v>
      </c>
      <c r="G8" s="326" t="s">
        <v>254</v>
      </c>
      <c r="H8" s="326" t="s">
        <v>264</v>
      </c>
      <c r="I8" s="327">
        <v>4993176.961301784</v>
      </c>
      <c r="J8" s="328">
        <v>6</v>
      </c>
      <c r="K8" s="329">
        <v>2.8333333333333335</v>
      </c>
      <c r="L8" s="328">
        <v>564.79999999999995</v>
      </c>
      <c r="M8" s="328">
        <v>29</v>
      </c>
      <c r="N8" s="330">
        <v>44044</v>
      </c>
      <c r="O8" s="331">
        <v>0.60465116279069764</v>
      </c>
      <c r="P8" s="328">
        <v>60</v>
      </c>
      <c r="Q8" s="328">
        <v>31</v>
      </c>
      <c r="R8" s="329">
        <v>2.2142857142857144</v>
      </c>
      <c r="S8" s="331">
        <v>0.51666666666666672</v>
      </c>
      <c r="T8" s="332">
        <v>202.50835789399383</v>
      </c>
      <c r="U8" s="333">
        <v>2</v>
      </c>
      <c r="V8" s="328">
        <v>337</v>
      </c>
      <c r="W8" s="328">
        <v>40.178275862068965</v>
      </c>
      <c r="X8" s="334" t="s">
        <v>257</v>
      </c>
      <c r="Y8" s="334" t="s">
        <v>258</v>
      </c>
      <c r="AA8" s="362">
        <f t="shared" si="0"/>
        <v>200617241.37931034</v>
      </c>
    </row>
    <row r="9" spans="1:27" ht="15.6">
      <c r="A9" s="324">
        <v>545</v>
      </c>
      <c r="B9" s="325">
        <v>407199</v>
      </c>
      <c r="C9" s="326" t="s">
        <v>265</v>
      </c>
      <c r="D9" s="326" t="s">
        <v>252</v>
      </c>
      <c r="E9" s="326" t="s">
        <v>252</v>
      </c>
      <c r="F9" s="326" t="s">
        <v>266</v>
      </c>
      <c r="G9" s="326" t="s">
        <v>254</v>
      </c>
      <c r="H9" s="326" t="s">
        <v>264</v>
      </c>
      <c r="I9" s="327">
        <v>4200000</v>
      </c>
      <c r="J9" s="328">
        <v>5</v>
      </c>
      <c r="K9" s="329">
        <v>1.4</v>
      </c>
      <c r="L9" s="328">
        <v>441</v>
      </c>
      <c r="M9" s="328">
        <v>5</v>
      </c>
      <c r="N9" s="330">
        <v>44317</v>
      </c>
      <c r="O9" s="331">
        <v>0.54651162790697683</v>
      </c>
      <c r="P9" s="328">
        <v>12</v>
      </c>
      <c r="Q9" s="328">
        <v>7</v>
      </c>
      <c r="R9" s="329">
        <v>1.4</v>
      </c>
      <c r="S9" s="331">
        <v>0.58333333333333337</v>
      </c>
      <c r="T9" s="332">
        <v>315</v>
      </c>
      <c r="U9" s="333">
        <v>3</v>
      </c>
      <c r="V9" s="328">
        <v>945</v>
      </c>
      <c r="W9" s="328">
        <v>75</v>
      </c>
      <c r="X9" s="334" t="s">
        <v>257</v>
      </c>
      <c r="Y9" s="334" t="s">
        <v>258</v>
      </c>
      <c r="AA9" s="362">
        <f t="shared" si="0"/>
        <v>315000000</v>
      </c>
    </row>
    <row r="10" spans="1:27" ht="15.6">
      <c r="A10" s="324">
        <v>564</v>
      </c>
      <c r="B10" s="325">
        <v>407154</v>
      </c>
      <c r="C10" s="326" t="s">
        <v>267</v>
      </c>
      <c r="D10" s="326" t="s">
        <v>268</v>
      </c>
      <c r="E10" s="326" t="s">
        <v>268</v>
      </c>
      <c r="F10" s="326" t="s">
        <v>269</v>
      </c>
      <c r="G10" s="326" t="s">
        <v>254</v>
      </c>
      <c r="H10" s="326" t="s">
        <v>270</v>
      </c>
      <c r="I10" s="327" t="s">
        <v>256</v>
      </c>
      <c r="J10" s="328">
        <v>4</v>
      </c>
      <c r="K10" s="329">
        <v>1.75</v>
      </c>
      <c r="L10" s="328">
        <v>410</v>
      </c>
      <c r="M10" s="328">
        <v>0</v>
      </c>
      <c r="N10" s="330">
        <v>43983</v>
      </c>
      <c r="O10" s="331">
        <v>0.51162790697674421</v>
      </c>
      <c r="P10" s="328">
        <v>30</v>
      </c>
      <c r="Q10" s="328">
        <v>30</v>
      </c>
      <c r="R10" s="329">
        <v>2</v>
      </c>
      <c r="S10" s="331">
        <v>1</v>
      </c>
      <c r="T10" s="332">
        <v>237.26666666666665</v>
      </c>
      <c r="U10" s="333">
        <v>0</v>
      </c>
      <c r="V10" s="328">
        <v>0</v>
      </c>
      <c r="W10" s="328" t="s">
        <v>256</v>
      </c>
      <c r="X10" s="334" t="s">
        <v>257</v>
      </c>
      <c r="Y10" s="334" t="s">
        <v>258</v>
      </c>
      <c r="AA10" s="362" t="e">
        <f t="shared" si="0"/>
        <v>#VALUE!</v>
      </c>
    </row>
    <row r="11" spans="1:27" ht="15.6">
      <c r="A11" s="324">
        <v>590</v>
      </c>
      <c r="B11" s="325">
        <v>407092</v>
      </c>
      <c r="C11" s="326" t="s">
        <v>271</v>
      </c>
      <c r="D11" s="326" t="s">
        <v>252</v>
      </c>
      <c r="E11" s="326" t="s">
        <v>252</v>
      </c>
      <c r="F11" s="326" t="s">
        <v>272</v>
      </c>
      <c r="G11" s="326" t="s">
        <v>254</v>
      </c>
      <c r="H11" s="326" t="s">
        <v>255</v>
      </c>
      <c r="I11" s="327" t="s">
        <v>256</v>
      </c>
      <c r="J11" s="328">
        <v>5</v>
      </c>
      <c r="K11" s="329">
        <v>1.2</v>
      </c>
      <c r="L11" s="328">
        <v>356.2</v>
      </c>
      <c r="M11" s="328">
        <v>0</v>
      </c>
      <c r="N11" s="330">
        <v>43739</v>
      </c>
      <c r="O11" s="331">
        <v>0.5</v>
      </c>
      <c r="P11" s="328">
        <v>22</v>
      </c>
      <c r="Q11" s="328">
        <v>22</v>
      </c>
      <c r="R11" s="329">
        <v>0.91666666666666663</v>
      </c>
      <c r="S11" s="331">
        <v>1</v>
      </c>
      <c r="T11" s="332">
        <v>321.76</v>
      </c>
      <c r="U11" s="333">
        <v>1</v>
      </c>
      <c r="V11" s="328">
        <v>348</v>
      </c>
      <c r="W11" s="328" t="s">
        <v>256</v>
      </c>
      <c r="X11" s="334" t="s">
        <v>257</v>
      </c>
      <c r="Y11" s="334" t="s">
        <v>258</v>
      </c>
      <c r="AA11" s="362" t="e">
        <f t="shared" si="0"/>
        <v>#VALUE!</v>
      </c>
    </row>
    <row r="12" spans="1:27" ht="15.6">
      <c r="A12" s="324">
        <v>617</v>
      </c>
      <c r="B12" s="325">
        <v>407062</v>
      </c>
      <c r="C12" s="326" t="s">
        <v>273</v>
      </c>
      <c r="D12" s="326" t="s">
        <v>274</v>
      </c>
      <c r="E12" s="326" t="s">
        <v>274</v>
      </c>
      <c r="F12" s="326" t="s">
        <v>275</v>
      </c>
      <c r="G12" s="326" t="s">
        <v>254</v>
      </c>
      <c r="H12" s="326" t="s">
        <v>264</v>
      </c>
      <c r="I12" s="327" t="s">
        <v>256</v>
      </c>
      <c r="J12" s="328">
        <v>1</v>
      </c>
      <c r="K12" s="329">
        <v>1</v>
      </c>
      <c r="L12" s="328">
        <v>320</v>
      </c>
      <c r="M12" s="328">
        <v>0</v>
      </c>
      <c r="N12" s="330">
        <v>43586</v>
      </c>
      <c r="O12" s="331">
        <v>0.48837209302325579</v>
      </c>
      <c r="P12" s="328">
        <v>24</v>
      </c>
      <c r="Q12" s="328">
        <v>24</v>
      </c>
      <c r="R12" s="329">
        <v>1</v>
      </c>
      <c r="S12" s="331">
        <v>1</v>
      </c>
      <c r="T12" s="332">
        <v>320</v>
      </c>
      <c r="U12" s="333">
        <v>0</v>
      </c>
      <c r="V12" s="328">
        <v>0</v>
      </c>
      <c r="W12" s="328" t="s">
        <v>256</v>
      </c>
      <c r="X12" s="334" t="s">
        <v>257</v>
      </c>
      <c r="Y12" s="334" t="s">
        <v>258</v>
      </c>
      <c r="AA12" s="362" t="e">
        <f t="shared" si="0"/>
        <v>#VALUE!</v>
      </c>
    </row>
    <row r="13" spans="1:27" ht="15.6">
      <c r="A13" s="324">
        <v>671</v>
      </c>
      <c r="B13" s="325">
        <v>407058</v>
      </c>
      <c r="C13" s="326" t="s">
        <v>276</v>
      </c>
      <c r="D13" s="326" t="s">
        <v>277</v>
      </c>
      <c r="E13" s="326" t="s">
        <v>277</v>
      </c>
      <c r="F13" s="326" t="s">
        <v>278</v>
      </c>
      <c r="G13" s="326" t="s">
        <v>254</v>
      </c>
      <c r="H13" s="326" t="s">
        <v>255</v>
      </c>
      <c r="I13" s="327" t="s">
        <v>256</v>
      </c>
      <c r="J13" s="328">
        <v>2</v>
      </c>
      <c r="K13" s="329">
        <v>1</v>
      </c>
      <c r="L13" s="328">
        <v>240.65</v>
      </c>
      <c r="M13" s="328">
        <v>0</v>
      </c>
      <c r="N13" s="330">
        <v>43586</v>
      </c>
      <c r="O13" s="331">
        <v>0.44186046511627908</v>
      </c>
      <c r="P13" s="328">
        <v>21</v>
      </c>
      <c r="Q13" s="328">
        <v>21</v>
      </c>
      <c r="R13" s="329">
        <v>0.80769230769230771</v>
      </c>
      <c r="S13" s="331">
        <v>1</v>
      </c>
      <c r="T13" s="332">
        <v>238.7</v>
      </c>
      <c r="U13" s="333">
        <v>0</v>
      </c>
      <c r="V13" s="328">
        <v>0</v>
      </c>
      <c r="W13" s="328" t="s">
        <v>256</v>
      </c>
      <c r="X13" s="334" t="s">
        <v>257</v>
      </c>
      <c r="Y13" s="334" t="s">
        <v>258</v>
      </c>
      <c r="AA13" s="362" t="e">
        <f t="shared" si="0"/>
        <v>#VALUE!</v>
      </c>
    </row>
    <row r="14" spans="1:27" ht="15.6">
      <c r="A14" s="324">
        <v>679</v>
      </c>
      <c r="B14" s="325">
        <v>407176</v>
      </c>
      <c r="C14" s="326" t="s">
        <v>279</v>
      </c>
      <c r="D14" s="326" t="s">
        <v>280</v>
      </c>
      <c r="E14" s="326" t="s">
        <v>280</v>
      </c>
      <c r="F14" s="326" t="s">
        <v>281</v>
      </c>
      <c r="G14" s="326" t="s">
        <v>254</v>
      </c>
      <c r="H14" s="326" t="s">
        <v>255</v>
      </c>
      <c r="I14" s="327" t="s">
        <v>256</v>
      </c>
      <c r="J14" s="328">
        <v>3</v>
      </c>
      <c r="K14" s="329">
        <v>1</v>
      </c>
      <c r="L14" s="328">
        <v>232.66666666666666</v>
      </c>
      <c r="M14" s="328">
        <v>0</v>
      </c>
      <c r="N14" s="330">
        <v>43831</v>
      </c>
      <c r="O14" s="331">
        <v>0.43023255813953487</v>
      </c>
      <c r="P14" s="328">
        <v>18</v>
      </c>
      <c r="Q14" s="328">
        <v>18</v>
      </c>
      <c r="R14" s="329">
        <v>0.94736842105263153</v>
      </c>
      <c r="S14" s="331">
        <v>1</v>
      </c>
      <c r="T14" s="332">
        <v>232.66666666666666</v>
      </c>
      <c r="U14" s="333">
        <v>0</v>
      </c>
      <c r="V14" s="328">
        <v>0</v>
      </c>
      <c r="W14" s="328" t="s">
        <v>256</v>
      </c>
      <c r="X14" s="334" t="s">
        <v>257</v>
      </c>
      <c r="Y14" s="334" t="s">
        <v>258</v>
      </c>
      <c r="AA14" s="362" t="e">
        <f t="shared" si="0"/>
        <v>#VALUE!</v>
      </c>
    </row>
    <row r="15" spans="1:27" ht="15.6">
      <c r="A15" s="324">
        <v>698</v>
      </c>
      <c r="B15" s="325">
        <v>407067</v>
      </c>
      <c r="C15" s="326" t="s">
        <v>282</v>
      </c>
      <c r="D15" s="326" t="s">
        <v>283</v>
      </c>
      <c r="E15" s="326" t="s">
        <v>283</v>
      </c>
      <c r="F15" s="326" t="s">
        <v>284</v>
      </c>
      <c r="G15" s="326" t="s">
        <v>254</v>
      </c>
      <c r="H15" s="326" t="s">
        <v>264</v>
      </c>
      <c r="I15" s="327" t="s">
        <v>256</v>
      </c>
      <c r="J15" s="328">
        <v>1</v>
      </c>
      <c r="K15" s="329">
        <v>1</v>
      </c>
      <c r="L15" s="328">
        <v>215</v>
      </c>
      <c r="M15" s="328">
        <v>0</v>
      </c>
      <c r="N15" s="330">
        <v>43586</v>
      </c>
      <c r="O15" s="331">
        <v>0.39534883720930236</v>
      </c>
      <c r="P15" s="328">
        <v>37</v>
      </c>
      <c r="Q15" s="328">
        <v>37</v>
      </c>
      <c r="R15" s="329">
        <v>1.5416666666666667</v>
      </c>
      <c r="S15" s="331">
        <v>1</v>
      </c>
      <c r="T15" s="332">
        <v>215</v>
      </c>
      <c r="U15" s="333">
        <v>0</v>
      </c>
      <c r="V15" s="328">
        <v>0</v>
      </c>
      <c r="W15" s="328" t="s">
        <v>256</v>
      </c>
      <c r="X15" s="334" t="s">
        <v>257</v>
      </c>
      <c r="Y15" s="334" t="s">
        <v>258</v>
      </c>
      <c r="AA15" s="362" t="e">
        <f t="shared" si="0"/>
        <v>#VALUE!</v>
      </c>
    </row>
    <row r="16" spans="1:27" ht="15.6">
      <c r="A16" s="324">
        <v>708</v>
      </c>
      <c r="B16" s="325">
        <v>407200</v>
      </c>
      <c r="C16" s="326" t="s">
        <v>285</v>
      </c>
      <c r="D16" s="326" t="s">
        <v>286</v>
      </c>
      <c r="E16" s="326" t="s">
        <v>286</v>
      </c>
      <c r="F16" s="326" t="s">
        <v>287</v>
      </c>
      <c r="G16" s="326" t="s">
        <v>254</v>
      </c>
      <c r="H16" s="326" t="s">
        <v>264</v>
      </c>
      <c r="I16" s="327">
        <v>3511214.2304717707</v>
      </c>
      <c r="J16" s="328">
        <v>4</v>
      </c>
      <c r="K16" s="329">
        <v>1.5</v>
      </c>
      <c r="L16" s="328">
        <v>200</v>
      </c>
      <c r="M16" s="328">
        <v>4</v>
      </c>
      <c r="N16" s="330">
        <v>44348</v>
      </c>
      <c r="O16" s="331">
        <v>0.38372093023255816</v>
      </c>
      <c r="P16" s="328">
        <v>10</v>
      </c>
      <c r="Q16" s="328">
        <v>6</v>
      </c>
      <c r="R16" s="329">
        <v>1.5</v>
      </c>
      <c r="S16" s="331">
        <v>0.6</v>
      </c>
      <c r="T16" s="332">
        <v>196.25396825396822</v>
      </c>
      <c r="U16" s="333">
        <v>2</v>
      </c>
      <c r="V16" s="328">
        <v>230</v>
      </c>
      <c r="W16" s="328">
        <v>64.650000000000006</v>
      </c>
      <c r="X16" s="334" t="s">
        <v>257</v>
      </c>
      <c r="Y16" s="334" t="s">
        <v>258</v>
      </c>
      <c r="AA16" s="362">
        <f t="shared" si="0"/>
        <v>227000000</v>
      </c>
    </row>
    <row r="17" spans="1:27" ht="15.6">
      <c r="A17" s="324">
        <v>741</v>
      </c>
      <c r="B17" s="325">
        <v>407124</v>
      </c>
      <c r="C17" s="326" t="s">
        <v>288</v>
      </c>
      <c r="D17" s="326" t="s">
        <v>252</v>
      </c>
      <c r="E17" s="326" t="s">
        <v>252</v>
      </c>
      <c r="F17" s="326" t="s">
        <v>289</v>
      </c>
      <c r="G17" s="326" t="s">
        <v>254</v>
      </c>
      <c r="H17" s="326" t="s">
        <v>264</v>
      </c>
      <c r="I17" s="327" t="s">
        <v>256</v>
      </c>
      <c r="J17" s="328">
        <v>3</v>
      </c>
      <c r="K17" s="329">
        <v>0.66666666666666663</v>
      </c>
      <c r="L17" s="328">
        <v>163.33333333333334</v>
      </c>
      <c r="M17" s="328">
        <v>0</v>
      </c>
      <c r="N17" s="330">
        <v>43831</v>
      </c>
      <c r="O17" s="331">
        <v>0.36046511627906974</v>
      </c>
      <c r="P17" s="328">
        <v>8</v>
      </c>
      <c r="Q17" s="328">
        <v>8</v>
      </c>
      <c r="R17" s="329">
        <v>0.42105263157894735</v>
      </c>
      <c r="S17" s="331">
        <v>1</v>
      </c>
      <c r="T17" s="332">
        <v>245</v>
      </c>
      <c r="U17" s="333">
        <v>0</v>
      </c>
      <c r="V17" s="328">
        <v>0</v>
      </c>
      <c r="W17" s="328" t="s">
        <v>256</v>
      </c>
      <c r="X17" s="334" t="s">
        <v>257</v>
      </c>
      <c r="Y17" s="334" t="s">
        <v>258</v>
      </c>
      <c r="AA17" s="362" t="e">
        <f t="shared" si="0"/>
        <v>#VALUE!</v>
      </c>
    </row>
    <row r="18" spans="1:27" ht="15.6">
      <c r="A18" s="324">
        <v>742</v>
      </c>
      <c r="B18" s="325">
        <v>407111</v>
      </c>
      <c r="C18" s="326" t="s">
        <v>290</v>
      </c>
      <c r="D18" s="326" t="s">
        <v>252</v>
      </c>
      <c r="E18" s="326" t="s">
        <v>252</v>
      </c>
      <c r="F18" s="326" t="s">
        <v>291</v>
      </c>
      <c r="G18" s="326" t="s">
        <v>254</v>
      </c>
      <c r="H18" s="326" t="s">
        <v>270</v>
      </c>
      <c r="I18" s="327" t="s">
        <v>256</v>
      </c>
      <c r="J18" s="328">
        <v>1</v>
      </c>
      <c r="K18" s="329">
        <v>1</v>
      </c>
      <c r="L18" s="328">
        <v>160</v>
      </c>
      <c r="M18" s="328">
        <v>0</v>
      </c>
      <c r="N18" s="330">
        <v>43800</v>
      </c>
      <c r="O18" s="331">
        <v>0.34883720930232553</v>
      </c>
      <c r="P18" s="328">
        <v>12</v>
      </c>
      <c r="Q18" s="328">
        <v>12</v>
      </c>
      <c r="R18" s="329">
        <v>0.66666666666666663</v>
      </c>
      <c r="S18" s="331">
        <v>1</v>
      </c>
      <c r="T18" s="332">
        <v>160</v>
      </c>
      <c r="U18" s="333">
        <v>0</v>
      </c>
      <c r="V18" s="328">
        <v>0</v>
      </c>
      <c r="W18" s="328" t="s">
        <v>256</v>
      </c>
      <c r="X18" s="334" t="s">
        <v>257</v>
      </c>
      <c r="Y18" s="334" t="s">
        <v>258</v>
      </c>
      <c r="AA18" s="362" t="e">
        <f t="shared" si="0"/>
        <v>#VALUE!</v>
      </c>
    </row>
    <row r="19" spans="1:27" ht="15.6">
      <c r="A19" s="324">
        <v>769</v>
      </c>
      <c r="B19" s="325">
        <v>407151</v>
      </c>
      <c r="C19" s="326" t="s">
        <v>292</v>
      </c>
      <c r="D19" s="326" t="s">
        <v>293</v>
      </c>
      <c r="E19" s="326" t="s">
        <v>293</v>
      </c>
      <c r="F19" s="326" t="s">
        <v>294</v>
      </c>
      <c r="G19" s="326" t="s">
        <v>254</v>
      </c>
      <c r="H19" s="326" t="s">
        <v>270</v>
      </c>
      <c r="I19" s="327" t="s">
        <v>256</v>
      </c>
      <c r="J19" s="328">
        <v>3</v>
      </c>
      <c r="K19" s="329">
        <v>0.66666666666666663</v>
      </c>
      <c r="L19" s="328">
        <v>135.01666666666668</v>
      </c>
      <c r="M19" s="328">
        <v>0</v>
      </c>
      <c r="N19" s="330">
        <v>43831</v>
      </c>
      <c r="O19" s="331">
        <v>0.33720930232558144</v>
      </c>
      <c r="P19" s="328">
        <v>9</v>
      </c>
      <c r="Q19" s="328">
        <v>9</v>
      </c>
      <c r="R19" s="329">
        <v>0.47368421052631576</v>
      </c>
      <c r="S19" s="331">
        <v>1</v>
      </c>
      <c r="T19" s="332">
        <v>218.55</v>
      </c>
      <c r="U19" s="333">
        <v>0</v>
      </c>
      <c r="V19" s="328">
        <v>0</v>
      </c>
      <c r="W19" s="328" t="s">
        <v>256</v>
      </c>
      <c r="X19" s="334" t="s">
        <v>257</v>
      </c>
      <c r="Y19" s="334" t="s">
        <v>258</v>
      </c>
      <c r="AA19" s="362" t="e">
        <f t="shared" si="0"/>
        <v>#VALUE!</v>
      </c>
    </row>
    <row r="20" spans="1:27" ht="15.6">
      <c r="A20" s="324">
        <v>772</v>
      </c>
      <c r="B20" s="325">
        <v>407171</v>
      </c>
      <c r="C20" s="326" t="s">
        <v>295</v>
      </c>
      <c r="D20" s="326" t="s">
        <v>296</v>
      </c>
      <c r="E20" s="326" t="s">
        <v>296</v>
      </c>
      <c r="F20" s="326" t="s">
        <v>297</v>
      </c>
      <c r="G20" s="326" t="s">
        <v>254</v>
      </c>
      <c r="H20" s="326" t="s">
        <v>270</v>
      </c>
      <c r="I20" s="327">
        <v>3264513.8521263455</v>
      </c>
      <c r="J20" s="328">
        <v>6</v>
      </c>
      <c r="K20" s="329">
        <v>0.83333333333333337</v>
      </c>
      <c r="L20" s="328">
        <v>132.58333333333334</v>
      </c>
      <c r="M20" s="328">
        <v>2</v>
      </c>
      <c r="N20" s="330">
        <v>44228</v>
      </c>
      <c r="O20" s="331">
        <v>0.32558139534883723</v>
      </c>
      <c r="P20" s="328">
        <v>9</v>
      </c>
      <c r="Q20" s="328">
        <v>7</v>
      </c>
      <c r="R20" s="329">
        <v>0.875</v>
      </c>
      <c r="S20" s="331">
        <v>0.77777777777777779</v>
      </c>
      <c r="T20" s="332">
        <v>177.34166666666667</v>
      </c>
      <c r="U20" s="333">
        <v>1</v>
      </c>
      <c r="V20" s="328">
        <v>185</v>
      </c>
      <c r="W20" s="328">
        <v>56.67</v>
      </c>
      <c r="X20" s="334" t="s">
        <v>257</v>
      </c>
      <c r="Y20" s="334" t="s">
        <v>258</v>
      </c>
      <c r="AA20" s="362">
        <f t="shared" si="0"/>
        <v>185000000</v>
      </c>
    </row>
    <row r="21" spans="1:27" ht="15.6">
      <c r="A21" s="324">
        <v>793</v>
      </c>
      <c r="B21" s="325">
        <v>407201</v>
      </c>
      <c r="C21" s="326" t="s">
        <v>298</v>
      </c>
      <c r="D21" s="326" t="s">
        <v>299</v>
      </c>
      <c r="E21" s="326" t="s">
        <v>299</v>
      </c>
      <c r="F21" s="326" t="s">
        <v>300</v>
      </c>
      <c r="G21" s="326" t="s">
        <v>254</v>
      </c>
      <c r="H21" s="326" t="s">
        <v>264</v>
      </c>
      <c r="I21" s="327">
        <v>3638059.7014925373</v>
      </c>
      <c r="J21" s="328">
        <v>5</v>
      </c>
      <c r="K21" s="329">
        <v>0.6</v>
      </c>
      <c r="L21" s="328">
        <v>117</v>
      </c>
      <c r="M21" s="328">
        <v>5</v>
      </c>
      <c r="N21" s="330">
        <v>44317</v>
      </c>
      <c r="O21" s="331">
        <v>0.29069767441860461</v>
      </c>
      <c r="P21" s="328">
        <v>8</v>
      </c>
      <c r="Q21" s="328">
        <v>3</v>
      </c>
      <c r="R21" s="329">
        <v>0.6</v>
      </c>
      <c r="S21" s="331">
        <v>0.375</v>
      </c>
      <c r="T21" s="332">
        <v>195</v>
      </c>
      <c r="U21" s="333">
        <v>0</v>
      </c>
      <c r="V21" s="328">
        <v>0</v>
      </c>
      <c r="W21" s="328">
        <v>53.6</v>
      </c>
      <c r="X21" s="334" t="s">
        <v>257</v>
      </c>
      <c r="Y21" s="334" t="s">
        <v>258</v>
      </c>
      <c r="AA21" s="362">
        <f t="shared" si="0"/>
        <v>195000000</v>
      </c>
    </row>
    <row r="22" spans="1:27" ht="15.6">
      <c r="A22" s="324">
        <v>799</v>
      </c>
      <c r="B22" s="325">
        <v>407125</v>
      </c>
      <c r="C22" s="326" t="s">
        <v>301</v>
      </c>
      <c r="D22" s="326" t="s">
        <v>252</v>
      </c>
      <c r="E22" s="326" t="s">
        <v>252</v>
      </c>
      <c r="F22" s="326" t="s">
        <v>302</v>
      </c>
      <c r="G22" s="326" t="s">
        <v>254</v>
      </c>
      <c r="H22" s="326" t="s">
        <v>264</v>
      </c>
      <c r="I22" s="327">
        <v>4283582.0895522386</v>
      </c>
      <c r="J22" s="328">
        <v>6</v>
      </c>
      <c r="K22" s="329">
        <v>0.5</v>
      </c>
      <c r="L22" s="328">
        <v>111.5</v>
      </c>
      <c r="M22" s="328">
        <v>1</v>
      </c>
      <c r="N22" s="330">
        <v>43831</v>
      </c>
      <c r="O22" s="331">
        <v>0.27906976744186052</v>
      </c>
      <c r="P22" s="328">
        <v>12</v>
      </c>
      <c r="Q22" s="328">
        <v>11</v>
      </c>
      <c r="R22" s="329">
        <v>0.52380952380952384</v>
      </c>
      <c r="S22" s="331">
        <v>0.91666666666666663</v>
      </c>
      <c r="T22" s="332">
        <v>265.66666666666663</v>
      </c>
      <c r="U22" s="333">
        <v>0</v>
      </c>
      <c r="V22" s="328">
        <v>0</v>
      </c>
      <c r="W22" s="328">
        <v>67</v>
      </c>
      <c r="X22" s="334" t="s">
        <v>257</v>
      </c>
      <c r="Y22" s="334" t="s">
        <v>258</v>
      </c>
      <c r="AA22" s="362">
        <f t="shared" si="0"/>
        <v>287000000</v>
      </c>
    </row>
    <row r="23" spans="1:27" ht="15.6">
      <c r="A23" s="324">
        <v>812</v>
      </c>
      <c r="B23" s="325">
        <v>407179</v>
      </c>
      <c r="C23" s="326" t="s">
        <v>303</v>
      </c>
      <c r="D23" s="326" t="s">
        <v>252</v>
      </c>
      <c r="E23" s="326" t="s">
        <v>252</v>
      </c>
      <c r="F23" s="326" t="s">
        <v>304</v>
      </c>
      <c r="G23" s="326" t="s">
        <v>254</v>
      </c>
      <c r="H23" s="326" t="s">
        <v>264</v>
      </c>
      <c r="I23" s="327">
        <v>4076923.0769230765</v>
      </c>
      <c r="J23" s="328">
        <v>6</v>
      </c>
      <c r="K23" s="329">
        <v>0.33333333333333331</v>
      </c>
      <c r="L23" s="328">
        <v>88.333333333333329</v>
      </c>
      <c r="M23" s="328">
        <v>2</v>
      </c>
      <c r="N23" s="330">
        <v>44075</v>
      </c>
      <c r="O23" s="331">
        <v>0.26744186046511631</v>
      </c>
      <c r="P23" s="328">
        <v>8</v>
      </c>
      <c r="Q23" s="328">
        <v>6</v>
      </c>
      <c r="R23" s="329">
        <v>0.46153846153846156</v>
      </c>
      <c r="S23" s="331">
        <v>0.75</v>
      </c>
      <c r="T23" s="332">
        <v>265</v>
      </c>
      <c r="U23" s="333">
        <v>0</v>
      </c>
      <c r="V23" s="328">
        <v>0</v>
      </c>
      <c r="W23" s="328">
        <v>65</v>
      </c>
      <c r="X23" s="334" t="s">
        <v>257</v>
      </c>
      <c r="Y23" s="334" t="s">
        <v>258</v>
      </c>
      <c r="AA23" s="362">
        <f t="shared" si="0"/>
        <v>264999999.99999997</v>
      </c>
    </row>
    <row r="24" spans="1:27" ht="15.6">
      <c r="A24" s="324">
        <v>852</v>
      </c>
      <c r="B24" s="325">
        <v>407096</v>
      </c>
      <c r="C24" s="326" t="s">
        <v>305</v>
      </c>
      <c r="D24" s="326" t="s">
        <v>306</v>
      </c>
      <c r="E24" s="326" t="s">
        <v>306</v>
      </c>
      <c r="F24" s="326" t="s">
        <v>307</v>
      </c>
      <c r="G24" s="326" t="s">
        <v>254</v>
      </c>
      <c r="H24" s="326" t="s">
        <v>264</v>
      </c>
      <c r="I24" s="327">
        <v>3567424.319641219</v>
      </c>
      <c r="J24" s="328">
        <v>6</v>
      </c>
      <c r="K24" s="329">
        <v>0.16666666666666666</v>
      </c>
      <c r="L24" s="328">
        <v>58.333333333333336</v>
      </c>
      <c r="M24" s="328">
        <v>1</v>
      </c>
      <c r="N24" s="330">
        <v>43739</v>
      </c>
      <c r="O24" s="331">
        <v>0.2441860465116279</v>
      </c>
      <c r="P24" s="328">
        <v>4</v>
      </c>
      <c r="Q24" s="328">
        <v>3</v>
      </c>
      <c r="R24" s="329">
        <v>0.125</v>
      </c>
      <c r="S24" s="331">
        <v>0.75</v>
      </c>
      <c r="T24" s="332">
        <v>349.16666666666669</v>
      </c>
      <c r="U24" s="333">
        <v>0</v>
      </c>
      <c r="V24" s="328">
        <v>0</v>
      </c>
      <c r="W24" s="328">
        <v>98.11</v>
      </c>
      <c r="X24" s="334" t="s">
        <v>257</v>
      </c>
      <c r="Y24" s="334" t="s">
        <v>258</v>
      </c>
      <c r="AA24" s="362">
        <f t="shared" si="0"/>
        <v>350000000</v>
      </c>
    </row>
    <row r="25" spans="1:27" ht="15.6">
      <c r="A25" s="324">
        <v>914</v>
      </c>
      <c r="B25" s="325">
        <v>407102</v>
      </c>
      <c r="C25" s="326" t="s">
        <v>308</v>
      </c>
      <c r="D25" s="326" t="s">
        <v>309</v>
      </c>
      <c r="E25" s="326" t="s">
        <v>309</v>
      </c>
      <c r="F25" s="326" t="s">
        <v>310</v>
      </c>
      <c r="G25" s="326" t="s">
        <v>254</v>
      </c>
      <c r="H25" s="326" t="s">
        <v>264</v>
      </c>
      <c r="I25" s="327">
        <v>3435098.9877637299</v>
      </c>
      <c r="J25" s="328">
        <v>6</v>
      </c>
      <c r="K25" s="329">
        <v>0</v>
      </c>
      <c r="L25" s="328">
        <v>0</v>
      </c>
      <c r="M25" s="328">
        <v>10</v>
      </c>
      <c r="N25" s="330">
        <v>43770</v>
      </c>
      <c r="O25" s="331">
        <v>0.16279069767441856</v>
      </c>
      <c r="P25" s="328">
        <v>12</v>
      </c>
      <c r="Q25" s="328">
        <v>2</v>
      </c>
      <c r="R25" s="329">
        <v>8.6956521739130432E-2</v>
      </c>
      <c r="S25" s="331">
        <v>0.16666666666666666</v>
      </c>
      <c r="T25" s="332">
        <v>422.5</v>
      </c>
      <c r="U25" s="333">
        <v>0</v>
      </c>
      <c r="V25" s="328">
        <v>0</v>
      </c>
      <c r="W25" s="328">
        <v>122.995</v>
      </c>
      <c r="X25" s="334" t="s">
        <v>257</v>
      </c>
      <c r="Y25" s="334" t="s">
        <v>258</v>
      </c>
      <c r="AA25" s="362">
        <f t="shared" si="0"/>
        <v>422500000</v>
      </c>
    </row>
    <row r="26" spans="1:27" ht="15.6">
      <c r="A26" s="324">
        <v>918</v>
      </c>
      <c r="B26" s="325">
        <v>407160</v>
      </c>
      <c r="C26" s="326" t="s">
        <v>311</v>
      </c>
      <c r="D26" s="326" t="s">
        <v>312</v>
      </c>
      <c r="E26" s="326" t="s">
        <v>312</v>
      </c>
      <c r="F26" s="326" t="s">
        <v>313</v>
      </c>
      <c r="G26" s="326" t="s">
        <v>254</v>
      </c>
      <c r="H26" s="326" t="s">
        <v>264</v>
      </c>
      <c r="I26" s="327">
        <v>4435154.9755301801</v>
      </c>
      <c r="J26" s="328">
        <v>6</v>
      </c>
      <c r="K26" s="329">
        <v>0</v>
      </c>
      <c r="L26" s="328">
        <v>0</v>
      </c>
      <c r="M26" s="328">
        <v>5</v>
      </c>
      <c r="N26" s="330">
        <v>44136</v>
      </c>
      <c r="O26" s="331">
        <v>0.15116279069767447</v>
      </c>
      <c r="P26" s="328">
        <v>8</v>
      </c>
      <c r="Q26" s="328">
        <v>3</v>
      </c>
      <c r="R26" s="329">
        <v>0.27272727272727271</v>
      </c>
      <c r="S26" s="331">
        <v>0.375</v>
      </c>
      <c r="T26" s="332">
        <v>217.5</v>
      </c>
      <c r="U26" s="333">
        <v>1</v>
      </c>
      <c r="V26" s="328">
        <v>217.5</v>
      </c>
      <c r="W26" s="328">
        <v>49.04</v>
      </c>
      <c r="X26" s="334" t="s">
        <v>257</v>
      </c>
      <c r="Y26" s="334" t="s">
        <v>258</v>
      </c>
      <c r="AA26" s="362">
        <f t="shared" si="0"/>
        <v>217500000.00000003</v>
      </c>
    </row>
    <row r="27" spans="1:27" ht="15.6">
      <c r="A27" s="324">
        <v>940</v>
      </c>
      <c r="B27" s="325">
        <v>407095</v>
      </c>
      <c r="C27" s="326" t="s">
        <v>314</v>
      </c>
      <c r="D27" s="326" t="s">
        <v>252</v>
      </c>
      <c r="E27" s="326" t="s">
        <v>252</v>
      </c>
      <c r="F27" s="326" t="s">
        <v>315</v>
      </c>
      <c r="G27" s="326" t="s">
        <v>254</v>
      </c>
      <c r="H27" s="326" t="s">
        <v>264</v>
      </c>
      <c r="I27" s="327">
        <v>3601226.9938650308</v>
      </c>
      <c r="J27" s="328">
        <v>6</v>
      </c>
      <c r="K27" s="329">
        <v>0</v>
      </c>
      <c r="L27" s="328">
        <v>0</v>
      </c>
      <c r="M27" s="328">
        <v>5</v>
      </c>
      <c r="N27" s="330">
        <v>43709</v>
      </c>
      <c r="O27" s="331">
        <v>0.13953488372093026</v>
      </c>
      <c r="P27" s="328">
        <v>9</v>
      </c>
      <c r="Q27" s="328">
        <v>4</v>
      </c>
      <c r="R27" s="329">
        <v>0.16</v>
      </c>
      <c r="S27" s="331">
        <v>0.44444444444444442</v>
      </c>
      <c r="T27" s="332">
        <v>234.8</v>
      </c>
      <c r="U27" s="333">
        <v>0</v>
      </c>
      <c r="V27" s="328">
        <v>0</v>
      </c>
      <c r="W27" s="328">
        <v>65.2</v>
      </c>
      <c r="X27" s="334" t="s">
        <v>257</v>
      </c>
      <c r="Y27" s="334" t="s">
        <v>258</v>
      </c>
      <c r="AA27" s="362">
        <f t="shared" si="0"/>
        <v>234800000.00000003</v>
      </c>
    </row>
    <row r="32" spans="1:27">
      <c r="B32" t="s">
        <v>320</v>
      </c>
      <c r="C32">
        <v>1250000000</v>
      </c>
      <c r="D32">
        <v>271</v>
      </c>
      <c r="E32" s="337">
        <f>C32/D32</f>
        <v>4612546.1254612543</v>
      </c>
    </row>
  </sheetData>
  <pageMargins left="0.7" right="0.7" top="0.75" bottom="0.75" header="0.3" footer="0.3"/>
  <drawing r:id="rId1"/>
  <legacy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FC5F5FEE-280C-49BF-8EEE-487326A4474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9</vt:i4>
      </vt:variant>
    </vt:vector>
  </HeadingPairs>
  <TitlesOfParts>
    <vt:vector size="9" baseType="lpstr">
      <vt:lpstr>DATOS </vt:lpstr>
      <vt:lpstr>Modelacion (8p) Oct 26</vt:lpstr>
      <vt:lpstr>Base (8p) Oct 26</vt:lpstr>
      <vt:lpstr>Modelacion (8p) No VIS Nov 8</vt:lpstr>
      <vt:lpstr>Base (8p) No Vis Nov 8 </vt:lpstr>
      <vt:lpstr>Modelacion (8p) Nov 8</vt:lpstr>
      <vt:lpstr>Base (8p) Nov 8</vt:lpstr>
      <vt:lpstr>FAC_MI Tunal 8P</vt:lpstr>
      <vt:lpstr>$ Mercado Sur oriente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Andres</dc:creator>
  <cp:lastModifiedBy>Erika Borbón</cp:lastModifiedBy>
  <cp:lastPrinted>2021-04-19T15:05:25Z</cp:lastPrinted>
  <dcterms:created xsi:type="dcterms:W3CDTF">2020-12-07T13:03:34Z</dcterms:created>
  <dcterms:modified xsi:type="dcterms:W3CDTF">2021-11-09T22:53:22Z</dcterms:modified>
</cp:coreProperties>
</file>