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955ea4ace1855bd/05 Profesional/SDP/Modelaciones POT/MI - Mejoramiento Integral/Nov 9 2021/"/>
    </mc:Choice>
  </mc:AlternateContent>
  <xr:revisionPtr revIDLastSave="224" documentId="8_{BC883EE0-EFFB-4DC8-83F5-088A951540B3}" xr6:coauthVersionLast="47" xr6:coauthVersionMax="47" xr10:uidLastSave="{4C153CA4-0CBD-45C0-8EB4-CEC7D362BAA6}"/>
  <bookViews>
    <workbookView xWindow="28680" yWindow="-120" windowWidth="29040" windowHeight="15720" activeTab="6" xr2:uid="{AC90971D-40A3-48D0-87DA-71DD05523037}"/>
  </bookViews>
  <sheets>
    <sheet name="Malla vial arterial(12p)NoVisN8" sheetId="64" r:id="rId1"/>
    <sheet name="Base (12p)NoVisN8" sheetId="65" r:id="rId2"/>
    <sheet name="Malla vial arterial (12p) Oct26" sheetId="60" r:id="rId3"/>
    <sheet name="Base (12p) Oct 26" sheetId="61" state="hidden" r:id="rId4"/>
    <sheet name="Malla vial arterial (12p) Nov8" sheetId="62" state="hidden" r:id="rId5"/>
    <sheet name="Base (12p) Nov 8" sheetId="63" state="hidden" r:id="rId6"/>
    <sheet name="FAC_MI Tunal 12P" sheetId="56" r:id="rId7"/>
    <sheet name="$ Mercado Sur oriente" sheetId="59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_UEN2" localSheetId="7" hidden="1">#REF!</definedName>
    <definedName name="__UEN2" localSheetId="6" hidden="1">#REF!</definedName>
    <definedName name="__UEN2" hidden="1">#REF!</definedName>
    <definedName name="_Fill" localSheetId="7" hidden="1">#REF!</definedName>
    <definedName name="_Fill" localSheetId="6" hidden="1">#REF!</definedName>
    <definedName name="_Fill" hidden="1">#REF!</definedName>
    <definedName name="_Key1" localSheetId="7" hidden="1">#REF!</definedName>
    <definedName name="_Key1" localSheetId="6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able2_In2" hidden="1">#REF!</definedName>
    <definedName name="_Table2_in3" hidden="1">#REF!</definedName>
    <definedName name="_UEN2" hidden="1">#REF!</definedName>
    <definedName name="AccessDatabase" hidden="1">"C:\EXCEL\FILESXLS\TELEX\LIBRO99.mdb"</definedName>
    <definedName name="activos" localSheetId="7" hidden="1">{#N/A,#N/A,TRUE,"Posicion";#N/A,#N/A,TRUE,"Presentacion";#N/A,#N/A,TRUE,"analisis";#N/A,#N/A,TRUE,"PORTAFOLIO"}</definedName>
    <definedName name="activos" localSheetId="6" hidden="1">{#N/A,#N/A,TRUE,"Posicion";#N/A,#N/A,TRUE,"Presentacion";#N/A,#N/A,TRUE,"analisis";#N/A,#N/A,TRUE,"PORTAFOLIO"}</definedName>
    <definedName name="activos" hidden="1">{#N/A,#N/A,TRUE,"Posicion";#N/A,#N/A,TRUE,"Presentacion";#N/A,#N/A,TRUE,"analisis";#N/A,#N/A,TRUE,"PORTAFOLIO"}</definedName>
    <definedName name="adsad" hidden="1">#REF!</definedName>
    <definedName name="adssad" hidden="1">#REF!</definedName>
    <definedName name="AREAS_ARQ">[1]Consolidado!$G$7:$BM$276</definedName>
    <definedName name="as" localSheetId="7" hidden="1">#REF!</definedName>
    <definedName name="as" localSheetId="6" hidden="1">#REF!</definedName>
    <definedName name="as" hidden="1">#REF!</definedName>
    <definedName name="AS2DocOpenMode" hidden="1">"AS2DocumentEdit"</definedName>
    <definedName name="CBWorkbookPriority" hidden="1">-1069082714</definedName>
    <definedName name="consum" localSheetId="7" hidden="1">{"'Sheet2'!$A$3:$B$17"}</definedName>
    <definedName name="consum" localSheetId="6" hidden="1">{"'Sheet2'!$A$3:$B$17"}</definedName>
    <definedName name="consum" hidden="1">{"'Sheet2'!$A$3:$B$17"}</definedName>
    <definedName name="de" hidden="1">0</definedName>
    <definedName name="debtmay2" localSheetId="7" hidden="1">{#N/A,#N/A,FALSE,"SOACHA"}</definedName>
    <definedName name="debtmay2" localSheetId="6" hidden="1">{#N/A,#N/A,FALSE,"SOACHA"}</definedName>
    <definedName name="debtmay2" hidden="1">{#N/A,#N/A,FALSE,"SOACHA"}</definedName>
    <definedName name="DFFDF" localSheetId="7" hidden="1">{#N/A,#N/A,FALSE,"SOACHA"}</definedName>
    <definedName name="DFFDF" localSheetId="6" hidden="1">{#N/A,#N/A,FALSE,"SOACHA"}</definedName>
    <definedName name="DFFDF" hidden="1">{#N/A,#N/A,FALSE,"SOACHA"}</definedName>
    <definedName name="direccion" localSheetId="7" hidden="1">{#N/A,#N/A,FALSE,"SOACHA"}</definedName>
    <definedName name="direccion" localSheetId="6" hidden="1">{#N/A,#N/A,FALSE,"SOACHA"}</definedName>
    <definedName name="direccion" hidden="1">{#N/A,#N/A,FALSE,"SOACHA"}</definedName>
    <definedName name="gc" localSheetId="7" hidden="1">{#N/A,#N/A,FALSE,"SOACHA"}</definedName>
    <definedName name="gc" localSheetId="6" hidden="1">{#N/A,#N/A,FALSE,"SOACHA"}</definedName>
    <definedName name="gc" hidden="1">{#N/A,#N/A,FALSE,"SOACHA"}</definedName>
    <definedName name="HTML_CodePage" hidden="1">1252</definedName>
    <definedName name="HTML_Control" localSheetId="7" hidden="1">{"'Sheet1'!$A$1:$H$145"}</definedName>
    <definedName name="HTML_Control" localSheetId="6" hidden="1">{"'Sheet1'!$A$1:$H$145"}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"N:\ACTIVIDADES DISTRITO HUILA\MANTENIMIENTO INDUSTRIAL\2PLANEACION\MyHTML.htm"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ngresos06" localSheetId="7" hidden="1">{"'Sheet2'!$A$3:$B$17"}</definedName>
    <definedName name="Ingresos06" localSheetId="6" hidden="1">{"'Sheet2'!$A$3:$B$17"}</definedName>
    <definedName name="Ingresos06" hidden="1">{"'Sheet2'!$A$3:$B$17"}</definedName>
    <definedName name="IOM">[2]Valores!$A$3:$A$7</definedName>
    <definedName name="liosdasf" localSheetId="7" hidden="1">#REF!</definedName>
    <definedName name="liosdasf" localSheetId="6" hidden="1">#REF!</definedName>
    <definedName name="liosdasf" hidden="1">#REF!</definedName>
    <definedName name="mama" localSheetId="7" hidden="1">'[3]Datos-Gráfica-Bijagual'!#REF!</definedName>
    <definedName name="mama" localSheetId="6" hidden="1">'[3]Datos-Gráfica-Bijagual'!#REF!</definedName>
    <definedName name="mama" hidden="1">'[3]Datos-Gráfica-Bijagual'!#REF!</definedName>
    <definedName name="POZO" hidden="1">"M:\Datos\PRESUPUESTO Vs GASTOS\DB EJECUCION  PvsG-0SM.mdb"</definedName>
    <definedName name="ppp" hidden="1">#REF!</definedName>
    <definedName name="PPTACUM" localSheetId="7" hidden="1">{#N/A,#N/A,FALSE,"SOACHA"}</definedName>
    <definedName name="PPTACUM" localSheetId="6" hidden="1">{#N/A,#N/A,FALSE,"SOACHA"}</definedName>
    <definedName name="PPTACUM" hidden="1">{#N/A,#N/A,FALSE,"SOACHA"}</definedName>
    <definedName name="PPTACUMG" localSheetId="7" hidden="1">{#N/A,#N/A,FALSE,"SOACHA"}</definedName>
    <definedName name="PPTACUMG" localSheetId="6" hidden="1">{#N/A,#N/A,FALSE,"SOACHA"}</definedName>
    <definedName name="PPTACUMG" hidden="1">{#N/A,#N/A,FALSE,"SOACHA"}</definedName>
    <definedName name="PRUEBA" hidden="1">[4]CTAS_PAG!$A$42:$A$68</definedName>
    <definedName name="qw" hidden="1">'[3]Datos-Gráfica-Bijagual'!#REF!</definedName>
    <definedName name="qwqq" localSheetId="7" hidden="1">#REF!</definedName>
    <definedName name="qwqq" localSheetId="6" hidden="1">#REF!</definedName>
    <definedName name="qwqq" hidden="1">#REF!</definedName>
    <definedName name="qwqwq" localSheetId="7" hidden="1">#REF!</definedName>
    <definedName name="qwqwq" localSheetId="6" hidden="1">#REF!</definedName>
    <definedName name="qwqwq" hidden="1">#REF!</definedName>
    <definedName name="sdfsdf" localSheetId="7" hidden="1">#REF!</definedName>
    <definedName name="sdfsdf" localSheetId="6" hidden="1">#REF!</definedName>
    <definedName name="sdfsdf" hidden="1">#REF!</definedName>
    <definedName name="smmlv2021">[5]TABLAS!$D$64</definedName>
    <definedName name="SUELO_UTIL">[1]SUELO_UTIL!$E$2:$V$997</definedName>
    <definedName name="wacc" localSheetId="7" hidden="1">{#N/A,#N/A,FALSE,"SOACHA"}</definedName>
    <definedName name="wacc" localSheetId="6" hidden="1">{#N/A,#N/A,FALSE,"SOACHA"}</definedName>
    <definedName name="wacc" hidden="1">{#N/A,#N/A,FALSE,"SOACHA"}</definedName>
    <definedName name="wqwqqqw" hidden="1">#REF!</definedName>
    <definedName name="wrn.comite." localSheetId="7" hidden="1">{#N/A,#N/A,TRUE,"Posicion";#N/A,#N/A,TRUE,"Presentacion";#N/A,#N/A,TRUE,"analisis";#N/A,#N/A,TRUE,"PORTAFOLIO"}</definedName>
    <definedName name="wrn.comite." localSheetId="6" hidden="1">{#N/A,#N/A,TRUE,"Posicion";#N/A,#N/A,TRUE,"Presentacion";#N/A,#N/A,TRUE,"analisis";#N/A,#N/A,TRUE,"PORTAFOLIO"}</definedName>
    <definedName name="wrn.comite." hidden="1">{#N/A,#N/A,TRUE,"Posicion";#N/A,#N/A,TRUE,"Presentacion";#N/A,#N/A,TRUE,"analisis";#N/A,#N/A,TRUE,"PORTAFOLIO"}</definedName>
    <definedName name="wrn.PRODUCCION._.SOACHA." localSheetId="7" hidden="1">{#N/A,#N/A,FALSE,"SOACHA"}</definedName>
    <definedName name="wrn.PRODUCCION._.SOACHA." localSheetId="6" hidden="1">{#N/A,#N/A,FALSE,"SOACHA"}</definedName>
    <definedName name="wrn.PRODUCCION._.SOACHA." hidden="1">{#N/A,#N/A,FALSE,"SOACHA"}</definedName>
    <definedName name="wrn.SOACHA." localSheetId="7" hidden="1">{#N/A,#N/A,FALSE,"SOACHA"}</definedName>
    <definedName name="wrn.SOACHA." localSheetId="6" hidden="1">{#N/A,#N/A,FALSE,"SOACHA"}</definedName>
    <definedName name="wrn.SOACHA." hidden="1">{#N/A,#N/A,FALSE,"SOACHA"}</definedName>
    <definedName name="xxx" hidden="1">#REF!</definedName>
    <definedName name="xxxxx" localSheetId="7" hidden="1">{#N/A,#N/A,FALSE,"SOACHA"}</definedName>
    <definedName name="xxxxx" localSheetId="6" hidden="1">{#N/A,#N/A,FALSE,"SOACHA"}</definedName>
    <definedName name="xxxxx" hidden="1">{#N/A,#N/A,FALSE,"SOACHA"}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2" i="56" l="1"/>
  <c r="Q50" i="56"/>
  <c r="F92" i="64"/>
  <c r="P62" i="56"/>
  <c r="T3" i="56"/>
  <c r="P36" i="56"/>
  <c r="P10" i="56"/>
  <c r="T80" i="56" s="1"/>
  <c r="T105" i="56"/>
  <c r="T104" i="56"/>
  <c r="T91" i="56"/>
  <c r="S62" i="56"/>
  <c r="S61" i="56"/>
  <c r="P60" i="56"/>
  <c r="S60" i="56" s="1"/>
  <c r="P57" i="56"/>
  <c r="S57" i="56" s="1"/>
  <c r="S52" i="56"/>
  <c r="S50" i="56"/>
  <c r="R41" i="56"/>
  <c r="Q51" i="56" s="1"/>
  <c r="S51" i="56" s="1"/>
  <c r="P41" i="56"/>
  <c r="Q33" i="56"/>
  <c r="Q34" i="56" s="1"/>
  <c r="P33" i="56"/>
  <c r="S32" i="56"/>
  <c r="S33" i="56" s="1"/>
  <c r="Q29" i="56"/>
  <c r="Q30" i="56" s="1"/>
  <c r="P29" i="56"/>
  <c r="S28" i="56"/>
  <c r="S29" i="56" s="1"/>
  <c r="R20" i="56"/>
  <c r="T103" i="56" s="1"/>
  <c r="Q20" i="56"/>
  <c r="P17" i="56"/>
  <c r="Q17" i="56" s="1"/>
  <c r="Q18" i="56" s="1"/>
  <c r="Q16" i="56"/>
  <c r="S16" i="56" s="1"/>
  <c r="S17" i="56" s="1"/>
  <c r="P13" i="56"/>
  <c r="Q13" i="56" s="1"/>
  <c r="Q12" i="56"/>
  <c r="S12" i="56" s="1"/>
  <c r="S13" i="56" s="1"/>
  <c r="Q40" i="56"/>
  <c r="B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57" i="65" s="1"/>
  <c r="D36" i="64" s="1"/>
  <c r="D40" i="64" s="1"/>
  <c r="B7" i="65"/>
  <c r="D6" i="65"/>
  <c r="F6" i="65" s="1"/>
  <c r="D5" i="65"/>
  <c r="F5" i="65" s="1"/>
  <c r="F4" i="65"/>
  <c r="D129" i="64"/>
  <c r="D132" i="64" s="1"/>
  <c r="D130" i="64" s="1"/>
  <c r="D120" i="64"/>
  <c r="D117" i="64"/>
  <c r="D118" i="64" s="1"/>
  <c r="D113" i="64"/>
  <c r="D116" i="64" s="1"/>
  <c r="D109" i="64"/>
  <c r="D112" i="64" s="1"/>
  <c r="D108" i="64"/>
  <c r="D106" i="64"/>
  <c r="D105" i="64"/>
  <c r="D97" i="64"/>
  <c r="D100" i="64" s="1"/>
  <c r="D98" i="64" s="1"/>
  <c r="D96" i="64"/>
  <c r="D94" i="64"/>
  <c r="D92" i="64"/>
  <c r="D88" i="64"/>
  <c r="G87" i="64"/>
  <c r="D86" i="64"/>
  <c r="D73" i="64"/>
  <c r="D68" i="64"/>
  <c r="D64" i="64"/>
  <c r="D57" i="64"/>
  <c r="D48" i="64"/>
  <c r="D47" i="64"/>
  <c r="D35" i="64"/>
  <c r="D69" i="64" s="1"/>
  <c r="D34" i="64"/>
  <c r="R12" i="56" l="1"/>
  <c r="T88" i="56"/>
  <c r="S49" i="56"/>
  <c r="R16" i="56"/>
  <c r="S42" i="56"/>
  <c r="T85" i="56"/>
  <c r="F7" i="65"/>
  <c r="D37" i="64" s="1"/>
  <c r="D70" i="64"/>
  <c r="D91" i="64"/>
  <c r="D110" i="64"/>
  <c r="D121" i="64"/>
  <c r="D101" i="64"/>
  <c r="D133" i="64"/>
  <c r="D114" i="64"/>
  <c r="D125" i="64"/>
  <c r="D39" i="64"/>
  <c r="T96" i="56" l="1"/>
  <c r="P56" i="56"/>
  <c r="Q14" i="56"/>
  <c r="D41" i="64"/>
  <c r="D38" i="64"/>
  <c r="D81" i="64"/>
  <c r="D82" i="64" s="1"/>
  <c r="D136" i="64"/>
  <c r="D134" i="64"/>
  <c r="D124" i="64"/>
  <c r="D122" i="64" s="1"/>
  <c r="D128" i="64"/>
  <c r="D126" i="64" s="1"/>
  <c r="D104" i="64"/>
  <c r="D139" i="64" s="1"/>
  <c r="S56" i="56" l="1"/>
  <c r="D102" i="64"/>
  <c r="K52" i="56" l="1"/>
  <c r="K50" i="56"/>
  <c r="J62" i="56"/>
  <c r="M62" i="56" s="1"/>
  <c r="J36" i="56"/>
  <c r="J10" i="56"/>
  <c r="N80" i="56" s="1"/>
  <c r="N3" i="56"/>
  <c r="K8" i="56"/>
  <c r="Q8" i="56" s="1"/>
  <c r="K6" i="56"/>
  <c r="Q6" i="56" s="1"/>
  <c r="N105" i="56"/>
  <c r="N104" i="56"/>
  <c r="N91" i="56"/>
  <c r="M61" i="56"/>
  <c r="J60" i="56"/>
  <c r="M60" i="56" s="1"/>
  <c r="J57" i="56"/>
  <c r="M57" i="56" s="1"/>
  <c r="M52" i="56"/>
  <c r="M50" i="56"/>
  <c r="L41" i="56"/>
  <c r="K51" i="56" s="1"/>
  <c r="M51" i="56" s="1"/>
  <c r="J41" i="56"/>
  <c r="K33" i="56"/>
  <c r="K34" i="56" s="1"/>
  <c r="J33" i="56"/>
  <c r="M32" i="56"/>
  <c r="M33" i="56" s="1"/>
  <c r="K29" i="56"/>
  <c r="K30" i="56" s="1"/>
  <c r="J29" i="56"/>
  <c r="M28" i="56"/>
  <c r="M29" i="56" s="1"/>
  <c r="K20" i="56"/>
  <c r="J17" i="56"/>
  <c r="K17" i="56" s="1"/>
  <c r="K18" i="56" s="1"/>
  <c r="K16" i="56"/>
  <c r="L16" i="56" s="1"/>
  <c r="K12" i="56"/>
  <c r="K40" i="56"/>
  <c r="L37" i="62"/>
  <c r="B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57" i="63" s="1"/>
  <c r="D36" i="62" s="1"/>
  <c r="D40" i="62" s="1"/>
  <c r="B7" i="63"/>
  <c r="F6" i="63"/>
  <c r="D6" i="63"/>
  <c r="D5" i="63"/>
  <c r="F5" i="63" s="1"/>
  <c r="F7" i="63" s="1"/>
  <c r="D37" i="62" s="1"/>
  <c r="F4" i="63"/>
  <c r="D133" i="62"/>
  <c r="D136" i="62" s="1"/>
  <c r="D129" i="62"/>
  <c r="D132" i="62" s="1"/>
  <c r="D128" i="62"/>
  <c r="D125" i="62"/>
  <c r="D126" i="62" s="1"/>
  <c r="D121" i="62"/>
  <c r="D124" i="62" s="1"/>
  <c r="D117" i="62"/>
  <c r="D113" i="62"/>
  <c r="D116" i="62" s="1"/>
  <c r="D114" i="62" s="1"/>
  <c r="D109" i="62"/>
  <c r="D112" i="62" s="1"/>
  <c r="D110" i="62" s="1"/>
  <c r="D108" i="62"/>
  <c r="D106" i="62"/>
  <c r="D105" i="62"/>
  <c r="D104" i="62"/>
  <c r="D101" i="62"/>
  <c r="D102" i="62" s="1"/>
  <c r="D97" i="62"/>
  <c r="D100" i="62" s="1"/>
  <c r="D96" i="62"/>
  <c r="D94" i="62"/>
  <c r="D92" i="62"/>
  <c r="D91" i="62"/>
  <c r="D88" i="62"/>
  <c r="G87" i="62"/>
  <c r="D86" i="62"/>
  <c r="D73" i="62"/>
  <c r="D68" i="62"/>
  <c r="D69" i="62" s="1"/>
  <c r="D64" i="62"/>
  <c r="D48" i="62"/>
  <c r="D47" i="62"/>
  <c r="D35" i="62"/>
  <c r="D70" i="62" s="1"/>
  <c r="D34" i="62"/>
  <c r="S47" i="56" l="1"/>
  <c r="S44" i="56"/>
  <c r="S43" i="56"/>
  <c r="S46" i="56"/>
  <c r="S73" i="56"/>
  <c r="T7" i="56"/>
  <c r="M73" i="56"/>
  <c r="M44" i="56"/>
  <c r="M47" i="56"/>
  <c r="L12" i="56"/>
  <c r="M49" i="56"/>
  <c r="M16" i="56"/>
  <c r="M17" i="56" s="1"/>
  <c r="L20" i="56"/>
  <c r="N103" i="56" s="1"/>
  <c r="M42" i="56"/>
  <c r="N7" i="56"/>
  <c r="M46" i="56"/>
  <c r="M43" i="56"/>
  <c r="N85" i="56"/>
  <c r="D41" i="62"/>
  <c r="D38" i="62"/>
  <c r="D81" i="62"/>
  <c r="D82" i="62" s="1"/>
  <c r="D118" i="62"/>
  <c r="D98" i="62"/>
  <c r="D120" i="62"/>
  <c r="D139" i="62" s="1"/>
  <c r="D130" i="62"/>
  <c r="D39" i="62"/>
  <c r="D122" i="62"/>
  <c r="D134" i="62"/>
  <c r="E42" i="60"/>
  <c r="T8" i="56" l="1"/>
  <c r="P73" i="56"/>
  <c r="N96" i="56"/>
  <c r="J73" i="56"/>
  <c r="N8" i="56"/>
  <c r="D10" i="56"/>
  <c r="D62" i="56"/>
  <c r="E52" i="56"/>
  <c r="E50" i="56"/>
  <c r="D36" i="56"/>
  <c r="E8" i="56"/>
  <c r="E6" i="56"/>
  <c r="H3" i="56"/>
  <c r="B57" i="61" l="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2" i="61"/>
  <c r="F41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57" i="61" s="1"/>
  <c r="D36" i="60" s="1"/>
  <c r="D40" i="60" s="1"/>
  <c r="B7" i="61"/>
  <c r="D6" i="61"/>
  <c r="F6" i="61" s="1"/>
  <c r="D5" i="61"/>
  <c r="F5" i="61" s="1"/>
  <c r="F4" i="61"/>
  <c r="D133" i="60"/>
  <c r="D136" i="60" s="1"/>
  <c r="D132" i="60"/>
  <c r="D130" i="60"/>
  <c r="D129" i="60"/>
  <c r="D128" i="60"/>
  <c r="D125" i="60"/>
  <c r="D126" i="60" s="1"/>
  <c r="D121" i="60"/>
  <c r="D124" i="60" s="1"/>
  <c r="D117" i="60"/>
  <c r="D120" i="60" s="1"/>
  <c r="D113" i="60"/>
  <c r="D116" i="60" s="1"/>
  <c r="D109" i="60"/>
  <c r="D112" i="60" s="1"/>
  <c r="D108" i="60"/>
  <c r="D106" i="60"/>
  <c r="D105" i="60"/>
  <c r="D101" i="60"/>
  <c r="D104" i="60" s="1"/>
  <c r="D102" i="60" s="1"/>
  <c r="D100" i="60"/>
  <c r="D98" i="60"/>
  <c r="D97" i="60"/>
  <c r="D96" i="60"/>
  <c r="D94" i="60"/>
  <c r="D92" i="60"/>
  <c r="D91" i="60"/>
  <c r="D88" i="60"/>
  <c r="G87" i="60"/>
  <c r="D86" i="60"/>
  <c r="D73" i="60"/>
  <c r="D68" i="60"/>
  <c r="D64" i="60"/>
  <c r="D48" i="60"/>
  <c r="D47" i="60"/>
  <c r="D35" i="60"/>
  <c r="D69" i="60" s="1"/>
  <c r="D34" i="60"/>
  <c r="D139" i="60" l="1"/>
  <c r="F7" i="61"/>
  <c r="D37" i="60" s="1"/>
  <c r="D118" i="60"/>
  <c r="D110" i="60"/>
  <c r="D39" i="60"/>
  <c r="D122" i="60"/>
  <c r="D134" i="60"/>
  <c r="D70" i="60"/>
  <c r="D114" i="60"/>
  <c r="D42" i="60" l="1"/>
  <c r="D38" i="60"/>
  <c r="D41" i="60"/>
  <c r="D43" i="60" s="1"/>
  <c r="D81" i="60"/>
  <c r="D82" i="60" s="1"/>
  <c r="D41" i="56" l="1"/>
  <c r="F41" i="56"/>
  <c r="E32" i="59"/>
  <c r="I4" i="59"/>
  <c r="I3" i="59"/>
  <c r="I2" i="59"/>
  <c r="I1" i="59"/>
  <c r="H105" i="56"/>
  <c r="H104" i="56"/>
  <c r="H91" i="56"/>
  <c r="G62" i="56"/>
  <c r="G61" i="56"/>
  <c r="D60" i="56"/>
  <c r="G60" i="56" s="1"/>
  <c r="B60" i="56"/>
  <c r="B59" i="56"/>
  <c r="B58" i="56"/>
  <c r="D57" i="56"/>
  <c r="G57" i="56" s="1"/>
  <c r="B57" i="56"/>
  <c r="B56" i="56"/>
  <c r="G52" i="56"/>
  <c r="E51" i="56"/>
  <c r="G51" i="56" s="1"/>
  <c r="G50" i="56"/>
  <c r="G47" i="56"/>
  <c r="G44" i="56"/>
  <c r="G43" i="56"/>
  <c r="G42" i="56"/>
  <c r="E33" i="56"/>
  <c r="E34" i="56" s="1"/>
  <c r="D33" i="56"/>
  <c r="G32" i="56"/>
  <c r="G33" i="56" s="1"/>
  <c r="G29" i="56"/>
  <c r="E29" i="56"/>
  <c r="E30" i="56" s="1"/>
  <c r="D29" i="56"/>
  <c r="G28" i="56"/>
  <c r="E20" i="56"/>
  <c r="D17" i="56"/>
  <c r="E17" i="56" s="1"/>
  <c r="E18" i="56" s="1"/>
  <c r="E16" i="56"/>
  <c r="G16" i="56" s="1"/>
  <c r="G17" i="56" s="1"/>
  <c r="E12" i="56"/>
  <c r="F12" i="56" s="1"/>
  <c r="H80" i="56"/>
  <c r="H7" i="56"/>
  <c r="D73" i="56" s="1"/>
  <c r="H85" i="56"/>
  <c r="H8" i="56" l="1"/>
  <c r="G49" i="56"/>
  <c r="H96" i="56" s="1"/>
  <c r="F20" i="56"/>
  <c r="H103" i="56" s="1"/>
  <c r="E40" i="56"/>
  <c r="F16" i="56"/>
  <c r="G73" i="56"/>
  <c r="G46" i="56" l="1"/>
  <c r="H4" i="56"/>
  <c r="N4" i="56"/>
  <c r="T4" i="56"/>
  <c r="H5" i="56"/>
  <c r="N5" i="56"/>
  <c r="T5" i="56"/>
  <c r="D12" i="56"/>
  <c r="G12" i="56"/>
  <c r="J12" i="56"/>
  <c r="M12" i="56"/>
  <c r="D13" i="56"/>
  <c r="E13" i="56"/>
  <c r="F13" i="56"/>
  <c r="G13" i="56"/>
  <c r="H13" i="56"/>
  <c r="J13" i="56"/>
  <c r="K13" i="56"/>
  <c r="L13" i="56"/>
  <c r="M13" i="56"/>
  <c r="N13" i="56"/>
  <c r="T13" i="56"/>
  <c r="E14" i="56"/>
  <c r="K14" i="56"/>
  <c r="H17" i="56"/>
  <c r="N17" i="56"/>
  <c r="T17" i="56"/>
  <c r="D20" i="56"/>
  <c r="G20" i="56"/>
  <c r="J20" i="56"/>
  <c r="M20" i="56"/>
  <c r="P20" i="56"/>
  <c r="S20" i="56"/>
  <c r="D21" i="56"/>
  <c r="E21" i="56"/>
  <c r="F21" i="56"/>
  <c r="G21" i="56"/>
  <c r="H21" i="56"/>
  <c r="J21" i="56"/>
  <c r="K21" i="56"/>
  <c r="L21" i="56"/>
  <c r="M21" i="56"/>
  <c r="N21" i="56"/>
  <c r="P21" i="56"/>
  <c r="Q21" i="56"/>
  <c r="R21" i="56"/>
  <c r="S21" i="56"/>
  <c r="T21" i="56"/>
  <c r="E22" i="56"/>
  <c r="K22" i="56"/>
  <c r="Q22" i="56"/>
  <c r="D24" i="56"/>
  <c r="G24" i="56"/>
  <c r="J24" i="56"/>
  <c r="M24" i="56"/>
  <c r="P24" i="56"/>
  <c r="S24" i="56"/>
  <c r="D25" i="56"/>
  <c r="E25" i="56"/>
  <c r="F25" i="56"/>
  <c r="G25" i="56"/>
  <c r="H25" i="56"/>
  <c r="J25" i="56"/>
  <c r="K25" i="56"/>
  <c r="L25" i="56"/>
  <c r="M25" i="56"/>
  <c r="N25" i="56"/>
  <c r="P25" i="56"/>
  <c r="Q25" i="56"/>
  <c r="R25" i="56"/>
  <c r="S25" i="56"/>
  <c r="T25" i="56"/>
  <c r="E26" i="56"/>
  <c r="K26" i="56"/>
  <c r="Q26" i="56"/>
  <c r="H29" i="56"/>
  <c r="N29" i="56"/>
  <c r="T29" i="56"/>
  <c r="H33" i="56"/>
  <c r="N33" i="56"/>
  <c r="T33" i="56"/>
  <c r="E36" i="56"/>
  <c r="F36" i="56"/>
  <c r="G36" i="56"/>
  <c r="K36" i="56"/>
  <c r="L36" i="56"/>
  <c r="M36" i="56"/>
  <c r="Q36" i="56"/>
  <c r="R36" i="56"/>
  <c r="S36" i="56"/>
  <c r="F38" i="56"/>
  <c r="G38" i="56"/>
  <c r="H38" i="56"/>
  <c r="L38" i="56"/>
  <c r="M38" i="56"/>
  <c r="N38" i="56"/>
  <c r="R38" i="56"/>
  <c r="S38" i="56"/>
  <c r="T38" i="56"/>
  <c r="G39" i="56"/>
  <c r="H39" i="56"/>
  <c r="M39" i="56"/>
  <c r="N39" i="56"/>
  <c r="S39" i="56"/>
  <c r="T39" i="56"/>
  <c r="H42" i="56"/>
  <c r="N42" i="56"/>
  <c r="T42" i="56"/>
  <c r="H43" i="56"/>
  <c r="N43" i="56"/>
  <c r="T43" i="56"/>
  <c r="H44" i="56"/>
  <c r="N44" i="56"/>
  <c r="T44" i="56"/>
  <c r="D45" i="56"/>
  <c r="G45" i="56"/>
  <c r="H45" i="56"/>
  <c r="J45" i="56"/>
  <c r="M45" i="56"/>
  <c r="N45" i="56"/>
  <c r="P45" i="56"/>
  <c r="S45" i="56"/>
  <c r="T45" i="56"/>
  <c r="H46" i="56"/>
  <c r="N46" i="56"/>
  <c r="T46" i="56"/>
  <c r="H47" i="56"/>
  <c r="N47" i="56"/>
  <c r="T47" i="56"/>
  <c r="H49" i="56"/>
  <c r="N49" i="56"/>
  <c r="T49" i="56"/>
  <c r="G54" i="56"/>
  <c r="H54" i="56"/>
  <c r="M54" i="56"/>
  <c r="N54" i="56"/>
  <c r="S54" i="56"/>
  <c r="T54" i="56"/>
  <c r="D56" i="56"/>
  <c r="G56" i="56"/>
  <c r="H56" i="56"/>
  <c r="J56" i="56"/>
  <c r="M56" i="56"/>
  <c r="N56" i="56"/>
  <c r="T56" i="56"/>
  <c r="H57" i="56"/>
  <c r="N57" i="56"/>
  <c r="T57" i="56"/>
  <c r="D58" i="56"/>
  <c r="G58" i="56"/>
  <c r="H58" i="56"/>
  <c r="J58" i="56"/>
  <c r="M58" i="56"/>
  <c r="N58" i="56"/>
  <c r="P58" i="56"/>
  <c r="S58" i="56"/>
  <c r="T58" i="56"/>
  <c r="D59" i="56"/>
  <c r="G59" i="56"/>
  <c r="H59" i="56"/>
  <c r="J59" i="56"/>
  <c r="M59" i="56"/>
  <c r="N59" i="56"/>
  <c r="P59" i="56"/>
  <c r="S59" i="56"/>
  <c r="T59" i="56"/>
  <c r="H60" i="56"/>
  <c r="N60" i="56"/>
  <c r="T60" i="56"/>
  <c r="H61" i="56"/>
  <c r="N61" i="56"/>
  <c r="T61" i="56"/>
  <c r="H62" i="56"/>
  <c r="N62" i="56"/>
  <c r="T62" i="56"/>
  <c r="D63" i="56"/>
  <c r="E63" i="56"/>
  <c r="F63" i="56"/>
  <c r="J63" i="56"/>
  <c r="K63" i="56"/>
  <c r="L63" i="56"/>
  <c r="P63" i="56"/>
  <c r="Q63" i="56"/>
  <c r="R63" i="56"/>
  <c r="G65" i="56"/>
  <c r="H65" i="56"/>
  <c r="M65" i="56"/>
  <c r="N65" i="56"/>
  <c r="S65" i="56"/>
  <c r="T65" i="56"/>
  <c r="F66" i="56"/>
  <c r="L66" i="56"/>
  <c r="R66" i="56"/>
  <c r="G67" i="56"/>
  <c r="H67" i="56"/>
  <c r="M67" i="56"/>
  <c r="N67" i="56"/>
  <c r="S67" i="56"/>
  <c r="T67" i="56"/>
  <c r="G69" i="56"/>
  <c r="H69" i="56"/>
  <c r="M69" i="56"/>
  <c r="N69" i="56"/>
  <c r="S69" i="56"/>
  <c r="T69" i="56"/>
  <c r="G70" i="56"/>
  <c r="H70" i="56"/>
  <c r="M70" i="56"/>
  <c r="N70" i="56"/>
  <c r="S70" i="56"/>
  <c r="T70" i="56"/>
  <c r="D72" i="56"/>
  <c r="G72" i="56"/>
  <c r="H72" i="56"/>
  <c r="J72" i="56"/>
  <c r="M72" i="56"/>
  <c r="N72" i="56"/>
  <c r="P72" i="56"/>
  <c r="S72" i="56"/>
  <c r="T72" i="56"/>
  <c r="H73" i="56"/>
  <c r="N73" i="56"/>
  <c r="T73" i="56"/>
  <c r="F75" i="56"/>
  <c r="G75" i="56"/>
  <c r="H75" i="56"/>
  <c r="L75" i="56"/>
  <c r="M75" i="56"/>
  <c r="N75" i="56"/>
  <c r="R75" i="56"/>
  <c r="S75" i="56"/>
  <c r="T75" i="56"/>
  <c r="G77" i="56"/>
  <c r="H77" i="56"/>
  <c r="M77" i="56"/>
  <c r="N77" i="56"/>
  <c r="S77" i="56"/>
  <c r="T77" i="56"/>
  <c r="H86" i="56"/>
  <c r="N86" i="56"/>
  <c r="T86" i="56"/>
  <c r="H87" i="56"/>
  <c r="N87" i="56"/>
  <c r="T87" i="56"/>
  <c r="H88" i="56"/>
  <c r="N88" i="56"/>
  <c r="H89" i="56"/>
  <c r="N89" i="56"/>
  <c r="T89" i="56"/>
  <c r="H90" i="56"/>
  <c r="N90" i="56"/>
  <c r="T90" i="56"/>
  <c r="H93" i="56"/>
  <c r="N93" i="56"/>
  <c r="T93" i="56"/>
  <c r="H94" i="56"/>
  <c r="N94" i="56"/>
  <c r="T94" i="56"/>
  <c r="H95" i="56"/>
  <c r="N95" i="56"/>
  <c r="T95" i="56"/>
  <c r="H97" i="56"/>
  <c r="N97" i="56"/>
  <c r="T97" i="56"/>
  <c r="H98" i="56"/>
  <c r="N98" i="56"/>
  <c r="T98" i="56"/>
  <c r="H99" i="56"/>
  <c r="N99" i="56"/>
  <c r="T99" i="56"/>
  <c r="H100" i="56"/>
  <c r="N100" i="56"/>
  <c r="T100" i="56"/>
  <c r="H101" i="56"/>
  <c r="N101" i="56"/>
  <c r="T101" i="56"/>
  <c r="D42" i="62"/>
  <c r="D43" i="62"/>
  <c r="D50" i="62"/>
  <c r="E51" i="62"/>
  <c r="G51" i="62"/>
  <c r="D52" i="62"/>
  <c r="E52" i="62"/>
  <c r="F52" i="62"/>
  <c r="G52" i="62"/>
  <c r="D53" i="62"/>
  <c r="E53" i="62"/>
  <c r="F53" i="62"/>
  <c r="D55" i="62"/>
  <c r="D56" i="62"/>
  <c r="D57" i="62"/>
  <c r="E57" i="62"/>
  <c r="D58" i="62"/>
  <c r="E58" i="62"/>
  <c r="D60" i="62"/>
  <c r="D61" i="62"/>
  <c r="D62" i="62"/>
  <c r="D63" i="62"/>
  <c r="D65" i="62"/>
  <c r="D66" i="62"/>
  <c r="D75" i="62"/>
  <c r="D76" i="62"/>
  <c r="G76" i="62"/>
  <c r="D77" i="62"/>
  <c r="D78" i="62"/>
  <c r="D79" i="62"/>
  <c r="D80" i="62"/>
  <c r="D83" i="62"/>
  <c r="D84" i="62"/>
  <c r="D87" i="62"/>
  <c r="D89" i="62"/>
  <c r="D90" i="62"/>
  <c r="D93" i="62"/>
  <c r="D95" i="62"/>
  <c r="D137" i="62"/>
  <c r="F137" i="62"/>
  <c r="G137" i="62"/>
  <c r="H137" i="62"/>
  <c r="J137" i="62"/>
  <c r="K137" i="62"/>
  <c r="L137" i="62"/>
  <c r="D138" i="62"/>
  <c r="J138" i="62"/>
  <c r="D50" i="60"/>
  <c r="E51" i="60"/>
  <c r="G51" i="60"/>
  <c r="D52" i="60"/>
  <c r="E52" i="60"/>
  <c r="F52" i="60"/>
  <c r="G52" i="60"/>
  <c r="D53" i="60"/>
  <c r="E53" i="60"/>
  <c r="F53" i="60"/>
  <c r="D55" i="60"/>
  <c r="D56" i="60"/>
  <c r="D57" i="60"/>
  <c r="E57" i="60"/>
  <c r="D58" i="60"/>
  <c r="E58" i="60"/>
  <c r="D60" i="60"/>
  <c r="D61" i="60"/>
  <c r="D62" i="60"/>
  <c r="D63" i="60"/>
  <c r="D65" i="60"/>
  <c r="D66" i="60"/>
  <c r="D75" i="60"/>
  <c r="D76" i="60"/>
  <c r="G76" i="60"/>
  <c r="D77" i="60"/>
  <c r="D78" i="60"/>
  <c r="D79" i="60"/>
  <c r="D80" i="60"/>
  <c r="D83" i="60"/>
  <c r="D84" i="60"/>
  <c r="D87" i="60"/>
  <c r="D89" i="60"/>
  <c r="D90" i="60"/>
  <c r="D93" i="60"/>
  <c r="D95" i="60"/>
  <c r="D137" i="60"/>
  <c r="F137" i="60"/>
  <c r="G137" i="60"/>
  <c r="H137" i="60"/>
  <c r="J137" i="60"/>
  <c r="K137" i="60"/>
  <c r="L137" i="60"/>
  <c r="D138" i="60"/>
  <c r="J138" i="60"/>
  <c r="D42" i="64"/>
  <c r="D43" i="64"/>
  <c r="D50" i="64"/>
  <c r="E51" i="64"/>
  <c r="G51" i="64"/>
  <c r="E52" i="64"/>
  <c r="G52" i="64"/>
  <c r="D53" i="64"/>
  <c r="E53" i="64"/>
  <c r="F53" i="64"/>
  <c r="D55" i="64"/>
  <c r="D56" i="64"/>
  <c r="D58" i="64"/>
  <c r="D60" i="64"/>
  <c r="D61" i="64"/>
  <c r="D62" i="64"/>
  <c r="D63" i="64"/>
  <c r="D65" i="64"/>
  <c r="D66" i="64"/>
  <c r="D75" i="64"/>
  <c r="D76" i="64"/>
  <c r="G76" i="64"/>
  <c r="D77" i="64"/>
  <c r="D78" i="64"/>
  <c r="D79" i="64"/>
  <c r="D80" i="64"/>
  <c r="D83" i="64"/>
  <c r="D84" i="64"/>
  <c r="D87" i="64"/>
  <c r="D89" i="64"/>
  <c r="D90" i="64"/>
  <c r="D93" i="64"/>
  <c r="D95" i="64"/>
  <c r="D137" i="64"/>
  <c r="F137" i="64"/>
  <c r="G137" i="64"/>
  <c r="H137" i="64"/>
  <c r="J137" i="64"/>
  <c r="K137" i="64"/>
  <c r="L137" i="64"/>
  <c r="D138" i="64"/>
  <c r="J138" i="6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Carolina</author>
    <author>tc={BA73CB71-48E4-448C-BDFA-E5B67E4CF2AB}</author>
  </authors>
  <commentList>
    <comment ref="J5" authorId="0" shapeId="0" xr:uid="{9CACA687-0609-43C0-BF87-AFD6F4762ADB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Meses Activo del Proyecto en el Semestre</t>
        </r>
      </text>
    </comment>
    <comment ref="K5" authorId="0" shapeId="0" xr:uid="{2CDD17FA-7ABB-4E5D-BA3C-AA75CC9CB5B5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Ventas en Unidades del Proyecto Promedio mes del último Semestre</t>
        </r>
      </text>
    </comment>
    <comment ref="L5" authorId="0" shapeId="0" xr:uid="{89620578-580F-45AA-920A-389BEADCA2C7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Ventas en Pesos promedio mes del Ultimo Semestre del Proyecto</t>
        </r>
      </text>
    </comment>
    <comment ref="M5" authorId="0" shapeId="0" xr:uid="{8E792FED-634B-4D55-97FE-67D951B2EFD7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Unidades Disponibles del Proyecto en el Rango Seleccionado</t>
        </r>
      </text>
    </comment>
    <comment ref="O5" authorId="1" shapeId="0" xr:uid="{23FADE66-1724-4EE0-9B93-5CA68DFA0E94}">
      <text>
        <r>
          <rPr>
            <sz val="8"/>
            <color indexed="81"/>
            <rFont val="Tahoma"/>
            <family val="2"/>
          </rPr>
          <t xml:space="preserve">De acuerdo con el puesto logrado en la zona, el proyecto recibe una calificación.
</t>
        </r>
      </text>
    </comment>
    <comment ref="P5" authorId="1" shapeId="0" xr:uid="{6E36C2CB-07C7-4181-806A-21FA7C38B3FF}">
      <text>
        <r>
          <rPr>
            <sz val="8"/>
            <color indexed="81"/>
            <rFont val="Tahoma"/>
            <family val="2"/>
          </rPr>
          <t xml:space="preserve">Es el tamaño total del proyecto.
</t>
        </r>
      </text>
    </comment>
    <comment ref="Q5" authorId="1" shapeId="0" xr:uid="{1E2A8942-7744-4688-9DED-F8E9AFF5DA89}">
      <text>
        <r>
          <rPr>
            <sz val="8"/>
            <color indexed="81"/>
            <rFont val="Tahoma"/>
            <family val="2"/>
          </rPr>
          <t>Ventas totales del proyecto desde su lanzamiento.</t>
        </r>
      </text>
    </comment>
    <comment ref="S5" authorId="1" shapeId="0" xr:uid="{EE11F42A-6C9C-4DAB-A447-9E12089846E6}">
      <text>
        <r>
          <rPr>
            <sz val="8"/>
            <color indexed="81"/>
            <rFont val="Tahoma"/>
            <family val="2"/>
          </rPr>
          <t xml:space="preserve">Es el porcentaje vendido,  del total de unidades que compone el proyecto.
</t>
        </r>
      </text>
    </comment>
    <comment ref="T5" authorId="2" shapeId="0" xr:uid="{BA73CB71-48E4-448C-BDFA-E5B67E4CF2A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Ultimos 6 meses</t>
      </text>
    </comment>
  </commentList>
</comments>
</file>

<file path=xl/sharedStrings.xml><?xml version="1.0" encoding="utf-8"?>
<sst xmlns="http://schemas.openxmlformats.org/spreadsheetml/2006/main" count="1377" uniqueCount="282">
  <si>
    <t xml:space="preserve">ÁREA TOTAL </t>
  </si>
  <si>
    <t>#</t>
  </si>
  <si>
    <t>Número de Pisos Totales</t>
  </si>
  <si>
    <t>m2</t>
  </si>
  <si>
    <t xml:space="preserve">Tipología </t>
  </si>
  <si>
    <t>N/A</t>
  </si>
  <si>
    <t>Dimensión antejardines</t>
  </si>
  <si>
    <t>Altura total propuesta</t>
  </si>
  <si>
    <t>M2</t>
  </si>
  <si>
    <t xml:space="preserve">Altura por piso </t>
  </si>
  <si>
    <t>%</t>
  </si>
  <si>
    <t>Altura piso 1</t>
  </si>
  <si>
    <t>Perfil vía (Calle 57 Sur)</t>
  </si>
  <si>
    <t xml:space="preserve">Voladizo permitido </t>
  </si>
  <si>
    <t xml:space="preserve">No. pisos permitidos base </t>
  </si>
  <si>
    <t>No. pisos permitidos adicional</t>
  </si>
  <si>
    <t>No. LOTE</t>
  </si>
  <si>
    <t>M3</t>
  </si>
  <si>
    <t>No. PISOS</t>
  </si>
  <si>
    <t>AREA PISO</t>
  </si>
  <si>
    <t>AREA TOTAL</t>
  </si>
  <si>
    <t>Área total del predio</t>
  </si>
  <si>
    <t>Área total constrida actual</t>
  </si>
  <si>
    <t>Piso 1</t>
  </si>
  <si>
    <t>No. PISO</t>
  </si>
  <si>
    <t>NIVEL</t>
  </si>
  <si>
    <t>ÁREA</t>
  </si>
  <si>
    <t>Loteo sin antejardín</t>
  </si>
  <si>
    <t>Perfil vía (Calle 56 A Sur)</t>
  </si>
  <si>
    <t>Perfil vía (Carrera 19 B)</t>
  </si>
  <si>
    <t>Perfil vía (Carrera 19 C - Av. Tunjuelito)</t>
  </si>
  <si>
    <t>Dimension voladizo (Carrera 19 C - Av. Tunjuelito)</t>
  </si>
  <si>
    <t>Dimension voladizo (Calle 56 A Sur)</t>
  </si>
  <si>
    <t>Dimension voladizo (Carera 19 B)</t>
  </si>
  <si>
    <t>Dimension voladizo (Calle 57 Sur)</t>
  </si>
  <si>
    <t>Residencial por manzana</t>
  </si>
  <si>
    <t>Pisos de altura promedio</t>
  </si>
  <si>
    <t>Altura máxima actual</t>
  </si>
  <si>
    <t>Punto Fijo + Circulaciones [PFC]</t>
  </si>
  <si>
    <t>Indice de construcción actual (básico)</t>
  </si>
  <si>
    <t>AREA TOTAL CONSTRUIDA ACTUAL</t>
  </si>
  <si>
    <t>ÁREA TOTAL CONSTRUIDA MODELACIÓN</t>
  </si>
  <si>
    <t>Área adicional propuesta construida</t>
  </si>
  <si>
    <t>Área de la manzana</t>
  </si>
  <si>
    <t>Estacionamientos</t>
  </si>
  <si>
    <t>Equipamiento comunal privado</t>
  </si>
  <si>
    <t xml:space="preserve">Servicios comunales en áreas construidas: 20% </t>
  </si>
  <si>
    <t>ACTUACIÓN MANZANA SIN ANTEJARDÍN SOBRE MALLA VIAL ARTERIAL</t>
  </si>
  <si>
    <t>Manzana propuesta</t>
  </si>
  <si>
    <t>Manzana actual</t>
  </si>
  <si>
    <t>Edificabilidad</t>
  </si>
  <si>
    <t>Englobe (número de lotes)</t>
  </si>
  <si>
    <t>Área neta urbanizable</t>
  </si>
  <si>
    <t>Indice adicional (propuesta)</t>
  </si>
  <si>
    <t>Área total construida (propuesta)</t>
  </si>
  <si>
    <t>PFC</t>
  </si>
  <si>
    <t>Equipamiento comunal privado VIS/VIP</t>
  </si>
  <si>
    <t>Equipamiento comunal privado no VIS/VIP</t>
  </si>
  <si>
    <t>Cesiones y retrocesos</t>
  </si>
  <si>
    <t xml:space="preserve">Retroceso de andén en fachadas para alcanzar perfíl vial </t>
  </si>
  <si>
    <t>Número total de viviendas</t>
  </si>
  <si>
    <t>Número de viviendas no VIS/VIP (42m2)</t>
  </si>
  <si>
    <t>Cupos obligatorios</t>
  </si>
  <si>
    <t>Bicicletas y micromovilidad</t>
  </si>
  <si>
    <t>Estacionamientos para personas con discapacidad</t>
  </si>
  <si>
    <t>Vehículos cero emiciones</t>
  </si>
  <si>
    <t>Comercial - dotacional</t>
  </si>
  <si>
    <t>Piso 2</t>
  </si>
  <si>
    <t>Vivienda</t>
  </si>
  <si>
    <t>Piso 3</t>
  </si>
  <si>
    <t>Piso 4</t>
  </si>
  <si>
    <t>Piso 5</t>
  </si>
  <si>
    <t>Piso 6</t>
  </si>
  <si>
    <t>Piso 7</t>
  </si>
  <si>
    <t>Piso 8</t>
  </si>
  <si>
    <t>Áreas y usos por piso</t>
  </si>
  <si>
    <t>m</t>
  </si>
  <si>
    <t>Área total de estacionamientos</t>
  </si>
  <si>
    <t>Servicios comunales en primer piso</t>
  </si>
  <si>
    <t>Servicios comunales en otros pisos</t>
  </si>
  <si>
    <t>Zonas verdes y recreativas en patio</t>
  </si>
  <si>
    <t>Zonas verdes y recreativas en cubierta</t>
  </si>
  <si>
    <t>Total vivienda</t>
  </si>
  <si>
    <t>Total comerical - dotacional</t>
  </si>
  <si>
    <t>Área total del predio (área bruta urbanizable)</t>
  </si>
  <si>
    <t>Área total construida (actual aproximada)</t>
  </si>
  <si>
    <t>Área privada afecta al uso público/zona verde</t>
  </si>
  <si>
    <t>Piso 9</t>
  </si>
  <si>
    <t>Piso 10</t>
  </si>
  <si>
    <t>Piso 11</t>
  </si>
  <si>
    <t>Piso 12</t>
  </si>
  <si>
    <t>Pisos 4-12</t>
  </si>
  <si>
    <t>Número de viviendas VIP (42m2)</t>
  </si>
  <si>
    <t>Piso 1-2</t>
  </si>
  <si>
    <t>Zonas verdes y recreativas en áreas libres: 40%</t>
  </si>
  <si>
    <t xml:space="preserve">Estacionamientos bicicletas y cupos obligatorios: 40% </t>
  </si>
  <si>
    <t>m3</t>
  </si>
  <si>
    <t>Indice de construcción efectivo (propuesta)</t>
  </si>
  <si>
    <t>Indice de construcción base (propuesta)</t>
  </si>
  <si>
    <t>Número de viviendas VIS (42m2)</t>
  </si>
  <si>
    <t>PARAMETROS</t>
  </si>
  <si>
    <t>SMMLV</t>
  </si>
  <si>
    <t>Av / Ac =</t>
  </si>
  <si>
    <t>Area del predio:</t>
  </si>
  <si>
    <t>A vivienda VIS/VIP</t>
  </si>
  <si>
    <t>Area Construida (Ic):</t>
  </si>
  <si>
    <t>A vivienda NO VIS</t>
  </si>
  <si>
    <t>Ind. Construcción</t>
  </si>
  <si>
    <t>Valor cat. suelo</t>
  </si>
  <si>
    <t>&gt; Vlr Suelo:</t>
  </si>
  <si>
    <t>Valor com. suelo</t>
  </si>
  <si>
    <t>Valor proy. Suelo</t>
  </si>
  <si>
    <t>Valor ref. suelo</t>
  </si>
  <si>
    <t>APROVECHAMIENTOS</t>
  </si>
  <si>
    <t>UNIDADES</t>
  </si>
  <si>
    <t>VLR / Und</t>
  </si>
  <si>
    <t>VLR / M2</t>
  </si>
  <si>
    <t xml:space="preserve">VLR </t>
  </si>
  <si>
    <t>VIP</t>
  </si>
  <si>
    <t>VIS</t>
  </si>
  <si>
    <t>No VIS</t>
  </si>
  <si>
    <t>Comercio</t>
  </si>
  <si>
    <t>Servicios</t>
  </si>
  <si>
    <t>Dotacional privado</t>
  </si>
  <si>
    <r>
      <t xml:space="preserve">1. </t>
    </r>
    <r>
      <rPr>
        <b/>
        <sz val="12"/>
        <color theme="4" tint="-0.249977111117893"/>
        <rFont val="Calibri (Cuerpo)"/>
      </rPr>
      <t>TOTAL APROVECHAMIENTO</t>
    </r>
  </si>
  <si>
    <t>COSTOS</t>
  </si>
  <si>
    <t>OBLIGACION Y APORTE POR EDIFICABILIDAD</t>
  </si>
  <si>
    <t>FACTORES</t>
  </si>
  <si>
    <r>
      <rPr>
        <b/>
        <sz val="11"/>
        <color theme="1"/>
        <rFont val="Calibri"/>
        <family val="2"/>
        <scheme val="minor"/>
      </rPr>
      <t xml:space="preserve">(CSs) </t>
    </r>
    <r>
      <rPr>
        <sz val="11"/>
        <color theme="1"/>
        <rFont val="Calibri"/>
        <family val="2"/>
        <scheme val="minor"/>
      </rPr>
      <t>Cesión suelo Espacio Público</t>
    </r>
  </si>
  <si>
    <t>(Vcomp) Valor Comp. CSs</t>
  </si>
  <si>
    <r>
      <rPr>
        <b/>
        <sz val="11"/>
        <color theme="1"/>
        <rFont val="Calibri"/>
        <family val="2"/>
        <scheme val="minor"/>
      </rPr>
      <t xml:space="preserve">(PD) </t>
    </r>
    <r>
      <rPr>
        <sz val="11"/>
        <color theme="1"/>
        <rFont val="Calibri"/>
        <family val="2"/>
        <scheme val="minor"/>
      </rPr>
      <t>Pago compensatorio en dinero</t>
    </r>
  </si>
  <si>
    <r>
      <rPr>
        <b/>
        <sz val="11"/>
        <color theme="1"/>
        <rFont val="Calibri"/>
        <family val="2"/>
        <scheme val="minor"/>
      </rPr>
      <t xml:space="preserve">(OSP) </t>
    </r>
    <r>
      <rPr>
        <sz val="11"/>
        <color theme="1"/>
        <rFont val="Calibri"/>
        <family val="2"/>
        <scheme val="minor"/>
      </rPr>
      <t>Obligación redes servicios públicos</t>
    </r>
  </si>
  <si>
    <t>Obligación VIP</t>
  </si>
  <si>
    <t xml:space="preserve">Obligación VIS </t>
  </si>
  <si>
    <t>Pago Compensatorio Parq. Adicionales</t>
  </si>
  <si>
    <t>OBRAS EN ESPACIO PUBLICO (URB) Y DEMOLICIONES</t>
  </si>
  <si>
    <t>Obras en espacio público (Andenes)</t>
  </si>
  <si>
    <t>Dotación Espacio Público</t>
  </si>
  <si>
    <t>Demoliciones</t>
  </si>
  <si>
    <t>COSTO DIRECTO</t>
  </si>
  <si>
    <t>Dotacional (Teatro)</t>
  </si>
  <si>
    <t>COSTOS INDIRECTOS</t>
  </si>
  <si>
    <t xml:space="preserve">Vts. / Hon. / Imp. / Fin. / </t>
  </si>
  <si>
    <t>2. TOTAL COSTOS</t>
  </si>
  <si>
    <r>
      <t xml:space="preserve">3. DIFERENCIA </t>
    </r>
    <r>
      <rPr>
        <b/>
        <sz val="12"/>
        <color theme="1"/>
        <rFont val="Calibri (Cuerpo)"/>
      </rPr>
      <t>(1 - 2)</t>
    </r>
  </si>
  <si>
    <t>4. UTILIDAD MÍNIMA</t>
  </si>
  <si>
    <t>5. VALOR RESIDUAL SUELO (3 - 4)</t>
  </si>
  <si>
    <t xml:space="preserve">6. VALOR COMERCIAL PROY. SUELO </t>
  </si>
  <si>
    <t>7. Diferencia Vlr  RESIDUAL - COMERCIAL  (5 - 6)</t>
  </si>
  <si>
    <t>Margen (7 / 6)</t>
  </si>
  <si>
    <t>8. UTILIDAD - PAGANDO SUELO  VLR COMERCIAL  (3 - 6)</t>
  </si>
  <si>
    <t>Ejercicio</t>
  </si>
  <si>
    <t>Ubicación</t>
  </si>
  <si>
    <t>Calle 56Sur - Cra 19c</t>
  </si>
  <si>
    <t>Área del predio</t>
  </si>
  <si>
    <t>(Ic)</t>
  </si>
  <si>
    <t>VIS /VIP (unidades)</t>
  </si>
  <si>
    <t>No VIS (unidades)</t>
  </si>
  <si>
    <t>Ventas</t>
  </si>
  <si>
    <t>Cargas</t>
  </si>
  <si>
    <t>Cargas %</t>
  </si>
  <si>
    <t>Obras en espacio público</t>
  </si>
  <si>
    <t>Costos directos</t>
  </si>
  <si>
    <t>Costos indirectos</t>
  </si>
  <si>
    <t>Residual</t>
  </si>
  <si>
    <t>Utilidad resultante</t>
  </si>
  <si>
    <t>Utilidad resultante %</t>
  </si>
  <si>
    <t>Precio m2 vivienda No VIS</t>
  </si>
  <si>
    <t>Precio m2 comercio</t>
  </si>
  <si>
    <t>Precio m2 servicios</t>
  </si>
  <si>
    <t>AC</t>
  </si>
  <si>
    <t>VIP/VIS</t>
  </si>
  <si>
    <t>NO VIS</t>
  </si>
  <si>
    <t>PROMEDIO</t>
  </si>
  <si>
    <t>MIN</t>
  </si>
  <si>
    <t>MAX</t>
  </si>
  <si>
    <t>MEDIANA</t>
  </si>
  <si>
    <t>Puesto</t>
  </si>
  <si>
    <t>Codproyecto</t>
  </si>
  <si>
    <t>Proyecto</t>
  </si>
  <si>
    <t>Vende</t>
  </si>
  <si>
    <t>Construye</t>
  </si>
  <si>
    <t>Dirección</t>
  </si>
  <si>
    <t>Zona</t>
  </si>
  <si>
    <t>Sub Zona</t>
  </si>
  <si>
    <t>$ Prom. Oferta m2</t>
  </si>
  <si>
    <t>Meses Activo Semestre</t>
  </si>
  <si>
    <t>Ventas Prom. Mes Un. (Sem)</t>
  </si>
  <si>
    <t>Ventas Prom. Mes $. (Sem)</t>
  </si>
  <si>
    <t>Un. Disponible</t>
  </si>
  <si>
    <t>Fecha Inicio Ventas</t>
  </si>
  <si>
    <t>Calificación %</t>
  </si>
  <si>
    <t>Total Unidades Proy.</t>
  </si>
  <si>
    <t>Ventas Totales (Un)</t>
  </si>
  <si>
    <t>Venta Prom. Total (Un)</t>
  </si>
  <si>
    <t>% Vendido Total (Un)</t>
  </si>
  <si>
    <t>Precio Prom. Oferta</t>
  </si>
  <si>
    <t>Ventas Mes (Un)</t>
  </si>
  <si>
    <t>Ventas  Mes ($mm)</t>
  </si>
  <si>
    <t>Area Prom. Oferta</t>
  </si>
  <si>
    <t>Tipo</t>
  </si>
  <si>
    <t>Tipo de Vivienda ( Vis o No Vis )</t>
  </si>
  <si>
    <t>Ed. Sin Nombre</t>
  </si>
  <si>
    <t>Independiente</t>
  </si>
  <si>
    <t>Cr. 7B # 22A-70 Sur</t>
  </si>
  <si>
    <t>Sur Oriente</t>
  </si>
  <si>
    <t>20 de Julio</t>
  </si>
  <si>
    <t>N.A.</t>
  </si>
  <si>
    <t>Apto./</t>
  </si>
  <si>
    <t>No Vis/</t>
  </si>
  <si>
    <t>Edif. Toledo</t>
  </si>
  <si>
    <t>Cr. 10 # 19-33 Sur</t>
  </si>
  <si>
    <t>Tiziano</t>
  </si>
  <si>
    <t>RCH Const.</t>
  </si>
  <si>
    <t>Cl. 32 Sur # 26D-55</t>
  </si>
  <si>
    <t>Prim. Mayo</t>
  </si>
  <si>
    <t>Ed. Steel Tower</t>
  </si>
  <si>
    <t>Cl. 27B Sur # 35-15</t>
  </si>
  <si>
    <t>Avanzzare</t>
  </si>
  <si>
    <t>Constructora Avanzzare</t>
  </si>
  <si>
    <t>Cr. 33 # 41-96 Sur</t>
  </si>
  <si>
    <t>Aut. Sur</t>
  </si>
  <si>
    <t>Ed. Manantial</t>
  </si>
  <si>
    <t>Cr. 8 # 22B-52 Sur</t>
  </si>
  <si>
    <t>Balcones de la Valvanera</t>
  </si>
  <si>
    <t>Bienes Inmob. de Col.</t>
  </si>
  <si>
    <t>Cr. 24B # 13-27 Sur</t>
  </si>
  <si>
    <t>Santa Ana II ..</t>
  </si>
  <si>
    <t>Const. Monte Blanco</t>
  </si>
  <si>
    <t>Cl. 11 Sur # 1A-09</t>
  </si>
  <si>
    <t>Ed. Emar</t>
  </si>
  <si>
    <t>Const. Marbol</t>
  </si>
  <si>
    <t>Cl. 32 Sur # 7A24</t>
  </si>
  <si>
    <t>Torre Riovista</t>
  </si>
  <si>
    <t>RGA Arq.</t>
  </si>
  <si>
    <t>Cl. 31Bis Sur # 26D-06</t>
  </si>
  <si>
    <t>Ed. Arbok</t>
  </si>
  <si>
    <t>Arbok Construcciones</t>
  </si>
  <si>
    <t>Dg. 40 Sur # 26-41</t>
  </si>
  <si>
    <t>Ed. Alcala</t>
  </si>
  <si>
    <t>Cl. 36 Sur # 51D-53</t>
  </si>
  <si>
    <t>Mult. Santa Lucia</t>
  </si>
  <si>
    <t>Cr. 25A # 44-72 Sur</t>
  </si>
  <si>
    <t>Meraki</t>
  </si>
  <si>
    <t>Gonzalez &amp; Cia Inm.</t>
  </si>
  <si>
    <t>Cl. 48C # 25-78 Sur</t>
  </si>
  <si>
    <t>Ed. Multif. Morava</t>
  </si>
  <si>
    <t>Const. Morava</t>
  </si>
  <si>
    <t>Dg. 52 Sur # 28-72</t>
  </si>
  <si>
    <t>Sin Nombre</t>
  </si>
  <si>
    <t>Codespro</t>
  </si>
  <si>
    <t>Cl. 35 Sur # 26-59</t>
  </si>
  <si>
    <t>Ed. Ebenezzer</t>
  </si>
  <si>
    <t>Tv. 35 # 27B-21 Sur</t>
  </si>
  <si>
    <t>Ed. Madre de Dios</t>
  </si>
  <si>
    <t>Cr. 24G # 13-81 Sur</t>
  </si>
  <si>
    <t>Domus 35-S</t>
  </si>
  <si>
    <t>COE Ingenieria</t>
  </si>
  <si>
    <t>Cl. 35 Sur # 52-82</t>
  </si>
  <si>
    <t>Ed. Santander</t>
  </si>
  <si>
    <t>DM Construcciones</t>
  </si>
  <si>
    <t>Cr. 26A # 23-06 Sur</t>
  </si>
  <si>
    <t>Enki I</t>
  </si>
  <si>
    <t>ENKI</t>
  </si>
  <si>
    <t>Cr. 26C # 35-36 Sur</t>
  </si>
  <si>
    <t>Ed. Quiroga</t>
  </si>
  <si>
    <t>Cr. 24 # 35A-49 Sur</t>
  </si>
  <si>
    <t>COMERCIO</t>
  </si>
  <si>
    <t xml:space="preserve">VALOR DE REFERENCIA </t>
  </si>
  <si>
    <t>VALOR AVALUO CASTRAL</t>
  </si>
  <si>
    <t>EJERCICIO  - APLICANDO NORMA PROPUESTA 2021</t>
  </si>
  <si>
    <t>Equipamiento comunal privado - Comercio/dotacional</t>
  </si>
  <si>
    <t>Equipamiento Comunal privado - Vivienda</t>
  </si>
  <si>
    <t>Destinación equipamiento comunal privado - Vivienda</t>
  </si>
  <si>
    <t>Ánden</t>
  </si>
  <si>
    <t>Franja existente más cesión por sobre-ancho</t>
  </si>
  <si>
    <t>Viviendas/Estacionamiento</t>
  </si>
  <si>
    <t>Estacionamiento por piso (modelo 3d)</t>
  </si>
  <si>
    <t>Total estacionamient (modelo 3d)</t>
  </si>
  <si>
    <t>12P (Oct 26 2021)</t>
  </si>
  <si>
    <t>12P (Nov 8 2021)</t>
  </si>
  <si>
    <t>12P No VIS 
(Nov 8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</si>
</sst>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_);_(@_)"/>
    <numFmt numFmtId="166" formatCode="0.0"/>
    <numFmt numFmtId="167" formatCode="_-* #,##0.00_-;\-* #,##0.00_-;_-* &quot;-&quot;?_-;_-@_-"/>
    <numFmt numFmtId="168" formatCode="_(* #,##0.00_);_(* \(#,##0.00\);_(* &quot;-&quot;_);_(@_)"/>
    <numFmt numFmtId="169" formatCode="0.0%"/>
    <numFmt numFmtId="170" formatCode="_-* #,##0_-;\-* #,##0_-;_-* &quot;-&quot;??_-;_-@_-"/>
    <numFmt numFmtId="171" formatCode="_-* #,##0.000_-;\-* #,##0.000_-;_-* &quot;-&quot;??_-;_-@_-"/>
    <numFmt numFmtId="172" formatCode="&quot;$&quot;#,##0;[Red]\-&quot;$&quot;#,##0"/>
    <numFmt numFmtId="173" formatCode="#,##0\ &quot;m²&quot;"/>
    <numFmt numFmtId="174" formatCode="&quot;Ic= &quot;0.00"/>
    <numFmt numFmtId="175" formatCode="&quot;$&quot;\ \ #,##0\ &quot;m²&quot;"/>
    <numFmt numFmtId="176" formatCode="#,##0\ &quot;und&quot;"/>
    <numFmt numFmtId="177" formatCode="&quot;$&quot;\ #,##0;\-&quot;$&quot;#,##0"/>
    <numFmt numFmtId="178" formatCode="&quot;Av: &quot;#,##0\ &quot;m²&quot;"/>
    <numFmt numFmtId="179" formatCode="&quot;Ac: &quot;#,##0\ &quot;m²&quot;"/>
    <numFmt numFmtId="180" formatCode="&quot;Av/Ac =&quot;\ 0.00%"/>
    <numFmt numFmtId="181" formatCode="&quot;Av: &quot;0\ &quot;m²&quot;"/>
    <numFmt numFmtId="182" formatCode="0&quot; Pisos&quot;"/>
    <numFmt numFmtId="183" formatCode="&quot;Fs : &quot;\ 0%"/>
    <numFmt numFmtId="184" formatCode="&quot;Fd : &quot;\ 0%"/>
    <numFmt numFmtId="185" formatCode="&quot;Fcep: &quot;\ 0%"/>
    <numFmt numFmtId="186" formatCode="&quot;k=&quot;\ 0.00"/>
    <numFmt numFmtId="187" formatCode="&quot;$&quot;\ \ #,##0\ &quot;&quot;"/>
    <numFmt numFmtId="188" formatCode="&quot;d=&quot;\ 0.00"/>
    <numFmt numFmtId="189" formatCode="0%\ &quot;Ventas&quot;"/>
    <numFmt numFmtId="190" formatCode="#,##0.0"/>
    <numFmt numFmtId="191" formatCode="0.00000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C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rgb="FFC00000"/>
      <name val="Calibri"/>
      <family val="2"/>
    </font>
    <font>
      <sz val="11"/>
      <color rgb="FF9C0006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432FF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4" tint="-0.249977111117893"/>
      <name val="Calibri (Cuerpo)"/>
    </font>
    <font>
      <sz val="12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0"/>
      <name val="Calibri"/>
      <family val="2"/>
      <scheme val="minor"/>
    </font>
    <font>
      <i/>
      <sz val="8"/>
      <color theme="0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0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 (Cuerpo)"/>
    </font>
    <font>
      <b/>
      <sz val="12"/>
      <color theme="5" tint="-0.249977111117893"/>
      <name val="Calibri"/>
      <family val="2"/>
      <scheme val="minor"/>
    </font>
    <font>
      <b/>
      <sz val="12"/>
      <color rgb="FF0432FF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FFCC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 style="thin">
        <color indexed="64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/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24994659260841701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10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3">
    <xf numFmtId="0" fontId="0" fillId="0" borderId="0" xfId="0"/>
    <xf numFmtId="43" fontId="0" fillId="0" borderId="0" xfId="0" applyNumberFormat="1"/>
    <xf numFmtId="9" fontId="0" fillId="0" borderId="0" xfId="2" applyFont="1"/>
    <xf numFmtId="0" fontId="2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166" fontId="5" fillId="4" borderId="1" xfId="0" applyNumberFormat="1" applyFont="1" applyFill="1" applyBorder="1" applyAlignment="1">
      <alignment horizontal="left" vertical="center" wrapText="1"/>
    </xf>
    <xf numFmtId="43" fontId="6" fillId="0" borderId="1" xfId="0" applyNumberFormat="1" applyFont="1" applyBorder="1" applyAlignment="1">
      <alignment vertical="center"/>
    </xf>
    <xf numFmtId="2" fontId="6" fillId="5" borderId="1" xfId="0" applyNumberFormat="1" applyFont="1" applyFill="1" applyBorder="1" applyAlignment="1">
      <alignment horizontal="right" vertical="center" wrapText="1"/>
    </xf>
    <xf numFmtId="43" fontId="3" fillId="5" borderId="2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0" xfId="2" applyNumberFormat="1" applyFont="1"/>
    <xf numFmtId="0" fontId="10" fillId="8" borderId="1" xfId="0" applyFont="1" applyFill="1" applyBorder="1" applyAlignment="1">
      <alignment horizontal="center" vertical="center" wrapText="1"/>
    </xf>
    <xf numFmtId="2" fontId="11" fillId="8" borderId="1" xfId="0" applyNumberFormat="1" applyFont="1" applyFill="1" applyBorder="1" applyAlignment="1">
      <alignment horizontal="right" vertical="center"/>
    </xf>
    <xf numFmtId="43" fontId="10" fillId="8" borderId="1" xfId="0" applyNumberFormat="1" applyFont="1" applyFill="1" applyBorder="1" applyAlignment="1">
      <alignment horizontal="right" vertical="center" wrapText="1"/>
    </xf>
    <xf numFmtId="0" fontId="10" fillId="8" borderId="1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8" borderId="1" xfId="0" applyFont="1" applyFill="1" applyBorder="1" applyAlignment="1">
      <alignment horizontal="center" vertical="center" wrapText="1"/>
    </xf>
    <xf numFmtId="168" fontId="11" fillId="8" borderId="1" xfId="0" applyNumberFormat="1" applyFont="1" applyFill="1" applyBorder="1" applyAlignment="1">
      <alignment vertical="center"/>
    </xf>
    <xf numFmtId="168" fontId="11" fillId="0" borderId="1" xfId="0" applyNumberFormat="1" applyFont="1" applyBorder="1" applyAlignment="1">
      <alignment vertical="center"/>
    </xf>
    <xf numFmtId="43" fontId="10" fillId="0" borderId="1" xfId="0" applyNumberFormat="1" applyFont="1" applyBorder="1" applyAlignment="1">
      <alignment vertical="center"/>
    </xf>
    <xf numFmtId="167" fontId="11" fillId="8" borderId="1" xfId="0" applyNumberFormat="1" applyFont="1" applyFill="1" applyBorder="1" applyAlignment="1">
      <alignment horizontal="right" vertical="center"/>
    </xf>
    <xf numFmtId="0" fontId="10" fillId="8" borderId="1" xfId="0" applyFont="1" applyFill="1" applyBorder="1" applyAlignment="1">
      <alignment horizontal="center" vertical="center"/>
    </xf>
    <xf numFmtId="43" fontId="10" fillId="8" borderId="1" xfId="0" applyNumberFormat="1" applyFont="1" applyFill="1" applyBorder="1" applyAlignment="1">
      <alignment vertical="center"/>
    </xf>
    <xf numFmtId="0" fontId="10" fillId="0" borderId="1" xfId="0" applyFont="1" applyBorder="1"/>
    <xf numFmtId="168" fontId="10" fillId="0" borderId="1" xfId="0" applyNumberFormat="1" applyFont="1" applyBorder="1" applyAlignment="1">
      <alignment vertical="center"/>
    </xf>
    <xf numFmtId="166" fontId="10" fillId="8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169" fontId="10" fillId="0" borderId="1" xfId="2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center" wrapText="1"/>
    </xf>
    <xf numFmtId="169" fontId="10" fillId="3" borderId="1" xfId="2" applyNumberFormat="1" applyFont="1" applyFill="1" applyBorder="1" applyAlignment="1">
      <alignment horizontal="right" vertical="center"/>
    </xf>
    <xf numFmtId="170" fontId="10" fillId="0" borderId="1" xfId="0" applyNumberFormat="1" applyFont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2" fontId="12" fillId="8" borderId="1" xfId="0" applyNumberFormat="1" applyFont="1" applyFill="1" applyBorder="1" applyAlignment="1">
      <alignment vertical="center"/>
    </xf>
    <xf numFmtId="2" fontId="14" fillId="0" borderId="1" xfId="0" applyNumberFormat="1" applyFont="1" applyBorder="1" applyAlignment="1">
      <alignment vertical="center"/>
    </xf>
    <xf numFmtId="0" fontId="12" fillId="9" borderId="1" xfId="0" applyFont="1" applyFill="1" applyBorder="1" applyAlignment="1">
      <alignment horizontal="center" vertical="center"/>
    </xf>
    <xf numFmtId="2" fontId="12" fillId="9" borderId="1" xfId="0" applyNumberFormat="1" applyFont="1" applyFill="1" applyBorder="1" applyAlignment="1">
      <alignment vertical="center"/>
    </xf>
    <xf numFmtId="0" fontId="11" fillId="6" borderId="3" xfId="0" applyFont="1" applyFill="1" applyBorder="1" applyAlignment="1">
      <alignment horizontal="center" vertical="center" wrapText="1"/>
    </xf>
    <xf numFmtId="2" fontId="11" fillId="6" borderId="3" xfId="0" applyNumberFormat="1" applyFont="1" applyFill="1" applyBorder="1" applyAlignment="1">
      <alignment vertical="center"/>
    </xf>
    <xf numFmtId="0" fontId="14" fillId="6" borderId="10" xfId="0" applyFont="1" applyFill="1" applyBorder="1" applyAlignment="1">
      <alignment horizontal="center" vertical="center"/>
    </xf>
    <xf numFmtId="9" fontId="14" fillId="6" borderId="10" xfId="0" applyNumberFormat="1" applyFont="1" applyFill="1" applyBorder="1" applyAlignment="1">
      <alignment vertical="center"/>
    </xf>
    <xf numFmtId="2" fontId="10" fillId="0" borderId="1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9" fontId="0" fillId="0" borderId="0" xfId="0" applyNumberFormat="1"/>
    <xf numFmtId="168" fontId="11" fillId="11" borderId="1" xfId="0" applyNumberFormat="1" applyFont="1" applyFill="1" applyBorder="1" applyAlignment="1">
      <alignment vertical="center"/>
    </xf>
    <xf numFmtId="171" fontId="0" fillId="0" borderId="0" xfId="0" applyNumberFormat="1"/>
    <xf numFmtId="166" fontId="0" fillId="0" borderId="0" xfId="0" applyNumberFormat="1"/>
    <xf numFmtId="169" fontId="0" fillId="0" borderId="0" xfId="2" applyNumberFormat="1" applyFont="1"/>
    <xf numFmtId="0" fontId="14" fillId="5" borderId="1" xfId="0" applyFont="1" applyFill="1" applyBorder="1"/>
    <xf numFmtId="0" fontId="10" fillId="5" borderId="1" xfId="0" applyFont="1" applyFill="1" applyBorder="1" applyAlignment="1">
      <alignment horizontal="center" vertical="center"/>
    </xf>
    <xf numFmtId="2" fontId="10" fillId="5" borderId="1" xfId="0" applyNumberFormat="1" applyFont="1" applyFill="1" applyBorder="1" applyAlignment="1">
      <alignment vertical="center"/>
    </xf>
    <xf numFmtId="0" fontId="10" fillId="5" borderId="1" xfId="0" applyFont="1" applyFill="1" applyBorder="1"/>
    <xf numFmtId="0" fontId="10" fillId="12" borderId="1" xfId="0" applyFont="1" applyFill="1" applyBorder="1"/>
    <xf numFmtId="0" fontId="10" fillId="12" borderId="1" xfId="0" applyFont="1" applyFill="1" applyBorder="1" applyAlignment="1">
      <alignment horizontal="center" vertical="center"/>
    </xf>
    <xf numFmtId="2" fontId="10" fillId="12" borderId="1" xfId="0" applyNumberFormat="1" applyFont="1" applyFill="1" applyBorder="1" applyAlignment="1">
      <alignment vertical="center"/>
    </xf>
    <xf numFmtId="1" fontId="10" fillId="12" borderId="1" xfId="0" applyNumberFormat="1" applyFont="1" applyFill="1" applyBorder="1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2" fontId="12" fillId="5" borderId="1" xfId="0" applyNumberFormat="1" applyFont="1" applyFill="1" applyBorder="1" applyAlignment="1">
      <alignment vertical="center"/>
    </xf>
    <xf numFmtId="0" fontId="17" fillId="0" borderId="0" xfId="3" applyFont="1"/>
    <xf numFmtId="0" fontId="1" fillId="0" borderId="0" xfId="3"/>
    <xf numFmtId="0" fontId="8" fillId="0" borderId="0" xfId="3" applyFont="1"/>
    <xf numFmtId="0" fontId="18" fillId="0" borderId="1" xfId="3" applyFont="1" applyBorder="1"/>
    <xf numFmtId="172" fontId="18" fillId="0" borderId="1" xfId="3" applyNumberFormat="1" applyFont="1" applyBorder="1" applyAlignment="1">
      <alignment horizontal="right" indent="1"/>
    </xf>
    <xf numFmtId="9" fontId="18" fillId="5" borderId="1" xfId="3" applyNumberFormat="1" applyFont="1" applyFill="1" applyBorder="1" applyAlignment="1">
      <alignment horizontal="right" indent="1"/>
    </xf>
    <xf numFmtId="0" fontId="18" fillId="0" borderId="0" xfId="3" applyFont="1"/>
    <xf numFmtId="0" fontId="18" fillId="0" borderId="1" xfId="3" applyFont="1" applyBorder="1" applyAlignment="1">
      <alignment horizontal="left"/>
    </xf>
    <xf numFmtId="173" fontId="18" fillId="5" borderId="1" xfId="3" applyNumberFormat="1" applyFont="1" applyFill="1" applyBorder="1" applyAlignment="1">
      <alignment horizontal="center" vertical="center"/>
    </xf>
    <xf numFmtId="173" fontId="18" fillId="0" borderId="1" xfId="3" applyNumberFormat="1" applyFont="1" applyBorder="1" applyAlignment="1">
      <alignment horizontal="right" vertical="center" indent="1"/>
    </xf>
    <xf numFmtId="0" fontId="18" fillId="0" borderId="1" xfId="3" applyFont="1" applyBorder="1" applyAlignment="1">
      <alignment horizontal="left" shrinkToFit="1"/>
    </xf>
    <xf numFmtId="0" fontId="19" fillId="0" borderId="1" xfId="3" applyFont="1" applyBorder="1" applyAlignment="1">
      <alignment horizontal="left" shrinkToFit="1"/>
    </xf>
    <xf numFmtId="0" fontId="19" fillId="0" borderId="1" xfId="3" applyFont="1" applyBorder="1"/>
    <xf numFmtId="175" fontId="19" fillId="0" borderId="1" xfId="3" applyNumberFormat="1" applyFont="1" applyBorder="1" applyAlignment="1">
      <alignment horizontal="right" vertical="center" indent="1"/>
    </xf>
    <xf numFmtId="0" fontId="1" fillId="0" borderId="0" xfId="3" applyAlignment="1">
      <alignment horizontal="center"/>
    </xf>
    <xf numFmtId="0" fontId="20" fillId="0" borderId="0" xfId="3" applyFont="1" applyAlignment="1">
      <alignment horizontal="center" vertical="center"/>
    </xf>
    <xf numFmtId="0" fontId="21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1" fontId="22" fillId="0" borderId="0" xfId="3" applyNumberFormat="1" applyFont="1" applyAlignment="1">
      <alignment horizontal="left" vertical="center"/>
    </xf>
    <xf numFmtId="0" fontId="22" fillId="0" borderId="0" xfId="3" applyFont="1" applyAlignment="1">
      <alignment horizontal="center" vertical="center"/>
    </xf>
    <xf numFmtId="0" fontId="23" fillId="0" borderId="0" xfId="3" applyFont="1" applyAlignment="1">
      <alignment horizontal="center" vertical="center" wrapText="1"/>
    </xf>
    <xf numFmtId="1" fontId="24" fillId="0" borderId="0" xfId="3" applyNumberFormat="1" applyFont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14" borderId="7" xfId="3" applyFont="1" applyFill="1" applyBorder="1" applyAlignment="1">
      <alignment horizontal="center" vertical="center"/>
    </xf>
    <xf numFmtId="0" fontId="8" fillId="14" borderId="13" xfId="3" applyFont="1" applyFill="1" applyBorder="1" applyAlignment="1">
      <alignment horizontal="right" vertical="center" indent="1"/>
    </xf>
    <xf numFmtId="0" fontId="8" fillId="14" borderId="13" xfId="3" applyFont="1" applyFill="1" applyBorder="1" applyAlignment="1">
      <alignment horizontal="center" vertical="center"/>
    </xf>
    <xf numFmtId="0" fontId="8" fillId="14" borderId="8" xfId="3" applyFont="1" applyFill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1" fillId="0" borderId="5" xfId="3" applyBorder="1" applyAlignment="1">
      <alignment horizontal="left" indent="2"/>
    </xf>
    <xf numFmtId="176" fontId="26" fillId="5" borderId="9" xfId="3" applyNumberFormat="1" applyFont="1" applyFill="1" applyBorder="1" applyAlignment="1">
      <alignment horizontal="center"/>
    </xf>
    <xf numFmtId="177" fontId="26" fillId="0" borderId="14" xfId="3" applyNumberFormat="1" applyFont="1" applyBorder="1" applyAlignment="1">
      <alignment horizontal="right" indent="1"/>
    </xf>
    <xf numFmtId="3" fontId="26" fillId="0" borderId="14" xfId="3" applyNumberFormat="1" applyFont="1" applyBorder="1" applyAlignment="1">
      <alignment horizontal="right" indent="1"/>
    </xf>
    <xf numFmtId="177" fontId="26" fillId="0" borderId="14" xfId="3" applyNumberFormat="1" applyFont="1" applyBorder="1"/>
    <xf numFmtId="0" fontId="27" fillId="5" borderId="15" xfId="3" applyFont="1" applyFill="1" applyBorder="1" applyAlignment="1">
      <alignment horizontal="center"/>
    </xf>
    <xf numFmtId="2" fontId="17" fillId="0" borderId="0" xfId="3" applyNumberFormat="1" applyFont="1"/>
    <xf numFmtId="0" fontId="1" fillId="0" borderId="16" xfId="3" applyBorder="1" applyAlignment="1">
      <alignment horizontal="left" indent="2"/>
    </xf>
    <xf numFmtId="176" fontId="1" fillId="0" borderId="17" xfId="3" applyNumberFormat="1" applyBorder="1" applyAlignment="1">
      <alignment horizontal="center"/>
    </xf>
    <xf numFmtId="178" fontId="28" fillId="0" borderId="0" xfId="3" applyNumberFormat="1" applyFont="1" applyAlignment="1">
      <alignment horizontal="right" vertical="center" indent="1"/>
    </xf>
    <xf numFmtId="179" fontId="28" fillId="5" borderId="0" xfId="3" applyNumberFormat="1" applyFont="1" applyFill="1" applyAlignment="1">
      <alignment horizontal="right" vertical="center" indent="1"/>
    </xf>
    <xf numFmtId="172" fontId="8" fillId="0" borderId="0" xfId="3" applyNumberFormat="1" applyFont="1"/>
    <xf numFmtId="169" fontId="29" fillId="0" borderId="18" xfId="3" applyNumberFormat="1" applyFont="1" applyBorder="1" applyAlignment="1">
      <alignment horizontal="center"/>
    </xf>
    <xf numFmtId="1" fontId="1" fillId="0" borderId="17" xfId="3" applyNumberFormat="1" applyBorder="1" applyAlignment="1">
      <alignment horizontal="center"/>
    </xf>
    <xf numFmtId="180" fontId="28" fillId="0" borderId="0" xfId="3" applyNumberFormat="1" applyFont="1" applyAlignment="1">
      <alignment horizontal="right" vertical="center" indent="1" shrinkToFit="1"/>
    </xf>
    <xf numFmtId="0" fontId="1" fillId="0" borderId="0" xfId="3" applyAlignment="1">
      <alignment horizontal="right" indent="1"/>
    </xf>
    <xf numFmtId="172" fontId="1" fillId="0" borderId="0" xfId="3" applyNumberFormat="1"/>
    <xf numFmtId="179" fontId="28" fillId="0" borderId="0" xfId="3" applyNumberFormat="1" applyFont="1" applyAlignment="1">
      <alignment horizontal="right" vertical="center" indent="1"/>
    </xf>
    <xf numFmtId="0" fontId="20" fillId="0" borderId="0" xfId="3" applyFont="1" applyAlignment="1">
      <alignment horizontal="center"/>
    </xf>
    <xf numFmtId="0" fontId="8" fillId="0" borderId="18" xfId="3" applyFont="1" applyBorder="1"/>
    <xf numFmtId="0" fontId="8" fillId="0" borderId="0" xfId="3" applyFont="1" applyAlignment="1">
      <alignment horizontal="center"/>
    </xf>
    <xf numFmtId="4" fontId="17" fillId="0" borderId="0" xfId="3" applyNumberFormat="1" applyFont="1"/>
    <xf numFmtId="1" fontId="27" fillId="5" borderId="15" xfId="3" applyNumberFormat="1" applyFont="1" applyFill="1" applyBorder="1" applyAlignment="1">
      <alignment horizontal="center"/>
    </xf>
    <xf numFmtId="0" fontId="1" fillId="0" borderId="17" xfId="3" applyBorder="1"/>
    <xf numFmtId="0" fontId="1" fillId="0" borderId="18" xfId="3" applyBorder="1"/>
    <xf numFmtId="173" fontId="30" fillId="5" borderId="9" xfId="3" applyNumberFormat="1" applyFont="1" applyFill="1" applyBorder="1" applyAlignment="1">
      <alignment horizontal="center" vertical="center"/>
    </xf>
    <xf numFmtId="0" fontId="1" fillId="0" borderId="16" xfId="3" applyBorder="1"/>
    <xf numFmtId="181" fontId="28" fillId="0" borderId="0" xfId="3" applyNumberFormat="1" applyFont="1" applyAlignment="1">
      <alignment horizontal="right" vertical="center" indent="1"/>
    </xf>
    <xf numFmtId="0" fontId="1" fillId="0" borderId="19" xfId="3" applyBorder="1"/>
    <xf numFmtId="0" fontId="31" fillId="0" borderId="0" xfId="3" applyFont="1" applyAlignment="1">
      <alignment vertical="center"/>
    </xf>
    <xf numFmtId="0" fontId="31" fillId="9" borderId="1" xfId="3" applyFont="1" applyFill="1" applyBorder="1" applyAlignment="1">
      <alignment horizontal="left" vertical="center" indent="2"/>
    </xf>
    <xf numFmtId="0" fontId="31" fillId="0" borderId="0" xfId="3" applyFont="1"/>
    <xf numFmtId="182" fontId="31" fillId="9" borderId="2" xfId="3" applyNumberFormat="1" applyFont="1" applyFill="1" applyBorder="1" applyAlignment="1">
      <alignment horizontal="center" vertical="center"/>
    </xf>
    <xf numFmtId="178" fontId="33" fillId="9" borderId="4" xfId="3" applyNumberFormat="1" applyFont="1" applyFill="1" applyBorder="1" applyAlignment="1">
      <alignment horizontal="right" vertical="center" indent="1"/>
    </xf>
    <xf numFmtId="179" fontId="33" fillId="9" borderId="4" xfId="3" applyNumberFormat="1" applyFont="1" applyFill="1" applyBorder="1" applyAlignment="1">
      <alignment horizontal="right" vertical="center" indent="1"/>
    </xf>
    <xf numFmtId="177" fontId="31" fillId="9" borderId="4" xfId="3" applyNumberFormat="1" applyFont="1" applyFill="1" applyBorder="1" applyAlignment="1">
      <alignment horizontal="center" vertical="center"/>
    </xf>
    <xf numFmtId="9" fontId="31" fillId="9" borderId="20" xfId="3" applyNumberFormat="1" applyFont="1" applyFill="1" applyBorder="1" applyAlignment="1">
      <alignment horizontal="center" vertical="center"/>
    </xf>
    <xf numFmtId="0" fontId="1" fillId="0" borderId="13" xfId="3" applyBorder="1" applyAlignment="1">
      <alignment horizontal="right"/>
    </xf>
    <xf numFmtId="0" fontId="1" fillId="0" borderId="13" xfId="3" applyBorder="1"/>
    <xf numFmtId="2" fontId="1" fillId="0" borderId="13" xfId="3" applyNumberFormat="1" applyBorder="1"/>
    <xf numFmtId="0" fontId="21" fillId="0" borderId="0" xfId="3" applyFont="1"/>
    <xf numFmtId="172" fontId="26" fillId="0" borderId="0" xfId="3" applyNumberFormat="1" applyFont="1"/>
    <xf numFmtId="0" fontId="26" fillId="0" borderId="0" xfId="3" applyFont="1"/>
    <xf numFmtId="169" fontId="34" fillId="0" borderId="0" xfId="3" applyNumberFormat="1" applyFont="1" applyAlignment="1">
      <alignment horizontal="center"/>
    </xf>
    <xf numFmtId="172" fontId="35" fillId="0" borderId="0" xfId="3" applyNumberFormat="1" applyFont="1" applyAlignment="1">
      <alignment horizontal="center" vertical="center"/>
    </xf>
    <xf numFmtId="169" fontId="36" fillId="0" borderId="0" xfId="3" applyNumberFormat="1" applyFont="1" applyAlignment="1">
      <alignment horizontal="center" vertical="center"/>
    </xf>
    <xf numFmtId="0" fontId="37" fillId="0" borderId="0" xfId="3" applyFont="1"/>
    <xf numFmtId="0" fontId="38" fillId="0" borderId="0" xfId="3" applyFont="1" applyAlignment="1">
      <alignment vertical="center"/>
    </xf>
    <xf numFmtId="0" fontId="22" fillId="6" borderId="6" xfId="3" applyFont="1" applyFill="1" applyBorder="1" applyAlignment="1">
      <alignment horizontal="left" vertical="center" indent="2"/>
    </xf>
    <xf numFmtId="0" fontId="37" fillId="6" borderId="7" xfId="3" applyFont="1" applyFill="1" applyBorder="1" applyAlignment="1">
      <alignment vertical="center"/>
    </xf>
    <xf numFmtId="0" fontId="37" fillId="6" borderId="13" xfId="3" applyFont="1" applyFill="1" applyBorder="1" applyAlignment="1">
      <alignment vertical="center"/>
    </xf>
    <xf numFmtId="172" fontId="22" fillId="6" borderId="21" xfId="3" applyNumberFormat="1" applyFont="1" applyFill="1" applyBorder="1" applyAlignment="1">
      <alignment vertical="center"/>
    </xf>
    <xf numFmtId="10" fontId="22" fillId="6" borderId="22" xfId="3" applyNumberFormat="1" applyFont="1" applyFill="1" applyBorder="1" applyAlignment="1">
      <alignment horizontal="center" vertical="center"/>
    </xf>
    <xf numFmtId="0" fontId="37" fillId="0" borderId="0" xfId="3" applyFont="1" applyAlignment="1">
      <alignment vertical="center"/>
    </xf>
    <xf numFmtId="0" fontId="8" fillId="0" borderId="16" xfId="3" applyFont="1" applyBorder="1" applyAlignment="1">
      <alignment horizontal="left" vertical="center" indent="1"/>
    </xf>
    <xf numFmtId="183" fontId="19" fillId="0" borderId="17" xfId="3" applyNumberFormat="1" applyFont="1" applyBorder="1" applyAlignment="1">
      <alignment horizontal="center" vertical="center"/>
    </xf>
    <xf numFmtId="184" fontId="19" fillId="0" borderId="0" xfId="3" applyNumberFormat="1" applyFont="1" applyAlignment="1">
      <alignment horizontal="center" vertical="center"/>
    </xf>
    <xf numFmtId="185" fontId="19" fillId="0" borderId="0" xfId="3" applyNumberFormat="1" applyFont="1" applyAlignment="1">
      <alignment horizontal="center" vertical="center"/>
    </xf>
    <xf numFmtId="172" fontId="8" fillId="0" borderId="23" xfId="3" applyNumberFormat="1" applyFont="1" applyBorder="1" applyAlignment="1">
      <alignment vertical="center"/>
    </xf>
    <xf numFmtId="10" fontId="8" fillId="0" borderId="24" xfId="3" applyNumberFormat="1" applyFont="1" applyBorder="1" applyAlignment="1">
      <alignment horizontal="center" vertical="center"/>
    </xf>
    <xf numFmtId="0" fontId="1" fillId="0" borderId="0" xfId="3" applyAlignment="1">
      <alignment vertical="center"/>
    </xf>
    <xf numFmtId="0" fontId="0" fillId="0" borderId="25" xfId="3" applyFont="1" applyBorder="1" applyAlignment="1">
      <alignment horizontal="left" vertical="center" indent="1"/>
    </xf>
    <xf numFmtId="173" fontId="18" fillId="0" borderId="26" xfId="3" applyNumberFormat="1" applyFont="1" applyBorder="1" applyAlignment="1">
      <alignment horizontal="center" vertical="center"/>
    </xf>
    <xf numFmtId="172" fontId="39" fillId="0" borderId="27" xfId="3" applyNumberFormat="1" applyFont="1" applyBorder="1" applyAlignment="1">
      <alignment vertical="center"/>
    </xf>
    <xf numFmtId="10" fontId="39" fillId="0" borderId="28" xfId="3" applyNumberFormat="1" applyFont="1" applyBorder="1" applyAlignment="1">
      <alignment horizontal="center" vertical="center"/>
    </xf>
    <xf numFmtId="0" fontId="8" fillId="0" borderId="29" xfId="3" applyFont="1" applyBorder="1" applyAlignment="1">
      <alignment horizontal="left" vertical="center" indent="1"/>
    </xf>
    <xf numFmtId="173" fontId="40" fillId="0" borderId="30" xfId="3" applyNumberFormat="1" applyFont="1" applyBorder="1" applyAlignment="1">
      <alignment horizontal="center" vertical="center"/>
    </xf>
    <xf numFmtId="186" fontId="40" fillId="0" borderId="31" xfId="8" applyNumberFormat="1" applyFont="1" applyFill="1" applyBorder="1" applyAlignment="1">
      <alignment horizontal="center" vertical="center"/>
    </xf>
    <xf numFmtId="187" fontId="41" fillId="0" borderId="31" xfId="3" applyNumberFormat="1" applyFont="1" applyBorder="1" applyAlignment="1">
      <alignment horizontal="center" vertical="center"/>
    </xf>
    <xf numFmtId="172" fontId="1" fillId="0" borderId="32" xfId="3" applyNumberFormat="1" applyBorder="1" applyAlignment="1">
      <alignment vertical="center"/>
    </xf>
    <xf numFmtId="10" fontId="1" fillId="0" borderId="33" xfId="3" applyNumberFormat="1" applyBorder="1" applyAlignment="1">
      <alignment horizontal="center" vertical="center"/>
    </xf>
    <xf numFmtId="0" fontId="0" fillId="0" borderId="29" xfId="3" applyFont="1" applyBorder="1" applyAlignment="1">
      <alignment horizontal="left" vertical="center" indent="1"/>
    </xf>
    <xf numFmtId="173" fontId="42" fillId="0" borderId="30" xfId="3" applyNumberFormat="1" applyFont="1" applyBorder="1" applyAlignment="1">
      <alignment horizontal="center" vertical="center"/>
    </xf>
    <xf numFmtId="188" fontId="40" fillId="0" borderId="31" xfId="8" applyNumberFormat="1" applyFont="1" applyFill="1" applyBorder="1" applyAlignment="1">
      <alignment horizontal="center" vertical="center"/>
    </xf>
    <xf numFmtId="0" fontId="40" fillId="0" borderId="31" xfId="3" applyFont="1" applyBorder="1" applyAlignment="1">
      <alignment horizontal="center" vertical="center"/>
    </xf>
    <xf numFmtId="0" fontId="1" fillId="0" borderId="29" xfId="3" applyBorder="1" applyAlignment="1">
      <alignment horizontal="left" vertical="center" indent="1"/>
    </xf>
    <xf numFmtId="173" fontId="40" fillId="5" borderId="30" xfId="3" applyNumberFormat="1" applyFont="1" applyFill="1" applyBorder="1" applyAlignment="1">
      <alignment horizontal="center" vertical="center"/>
    </xf>
    <xf numFmtId="0" fontId="1" fillId="0" borderId="34" xfId="3" applyBorder="1" applyAlignment="1">
      <alignment horizontal="left" vertical="center" indent="1"/>
    </xf>
    <xf numFmtId="0" fontId="39" fillId="0" borderId="0" xfId="3" applyFont="1"/>
    <xf numFmtId="169" fontId="40" fillId="0" borderId="31" xfId="2" applyNumberFormat="1" applyFont="1" applyFill="1" applyBorder="1" applyAlignment="1">
      <alignment horizontal="center" vertical="center"/>
    </xf>
    <xf numFmtId="0" fontId="39" fillId="0" borderId="0" xfId="3" applyFont="1" applyAlignment="1">
      <alignment vertical="center"/>
    </xf>
    <xf numFmtId="0" fontId="1" fillId="0" borderId="0" xfId="3" applyAlignment="1">
      <alignment vertical="top"/>
    </xf>
    <xf numFmtId="0" fontId="1" fillId="0" borderId="13" xfId="3" applyBorder="1" applyAlignment="1">
      <alignment vertical="top"/>
    </xf>
    <xf numFmtId="0" fontId="40" fillId="0" borderId="0" xfId="3" applyFont="1" applyAlignment="1">
      <alignment vertical="center"/>
    </xf>
    <xf numFmtId="0" fontId="43" fillId="6" borderId="7" xfId="3" applyFont="1" applyFill="1" applyBorder="1" applyAlignment="1">
      <alignment horizontal="left" vertical="center" indent="2"/>
    </xf>
    <xf numFmtId="0" fontId="40" fillId="6" borderId="7" xfId="3" applyFont="1" applyFill="1" applyBorder="1" applyAlignment="1">
      <alignment vertical="center"/>
    </xf>
    <xf numFmtId="0" fontId="40" fillId="6" borderId="13" xfId="3" applyFont="1" applyFill="1" applyBorder="1" applyAlignment="1">
      <alignment vertical="center"/>
    </xf>
    <xf numFmtId="172" fontId="43" fillId="6" borderId="21" xfId="3" applyNumberFormat="1" applyFont="1" applyFill="1" applyBorder="1" applyAlignment="1">
      <alignment vertical="center"/>
    </xf>
    <xf numFmtId="10" fontId="43" fillId="6" borderId="22" xfId="3" applyNumberFormat="1" applyFont="1" applyFill="1" applyBorder="1" applyAlignment="1">
      <alignment horizontal="center" vertical="center"/>
    </xf>
    <xf numFmtId="0" fontId="44" fillId="0" borderId="0" xfId="3" applyFont="1" applyAlignment="1">
      <alignment vertical="center"/>
    </xf>
    <xf numFmtId="0" fontId="45" fillId="0" borderId="0" xfId="3" applyFont="1" applyAlignment="1">
      <alignment vertical="center"/>
    </xf>
    <xf numFmtId="0" fontId="44" fillId="0" borderId="35" xfId="3" applyFont="1" applyBorder="1" applyAlignment="1">
      <alignment horizontal="left" vertical="center" indent="1"/>
    </xf>
    <xf numFmtId="174" fontId="40" fillId="0" borderId="30" xfId="3" applyNumberFormat="1" applyFont="1" applyBorder="1" applyAlignment="1">
      <alignment horizontal="center" vertical="center"/>
    </xf>
    <xf numFmtId="173" fontId="40" fillId="5" borderId="31" xfId="3" applyNumberFormat="1" applyFont="1" applyFill="1" applyBorder="1" applyAlignment="1">
      <alignment horizontal="right" vertical="center"/>
    </xf>
    <xf numFmtId="175" fontId="40" fillId="5" borderId="31" xfId="3" applyNumberFormat="1" applyFont="1" applyFill="1" applyBorder="1" applyAlignment="1">
      <alignment horizontal="center" vertical="center"/>
    </xf>
    <xf numFmtId="172" fontId="44" fillId="0" borderId="32" xfId="3" applyNumberFormat="1" applyFont="1" applyBorder="1" applyAlignment="1">
      <alignment vertical="center"/>
    </xf>
    <xf numFmtId="10" fontId="44" fillId="0" borderId="33" xfId="3" applyNumberFormat="1" applyFont="1" applyBorder="1" applyAlignment="1">
      <alignment horizontal="center" vertical="center"/>
    </xf>
    <xf numFmtId="173" fontId="40" fillId="0" borderId="31" xfId="3" applyNumberFormat="1" applyFont="1" applyBorder="1" applyAlignment="1">
      <alignment horizontal="right" vertical="center"/>
    </xf>
    <xf numFmtId="0" fontId="40" fillId="0" borderId="0" xfId="3" applyFont="1"/>
    <xf numFmtId="0" fontId="44" fillId="0" borderId="36" xfId="3" applyFont="1" applyBorder="1" applyAlignment="1">
      <alignment horizontal="left" vertical="center" indent="1"/>
    </xf>
    <xf numFmtId="173" fontId="40" fillId="0" borderId="36" xfId="3" applyNumberFormat="1" applyFont="1" applyBorder="1" applyAlignment="1">
      <alignment horizontal="right" vertical="center"/>
    </xf>
    <xf numFmtId="173" fontId="40" fillId="0" borderId="37" xfId="3" applyNumberFormat="1" applyFont="1" applyBorder="1" applyAlignment="1">
      <alignment horizontal="right" vertical="center"/>
    </xf>
    <xf numFmtId="172" fontId="44" fillId="0" borderId="38" xfId="3" applyNumberFormat="1" applyFont="1" applyBorder="1" applyAlignment="1">
      <alignment vertical="center"/>
    </xf>
    <xf numFmtId="10" fontId="44" fillId="0" borderId="39" xfId="3" applyNumberFormat="1" applyFont="1" applyBorder="1" applyAlignment="1">
      <alignment horizontal="center" vertical="center"/>
    </xf>
    <xf numFmtId="0" fontId="44" fillId="0" borderId="0" xfId="3" applyFont="1"/>
    <xf numFmtId="0" fontId="17" fillId="0" borderId="0" xfId="3" applyFont="1" applyAlignment="1">
      <alignment vertical="center"/>
    </xf>
    <xf numFmtId="173" fontId="46" fillId="0" borderId="14" xfId="3" applyNumberFormat="1" applyFont="1" applyBorder="1" applyAlignment="1">
      <alignment horizontal="right" vertical="center"/>
    </xf>
    <xf numFmtId="0" fontId="8" fillId="6" borderId="6" xfId="3" applyFont="1" applyFill="1" applyBorder="1" applyAlignment="1">
      <alignment horizontal="left" vertical="center" indent="2"/>
    </xf>
    <xf numFmtId="0" fontId="1" fillId="6" borderId="7" xfId="3" applyFill="1" applyBorder="1" applyAlignment="1">
      <alignment vertical="center"/>
    </xf>
    <xf numFmtId="0" fontId="1" fillId="6" borderId="13" xfId="3" applyFill="1" applyBorder="1" applyAlignment="1">
      <alignment vertical="center"/>
    </xf>
    <xf numFmtId="172" fontId="8" fillId="6" borderId="40" xfId="3" applyNumberFormat="1" applyFont="1" applyFill="1" applyBorder="1" applyAlignment="1">
      <alignment vertical="center"/>
    </xf>
    <xf numFmtId="10" fontId="8" fillId="6" borderId="22" xfId="3" applyNumberFormat="1" applyFont="1" applyFill="1" applyBorder="1" applyAlignment="1">
      <alignment horizontal="center" vertical="center"/>
    </xf>
    <xf numFmtId="0" fontId="1" fillId="0" borderId="16" xfId="3" applyBorder="1" applyAlignment="1">
      <alignment horizontal="left" vertical="center" indent="1"/>
    </xf>
    <xf numFmtId="173" fontId="47" fillId="0" borderId="17" xfId="3" applyNumberFormat="1" applyFont="1" applyBorder="1" applyAlignment="1">
      <alignment horizontal="right" vertical="center"/>
    </xf>
    <xf numFmtId="173" fontId="47" fillId="0" borderId="0" xfId="3" applyNumberFormat="1" applyFont="1" applyAlignment="1">
      <alignment horizontal="right" vertical="center"/>
    </xf>
    <xf numFmtId="173" fontId="47" fillId="0" borderId="41" xfId="3" applyNumberFormat="1" applyFont="1" applyBorder="1" applyAlignment="1">
      <alignment horizontal="right" vertical="center"/>
    </xf>
    <xf numFmtId="10" fontId="1" fillId="0" borderId="18" xfId="3" applyNumberFormat="1" applyBorder="1" applyAlignment="1">
      <alignment horizontal="center" vertical="center"/>
    </xf>
    <xf numFmtId="0" fontId="1" fillId="0" borderId="25" xfId="3" applyBorder="1" applyAlignment="1">
      <alignment horizontal="left" vertical="center" indent="1"/>
    </xf>
    <xf numFmtId="173" fontId="40" fillId="0" borderId="26" xfId="3" applyNumberFormat="1" applyFont="1" applyBorder="1" applyAlignment="1">
      <alignment horizontal="center" vertical="center"/>
    </xf>
    <xf numFmtId="175" fontId="40" fillId="5" borderId="42" xfId="3" applyNumberFormat="1" applyFont="1" applyFill="1" applyBorder="1" applyAlignment="1">
      <alignment horizontal="center" vertical="center"/>
    </xf>
    <xf numFmtId="175" fontId="40" fillId="3" borderId="43" xfId="3" applyNumberFormat="1" applyFont="1" applyFill="1" applyBorder="1" applyAlignment="1">
      <alignment horizontal="center" vertical="center"/>
    </xf>
    <xf numFmtId="172" fontId="1" fillId="0" borderId="44" xfId="3" applyNumberFormat="1" applyBorder="1" applyAlignment="1">
      <alignment vertical="center"/>
    </xf>
    <xf numFmtId="10" fontId="1" fillId="0" borderId="45" xfId="3" applyNumberFormat="1" applyBorder="1" applyAlignment="1">
      <alignment horizontal="center" vertical="center"/>
    </xf>
    <xf numFmtId="175" fontId="40" fillId="3" borderId="46" xfId="3" applyNumberFormat="1" applyFont="1" applyFill="1" applyBorder="1" applyAlignment="1">
      <alignment horizontal="center" vertical="center"/>
    </xf>
    <xf numFmtId="10" fontId="1" fillId="0" borderId="47" xfId="3" applyNumberFormat="1" applyBorder="1" applyAlignment="1">
      <alignment horizontal="center" vertical="center"/>
    </xf>
    <xf numFmtId="172" fontId="1" fillId="0" borderId="48" xfId="3" applyNumberFormat="1" applyBorder="1" applyAlignment="1">
      <alignment vertical="center"/>
    </xf>
    <xf numFmtId="0" fontId="20" fillId="0" borderId="0" xfId="3" applyFont="1"/>
    <xf numFmtId="0" fontId="1" fillId="0" borderId="49" xfId="3" applyBorder="1" applyAlignment="1">
      <alignment horizontal="left" vertical="center" indent="1"/>
    </xf>
    <xf numFmtId="179" fontId="40" fillId="0" borderId="36" xfId="3" applyNumberFormat="1" applyFont="1" applyBorder="1" applyAlignment="1">
      <alignment horizontal="center" vertical="center"/>
    </xf>
    <xf numFmtId="175" fontId="40" fillId="3" borderId="50" xfId="3" applyNumberFormat="1" applyFont="1" applyFill="1" applyBorder="1" applyAlignment="1">
      <alignment horizontal="center" vertical="center"/>
    </xf>
    <xf numFmtId="0" fontId="8" fillId="0" borderId="51" xfId="3" applyFont="1" applyBorder="1"/>
    <xf numFmtId="0" fontId="8" fillId="0" borderId="52" xfId="3" applyFont="1" applyBorder="1"/>
    <xf numFmtId="0" fontId="8" fillId="0" borderId="13" xfId="3" applyFont="1" applyBorder="1" applyAlignment="1">
      <alignment horizontal="right" vertical="top"/>
    </xf>
    <xf numFmtId="189" fontId="1" fillId="5" borderId="13" xfId="3" applyNumberFormat="1" applyFill="1" applyBorder="1" applyAlignment="1">
      <alignment vertical="center"/>
    </xf>
    <xf numFmtId="172" fontId="8" fillId="6" borderId="21" xfId="3" applyNumberFormat="1" applyFont="1" applyFill="1" applyBorder="1" applyAlignment="1">
      <alignment vertical="center"/>
    </xf>
    <xf numFmtId="0" fontId="18" fillId="0" borderId="5" xfId="3" applyFont="1" applyBorder="1" applyAlignment="1">
      <alignment horizontal="left" indent="2"/>
    </xf>
    <xf numFmtId="0" fontId="1" fillId="0" borderId="9" xfId="3" applyBorder="1"/>
    <xf numFmtId="0" fontId="8" fillId="0" borderId="14" xfId="3" applyFont="1" applyBorder="1"/>
    <xf numFmtId="175" fontId="48" fillId="3" borderId="14" xfId="3" applyNumberFormat="1" applyFont="1" applyFill="1" applyBorder="1" applyAlignment="1">
      <alignment horizontal="center" vertical="center"/>
    </xf>
    <xf numFmtId="0" fontId="8" fillId="0" borderId="53" xfId="3" applyFont="1" applyBorder="1"/>
    <xf numFmtId="0" fontId="8" fillId="0" borderId="15" xfId="3" applyFont="1" applyBorder="1"/>
    <xf numFmtId="0" fontId="49" fillId="9" borderId="1" xfId="3" applyFont="1" applyFill="1" applyBorder="1" applyAlignment="1">
      <alignment horizontal="left" vertical="center"/>
    </xf>
    <xf numFmtId="0" fontId="31" fillId="9" borderId="2" xfId="3" applyFont="1" applyFill="1" applyBorder="1" applyAlignment="1">
      <alignment horizontal="center" vertical="center"/>
    </xf>
    <xf numFmtId="10" fontId="31" fillId="9" borderId="20" xfId="3" applyNumberFormat="1" applyFont="1" applyFill="1" applyBorder="1" applyAlignment="1">
      <alignment horizontal="center" vertical="center"/>
    </xf>
    <xf numFmtId="0" fontId="38" fillId="0" borderId="0" xfId="3" applyFont="1"/>
    <xf numFmtId="0" fontId="22" fillId="9" borderId="54" xfId="3" applyFont="1" applyFill="1" applyBorder="1" applyAlignment="1">
      <alignment vertical="center"/>
    </xf>
    <xf numFmtId="0" fontId="22" fillId="9" borderId="55" xfId="3" applyFont="1" applyFill="1" applyBorder="1" applyAlignment="1">
      <alignment horizontal="center" vertical="center"/>
    </xf>
    <xf numFmtId="0" fontId="22" fillId="9" borderId="56" xfId="3" applyFont="1" applyFill="1" applyBorder="1" applyAlignment="1">
      <alignment horizontal="center" vertical="center"/>
    </xf>
    <xf numFmtId="172" fontId="22" fillId="9" borderId="56" xfId="3" applyNumberFormat="1" applyFont="1" applyFill="1" applyBorder="1" applyAlignment="1">
      <alignment horizontal="center" vertical="center"/>
    </xf>
    <xf numFmtId="169" fontId="22" fillId="9" borderId="57" xfId="3" applyNumberFormat="1" applyFont="1" applyFill="1" applyBorder="1" applyAlignment="1">
      <alignment horizontal="center" vertical="center"/>
    </xf>
    <xf numFmtId="0" fontId="22" fillId="9" borderId="58" xfId="3" applyFont="1" applyFill="1" applyBorder="1" applyAlignment="1">
      <alignment vertical="center"/>
    </xf>
    <xf numFmtId="0" fontId="22" fillId="9" borderId="59" xfId="3" applyFont="1" applyFill="1" applyBorder="1" applyAlignment="1">
      <alignment horizontal="center" vertical="center"/>
    </xf>
    <xf numFmtId="9" fontId="37" fillId="5" borderId="60" xfId="3" applyNumberFormat="1" applyFont="1" applyFill="1" applyBorder="1" applyAlignment="1">
      <alignment horizontal="center" vertical="center"/>
    </xf>
    <xf numFmtId="0" fontId="22" fillId="9" borderId="60" xfId="3" applyFont="1" applyFill="1" applyBorder="1" applyAlignment="1">
      <alignment horizontal="center" vertical="center"/>
    </xf>
    <xf numFmtId="172" fontId="22" fillId="9" borderId="60" xfId="3" applyNumberFormat="1" applyFont="1" applyFill="1" applyBorder="1" applyAlignment="1">
      <alignment horizontal="center" vertical="center"/>
    </xf>
    <xf numFmtId="169" fontId="22" fillId="9" borderId="61" xfId="3" applyNumberFormat="1" applyFont="1" applyFill="1" applyBorder="1" applyAlignment="1">
      <alignment horizontal="center" vertical="center"/>
    </xf>
    <xf numFmtId="0" fontId="22" fillId="15" borderId="62" xfId="3" applyFont="1" applyFill="1" applyBorder="1" applyAlignment="1">
      <alignment vertical="center"/>
    </xf>
    <xf numFmtId="175" fontId="22" fillId="15" borderId="2" xfId="3" applyNumberFormat="1" applyFont="1" applyFill="1" applyBorder="1" applyAlignment="1">
      <alignment horizontal="center" vertical="center"/>
    </xf>
    <xf numFmtId="0" fontId="22" fillId="15" borderId="63" xfId="3" applyFont="1" applyFill="1" applyBorder="1" applyAlignment="1">
      <alignment horizontal="center" vertical="center"/>
    </xf>
    <xf numFmtId="172" fontId="22" fillId="15" borderId="64" xfId="3" applyNumberFormat="1" applyFont="1" applyFill="1" applyBorder="1" applyAlignment="1">
      <alignment horizontal="center" vertical="center"/>
    </xf>
    <xf numFmtId="169" fontId="22" fillId="15" borderId="65" xfId="3" applyNumberFormat="1" applyFont="1" applyFill="1" applyBorder="1" applyAlignment="1">
      <alignment horizontal="center" vertical="center"/>
    </xf>
    <xf numFmtId="0" fontId="22" fillId="8" borderId="1" xfId="3" applyFont="1" applyFill="1" applyBorder="1" applyAlignment="1">
      <alignment vertical="center"/>
    </xf>
    <xf numFmtId="175" fontId="22" fillId="8" borderId="2" xfId="3" applyNumberFormat="1" applyFont="1" applyFill="1" applyBorder="1" applyAlignment="1">
      <alignment horizontal="center" vertical="center"/>
    </xf>
    <xf numFmtId="172" fontId="22" fillId="8" borderId="4" xfId="3" applyNumberFormat="1" applyFont="1" applyFill="1" applyBorder="1" applyAlignment="1">
      <alignment horizontal="center" vertical="center"/>
    </xf>
    <xf numFmtId="9" fontId="22" fillId="8" borderId="66" xfId="7" applyFont="1" applyFill="1" applyBorder="1" applyAlignment="1">
      <alignment horizontal="center" vertical="center"/>
    </xf>
    <xf numFmtId="172" fontId="22" fillId="8" borderId="66" xfId="3" applyNumberFormat="1" applyFont="1" applyFill="1" applyBorder="1" applyAlignment="1">
      <alignment horizontal="center" vertical="center"/>
    </xf>
    <xf numFmtId="169" fontId="22" fillId="8" borderId="67" xfId="3" applyNumberFormat="1" applyFont="1" applyFill="1" applyBorder="1" applyAlignment="1">
      <alignment horizontal="center" vertical="center"/>
    </xf>
    <xf numFmtId="0" fontId="22" fillId="16" borderId="1" xfId="3" applyFont="1" applyFill="1" applyBorder="1" applyAlignment="1">
      <alignment vertical="center"/>
    </xf>
    <xf numFmtId="0" fontId="22" fillId="16" borderId="2" xfId="3" applyFont="1" applyFill="1" applyBorder="1" applyAlignment="1">
      <alignment horizontal="left" vertical="center"/>
    </xf>
    <xf numFmtId="172" fontId="51" fillId="16" borderId="66" xfId="3" applyNumberFormat="1" applyFont="1" applyFill="1" applyBorder="1" applyAlignment="1">
      <alignment horizontal="center" vertical="center"/>
    </xf>
    <xf numFmtId="169" fontId="51" fillId="16" borderId="66" xfId="7" applyNumberFormat="1" applyFont="1" applyFill="1" applyBorder="1" applyAlignment="1">
      <alignment horizontal="center" vertical="center"/>
    </xf>
    <xf numFmtId="172" fontId="22" fillId="16" borderId="66" xfId="3" applyNumberFormat="1" applyFont="1" applyFill="1" applyBorder="1" applyAlignment="1">
      <alignment horizontal="center" vertical="center"/>
    </xf>
    <xf numFmtId="169" fontId="22" fillId="16" borderId="67" xfId="3" applyNumberFormat="1" applyFont="1" applyFill="1" applyBorder="1" applyAlignment="1">
      <alignment horizontal="center" vertical="center"/>
    </xf>
    <xf numFmtId="0" fontId="22" fillId="16" borderId="1" xfId="3" applyFont="1" applyFill="1" applyBorder="1" applyAlignment="1">
      <alignment vertical="center" wrapText="1"/>
    </xf>
    <xf numFmtId="0" fontId="22" fillId="16" borderId="2" xfId="3" applyFont="1" applyFill="1" applyBorder="1" applyAlignment="1">
      <alignment horizontal="center" vertical="center"/>
    </xf>
    <xf numFmtId="169" fontId="52" fillId="16" borderId="66" xfId="7" applyNumberFormat="1" applyFont="1" applyFill="1" applyBorder="1" applyAlignment="1">
      <alignment horizontal="center" vertical="center"/>
    </xf>
    <xf numFmtId="16" fontId="19" fillId="0" borderId="0" xfId="3" applyNumberFormat="1" applyFont="1" applyAlignment="1">
      <alignment horizontal="center" vertical="center" wrapText="1"/>
    </xf>
    <xf numFmtId="0" fontId="1" fillId="0" borderId="0" xfId="3" applyAlignment="1">
      <alignment horizontal="center" vertical="center"/>
    </xf>
    <xf numFmtId="0" fontId="1" fillId="0" borderId="0" xfId="3" applyAlignment="1">
      <alignment vertical="center" wrapText="1"/>
    </xf>
    <xf numFmtId="16" fontId="53" fillId="0" borderId="0" xfId="3" applyNumberFormat="1" applyFont="1" applyAlignment="1">
      <alignment horizontal="center" vertical="center"/>
    </xf>
    <xf numFmtId="173" fontId="18" fillId="0" borderId="16" xfId="3" applyNumberFormat="1" applyFont="1" applyBorder="1" applyAlignment="1">
      <alignment horizontal="center" vertical="center"/>
    </xf>
    <xf numFmtId="174" fontId="18" fillId="0" borderId="16" xfId="3" applyNumberFormat="1" applyFont="1" applyBorder="1" applyAlignment="1">
      <alignment horizontal="center" vertical="center"/>
    </xf>
    <xf numFmtId="176" fontId="18" fillId="0" borderId="16" xfId="3" applyNumberFormat="1" applyFont="1" applyBorder="1" applyAlignment="1">
      <alignment horizontal="center" vertical="center"/>
    </xf>
    <xf numFmtId="0" fontId="1" fillId="0" borderId="14" xfId="3" applyBorder="1" applyAlignment="1">
      <alignment vertical="center"/>
    </xf>
    <xf numFmtId="173" fontId="18" fillId="0" borderId="5" xfId="3" applyNumberFormat="1" applyFont="1" applyBorder="1" applyAlignment="1">
      <alignment horizontal="center" vertical="center"/>
    </xf>
    <xf numFmtId="0" fontId="18" fillId="0" borderId="0" xfId="3" applyFont="1" applyAlignment="1">
      <alignment horizontal="center" vertical="center"/>
    </xf>
    <xf numFmtId="177" fontId="18" fillId="0" borderId="16" xfId="3" applyNumberFormat="1" applyFont="1" applyBorder="1" applyAlignment="1">
      <alignment horizontal="center" vertical="center"/>
    </xf>
    <xf numFmtId="172" fontId="18" fillId="0" borderId="16" xfId="3" applyNumberFormat="1" applyFont="1" applyBorder="1" applyAlignment="1">
      <alignment horizontal="center" vertical="center"/>
    </xf>
    <xf numFmtId="10" fontId="18" fillId="0" borderId="16" xfId="3" applyNumberFormat="1" applyFont="1" applyBorder="1" applyAlignment="1">
      <alignment horizontal="center" vertical="center"/>
    </xf>
    <xf numFmtId="169" fontId="18" fillId="0" borderId="5" xfId="2" applyNumberFormat="1" applyFont="1" applyBorder="1" applyAlignment="1">
      <alignment horizontal="center" vertical="center"/>
    </xf>
    <xf numFmtId="175" fontId="18" fillId="0" borderId="16" xfId="3" applyNumberFormat="1" applyFont="1" applyBorder="1" applyAlignment="1">
      <alignment horizontal="center" vertical="center"/>
    </xf>
    <xf numFmtId="175" fontId="18" fillId="0" borderId="5" xfId="3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80" fontId="28" fillId="0" borderId="0" xfId="3" applyNumberFormat="1" applyFont="1" applyFill="1" applyAlignment="1">
      <alignment horizontal="right" vertical="center" indent="1" shrinkToFit="1"/>
    </xf>
    <xf numFmtId="179" fontId="40" fillId="0" borderId="37" xfId="3" applyNumberFormat="1" applyFont="1" applyFill="1" applyBorder="1" applyAlignment="1">
      <alignment horizontal="center" vertical="center"/>
    </xf>
    <xf numFmtId="3" fontId="0" fillId="13" borderId="0" xfId="0" applyNumberFormat="1" applyFill="1"/>
    <xf numFmtId="3" fontId="0" fillId="0" borderId="0" xfId="0" applyNumberFormat="1"/>
    <xf numFmtId="0" fontId="43" fillId="17" borderId="1" xfId="0" applyFont="1" applyFill="1" applyBorder="1" applyAlignment="1">
      <alignment horizontal="center" vertical="center" wrapText="1"/>
    </xf>
    <xf numFmtId="3" fontId="43" fillId="17" borderId="3" xfId="0" applyNumberFormat="1" applyFont="1" applyFill="1" applyBorder="1" applyAlignment="1">
      <alignment horizontal="center" vertical="center" wrapText="1"/>
    </xf>
    <xf numFmtId="3" fontId="43" fillId="17" borderId="1" xfId="0" applyNumberFormat="1" applyFont="1" applyFill="1" applyBorder="1" applyAlignment="1">
      <alignment horizontal="center" vertical="center" wrapText="1"/>
    </xf>
    <xf numFmtId="190" fontId="43" fillId="17" borderId="1" xfId="0" applyNumberFormat="1" applyFont="1" applyFill="1" applyBorder="1" applyAlignment="1">
      <alignment horizontal="center" vertical="center" wrapText="1"/>
    </xf>
    <xf numFmtId="3" fontId="43" fillId="18" borderId="1" xfId="0" applyNumberFormat="1" applyFont="1" applyFill="1" applyBorder="1" applyAlignment="1">
      <alignment horizontal="center" vertical="center" wrapText="1"/>
    </xf>
    <xf numFmtId="17" fontId="43" fillId="17" borderId="1" xfId="0" applyNumberFormat="1" applyFont="1" applyFill="1" applyBorder="1" applyAlignment="1">
      <alignment horizontal="center" vertical="center" wrapText="1"/>
    </xf>
    <xf numFmtId="3" fontId="43" fillId="8" borderId="1" xfId="0" applyNumberFormat="1" applyFont="1" applyFill="1" applyBorder="1" applyAlignment="1">
      <alignment horizontal="center" vertical="center" wrapText="1"/>
    </xf>
    <xf numFmtId="190" fontId="43" fillId="18" borderId="1" xfId="0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/>
    </xf>
    <xf numFmtId="3" fontId="54" fillId="0" borderId="3" xfId="0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/>
    </xf>
    <xf numFmtId="3" fontId="54" fillId="0" borderId="1" xfId="0" quotePrefix="1" applyNumberFormat="1" applyFont="1" applyBorder="1" applyAlignment="1">
      <alignment horizontal="center"/>
    </xf>
    <xf numFmtId="3" fontId="54" fillId="0" borderId="1" xfId="0" applyNumberFormat="1" applyFont="1" applyBorder="1" applyAlignment="1">
      <alignment horizontal="center"/>
    </xf>
    <xf numFmtId="190" fontId="54" fillId="0" borderId="1" xfId="0" applyNumberFormat="1" applyFont="1" applyBorder="1" applyAlignment="1">
      <alignment horizontal="center"/>
    </xf>
    <xf numFmtId="17" fontId="54" fillId="0" borderId="1" xfId="0" applyNumberFormat="1" applyFont="1" applyBorder="1" applyAlignment="1">
      <alignment horizontal="center"/>
    </xf>
    <xf numFmtId="9" fontId="54" fillId="0" borderId="1" xfId="2" applyFont="1" applyBorder="1" applyAlignment="1">
      <alignment horizontal="center"/>
    </xf>
    <xf numFmtId="3" fontId="54" fillId="0" borderId="1" xfId="2" applyNumberFormat="1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9" fontId="54" fillId="0" borderId="1" xfId="0" applyNumberFormat="1" applyFont="1" applyBorder="1" applyAlignment="1">
      <alignment horizontal="left"/>
    </xf>
    <xf numFmtId="44" fontId="0" fillId="13" borderId="0" xfId="9" applyFont="1" applyFill="1"/>
    <xf numFmtId="0" fontId="5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5" fontId="18" fillId="0" borderId="1" xfId="3" applyNumberFormat="1" applyFont="1" applyFill="1" applyBorder="1" applyAlignment="1">
      <alignment horizontal="right" vertical="center" indent="1"/>
    </xf>
    <xf numFmtId="0" fontId="10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2" fontId="11" fillId="0" borderId="1" xfId="0" applyNumberFormat="1" applyFont="1" applyBorder="1" applyAlignment="1">
      <alignment horizontal="right" vertical="center"/>
    </xf>
    <xf numFmtId="2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167" fontId="11" fillId="0" borderId="1" xfId="0" applyNumberFormat="1" applyFont="1" applyBorder="1" applyAlignment="1">
      <alignment horizontal="right" vertical="center"/>
    </xf>
    <xf numFmtId="0" fontId="12" fillId="8" borderId="0" xfId="0" applyFont="1" applyFill="1" applyAlignment="1">
      <alignment horizontal="center" vertical="center"/>
    </xf>
    <xf numFmtId="0" fontId="9" fillId="8" borderId="2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168" fontId="9" fillId="8" borderId="1" xfId="0" applyNumberFormat="1" applyFont="1" applyFill="1" applyBorder="1" applyAlignment="1">
      <alignment vertical="center"/>
    </xf>
    <xf numFmtId="0" fontId="9" fillId="8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68" fontId="11" fillId="0" borderId="1" xfId="0" applyNumberFormat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191" fontId="10" fillId="3" borderId="1" xfId="2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2" applyNumberFormat="1" applyFont="1" applyBorder="1"/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/>
    <xf numFmtId="0" fontId="14" fillId="0" borderId="1" xfId="0" applyFont="1" applyBorder="1"/>
    <xf numFmtId="1" fontId="8" fillId="0" borderId="0" xfId="0" applyNumberFormat="1" applyFont="1"/>
    <xf numFmtId="2" fontId="8" fillId="0" borderId="0" xfId="0" applyNumberFormat="1" applyFont="1"/>
    <xf numFmtId="2" fontId="8" fillId="0" borderId="0" xfId="0" applyNumberFormat="1" applyFont="1" applyAlignment="1">
      <alignment horizontal="center"/>
    </xf>
    <xf numFmtId="2" fontId="0" fillId="0" borderId="0" xfId="0" applyNumberFormat="1"/>
    <xf numFmtId="0" fontId="4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43" fontId="2" fillId="0" borderId="1" xfId="0" applyNumberFormat="1" applyFont="1" applyBorder="1" applyAlignment="1">
      <alignment vertical="center"/>
    </xf>
    <xf numFmtId="174" fontId="19" fillId="13" borderId="1" xfId="3" applyNumberFormat="1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left"/>
    </xf>
    <xf numFmtId="0" fontId="13" fillId="8" borderId="3" xfId="0" applyFont="1" applyFill="1" applyBorder="1" applyAlignment="1">
      <alignment horizontal="left"/>
    </xf>
    <xf numFmtId="0" fontId="12" fillId="5" borderId="2" xfId="0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left" vertical="center"/>
    </xf>
    <xf numFmtId="0" fontId="12" fillId="9" borderId="2" xfId="0" applyFont="1" applyFill="1" applyBorder="1" applyAlignment="1">
      <alignment horizontal="left" vertical="center"/>
    </xf>
    <xf numFmtId="0" fontId="12" fillId="9" borderId="3" xfId="0" applyFont="1" applyFill="1" applyBorder="1" applyAlignment="1">
      <alignment horizontal="left" vertical="center"/>
    </xf>
    <xf numFmtId="0" fontId="9" fillId="6" borderId="7" xfId="0" applyFont="1" applyFill="1" applyBorder="1" applyAlignment="1">
      <alignment horizontal="left" vertical="center" wrapText="1"/>
    </xf>
    <xf numFmtId="0" fontId="9" fillId="6" borderId="11" xfId="0" applyFont="1" applyFill="1" applyBorder="1" applyAlignment="1">
      <alignment horizontal="left" vertical="center" wrapText="1"/>
    </xf>
    <xf numFmtId="0" fontId="9" fillId="6" borderId="9" xfId="0" applyFont="1" applyFill="1" applyBorder="1" applyAlignment="1">
      <alignment horizontal="left" vertical="center" wrapText="1"/>
    </xf>
    <xf numFmtId="0" fontId="9" fillId="6" borderId="12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left"/>
    </xf>
    <xf numFmtId="0" fontId="12" fillId="8" borderId="3" xfId="0" applyFont="1" applyFill="1" applyBorder="1" applyAlignment="1">
      <alignment horizontal="left"/>
    </xf>
    <xf numFmtId="0" fontId="10" fillId="8" borderId="2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left"/>
    </xf>
    <xf numFmtId="0" fontId="10" fillId="8" borderId="3" xfId="0" applyFont="1" applyFill="1" applyBorder="1" applyAlignment="1">
      <alignment horizontal="left"/>
    </xf>
    <xf numFmtId="0" fontId="10" fillId="8" borderId="2" xfId="0" applyFont="1" applyFill="1" applyBorder="1" applyAlignment="1">
      <alignment horizontal="left" vertical="center" wrapText="1"/>
    </xf>
    <xf numFmtId="0" fontId="10" fillId="8" borderId="3" xfId="0" applyFont="1" applyFill="1" applyBorder="1" applyAlignment="1">
      <alignment horizontal="left" vertical="center" wrapText="1"/>
    </xf>
    <xf numFmtId="0" fontId="9" fillId="8" borderId="2" xfId="0" applyFont="1" applyFill="1" applyBorder="1" applyAlignment="1">
      <alignment horizontal="left" vertical="center" wrapText="1"/>
    </xf>
    <xf numFmtId="0" fontId="9" fillId="8" borderId="4" xfId="0" applyFont="1" applyFill="1" applyBorder="1" applyAlignment="1">
      <alignment horizontal="left" vertical="center" wrapText="1"/>
    </xf>
    <xf numFmtId="0" fontId="9" fillId="8" borderId="3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8" borderId="2" xfId="0" applyFont="1" applyFill="1" applyBorder="1" applyAlignment="1">
      <alignment horizontal="left" vertical="center" wrapText="1"/>
    </xf>
    <xf numFmtId="0" fontId="11" fillId="8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3" fillId="5" borderId="2" xfId="0" applyNumberFormat="1" applyFont="1" applyFill="1" applyBorder="1" applyAlignment="1">
      <alignment horizontal="center" vertical="center"/>
    </xf>
    <xf numFmtId="43" fontId="3" fillId="5" borderId="3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10" fillId="3" borderId="1" xfId="2" applyNumberFormat="1" applyFont="1" applyFill="1" applyBorder="1" applyAlignment="1">
      <alignment horizontal="right" vertical="center"/>
    </xf>
    <xf numFmtId="0" fontId="10" fillId="9" borderId="1" xfId="0" applyFont="1" applyFill="1" applyBorder="1"/>
    <xf numFmtId="0" fontId="10" fillId="9" borderId="1" xfId="0" applyFont="1" applyFill="1" applyBorder="1" applyAlignment="1">
      <alignment horizontal="center" vertical="center"/>
    </xf>
    <xf numFmtId="43" fontId="10" fillId="9" borderId="1" xfId="0" applyNumberFormat="1" applyFont="1" applyFill="1" applyBorder="1" applyAlignment="1">
      <alignment vertical="center"/>
    </xf>
    <xf numFmtId="44" fontId="0" fillId="0" borderId="0" xfId="9" applyFont="1"/>
    <xf numFmtId="1" fontId="24" fillId="0" borderId="0" xfId="3" applyNumberFormat="1" applyFont="1" applyAlignment="1">
      <alignment horizontal="center" vertical="center" wrapText="1"/>
    </xf>
  </cellXfs>
  <cellStyles count="11">
    <cellStyle name="Comma [0] 2" xfId="1" xr:uid="{00000000-0005-0000-0000-00002F000000}"/>
    <cellStyle name="Incorrecto 2" xfId="6" xr:uid="{140CD28F-7F25-8C46-8F60-BCB9FF3A8037}"/>
    <cellStyle name="Millares" xfId="8" builtinId="3"/>
    <cellStyle name="Millares [0] 2" xfId="10" xr:uid="{F2C22F23-7E9C-482D-B314-CE13DB32E2B3}"/>
    <cellStyle name="Millares 2" xfId="5" xr:uid="{4E1EBE3B-CB5C-5F43-AF9F-2CAFD25E5F4B}"/>
    <cellStyle name="Moneda" xfId="9" builtinId="4"/>
    <cellStyle name="Moneda 2" xfId="4" xr:uid="{57BDEC1E-23E0-4C45-903A-7BA87E2B2DC6}"/>
    <cellStyle name="Normal" xfId="0" builtinId="0"/>
    <cellStyle name="Normal 2" xfId="3" xr:uid="{CC4E7C06-5616-C146-A96B-2AB89DAEC2D1}"/>
    <cellStyle name="Porcentaje" xfId="2" builtinId="5"/>
    <cellStyle name="Porcentaje 2" xfId="7" xr:uid="{C0DD523C-8BDF-8A44-A677-F6E5008D802D}"/>
  </cellStyles>
  <dxfs count="0"/>
  <tableStyles count="0" defaultTableStyle="TableStyleMedium2" defaultPivotStyle="PivotStyleLight16"/>
  <colors>
    <mruColors>
      <color rgb="FFE0484F"/>
      <color rgb="FFBE2028"/>
      <color rgb="FFDC2C34"/>
      <color rgb="FFFF3333"/>
      <color rgb="FF63B2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25400</xdr:colOff>
      <xdr:row>23</xdr:row>
      <xdr:rowOff>76200</xdr:rowOff>
    </xdr:from>
    <xdr:to>
      <xdr:col>9</xdr:col>
      <xdr:colOff>21590</xdr:colOff>
      <xdr:row>49</xdr:row>
      <xdr:rowOff>16510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8AE0D4-5DFD-423A-B34D-55E0635E7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2515" y="2057400"/>
          <a:ext cx="4457700" cy="5131435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53</xdr:row>
      <xdr:rowOff>76200</xdr:rowOff>
    </xdr:from>
    <xdr:to>
      <xdr:col>8</xdr:col>
      <xdr:colOff>669290</xdr:colOff>
      <xdr:row>69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2ED6DC-87CA-4C4E-830E-9B16FBDE1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9025" y="8048625"/>
          <a:ext cx="4298315" cy="3257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25400</xdr:colOff>
      <xdr:row>23</xdr:row>
      <xdr:rowOff>76200</xdr:rowOff>
    </xdr:from>
    <xdr:to>
      <xdr:col>9</xdr:col>
      <xdr:colOff>17780</xdr:colOff>
      <xdr:row>49</xdr:row>
      <xdr:rowOff>20320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4A7364-6043-458A-9E49-65E736397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2515" y="2057400"/>
          <a:ext cx="4457700" cy="5131435"/>
        </a:xfrm>
        <a:prstGeom prst="rect">
          <a:avLst/>
        </a:prstGeom>
      </xdr:spPr>
    </xdr:pic>
    <xdr:clientData/>
  </xdr:twoCellAnchor>
  <xdr:twoCellAnchor editAs="oneCell">
    <xdr:from>
      <xdr:col>9</xdr:col>
      <xdr:colOff>213360</xdr:colOff>
      <xdr:row>2</xdr:row>
      <xdr:rowOff>106680</xdr:rowOff>
    </xdr:from>
    <xdr:to>
      <xdr:col>15</xdr:col>
      <xdr:colOff>285501</xdr:colOff>
      <xdr:row>29</xdr:row>
      <xdr:rowOff>20110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49CC66D-E298-4B4A-A6D9-448A53797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77700" y="487680"/>
          <a:ext cx="4834641" cy="2675680"/>
        </a:xfrm>
        <a:prstGeom prst="rect">
          <a:avLst/>
        </a:prstGeom>
      </xdr:spPr>
    </xdr:pic>
    <xdr:clientData/>
  </xdr:twoCellAnchor>
  <xdr:twoCellAnchor editAs="oneCell">
    <xdr:from>
      <xdr:col>9</xdr:col>
      <xdr:colOff>235634</xdr:colOff>
      <xdr:row>29</xdr:row>
      <xdr:rowOff>110929</xdr:rowOff>
    </xdr:from>
    <xdr:to>
      <xdr:col>15</xdr:col>
      <xdr:colOff>305427</xdr:colOff>
      <xdr:row>44</xdr:row>
      <xdr:rowOff>54767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F8D8E57-89C5-4F08-BDAB-F0D90DD7B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9974" y="3265609"/>
          <a:ext cx="4824673" cy="29061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25400</xdr:colOff>
      <xdr:row>23</xdr:row>
      <xdr:rowOff>76200</xdr:rowOff>
    </xdr:from>
    <xdr:to>
      <xdr:col>9</xdr:col>
      <xdr:colOff>21590</xdr:colOff>
      <xdr:row>49</xdr:row>
      <xdr:rowOff>16510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460EB8-EEFA-4EFE-BDE9-635EFA7D3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2515" y="2057400"/>
          <a:ext cx="4457700" cy="5131435"/>
        </a:xfrm>
        <a:prstGeom prst="rect">
          <a:avLst/>
        </a:prstGeom>
      </xdr:spPr>
    </xdr:pic>
    <xdr:clientData/>
  </xdr:twoCellAnchor>
  <xdr:twoCellAnchor editAs="oneCell">
    <xdr:from>
      <xdr:col>5</xdr:col>
      <xdr:colOff>457200</xdr:colOff>
      <xdr:row>53</xdr:row>
      <xdr:rowOff>114300</xdr:rowOff>
    </xdr:from>
    <xdr:to>
      <xdr:col>9</xdr:col>
      <xdr:colOff>284480</xdr:colOff>
      <xdr:row>69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E1F7198-397E-4B77-B55E-7C451417F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58125" y="8086725"/>
          <a:ext cx="4298315" cy="3257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302894</xdr:colOff>
      <xdr:row>28</xdr:row>
      <xdr:rowOff>179348</xdr:rowOff>
    </xdr:from>
    <xdr:to>
      <xdr:col>8</xdr:col>
      <xdr:colOff>775334</xdr:colOff>
      <xdr:row>59</xdr:row>
      <xdr:rowOff>162285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7026DF-8582-4F48-ABDD-447DDB4CF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6269" y="6218198"/>
          <a:ext cx="3510915" cy="55893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guelrivera\Desktop\MODELO%20ALAMEDA%2021_10_19%20v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%20SOLER\Downloads\Parametro%20para%20modelacion%20de%20Manzana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ESING/Carlos%20(C)/00-2004/Frigosin&#250;/Informe%20Final/Caudales%20y%20Equipo%20de%20Bombe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T_RVV_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955ea4ace1855bd/05%20Profesional/SDP/Modelaciones%20POT/R%20-%20Renovacion/Oct%204%202021/Nueva%20carpeta/FAC%201%5eJ2%5eJ3%20y%204_%20TRU%20190%20vs%20POT%202021%20-%20Sep%2027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SUELO_UTIL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ectos previos"/>
      <sheetName val="Calculos por manzana"/>
      <sheetName val="Valores"/>
    </sheetNames>
    <sheetDataSet>
      <sheetData sheetId="0" refreshError="1"/>
      <sheetData sheetId="1" refreshError="1"/>
      <sheetData sheetId="2">
        <row r="3">
          <cell r="A3" t="str">
            <v>0 - 50</v>
          </cell>
        </row>
        <row r="4">
          <cell r="A4" t="str">
            <v>51 - 70</v>
          </cell>
        </row>
        <row r="5">
          <cell r="A5" t="str">
            <v>71 - 80</v>
          </cell>
        </row>
        <row r="6">
          <cell r="A6" t="str">
            <v>81 - 90</v>
          </cell>
        </row>
        <row r="7">
          <cell r="A7" t="str">
            <v>91 - 110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udales"/>
      <sheetName val="Diametros"/>
      <sheetName val="Punto de operación"/>
      <sheetName val="Perfiles"/>
      <sheetName val="Curva-sistemaº"/>
      <sheetName val="Curva.bombaº"/>
      <sheetName val="Datos-Gráfica-Bijagual"/>
      <sheetName val="Gráf.-Bijagualº"/>
      <sheetName val="Datos Garavito"/>
      <sheetName val="Gráfica Garavito"/>
      <sheetName val="Caudales del Sistema"/>
      <sheetName val="Diametr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AUXILIARES"/>
      <sheetName val="CTAS_PAG"/>
      <sheetName val="PRESUP"/>
    </sheetNames>
    <sheetDataSet>
      <sheetData sheetId="0" refreshError="1"/>
      <sheetData sheetId="1"/>
      <sheetData sheetId="2" refreshError="1">
        <row r="42">
          <cell r="A42" t="str">
            <v>EGR</v>
          </cell>
        </row>
        <row r="43">
          <cell r="A43" t="str">
            <v>EGR</v>
          </cell>
        </row>
        <row r="44">
          <cell r="A44" t="str">
            <v>EGR</v>
          </cell>
        </row>
        <row r="45">
          <cell r="A45" t="str">
            <v>EGR</v>
          </cell>
        </row>
        <row r="46">
          <cell r="A46" t="str">
            <v>EGR</v>
          </cell>
        </row>
        <row r="47">
          <cell r="A47" t="str">
            <v>EGR</v>
          </cell>
        </row>
        <row r="48">
          <cell r="A48" t="str">
            <v>EGR</v>
          </cell>
        </row>
        <row r="49">
          <cell r="A49" t="str">
            <v>EGR</v>
          </cell>
        </row>
        <row r="57">
          <cell r="A57" t="str">
            <v>ING</v>
          </cell>
        </row>
        <row r="58">
          <cell r="A58" t="str">
            <v>ING</v>
          </cell>
        </row>
        <row r="64">
          <cell r="A64" t="str">
            <v>EGR</v>
          </cell>
        </row>
        <row r="65">
          <cell r="A65" t="str">
            <v>EGR</v>
          </cell>
        </row>
        <row r="66">
          <cell r="A66" t="str">
            <v>EGR</v>
          </cell>
        </row>
        <row r="67">
          <cell r="A67" t="str">
            <v>EGR</v>
          </cell>
        </row>
        <row r="68">
          <cell r="A68" t="str">
            <v>EGR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"/>
      <sheetName val="Construcciones 03"/>
      <sheetName val="Construcciones 02"/>
      <sheetName val="Construcciones 01"/>
      <sheetName val="RVL 01"/>
      <sheetName val="RVL 01a"/>
      <sheetName val="RVL UPZ 1b"/>
      <sheetName val="RVL 02"/>
      <sheetName val="RVL 02a"/>
      <sheetName val="RVL UPZ 2b "/>
      <sheetName val="RC 03"/>
      <sheetName val="RC 03a"/>
      <sheetName val="AIM 04"/>
      <sheetName val="AIM 04a "/>
      <sheetName val="AIM 04b"/>
      <sheetName val="TABLAS"/>
      <sheetName val="RESUMEN "/>
      <sheetName val="FAC_TRU 190 vs POT 2021"/>
      <sheetName val="$ Venta Teusaquillo"/>
      <sheetName val="$ Venta Suba-Cordoba"/>
      <sheetName val="$ Venta chapi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4">
          <cell r="D64">
            <v>908526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anuel Sanchez" id="{3EC6DB9F-A81B-4F34-A882-5DBFC4CA7983}" userId="Manuel Sanchez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5" dT="2019-07-02T16:14:03.51" personId="{3EC6DB9F-A81B-4F34-A882-5DBFC4CA7983}" id="{BA73CB71-48E4-448C-BDFA-E5B67E4CF2AB}">
    <text>Ultimos 6 meses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0DCEC-6D6F-4CAC-BC1A-AD5CA6BDF2FD}">
  <dimension ref="A1:L140"/>
  <sheetViews>
    <sheetView topLeftCell="A48" zoomScaleNormal="100" workbookViewId="0">
      <selection activeCell="D89" activeCellId="1" sqref="D95 D89"/>
    </sheetView>
  </sheetViews>
  <sheetFormatPr baseColWidth="10" defaultRowHeight="15.6" outlineLevelRow="2"/>
  <cols>
    <col min="1" max="1" width="5" style="45" customWidth="1"/>
    <col min="2" max="2" width="61.33203125" style="46" customWidth="1"/>
    <col min="3" max="3" width="12.6640625" style="45" customWidth="1"/>
    <col min="4" max="4" width="19.44140625" style="47" customWidth="1"/>
    <col min="5" max="5" width="9.44140625" customWidth="1"/>
    <col min="6" max="6" width="30.33203125" bestFit="1" customWidth="1"/>
    <col min="7" max="7" width="11.6640625" bestFit="1" customWidth="1"/>
  </cols>
  <sheetData>
    <row r="1" spans="1:7" ht="15" customHeight="1">
      <c r="A1" s="405" t="s">
        <v>47</v>
      </c>
      <c r="B1" s="405"/>
      <c r="C1" s="405"/>
      <c r="D1" s="405"/>
      <c r="E1" s="327"/>
      <c r="F1" s="327"/>
      <c r="G1" s="327"/>
    </row>
    <row r="2" spans="1:7" ht="15" customHeight="1">
      <c r="A2" s="406" t="s">
        <v>270</v>
      </c>
      <c r="B2" s="406"/>
      <c r="C2" s="406"/>
      <c r="D2" s="406"/>
      <c r="E2" s="328"/>
      <c r="F2" s="328"/>
      <c r="G2" s="328"/>
    </row>
    <row r="4" spans="1:7">
      <c r="A4" s="380" t="s">
        <v>49</v>
      </c>
      <c r="B4" s="381"/>
      <c r="C4" s="381"/>
      <c r="D4" s="382"/>
    </row>
    <row r="5" spans="1:7" hidden="1" outlineLevel="1">
      <c r="A5" s="391" t="s">
        <v>30</v>
      </c>
      <c r="B5" s="392"/>
      <c r="C5" s="329" t="s">
        <v>76</v>
      </c>
      <c r="D5" s="330">
        <v>59</v>
      </c>
    </row>
    <row r="6" spans="1:7" hidden="1" outlineLevel="1">
      <c r="A6" s="391" t="s">
        <v>28</v>
      </c>
      <c r="B6" s="392"/>
      <c r="C6" s="329" t="s">
        <v>76</v>
      </c>
      <c r="D6" s="330">
        <v>11.56</v>
      </c>
    </row>
    <row r="7" spans="1:7" hidden="1" outlineLevel="1">
      <c r="A7" s="391" t="s">
        <v>29</v>
      </c>
      <c r="B7" s="392"/>
      <c r="C7" s="329" t="s">
        <v>76</v>
      </c>
      <c r="D7" s="330">
        <v>10.17</v>
      </c>
    </row>
    <row r="8" spans="1:7" hidden="1" outlineLevel="1">
      <c r="A8" s="391" t="s">
        <v>12</v>
      </c>
      <c r="B8" s="392"/>
      <c r="C8" s="329" t="s">
        <v>76</v>
      </c>
      <c r="D8" s="330">
        <v>12.4</v>
      </c>
    </row>
    <row r="9" spans="1:7" hidden="1" outlineLevel="1">
      <c r="A9" s="391" t="s">
        <v>6</v>
      </c>
      <c r="B9" s="392"/>
      <c r="C9" s="329" t="s">
        <v>76</v>
      </c>
      <c r="D9" s="331" t="s">
        <v>5</v>
      </c>
    </row>
    <row r="10" spans="1:7" hidden="1" outlineLevel="1">
      <c r="A10" s="391" t="s">
        <v>31</v>
      </c>
      <c r="B10" s="392"/>
      <c r="C10" s="329" t="s">
        <v>76</v>
      </c>
      <c r="D10" s="332">
        <v>0.6</v>
      </c>
    </row>
    <row r="11" spans="1:7" hidden="1" outlineLevel="1">
      <c r="A11" s="391" t="s">
        <v>32</v>
      </c>
      <c r="B11" s="392"/>
      <c r="C11" s="329" t="s">
        <v>76</v>
      </c>
      <c r="D11" s="332">
        <v>0.6</v>
      </c>
    </row>
    <row r="12" spans="1:7" hidden="1" outlineLevel="1">
      <c r="A12" s="391" t="s">
        <v>33</v>
      </c>
      <c r="B12" s="392"/>
      <c r="C12" s="329" t="s">
        <v>76</v>
      </c>
      <c r="D12" s="332">
        <v>0.6</v>
      </c>
    </row>
    <row r="13" spans="1:7" hidden="1" outlineLevel="1">
      <c r="A13" s="391" t="s">
        <v>34</v>
      </c>
      <c r="B13" s="392"/>
      <c r="C13" s="329" t="s">
        <v>76</v>
      </c>
      <c r="D13" s="332">
        <v>0.6</v>
      </c>
    </row>
    <row r="14" spans="1:7" hidden="1" outlineLevel="1">
      <c r="A14" s="397" t="s">
        <v>13</v>
      </c>
      <c r="B14" s="398"/>
      <c r="C14" s="329" t="s">
        <v>76</v>
      </c>
      <c r="D14" s="333">
        <v>0.6</v>
      </c>
    </row>
    <row r="15" spans="1:7" hidden="1" outlineLevel="1">
      <c r="A15" s="397" t="s">
        <v>36</v>
      </c>
      <c r="B15" s="398"/>
      <c r="C15" s="14" t="s">
        <v>1</v>
      </c>
      <c r="D15" s="15">
        <v>2</v>
      </c>
    </row>
    <row r="16" spans="1:7" hidden="1" outlineLevel="1">
      <c r="A16" s="399" t="s">
        <v>43</v>
      </c>
      <c r="B16" s="400"/>
      <c r="C16" s="14" t="s">
        <v>3</v>
      </c>
      <c r="D16" s="16">
        <v>5313.9177200000004</v>
      </c>
    </row>
    <row r="17" spans="1:4" hidden="1" outlineLevel="1">
      <c r="A17" s="391" t="s">
        <v>4</v>
      </c>
      <c r="B17" s="392"/>
      <c r="C17" s="404" t="s">
        <v>27</v>
      </c>
      <c r="D17" s="404"/>
    </row>
    <row r="18" spans="1:4" collapsed="1">
      <c r="A18" s="380" t="s">
        <v>48</v>
      </c>
      <c r="B18" s="381"/>
      <c r="C18" s="381"/>
      <c r="D18" s="382"/>
    </row>
    <row r="19" spans="1:4" outlineLevel="1">
      <c r="A19" s="391" t="s">
        <v>30</v>
      </c>
      <c r="B19" s="392"/>
      <c r="C19" s="329" t="s">
        <v>76</v>
      </c>
      <c r="D19" s="330">
        <v>59</v>
      </c>
    </row>
    <row r="20" spans="1:4" outlineLevel="1">
      <c r="A20" s="391" t="s">
        <v>28</v>
      </c>
      <c r="B20" s="392"/>
      <c r="C20" s="329" t="s">
        <v>76</v>
      </c>
      <c r="D20" s="330">
        <v>16</v>
      </c>
    </row>
    <row r="21" spans="1:4" outlineLevel="1">
      <c r="A21" s="391" t="s">
        <v>29</v>
      </c>
      <c r="B21" s="392"/>
      <c r="C21" s="329" t="s">
        <v>76</v>
      </c>
      <c r="D21" s="330">
        <v>16</v>
      </c>
    </row>
    <row r="22" spans="1:4" outlineLevel="1">
      <c r="A22" s="391" t="s">
        <v>12</v>
      </c>
      <c r="B22" s="392"/>
      <c r="C22" s="329" t="s">
        <v>76</v>
      </c>
      <c r="D22" s="330">
        <v>14</v>
      </c>
    </row>
    <row r="23" spans="1:4" outlineLevel="1">
      <c r="A23" s="391" t="s">
        <v>6</v>
      </c>
      <c r="B23" s="392"/>
      <c r="C23" s="329" t="s">
        <v>76</v>
      </c>
      <c r="D23" s="331" t="s">
        <v>5</v>
      </c>
    </row>
    <row r="24" spans="1:4" outlineLevel="1">
      <c r="A24" s="391" t="s">
        <v>31</v>
      </c>
      <c r="B24" s="392"/>
      <c r="C24" s="329" t="s">
        <v>76</v>
      </c>
      <c r="D24" s="332">
        <v>0.6</v>
      </c>
    </row>
    <row r="25" spans="1:4" outlineLevel="1">
      <c r="A25" s="391" t="s">
        <v>32</v>
      </c>
      <c r="B25" s="392"/>
      <c r="C25" s="329" t="s">
        <v>76</v>
      </c>
      <c r="D25" s="332">
        <v>0.6</v>
      </c>
    </row>
    <row r="26" spans="1:4" outlineLevel="1">
      <c r="A26" s="391" t="s">
        <v>33</v>
      </c>
      <c r="B26" s="392"/>
      <c r="C26" s="329" t="s">
        <v>76</v>
      </c>
      <c r="D26" s="332">
        <v>0.6</v>
      </c>
    </row>
    <row r="27" spans="1:4" outlineLevel="1">
      <c r="A27" s="391" t="s">
        <v>34</v>
      </c>
      <c r="B27" s="392"/>
      <c r="C27" s="329" t="s">
        <v>76</v>
      </c>
      <c r="D27" s="332">
        <v>0.6</v>
      </c>
    </row>
    <row r="28" spans="1:4" outlineLevel="1">
      <c r="A28" s="397" t="s">
        <v>13</v>
      </c>
      <c r="B28" s="398"/>
      <c r="C28" s="329" t="s">
        <v>76</v>
      </c>
      <c r="D28" s="333">
        <v>0.6</v>
      </c>
    </row>
    <row r="29" spans="1:4" outlineLevel="1">
      <c r="A29" s="397" t="s">
        <v>14</v>
      </c>
      <c r="B29" s="398"/>
      <c r="C29" s="14" t="s">
        <v>1</v>
      </c>
      <c r="D29" s="17">
        <v>3</v>
      </c>
    </row>
    <row r="30" spans="1:4" outlineLevel="1">
      <c r="A30" s="397" t="s">
        <v>15</v>
      </c>
      <c r="B30" s="398"/>
      <c r="C30" s="14" t="s">
        <v>1</v>
      </c>
      <c r="D30" s="17">
        <v>9</v>
      </c>
    </row>
    <row r="31" spans="1:4" outlineLevel="1">
      <c r="A31" s="399" t="s">
        <v>43</v>
      </c>
      <c r="B31" s="400"/>
      <c r="C31" s="14" t="s">
        <v>3</v>
      </c>
      <c r="D31" s="16">
        <v>5313.9177200000004</v>
      </c>
    </row>
    <row r="32" spans="1:4" outlineLevel="1">
      <c r="A32" s="391" t="s">
        <v>4</v>
      </c>
      <c r="B32" s="392"/>
      <c r="C32" s="403" t="s">
        <v>35</v>
      </c>
      <c r="D32" s="403"/>
    </row>
    <row r="33" spans="1:8">
      <c r="A33" s="380" t="s">
        <v>50</v>
      </c>
      <c r="B33" s="381"/>
      <c r="C33" s="381"/>
      <c r="D33" s="382"/>
    </row>
    <row r="34" spans="1:8" outlineLevel="1">
      <c r="A34" s="401" t="s">
        <v>51</v>
      </c>
      <c r="B34" s="402"/>
      <c r="C34" s="334" t="s">
        <v>1</v>
      </c>
      <c r="D34" s="19">
        <f>'Base (12p)NoVisN8'!A56</f>
        <v>45</v>
      </c>
      <c r="G34" s="13"/>
      <c r="H34" s="50"/>
    </row>
    <row r="35" spans="1:8" outlineLevel="1">
      <c r="A35" s="399" t="s">
        <v>84</v>
      </c>
      <c r="B35" s="400"/>
      <c r="C35" s="20" t="s">
        <v>3</v>
      </c>
      <c r="D35" s="21">
        <f>D31</f>
        <v>5313.9177200000004</v>
      </c>
      <c r="F35" s="48"/>
      <c r="G35" s="1"/>
    </row>
    <row r="36" spans="1:8" outlineLevel="1">
      <c r="A36" s="397" t="s">
        <v>85</v>
      </c>
      <c r="B36" s="398"/>
      <c r="C36" s="30" t="s">
        <v>3</v>
      </c>
      <c r="D36" s="22">
        <f>'Base (12p)NoVisN8'!F57</f>
        <v>10638.200000000003</v>
      </c>
    </row>
    <row r="37" spans="1:8" outlineLevel="1">
      <c r="A37" s="399" t="s">
        <v>54</v>
      </c>
      <c r="B37" s="400"/>
      <c r="C37" s="20" t="s">
        <v>3</v>
      </c>
      <c r="D37" s="21">
        <f>'Base (12p)NoVisN8'!F7</f>
        <v>27132.575109999998</v>
      </c>
    </row>
    <row r="38" spans="1:8" outlineLevel="1">
      <c r="A38" s="397" t="s">
        <v>42</v>
      </c>
      <c r="B38" s="398"/>
      <c r="C38" s="30" t="s">
        <v>3</v>
      </c>
      <c r="D38" s="22">
        <f>D37-D36</f>
        <v>16494.375109999994</v>
      </c>
    </row>
    <row r="39" spans="1:8" outlineLevel="1">
      <c r="A39" s="401" t="s">
        <v>52</v>
      </c>
      <c r="B39" s="402"/>
      <c r="C39" s="334" t="s">
        <v>3</v>
      </c>
      <c r="D39" s="23">
        <f>D35</f>
        <v>5313.9177200000004</v>
      </c>
      <c r="E39" s="1"/>
    </row>
    <row r="40" spans="1:8" outlineLevel="1">
      <c r="A40" s="391" t="s">
        <v>39</v>
      </c>
      <c r="B40" s="392"/>
      <c r="C40" s="30" t="s">
        <v>1</v>
      </c>
      <c r="D40" s="335">
        <f>D36/D35</f>
        <v>2.0019504554918104</v>
      </c>
    </row>
    <row r="41" spans="1:8" outlineLevel="1">
      <c r="A41" s="385" t="s">
        <v>98</v>
      </c>
      <c r="B41" s="386"/>
      <c r="C41" s="20" t="s">
        <v>1</v>
      </c>
      <c r="D41" s="24">
        <f>D37/D35</f>
        <v>5.1059456581122973</v>
      </c>
    </row>
    <row r="42" spans="1:8" outlineLevel="1">
      <c r="A42" s="385" t="s">
        <v>97</v>
      </c>
      <c r="B42" s="386"/>
      <c r="C42" s="20" t="s">
        <v>1</v>
      </c>
      <c r="D42" s="24">
        <f ca="1">(D138+D137-(D52*42))/D35</f>
        <v>3.9904153400504372</v>
      </c>
      <c r="E42" s="13"/>
    </row>
    <row r="43" spans="1:8" outlineLevel="1">
      <c r="A43" s="385" t="s">
        <v>53</v>
      </c>
      <c r="B43" s="386"/>
      <c r="C43" s="25" t="s">
        <v>1</v>
      </c>
      <c r="D43" s="26">
        <f ca="1">D41-D42</f>
        <v>1.1155303180618601</v>
      </c>
    </row>
    <row r="44" spans="1:8" outlineLevel="1">
      <c r="A44" s="391" t="s">
        <v>9</v>
      </c>
      <c r="B44" s="392"/>
      <c r="C44" s="329" t="s">
        <v>76</v>
      </c>
      <c r="D44" s="22">
        <v>3.3</v>
      </c>
      <c r="F44" s="1"/>
    </row>
    <row r="45" spans="1:8" outlineLevel="1">
      <c r="A45" s="391" t="s">
        <v>11</v>
      </c>
      <c r="B45" s="392"/>
      <c r="C45" s="329" t="s">
        <v>76</v>
      </c>
      <c r="D45" s="22">
        <v>3.8</v>
      </c>
    </row>
    <row r="46" spans="1:8" outlineLevel="1">
      <c r="A46" s="393" t="s">
        <v>37</v>
      </c>
      <c r="B46" s="394"/>
      <c r="C46" s="329" t="s">
        <v>76</v>
      </c>
      <c r="D46" s="22">
        <v>13.2</v>
      </c>
    </row>
    <row r="47" spans="1:8" outlineLevel="1">
      <c r="A47" s="395"/>
      <c r="B47" s="396"/>
      <c r="C47" s="334" t="s">
        <v>1</v>
      </c>
      <c r="D47" s="19">
        <f>D29</f>
        <v>3</v>
      </c>
    </row>
    <row r="48" spans="1:8" ht="15" customHeight="1" outlineLevel="1">
      <c r="A48" s="393" t="s">
        <v>7</v>
      </c>
      <c r="B48" s="394"/>
      <c r="C48" s="14" t="s">
        <v>76</v>
      </c>
      <c r="D48" s="21">
        <f>((D49-1)*3.3)+3.8</f>
        <v>40.099999999999994</v>
      </c>
    </row>
    <row r="49" spans="1:7" outlineLevel="1">
      <c r="A49" s="395"/>
      <c r="B49" s="396"/>
      <c r="C49" s="334" t="s">
        <v>1</v>
      </c>
      <c r="D49" s="19">
        <v>12</v>
      </c>
    </row>
    <row r="50" spans="1:7" outlineLevel="1">
      <c r="A50" s="385" t="s">
        <v>60</v>
      </c>
      <c r="B50" s="386"/>
      <c r="C50" s="14" t="s">
        <v>1</v>
      </c>
      <c r="D50" s="21">
        <f ca="1">D51+D52+D53</f>
        <v>465</v>
      </c>
      <c r="E50" s="48"/>
    </row>
    <row r="51" spans="1:7" outlineLevel="1">
      <c r="A51" s="334">
        <v>1</v>
      </c>
      <c r="B51" s="320" t="s">
        <v>99</v>
      </c>
      <c r="C51" s="329" t="s">
        <v>1</v>
      </c>
      <c r="D51" s="49">
        <v>0</v>
      </c>
      <c r="E51" s="2">
        <f ca="1">D51/D50</f>
        <v>0</v>
      </c>
      <c r="G51" s="1">
        <f ca="1">D50*2.3</f>
        <v>1069.5</v>
      </c>
    </row>
    <row r="52" spans="1:7" outlineLevel="2">
      <c r="A52" s="334">
        <v>2</v>
      </c>
      <c r="B52" s="320" t="s">
        <v>92</v>
      </c>
      <c r="C52" s="329" t="s">
        <v>1</v>
      </c>
      <c r="D52" s="49">
        <v>0</v>
      </c>
      <c r="E52" s="2">
        <f ca="1">D52/D50</f>
        <v>0</v>
      </c>
      <c r="G52" s="1">
        <f ca="1">(D68+D70)/G51</f>
        <v>1.8830843440860221</v>
      </c>
    </row>
    <row r="53" spans="1:7" outlineLevel="2">
      <c r="A53" s="334">
        <v>3</v>
      </c>
      <c r="B53" s="320" t="s">
        <v>61</v>
      </c>
      <c r="C53" s="329" t="s">
        <v>1</v>
      </c>
      <c r="D53" s="49">
        <f ca="1">INT((D137*100%)/42)</f>
        <v>465</v>
      </c>
      <c r="E53" s="2">
        <f ca="1">D53/D50</f>
        <v>1</v>
      </c>
      <c r="F53" s="1">
        <f ca="1">D53*42</f>
        <v>19530</v>
      </c>
    </row>
    <row r="54" spans="1:7">
      <c r="A54" s="371" t="s">
        <v>45</v>
      </c>
      <c r="B54" s="371"/>
      <c r="C54" s="371"/>
      <c r="D54" s="371"/>
      <c r="F54" s="1"/>
    </row>
    <row r="55" spans="1:7" ht="16.95" customHeight="1">
      <c r="A55" s="336">
        <v>1</v>
      </c>
      <c r="B55" s="337" t="s">
        <v>271</v>
      </c>
      <c r="C55" s="338" t="s">
        <v>3</v>
      </c>
      <c r="D55" s="339">
        <f ca="1">D138*(10/120)</f>
        <v>136.72684669615384</v>
      </c>
      <c r="F55" s="1"/>
    </row>
    <row r="56" spans="1:7" ht="16.95" customHeight="1">
      <c r="A56" s="340">
        <v>2</v>
      </c>
      <c r="B56" s="337" t="s">
        <v>272</v>
      </c>
      <c r="C56" s="338" t="s">
        <v>3</v>
      </c>
      <c r="D56" s="339">
        <f ca="1">D57+D58</f>
        <v>2441.25</v>
      </c>
    </row>
    <row r="57" spans="1:7" ht="15" customHeight="1" outlineLevel="1">
      <c r="A57" s="334">
        <v>2.1</v>
      </c>
      <c r="B57" s="27" t="s">
        <v>56</v>
      </c>
      <c r="C57" s="30" t="s">
        <v>3</v>
      </c>
      <c r="D57" s="23">
        <f>6*D52</f>
        <v>0</v>
      </c>
    </row>
    <row r="58" spans="1:7" outlineLevel="1">
      <c r="A58" s="334">
        <v>2.2000000000000002</v>
      </c>
      <c r="B58" s="27" t="s">
        <v>57</v>
      </c>
      <c r="C58" s="30" t="s">
        <v>3</v>
      </c>
      <c r="D58" s="23">
        <f ca="1">(D53*42)*(10/80)</f>
        <v>2441.25</v>
      </c>
    </row>
    <row r="59" spans="1:7" ht="16.95" customHeight="1" outlineLevel="1">
      <c r="A59" s="387" t="s">
        <v>273</v>
      </c>
      <c r="B59" s="388"/>
      <c r="C59" s="388"/>
      <c r="D59" s="389"/>
    </row>
    <row r="60" spans="1:7" outlineLevel="2">
      <c r="A60" s="334">
        <v>1</v>
      </c>
      <c r="B60" s="341" t="s">
        <v>46</v>
      </c>
      <c r="C60" s="30" t="s">
        <v>3</v>
      </c>
      <c r="D60" s="342">
        <f ca="1">D56*0.2</f>
        <v>488.25</v>
      </c>
    </row>
    <row r="61" spans="1:7" outlineLevel="2">
      <c r="A61" s="334">
        <v>1.1000000000000001</v>
      </c>
      <c r="B61" s="27" t="s">
        <v>78</v>
      </c>
      <c r="C61" s="30" t="s">
        <v>3</v>
      </c>
      <c r="D61" s="28">
        <f ca="1">D89</f>
        <v>48.824999999999989</v>
      </c>
    </row>
    <row r="62" spans="1:7" outlineLevel="2">
      <c r="A62" s="334">
        <v>1.2</v>
      </c>
      <c r="B62" s="27" t="s">
        <v>79</v>
      </c>
      <c r="C62" s="30" t="s">
        <v>3</v>
      </c>
      <c r="D62" s="44">
        <f ca="1">+D103+D107+D111+D115+D119+D123+D127+D131+D135+D95</f>
        <v>439.42500000000001</v>
      </c>
    </row>
    <row r="63" spans="1:7" outlineLevel="2">
      <c r="A63" s="334">
        <v>2</v>
      </c>
      <c r="B63" s="341" t="s">
        <v>94</v>
      </c>
      <c r="C63" s="30" t="s">
        <v>3</v>
      </c>
      <c r="D63" s="342">
        <f ca="1">D56*0.4</f>
        <v>976.5</v>
      </c>
    </row>
    <row r="64" spans="1:7" outlineLevel="2">
      <c r="A64" s="334">
        <v>2.1</v>
      </c>
      <c r="B64" s="341" t="s">
        <v>80</v>
      </c>
      <c r="C64" s="30" t="s">
        <v>3</v>
      </c>
      <c r="D64" s="342">
        <f>529.134734</f>
        <v>529.13473399999998</v>
      </c>
    </row>
    <row r="65" spans="1:7" outlineLevel="2">
      <c r="A65" s="334">
        <v>2.2000000000000002</v>
      </c>
      <c r="B65" s="341" t="s">
        <v>81</v>
      </c>
      <c r="C65" s="30" t="s">
        <v>3</v>
      </c>
      <c r="D65" s="342">
        <f ca="1">D63-D64</f>
        <v>447.36526600000002</v>
      </c>
    </row>
    <row r="66" spans="1:7" outlineLevel="2">
      <c r="A66" s="334">
        <v>3</v>
      </c>
      <c r="B66" s="341" t="s">
        <v>95</v>
      </c>
      <c r="C66" s="30" t="s">
        <v>3</v>
      </c>
      <c r="D66" s="342">
        <f ca="1">D56*0.4</f>
        <v>976.5</v>
      </c>
    </row>
    <row r="67" spans="1:7">
      <c r="A67" s="380" t="s">
        <v>58</v>
      </c>
      <c r="B67" s="381"/>
      <c r="C67" s="381"/>
      <c r="D67" s="382"/>
    </row>
    <row r="68" spans="1:7" outlineLevel="1">
      <c r="A68" s="376">
        <v>1</v>
      </c>
      <c r="B68" s="390" t="s">
        <v>59</v>
      </c>
      <c r="C68" s="20" t="s">
        <v>3</v>
      </c>
      <c r="D68" s="29">
        <f>5313.91772-1597.433-3296.70133</f>
        <v>419.78339000000051</v>
      </c>
      <c r="E68" s="51"/>
    </row>
    <row r="69" spans="1:7" outlineLevel="1">
      <c r="A69" s="377"/>
      <c r="B69" s="390"/>
      <c r="C69" s="30" t="s">
        <v>10</v>
      </c>
      <c r="D69" s="31">
        <f>D68/D35</f>
        <v>7.8996968361038242E-2</v>
      </c>
      <c r="F69" s="52"/>
    </row>
    <row r="70" spans="1:7" outlineLevel="1">
      <c r="A70" s="376">
        <v>2</v>
      </c>
      <c r="B70" s="379" t="s">
        <v>86</v>
      </c>
      <c r="C70" s="20" t="s">
        <v>3</v>
      </c>
      <c r="D70" s="29">
        <f>D35*D71</f>
        <v>1594.1753160000001</v>
      </c>
    </row>
    <row r="71" spans="1:7" outlineLevel="1">
      <c r="A71" s="377"/>
      <c r="B71" s="379"/>
      <c r="C71" s="32" t="s">
        <v>10</v>
      </c>
      <c r="D71" s="33">
        <v>0.3</v>
      </c>
    </row>
    <row r="72" spans="1:7" outlineLevel="1">
      <c r="A72" s="380" t="s">
        <v>274</v>
      </c>
      <c r="B72" s="381"/>
      <c r="C72" s="381"/>
      <c r="D72" s="382"/>
    </row>
    <row r="73" spans="1:7" outlineLevel="1">
      <c r="A73" s="334">
        <v>1</v>
      </c>
      <c r="B73" s="343" t="s">
        <v>275</v>
      </c>
      <c r="C73" s="32" t="s">
        <v>3</v>
      </c>
      <c r="D73" s="427">
        <f>D68+998.04295</f>
        <v>1417.8263400000005</v>
      </c>
    </row>
    <row r="74" spans="1:7" outlineLevel="1">
      <c r="A74" s="380" t="s">
        <v>44</v>
      </c>
      <c r="B74" s="381"/>
      <c r="C74" s="381"/>
      <c r="D74" s="382"/>
    </row>
    <row r="75" spans="1:7" outlineLevel="1">
      <c r="A75" s="383" t="s">
        <v>77</v>
      </c>
      <c r="B75" s="384"/>
      <c r="C75" s="345" t="s">
        <v>3</v>
      </c>
      <c r="D75" s="15">
        <f ca="1">D77+D80+D82+D84</f>
        <v>2182.6133399999999</v>
      </c>
    </row>
    <row r="76" spans="1:7" outlineLevel="2">
      <c r="A76" s="376">
        <v>1</v>
      </c>
      <c r="B76" s="378" t="s">
        <v>44</v>
      </c>
      <c r="C76" s="334" t="s">
        <v>1</v>
      </c>
      <c r="D76" s="23">
        <f ca="1">D77/12</f>
        <v>113.99675609999998</v>
      </c>
      <c r="F76" s="346" t="s">
        <v>276</v>
      </c>
      <c r="G76" s="346">
        <f ca="1">D50/D76</f>
        <v>4.0790634392446545</v>
      </c>
    </row>
    <row r="77" spans="1:7" outlineLevel="2">
      <c r="A77" s="377"/>
      <c r="B77" s="378"/>
      <c r="C77" s="334" t="s">
        <v>3</v>
      </c>
      <c r="D77" s="23">
        <f ca="1">G87-D80-D82-D84</f>
        <v>1367.9610731999999</v>
      </c>
    </row>
    <row r="78" spans="1:7" outlineLevel="1">
      <c r="A78" s="374" t="s">
        <v>62</v>
      </c>
      <c r="B78" s="375"/>
      <c r="C78" s="25" t="s">
        <v>3</v>
      </c>
      <c r="D78" s="26">
        <f ca="1">D80+D82+D84</f>
        <v>814.65226680000001</v>
      </c>
    </row>
    <row r="79" spans="1:7" outlineLevel="2">
      <c r="A79" s="376">
        <v>1</v>
      </c>
      <c r="B79" s="378" t="s">
        <v>63</v>
      </c>
      <c r="C79" s="334" t="s">
        <v>1</v>
      </c>
      <c r="D79" s="34">
        <f ca="1">1*D50</f>
        <v>465</v>
      </c>
    </row>
    <row r="80" spans="1:7" outlineLevel="2">
      <c r="A80" s="377"/>
      <c r="B80" s="378"/>
      <c r="C80" s="334" t="s">
        <v>3</v>
      </c>
      <c r="D80" s="23">
        <f ca="1">D79*1.3</f>
        <v>604.5</v>
      </c>
    </row>
    <row r="81" spans="1:9" outlineLevel="2">
      <c r="A81" s="376">
        <v>2</v>
      </c>
      <c r="B81" s="378" t="s">
        <v>64</v>
      </c>
      <c r="C81" s="334" t="s">
        <v>1</v>
      </c>
      <c r="D81" s="19">
        <f>INT(D37/3000)</f>
        <v>9</v>
      </c>
    </row>
    <row r="82" spans="1:9" outlineLevel="2">
      <c r="A82" s="377"/>
      <c r="B82" s="378"/>
      <c r="C82" s="334" t="s">
        <v>3</v>
      </c>
      <c r="D82" s="23">
        <f>D81*18.5</f>
        <v>166.5</v>
      </c>
    </row>
    <row r="83" spans="1:9" outlineLevel="2">
      <c r="A83" s="376">
        <v>3</v>
      </c>
      <c r="B83" s="378" t="s">
        <v>65</v>
      </c>
      <c r="C83" s="334" t="s">
        <v>1</v>
      </c>
      <c r="D83" s="19">
        <f ca="1">INT(D84/15)</f>
        <v>2</v>
      </c>
    </row>
    <row r="84" spans="1:9" outlineLevel="2">
      <c r="A84" s="377"/>
      <c r="B84" s="378"/>
      <c r="C84" s="334" t="s">
        <v>3</v>
      </c>
      <c r="D84" s="23">
        <f ca="1">D75*2%</f>
        <v>43.6522668</v>
      </c>
      <c r="F84" s="1"/>
    </row>
    <row r="85" spans="1:9">
      <c r="A85" s="371" t="s">
        <v>75</v>
      </c>
      <c r="B85" s="371"/>
      <c r="C85" s="371"/>
      <c r="D85" s="371"/>
    </row>
    <row r="86" spans="1:9" outlineLevel="2">
      <c r="A86" s="372" t="s">
        <v>23</v>
      </c>
      <c r="B86" s="373"/>
      <c r="C86" s="35" t="s">
        <v>3</v>
      </c>
      <c r="D86" s="36">
        <f>'Base (12p)NoVisN8'!D4</f>
        <v>3296.7013299999999</v>
      </c>
      <c r="E86" s="1"/>
      <c r="F86" s="346" t="s">
        <v>277</v>
      </c>
      <c r="G86" s="347">
        <v>1091.3066699999999</v>
      </c>
    </row>
    <row r="87" spans="1:9" outlineLevel="2">
      <c r="A87" s="334">
        <v>1</v>
      </c>
      <c r="B87" s="428" t="s">
        <v>66</v>
      </c>
      <c r="C87" s="429" t="s">
        <v>3</v>
      </c>
      <c r="D87" s="430">
        <f ca="1">D86-D88-D89-D91-D90</f>
        <v>1640.7221603538462</v>
      </c>
      <c r="E87" s="1"/>
      <c r="F87" s="346" t="s">
        <v>278</v>
      </c>
      <c r="G87" s="346">
        <f>2*G86</f>
        <v>2182.6133399999999</v>
      </c>
    </row>
    <row r="88" spans="1:9" outlineLevel="2">
      <c r="A88" s="334">
        <v>2</v>
      </c>
      <c r="B88" s="27" t="s">
        <v>44</v>
      </c>
      <c r="C88" s="334" t="s">
        <v>3</v>
      </c>
      <c r="D88" s="44">
        <f>G86</f>
        <v>1091.3066699999999</v>
      </c>
      <c r="F88" s="1"/>
    </row>
    <row r="89" spans="1:9" outlineLevel="2">
      <c r="A89" s="334">
        <v>3</v>
      </c>
      <c r="B89" s="57" t="s">
        <v>272</v>
      </c>
      <c r="C89" s="58" t="s">
        <v>3</v>
      </c>
      <c r="D89" s="60">
        <f ca="1">D60-D95</f>
        <v>48.824999999999989</v>
      </c>
      <c r="E89" s="1"/>
      <c r="F89" s="1"/>
      <c r="G89" s="1"/>
    </row>
    <row r="90" spans="1:9" outlineLevel="2">
      <c r="A90" s="334">
        <v>4</v>
      </c>
      <c r="B90" s="57" t="s">
        <v>271</v>
      </c>
      <c r="C90" s="58" t="s">
        <v>3</v>
      </c>
      <c r="D90" s="60">
        <f ca="1">D55</f>
        <v>136.72684669615384</v>
      </c>
      <c r="E90" s="1"/>
      <c r="F90" s="1"/>
      <c r="G90" s="1"/>
    </row>
    <row r="91" spans="1:9" outlineLevel="2">
      <c r="A91" s="334">
        <v>5</v>
      </c>
      <c r="B91" s="27" t="s">
        <v>55</v>
      </c>
      <c r="C91" s="334" t="s">
        <v>3</v>
      </c>
      <c r="D91" s="44">
        <f>D86*D140</f>
        <v>379.12065295000002</v>
      </c>
      <c r="E91" s="1"/>
      <c r="F91" s="1"/>
    </row>
    <row r="92" spans="1:9" outlineLevel="1">
      <c r="A92" s="372" t="s">
        <v>67</v>
      </c>
      <c r="B92" s="373"/>
      <c r="C92" s="35" t="s">
        <v>3</v>
      </c>
      <c r="D92" s="36">
        <f>'Base (12p)NoVisN8'!D4</f>
        <v>3296.7013299999999</v>
      </c>
      <c r="F92" s="1">
        <f>D86+D92+D97+D101+D105+D109+D113+D117+D121+D125+D129+D133</f>
        <v>27132.575109999994</v>
      </c>
      <c r="I92" s="1"/>
    </row>
    <row r="93" spans="1:9" outlineLevel="2">
      <c r="A93" s="334">
        <v>1</v>
      </c>
      <c r="B93" s="56" t="s">
        <v>68</v>
      </c>
      <c r="C93" s="54" t="s">
        <v>3</v>
      </c>
      <c r="D93" s="55">
        <f ca="1">D92-D96-D94-D95</f>
        <v>1386.84900705</v>
      </c>
      <c r="F93" s="1"/>
    </row>
    <row r="94" spans="1:9" outlineLevel="2">
      <c r="A94" s="334">
        <v>2</v>
      </c>
      <c r="B94" s="27" t="s">
        <v>44</v>
      </c>
      <c r="C94" s="334" t="s">
        <v>3</v>
      </c>
      <c r="D94" s="44">
        <f>G86</f>
        <v>1091.3066699999999</v>
      </c>
      <c r="F94" s="1"/>
    </row>
    <row r="95" spans="1:9" outlineLevel="2">
      <c r="A95" s="334">
        <v>3</v>
      </c>
      <c r="B95" s="57" t="s">
        <v>45</v>
      </c>
      <c r="C95" s="58" t="s">
        <v>96</v>
      </c>
      <c r="D95" s="59">
        <f ca="1">D60*90%</f>
        <v>439.42500000000001</v>
      </c>
      <c r="F95" s="1"/>
    </row>
    <row r="96" spans="1:9" outlineLevel="2">
      <c r="A96" s="348">
        <v>3</v>
      </c>
      <c r="B96" s="349" t="s">
        <v>55</v>
      </c>
      <c r="C96" s="334" t="s">
        <v>3</v>
      </c>
      <c r="D96" s="44">
        <f>D92*D140</f>
        <v>379.12065295000002</v>
      </c>
    </row>
    <row r="97" spans="1:4" outlineLevel="1">
      <c r="A97" s="372" t="s">
        <v>69</v>
      </c>
      <c r="B97" s="373"/>
      <c r="C97" s="35" t="s">
        <v>3</v>
      </c>
      <c r="D97" s="36">
        <f>'Base (12p)NoVisN8'!D5</f>
        <v>2684.2529</v>
      </c>
    </row>
    <row r="98" spans="1:4" outlineLevel="2">
      <c r="A98" s="334">
        <v>1</v>
      </c>
      <c r="B98" s="56" t="s">
        <v>68</v>
      </c>
      <c r="C98" s="54" t="s">
        <v>3</v>
      </c>
      <c r="D98" s="55">
        <f>D97-D100-D99</f>
        <v>2375.5638165</v>
      </c>
    </row>
    <row r="99" spans="1:4" outlineLevel="2">
      <c r="A99" s="334">
        <v>2</v>
      </c>
      <c r="B99" s="27" t="s">
        <v>44</v>
      </c>
      <c r="C99" s="334" t="s">
        <v>3</v>
      </c>
      <c r="D99" s="44">
        <v>0</v>
      </c>
    </row>
    <row r="100" spans="1:4" outlineLevel="2">
      <c r="A100" s="334">
        <v>3</v>
      </c>
      <c r="B100" s="27" t="s">
        <v>55</v>
      </c>
      <c r="C100" s="334" t="s">
        <v>3</v>
      </c>
      <c r="D100" s="44">
        <f>D97*D140</f>
        <v>308.68908349999998</v>
      </c>
    </row>
    <row r="101" spans="1:4" outlineLevel="1">
      <c r="A101" s="361" t="s">
        <v>70</v>
      </c>
      <c r="B101" s="362"/>
      <c r="C101" s="35" t="s">
        <v>3</v>
      </c>
      <c r="D101" s="36">
        <f>'Base (12p)NoVisN8'!D6</f>
        <v>1983.87995</v>
      </c>
    </row>
    <row r="102" spans="1:4" outlineLevel="2">
      <c r="A102" s="334">
        <v>1</v>
      </c>
      <c r="B102" s="53" t="s">
        <v>68</v>
      </c>
      <c r="C102" s="54" t="s">
        <v>3</v>
      </c>
      <c r="D102" s="55">
        <f>D101-D104-D103</f>
        <v>1755.73375575</v>
      </c>
    </row>
    <row r="103" spans="1:4" outlineLevel="2">
      <c r="A103" s="334">
        <v>2</v>
      </c>
      <c r="B103" s="350" t="s">
        <v>45</v>
      </c>
      <c r="C103" s="334" t="s">
        <v>3</v>
      </c>
      <c r="D103" s="19">
        <v>0</v>
      </c>
    </row>
    <row r="104" spans="1:4" outlineLevel="2">
      <c r="A104" s="334">
        <v>3</v>
      </c>
      <c r="B104" s="350" t="s">
        <v>55</v>
      </c>
      <c r="C104" s="334" t="s">
        <v>3</v>
      </c>
      <c r="D104" s="44">
        <f>D101*D140</f>
        <v>228.14619425000001</v>
      </c>
    </row>
    <row r="105" spans="1:4" outlineLevel="1">
      <c r="A105" s="361" t="s">
        <v>71</v>
      </c>
      <c r="B105" s="362"/>
      <c r="C105" s="35" t="s">
        <v>3</v>
      </c>
      <c r="D105" s="36">
        <f>'Base (12p)NoVisN8'!D6</f>
        <v>1983.87995</v>
      </c>
    </row>
    <row r="106" spans="1:4" outlineLevel="2">
      <c r="A106" s="334">
        <v>1</v>
      </c>
      <c r="B106" s="53" t="s">
        <v>68</v>
      </c>
      <c r="C106" s="54" t="s">
        <v>3</v>
      </c>
      <c r="D106" s="55">
        <f>D105-D108-D107</f>
        <v>1755.73375575</v>
      </c>
    </row>
    <row r="107" spans="1:4" outlineLevel="2">
      <c r="A107" s="334">
        <v>2</v>
      </c>
      <c r="B107" s="350" t="s">
        <v>45</v>
      </c>
      <c r="C107" s="334" t="s">
        <v>3</v>
      </c>
      <c r="D107" s="19">
        <v>0</v>
      </c>
    </row>
    <row r="108" spans="1:4" outlineLevel="2">
      <c r="A108" s="334">
        <v>3</v>
      </c>
      <c r="B108" s="350" t="s">
        <v>55</v>
      </c>
      <c r="C108" s="334" t="s">
        <v>3</v>
      </c>
      <c r="D108" s="37">
        <f>D105*D140</f>
        <v>228.14619425000001</v>
      </c>
    </row>
    <row r="109" spans="1:4" outlineLevel="1">
      <c r="A109" s="361" t="s">
        <v>72</v>
      </c>
      <c r="B109" s="362"/>
      <c r="C109" s="35" t="s">
        <v>3</v>
      </c>
      <c r="D109" s="36">
        <f>'Base (12p)NoVisN8'!D6</f>
        <v>1983.87995</v>
      </c>
    </row>
    <row r="110" spans="1:4" outlineLevel="2">
      <c r="A110" s="334">
        <v>1</v>
      </c>
      <c r="B110" s="53" t="s">
        <v>68</v>
      </c>
      <c r="C110" s="54" t="s">
        <v>3</v>
      </c>
      <c r="D110" s="55">
        <f>D109-D112-D111</f>
        <v>1755.73375575</v>
      </c>
    </row>
    <row r="111" spans="1:4" outlineLevel="2">
      <c r="A111" s="334">
        <v>2</v>
      </c>
      <c r="B111" s="350" t="s">
        <v>45</v>
      </c>
      <c r="C111" s="334" t="s">
        <v>3</v>
      </c>
      <c r="D111" s="19">
        <v>0</v>
      </c>
    </row>
    <row r="112" spans="1:4" outlineLevel="2">
      <c r="A112" s="334">
        <v>3</v>
      </c>
      <c r="B112" s="350" t="s">
        <v>55</v>
      </c>
      <c r="C112" s="334" t="s">
        <v>3</v>
      </c>
      <c r="D112" s="37">
        <f>D109*D140</f>
        <v>228.14619425000001</v>
      </c>
    </row>
    <row r="113" spans="1:4" outlineLevel="1">
      <c r="A113" s="361" t="s">
        <v>73</v>
      </c>
      <c r="B113" s="362"/>
      <c r="C113" s="35" t="s">
        <v>3</v>
      </c>
      <c r="D113" s="36">
        <f>'Base (12p)NoVisN8'!D6</f>
        <v>1983.87995</v>
      </c>
    </row>
    <row r="114" spans="1:4" outlineLevel="2">
      <c r="A114" s="334">
        <v>1</v>
      </c>
      <c r="B114" s="53" t="s">
        <v>68</v>
      </c>
      <c r="C114" s="54" t="s">
        <v>3</v>
      </c>
      <c r="D114" s="55">
        <f>D113-D116-D115</f>
        <v>1755.73375575</v>
      </c>
    </row>
    <row r="115" spans="1:4" outlineLevel="2">
      <c r="A115" s="334">
        <v>2</v>
      </c>
      <c r="B115" s="350" t="s">
        <v>45</v>
      </c>
      <c r="C115" s="334" t="s">
        <v>3</v>
      </c>
      <c r="D115" s="19">
        <v>0</v>
      </c>
    </row>
    <row r="116" spans="1:4" outlineLevel="2">
      <c r="A116" s="334">
        <v>3</v>
      </c>
      <c r="B116" s="350" t="s">
        <v>55</v>
      </c>
      <c r="C116" s="334" t="s">
        <v>3</v>
      </c>
      <c r="D116" s="37">
        <f>D113*D140</f>
        <v>228.14619425000001</v>
      </c>
    </row>
    <row r="117" spans="1:4" outlineLevel="1">
      <c r="A117" s="361" t="s">
        <v>74</v>
      </c>
      <c r="B117" s="362"/>
      <c r="C117" s="35" t="s">
        <v>3</v>
      </c>
      <c r="D117" s="36">
        <f>'Base (12p)NoVisN8'!D6</f>
        <v>1983.87995</v>
      </c>
    </row>
    <row r="118" spans="1:4" outlineLevel="2">
      <c r="A118" s="334">
        <v>1</v>
      </c>
      <c r="B118" s="53" t="s">
        <v>68</v>
      </c>
      <c r="C118" s="54" t="s">
        <v>3</v>
      </c>
      <c r="D118" s="55">
        <f>D117-D120-D119</f>
        <v>1755.73375575</v>
      </c>
    </row>
    <row r="119" spans="1:4" outlineLevel="2">
      <c r="A119" s="334">
        <v>2</v>
      </c>
      <c r="B119" s="350" t="s">
        <v>45</v>
      </c>
      <c r="C119" s="334" t="s">
        <v>3</v>
      </c>
      <c r="D119" s="19">
        <v>0</v>
      </c>
    </row>
    <row r="120" spans="1:4" outlineLevel="2">
      <c r="A120" s="334">
        <v>3</v>
      </c>
      <c r="B120" s="350" t="s">
        <v>55</v>
      </c>
      <c r="C120" s="334" t="s">
        <v>3</v>
      </c>
      <c r="D120" s="37">
        <f>D117*D140</f>
        <v>228.14619425000001</v>
      </c>
    </row>
    <row r="121" spans="1:4" outlineLevel="1">
      <c r="A121" s="361" t="s">
        <v>87</v>
      </c>
      <c r="B121" s="362"/>
      <c r="C121" s="35" t="s">
        <v>3</v>
      </c>
      <c r="D121" s="36">
        <f>'Base (12p)NoVisN8'!D6</f>
        <v>1983.87995</v>
      </c>
    </row>
    <row r="122" spans="1:4" outlineLevel="2">
      <c r="A122" s="334">
        <v>1</v>
      </c>
      <c r="B122" s="53" t="s">
        <v>68</v>
      </c>
      <c r="C122" s="54" t="s">
        <v>3</v>
      </c>
      <c r="D122" s="55">
        <f>D121-D124-D123</f>
        <v>1755.73375575</v>
      </c>
    </row>
    <row r="123" spans="1:4" outlineLevel="2">
      <c r="A123" s="334">
        <v>2</v>
      </c>
      <c r="B123" s="350" t="s">
        <v>45</v>
      </c>
      <c r="C123" s="334" t="s">
        <v>3</v>
      </c>
      <c r="D123" s="19">
        <v>0</v>
      </c>
    </row>
    <row r="124" spans="1:4" outlineLevel="2">
      <c r="A124" s="334">
        <v>3</v>
      </c>
      <c r="B124" s="350" t="s">
        <v>55</v>
      </c>
      <c r="C124" s="334" t="s">
        <v>3</v>
      </c>
      <c r="D124" s="37">
        <f>D121*D140</f>
        <v>228.14619425000001</v>
      </c>
    </row>
    <row r="125" spans="1:4" outlineLevel="1">
      <c r="A125" s="361" t="s">
        <v>88</v>
      </c>
      <c r="B125" s="362"/>
      <c r="C125" s="35" t="s">
        <v>3</v>
      </c>
      <c r="D125" s="36">
        <f>'Base (12p)NoVisN8'!D6</f>
        <v>1983.87995</v>
      </c>
    </row>
    <row r="126" spans="1:4" outlineLevel="2">
      <c r="A126" s="334">
        <v>1</v>
      </c>
      <c r="B126" s="53" t="s">
        <v>68</v>
      </c>
      <c r="C126" s="54" t="s">
        <v>3</v>
      </c>
      <c r="D126" s="55">
        <f>D125-D128-D127</f>
        <v>1755.73375575</v>
      </c>
    </row>
    <row r="127" spans="1:4" outlineLevel="2">
      <c r="A127" s="334">
        <v>2</v>
      </c>
      <c r="B127" s="350" t="s">
        <v>45</v>
      </c>
      <c r="C127" s="334" t="s">
        <v>3</v>
      </c>
      <c r="D127" s="19">
        <v>0</v>
      </c>
    </row>
    <row r="128" spans="1:4" outlineLevel="2">
      <c r="A128" s="334">
        <v>3</v>
      </c>
      <c r="B128" s="350" t="s">
        <v>55</v>
      </c>
      <c r="C128" s="334" t="s">
        <v>3</v>
      </c>
      <c r="D128" s="37">
        <f>D125*D140</f>
        <v>228.14619425000001</v>
      </c>
    </row>
    <row r="129" spans="1:12" outlineLevel="1">
      <c r="A129" s="361" t="s">
        <v>89</v>
      </c>
      <c r="B129" s="362"/>
      <c r="C129" s="35" t="s">
        <v>3</v>
      </c>
      <c r="D129" s="36">
        <f>'Base (12p)NoVisN8'!D6</f>
        <v>1983.87995</v>
      </c>
    </row>
    <row r="130" spans="1:12" outlineLevel="2">
      <c r="A130" s="334">
        <v>1</v>
      </c>
      <c r="B130" s="53" t="s">
        <v>68</v>
      </c>
      <c r="C130" s="54" t="s">
        <v>3</v>
      </c>
      <c r="D130" s="55">
        <f>D129-D132-D131</f>
        <v>1755.73375575</v>
      </c>
    </row>
    <row r="131" spans="1:12" outlineLevel="2">
      <c r="A131" s="334">
        <v>2</v>
      </c>
      <c r="B131" s="350" t="s">
        <v>45</v>
      </c>
      <c r="C131" s="334" t="s">
        <v>3</v>
      </c>
      <c r="D131" s="19">
        <v>0</v>
      </c>
    </row>
    <row r="132" spans="1:12" outlineLevel="2">
      <c r="A132" s="334">
        <v>3</v>
      </c>
      <c r="B132" s="350" t="s">
        <v>55</v>
      </c>
      <c r="C132" s="334" t="s">
        <v>3</v>
      </c>
      <c r="D132" s="37">
        <f>D129*D140</f>
        <v>228.14619425000001</v>
      </c>
      <c r="E132" s="48"/>
    </row>
    <row r="133" spans="1:12" outlineLevel="1">
      <c r="A133" s="361" t="s">
        <v>90</v>
      </c>
      <c r="B133" s="362"/>
      <c r="C133" s="35" t="s">
        <v>3</v>
      </c>
      <c r="D133" s="36">
        <f>'Base (12p)NoVisN8'!D6</f>
        <v>1983.87995</v>
      </c>
      <c r="E133" s="48"/>
      <c r="F133" s="284"/>
      <c r="G133" s="284"/>
      <c r="H133" s="286"/>
    </row>
    <row r="134" spans="1:12" outlineLevel="2">
      <c r="A134" s="334">
        <v>1</v>
      </c>
      <c r="B134" s="53" t="s">
        <v>68</v>
      </c>
      <c r="C134" s="54" t="s">
        <v>3</v>
      </c>
      <c r="D134" s="55">
        <f>D133-D136-D135</f>
        <v>1755.73375575</v>
      </c>
      <c r="F134" s="351"/>
      <c r="G134" s="352"/>
      <c r="H134" s="353"/>
      <c r="I134" s="354"/>
      <c r="J134" s="354"/>
      <c r="K134" s="354"/>
    </row>
    <row r="135" spans="1:12" outlineLevel="2">
      <c r="A135" s="334">
        <v>2</v>
      </c>
      <c r="B135" s="350" t="s">
        <v>45</v>
      </c>
      <c r="C135" s="334" t="s">
        <v>3</v>
      </c>
      <c r="D135" s="19">
        <v>0</v>
      </c>
    </row>
    <row r="136" spans="1:12" outlineLevel="2">
      <c r="A136" s="334">
        <v>3</v>
      </c>
      <c r="B136" s="350" t="s">
        <v>55</v>
      </c>
      <c r="C136" s="334" t="s">
        <v>3</v>
      </c>
      <c r="D136" s="37">
        <f>D133*D140</f>
        <v>228.14619425000001</v>
      </c>
      <c r="F136" s="287" t="s">
        <v>170</v>
      </c>
      <c r="G136" t="s">
        <v>171</v>
      </c>
      <c r="H136" t="s">
        <v>172</v>
      </c>
      <c r="J136" s="283" t="s">
        <v>55</v>
      </c>
      <c r="K136" t="s">
        <v>171</v>
      </c>
      <c r="L136" t="s">
        <v>172</v>
      </c>
    </row>
    <row r="137" spans="1:12" outlineLevel="1">
      <c r="A137" s="363" t="s">
        <v>82</v>
      </c>
      <c r="B137" s="364"/>
      <c r="C137" s="61" t="s">
        <v>3</v>
      </c>
      <c r="D137" s="62">
        <f ca="1">D118+D114+D110+D106+D102+D98+D93+D122+D126+D130+D134</f>
        <v>19564.016625299999</v>
      </c>
      <c r="E137" s="48"/>
      <c r="F137" s="284">
        <f ca="1">D137-SUM(F52:F53)</f>
        <v>34.01662529999885</v>
      </c>
      <c r="G137" s="284">
        <f ca="1">F137*E52</f>
        <v>0</v>
      </c>
      <c r="H137" s="286">
        <f ca="1">F137*E53</f>
        <v>34.01662529999885</v>
      </c>
      <c r="J137" s="284">
        <f ca="1">D139*(D137/SUM(D137:D138))</f>
        <v>2878.8162839012502</v>
      </c>
      <c r="K137" s="285">
        <f ca="1">J137*E52</f>
        <v>0</v>
      </c>
      <c r="L137" s="285">
        <f ca="1">J137*E53</f>
        <v>2878.8162839012502</v>
      </c>
    </row>
    <row r="138" spans="1:12" outlineLevel="1">
      <c r="A138" s="365" t="s">
        <v>83</v>
      </c>
      <c r="B138" s="366"/>
      <c r="C138" s="38" t="s">
        <v>3</v>
      </c>
      <c r="D138" s="39">
        <f ca="1">D87</f>
        <v>1640.7221603538462</v>
      </c>
      <c r="E138" s="48"/>
      <c r="F138" s="284"/>
      <c r="G138" s="284"/>
      <c r="H138" s="286"/>
      <c r="J138" s="284">
        <f ca="1">D139*(D138/SUM(D137:D138))</f>
        <v>241.42985374874993</v>
      </c>
      <c r="K138" s="284"/>
      <c r="L138" s="286"/>
    </row>
    <row r="139" spans="1:12" outlineLevel="1">
      <c r="A139" s="367" t="s">
        <v>38</v>
      </c>
      <c r="B139" s="368"/>
      <c r="C139" s="40" t="s">
        <v>3</v>
      </c>
      <c r="D139" s="41">
        <f>D120+D116+D112+D108+D104+D100+D96+D91+D124+D128+D132+D136</f>
        <v>3120.24613765</v>
      </c>
      <c r="F139" s="351"/>
      <c r="G139" s="352"/>
      <c r="H139" s="353"/>
      <c r="I139" s="354"/>
      <c r="J139" s="354"/>
      <c r="K139" s="354"/>
    </row>
    <row r="140" spans="1:12" outlineLevel="1">
      <c r="A140" s="369"/>
      <c r="B140" s="370"/>
      <c r="C140" s="42" t="s">
        <v>10</v>
      </c>
      <c r="D140" s="43">
        <v>0.115</v>
      </c>
    </row>
  </sheetData>
  <mergeCells count="84">
    <mergeCell ref="A133:B133"/>
    <mergeCell ref="A137:B137"/>
    <mergeCell ref="A138:B138"/>
    <mergeCell ref="A139:B140"/>
    <mergeCell ref="A109:B109"/>
    <mergeCell ref="A113:B113"/>
    <mergeCell ref="A117:B117"/>
    <mergeCell ref="A121:B121"/>
    <mergeCell ref="A125:B125"/>
    <mergeCell ref="A129:B129"/>
    <mergeCell ref="A85:D85"/>
    <mergeCell ref="A86:B86"/>
    <mergeCell ref="A92:B92"/>
    <mergeCell ref="A97:B97"/>
    <mergeCell ref="A101:B101"/>
    <mergeCell ref="A105:B105"/>
    <mergeCell ref="A78:B78"/>
    <mergeCell ref="A79:A80"/>
    <mergeCell ref="B79:B80"/>
    <mergeCell ref="A81:A82"/>
    <mergeCell ref="B81:B82"/>
    <mergeCell ref="A83:A84"/>
    <mergeCell ref="B83:B84"/>
    <mergeCell ref="A70:A71"/>
    <mergeCell ref="B70:B71"/>
    <mergeCell ref="A72:D72"/>
    <mergeCell ref="A74:D74"/>
    <mergeCell ref="A75:B75"/>
    <mergeCell ref="A76:A77"/>
    <mergeCell ref="B76:B77"/>
    <mergeCell ref="A50:B50"/>
    <mergeCell ref="A54:D54"/>
    <mergeCell ref="A59:D59"/>
    <mergeCell ref="A67:D67"/>
    <mergeCell ref="A68:A69"/>
    <mergeCell ref="B68:B69"/>
    <mergeCell ref="A42:B42"/>
    <mergeCell ref="A43:B43"/>
    <mergeCell ref="A44:B44"/>
    <mergeCell ref="A45:B45"/>
    <mergeCell ref="A46:B47"/>
    <mergeCell ref="A48:B49"/>
    <mergeCell ref="A36:B36"/>
    <mergeCell ref="A37:B37"/>
    <mergeCell ref="A38:B38"/>
    <mergeCell ref="A39:B39"/>
    <mergeCell ref="A40:B40"/>
    <mergeCell ref="A41:B41"/>
    <mergeCell ref="A31:B31"/>
    <mergeCell ref="A32:B32"/>
    <mergeCell ref="C32:D32"/>
    <mergeCell ref="A33:D33"/>
    <mergeCell ref="A34:B34"/>
    <mergeCell ref="A35:B35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C17:D17"/>
    <mergeCell ref="A18:D18"/>
    <mergeCell ref="A8:B8"/>
    <mergeCell ref="A9:B9"/>
    <mergeCell ref="A10:B10"/>
    <mergeCell ref="A11:B11"/>
    <mergeCell ref="A12:B12"/>
    <mergeCell ref="A13:B13"/>
    <mergeCell ref="A1:D1"/>
    <mergeCell ref="A2:D2"/>
    <mergeCell ref="A4:D4"/>
    <mergeCell ref="A5:B5"/>
    <mergeCell ref="A6:B6"/>
    <mergeCell ref="A7:B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E6673-F702-4BF0-8CD0-ED8B27A3D904}">
  <dimension ref="A1:F57"/>
  <sheetViews>
    <sheetView topLeftCell="A25" workbookViewId="0">
      <selection activeCell="F7" sqref="F7"/>
    </sheetView>
  </sheetViews>
  <sheetFormatPr baseColWidth="10" defaultRowHeight="14.4"/>
  <cols>
    <col min="1" max="1" width="28.6640625" customWidth="1"/>
    <col min="4" max="4" width="17.109375" customWidth="1"/>
    <col min="5" max="5" width="15.44140625" customWidth="1"/>
    <col min="6" max="6" width="18.44140625" customWidth="1"/>
  </cols>
  <sheetData>
    <row r="1" spans="1:6">
      <c r="A1" s="420" t="s">
        <v>41</v>
      </c>
      <c r="B1" s="421"/>
      <c r="C1" s="421"/>
      <c r="D1" s="421"/>
      <c r="E1" s="421"/>
      <c r="F1" s="422"/>
    </row>
    <row r="2" spans="1:6">
      <c r="A2" s="423" t="s">
        <v>25</v>
      </c>
      <c r="B2" s="420" t="s">
        <v>24</v>
      </c>
      <c r="C2" s="422"/>
      <c r="D2" s="321" t="s">
        <v>26</v>
      </c>
      <c r="E2" s="417" t="s">
        <v>20</v>
      </c>
      <c r="F2" s="419"/>
    </row>
    <row r="3" spans="1:6">
      <c r="A3" s="424"/>
      <c r="B3" s="425" t="s">
        <v>1</v>
      </c>
      <c r="C3" s="426"/>
      <c r="D3" s="322" t="s">
        <v>3</v>
      </c>
      <c r="E3" s="3"/>
      <c r="F3" s="322" t="s">
        <v>3</v>
      </c>
    </row>
    <row r="4" spans="1:6">
      <c r="A4" s="355" t="s">
        <v>93</v>
      </c>
      <c r="B4" s="413">
        <v>2</v>
      </c>
      <c r="C4" s="414"/>
      <c r="D4" s="7">
        <v>3296.7013299999999</v>
      </c>
      <c r="E4" s="356" t="s">
        <v>8</v>
      </c>
      <c r="F4" s="357">
        <f>+D4*B4</f>
        <v>6593.4026599999997</v>
      </c>
    </row>
    <row r="5" spans="1:6">
      <c r="A5" s="355" t="s">
        <v>69</v>
      </c>
      <c r="B5" s="413">
        <v>1</v>
      </c>
      <c r="C5" s="414"/>
      <c r="D5" s="7">
        <f>D4-612.44843</f>
        <v>2684.2529</v>
      </c>
      <c r="E5" s="356" t="s">
        <v>8</v>
      </c>
      <c r="F5" s="357">
        <f>+D5*B5</f>
        <v>2684.2529</v>
      </c>
    </row>
    <row r="6" spans="1:6">
      <c r="A6" s="358" t="s">
        <v>91</v>
      </c>
      <c r="B6" s="413">
        <v>9</v>
      </c>
      <c r="C6" s="414"/>
      <c r="D6" s="7">
        <f>2596.32838-612.44843</f>
        <v>1983.87995</v>
      </c>
      <c r="E6" s="356" t="s">
        <v>8</v>
      </c>
      <c r="F6" s="357">
        <f>D6*B6</f>
        <v>17854.919549999999</v>
      </c>
    </row>
    <row r="7" spans="1:6">
      <c r="A7" s="358" t="s">
        <v>2</v>
      </c>
      <c r="B7" s="415">
        <f>SUM(B4:B6)</f>
        <v>12</v>
      </c>
      <c r="C7" s="416"/>
      <c r="D7" s="4" t="s">
        <v>0</v>
      </c>
      <c r="E7" s="321" t="s">
        <v>8</v>
      </c>
      <c r="F7" s="5">
        <f>SUM(F4:F6)</f>
        <v>27132.575109999998</v>
      </c>
    </row>
    <row r="9" spans="1:6">
      <c r="A9" s="417" t="s">
        <v>40</v>
      </c>
      <c r="B9" s="418"/>
      <c r="C9" s="418"/>
      <c r="D9" s="418"/>
      <c r="E9" s="418"/>
      <c r="F9" s="419"/>
    </row>
    <row r="10" spans="1:6">
      <c r="A10" s="326" t="s">
        <v>16</v>
      </c>
      <c r="B10" s="12" t="s">
        <v>19</v>
      </c>
      <c r="C10" s="417" t="s">
        <v>18</v>
      </c>
      <c r="D10" s="419"/>
      <c r="E10" s="417" t="s">
        <v>20</v>
      </c>
      <c r="F10" s="419"/>
    </row>
    <row r="11" spans="1:6">
      <c r="A11" s="324" t="s">
        <v>1</v>
      </c>
      <c r="B11" s="11" t="s">
        <v>3</v>
      </c>
      <c r="C11" s="411" t="s">
        <v>1</v>
      </c>
      <c r="D11" s="412"/>
      <c r="E11" s="324"/>
      <c r="F11" s="325" t="s">
        <v>3</v>
      </c>
    </row>
    <row r="12" spans="1:6">
      <c r="A12" s="10">
        <v>1</v>
      </c>
      <c r="B12" s="8">
        <v>45.6</v>
      </c>
      <c r="C12" s="407">
        <v>1</v>
      </c>
      <c r="D12" s="408"/>
      <c r="E12" s="356" t="s">
        <v>8</v>
      </c>
      <c r="F12" s="359">
        <f>C12*B12</f>
        <v>45.6</v>
      </c>
    </row>
    <row r="13" spans="1:6">
      <c r="A13" s="10">
        <v>2</v>
      </c>
      <c r="B13" s="8">
        <v>61.3</v>
      </c>
      <c r="C13" s="407">
        <v>3</v>
      </c>
      <c r="D13" s="408"/>
      <c r="E13" s="356" t="s">
        <v>8</v>
      </c>
      <c r="F13" s="359">
        <f t="shared" ref="F13:F39" si="0">C13*B13</f>
        <v>183.89999999999998</v>
      </c>
    </row>
    <row r="14" spans="1:6">
      <c r="A14" s="10">
        <v>3</v>
      </c>
      <c r="B14" s="8">
        <v>86</v>
      </c>
      <c r="C14" s="407">
        <v>2</v>
      </c>
      <c r="D14" s="408"/>
      <c r="E14" s="356" t="s">
        <v>8</v>
      </c>
      <c r="F14" s="359">
        <f t="shared" si="0"/>
        <v>172</v>
      </c>
    </row>
    <row r="15" spans="1:6">
      <c r="A15" s="10">
        <v>4</v>
      </c>
      <c r="B15" s="8">
        <v>109.9</v>
      </c>
      <c r="C15" s="407">
        <v>2</v>
      </c>
      <c r="D15" s="408"/>
      <c r="E15" s="356" t="s">
        <v>8</v>
      </c>
      <c r="F15" s="359">
        <f t="shared" si="0"/>
        <v>219.8</v>
      </c>
    </row>
    <row r="16" spans="1:6">
      <c r="A16" s="10">
        <v>5</v>
      </c>
      <c r="B16" s="8">
        <v>138.9</v>
      </c>
      <c r="C16" s="407">
        <v>1</v>
      </c>
      <c r="D16" s="408"/>
      <c r="E16" s="356" t="s">
        <v>8</v>
      </c>
      <c r="F16" s="359">
        <f t="shared" si="0"/>
        <v>138.9</v>
      </c>
    </row>
    <row r="17" spans="1:6">
      <c r="A17" s="9">
        <v>6</v>
      </c>
      <c r="B17" s="8">
        <v>139.6</v>
      </c>
      <c r="C17" s="407">
        <v>2</v>
      </c>
      <c r="D17" s="408"/>
      <c r="E17" s="356" t="s">
        <v>8</v>
      </c>
      <c r="F17" s="359">
        <f t="shared" si="0"/>
        <v>279.2</v>
      </c>
    </row>
    <row r="18" spans="1:6">
      <c r="A18" s="9">
        <v>7</v>
      </c>
      <c r="B18" s="8">
        <v>123</v>
      </c>
      <c r="C18" s="407">
        <v>2</v>
      </c>
      <c r="D18" s="408"/>
      <c r="E18" s="356" t="s">
        <v>8</v>
      </c>
      <c r="F18" s="359">
        <f t="shared" si="0"/>
        <v>246</v>
      </c>
    </row>
    <row r="19" spans="1:6">
      <c r="A19" s="10">
        <v>8</v>
      </c>
      <c r="B19" s="8">
        <v>67</v>
      </c>
      <c r="C19" s="407">
        <v>2</v>
      </c>
      <c r="D19" s="408"/>
      <c r="E19" s="356" t="s">
        <v>8</v>
      </c>
      <c r="F19" s="359">
        <f t="shared" si="0"/>
        <v>134</v>
      </c>
    </row>
    <row r="20" spans="1:6">
      <c r="A20" s="9">
        <v>9</v>
      </c>
      <c r="B20" s="8">
        <v>125.6</v>
      </c>
      <c r="C20" s="407">
        <v>3</v>
      </c>
      <c r="D20" s="408"/>
      <c r="E20" s="356" t="s">
        <v>8</v>
      </c>
      <c r="F20" s="359">
        <f t="shared" si="0"/>
        <v>376.79999999999995</v>
      </c>
    </row>
    <row r="21" spans="1:6">
      <c r="A21" s="9">
        <v>10</v>
      </c>
      <c r="B21" s="8">
        <v>170.9</v>
      </c>
      <c r="C21" s="407">
        <v>3</v>
      </c>
      <c r="D21" s="408"/>
      <c r="E21" s="356" t="s">
        <v>8</v>
      </c>
      <c r="F21" s="359">
        <f t="shared" si="0"/>
        <v>512.70000000000005</v>
      </c>
    </row>
    <row r="22" spans="1:6">
      <c r="A22" s="9">
        <v>11</v>
      </c>
      <c r="B22" s="8">
        <v>171</v>
      </c>
      <c r="C22" s="407">
        <v>1</v>
      </c>
      <c r="D22" s="408"/>
      <c r="E22" s="356" t="s">
        <v>8</v>
      </c>
      <c r="F22" s="359">
        <f t="shared" si="0"/>
        <v>171</v>
      </c>
    </row>
    <row r="23" spans="1:6">
      <c r="A23" s="10">
        <v>12</v>
      </c>
      <c r="B23" s="8">
        <v>170.8</v>
      </c>
      <c r="C23" s="407">
        <v>2</v>
      </c>
      <c r="D23" s="408"/>
      <c r="E23" s="356" t="s">
        <v>8</v>
      </c>
      <c r="F23" s="359">
        <f t="shared" si="0"/>
        <v>341.6</v>
      </c>
    </row>
    <row r="24" spans="1:6">
      <c r="A24" s="9">
        <v>13</v>
      </c>
      <c r="B24" s="8">
        <v>170.8</v>
      </c>
      <c r="C24" s="407">
        <v>4</v>
      </c>
      <c r="D24" s="408"/>
      <c r="E24" s="356" t="s">
        <v>8</v>
      </c>
      <c r="F24" s="359">
        <f t="shared" si="0"/>
        <v>683.2</v>
      </c>
    </row>
    <row r="25" spans="1:6">
      <c r="A25" s="9">
        <v>14</v>
      </c>
      <c r="B25" s="8">
        <v>85.5</v>
      </c>
      <c r="C25" s="407">
        <v>1</v>
      </c>
      <c r="D25" s="408"/>
      <c r="E25" s="356" t="s">
        <v>8</v>
      </c>
      <c r="F25" s="359">
        <f t="shared" si="0"/>
        <v>85.5</v>
      </c>
    </row>
    <row r="26" spans="1:6">
      <c r="A26" s="9">
        <v>15</v>
      </c>
      <c r="B26" s="8">
        <v>85.5</v>
      </c>
      <c r="C26" s="407">
        <v>1</v>
      </c>
      <c r="D26" s="408"/>
      <c r="E26" s="356" t="s">
        <v>8</v>
      </c>
      <c r="F26" s="359">
        <f t="shared" si="0"/>
        <v>85.5</v>
      </c>
    </row>
    <row r="27" spans="1:6">
      <c r="A27" s="10">
        <v>16</v>
      </c>
      <c r="B27" s="8">
        <v>170.8</v>
      </c>
      <c r="C27" s="407">
        <v>3</v>
      </c>
      <c r="D27" s="408"/>
      <c r="E27" s="356" t="s">
        <v>8</v>
      </c>
      <c r="F27" s="359">
        <f t="shared" si="0"/>
        <v>512.40000000000009</v>
      </c>
    </row>
    <row r="28" spans="1:6">
      <c r="A28" s="9">
        <v>17</v>
      </c>
      <c r="B28" s="8">
        <v>61</v>
      </c>
      <c r="C28" s="407">
        <v>1</v>
      </c>
      <c r="D28" s="408"/>
      <c r="E28" s="356" t="s">
        <v>8</v>
      </c>
      <c r="F28" s="359">
        <f t="shared" si="0"/>
        <v>61</v>
      </c>
    </row>
    <row r="29" spans="1:6">
      <c r="A29" s="9">
        <v>18</v>
      </c>
      <c r="B29" s="8">
        <v>170.9</v>
      </c>
      <c r="C29" s="407">
        <v>2</v>
      </c>
      <c r="D29" s="408"/>
      <c r="E29" s="356" t="s">
        <v>8</v>
      </c>
      <c r="F29" s="359">
        <f t="shared" si="0"/>
        <v>341.8</v>
      </c>
    </row>
    <row r="30" spans="1:6">
      <c r="A30" s="9">
        <v>19</v>
      </c>
      <c r="B30" s="8">
        <v>131</v>
      </c>
      <c r="C30" s="407">
        <v>2</v>
      </c>
      <c r="D30" s="408"/>
      <c r="E30" s="356" t="s">
        <v>8</v>
      </c>
      <c r="F30" s="359">
        <f t="shared" si="0"/>
        <v>262</v>
      </c>
    </row>
    <row r="31" spans="1:6">
      <c r="A31" s="10">
        <v>20</v>
      </c>
      <c r="B31" s="8">
        <v>65.900000000000006</v>
      </c>
      <c r="C31" s="407">
        <v>2</v>
      </c>
      <c r="D31" s="408"/>
      <c r="E31" s="356" t="s">
        <v>8</v>
      </c>
      <c r="F31" s="359">
        <f t="shared" si="0"/>
        <v>131.80000000000001</v>
      </c>
    </row>
    <row r="32" spans="1:6">
      <c r="A32" s="9">
        <v>21</v>
      </c>
      <c r="B32" s="8">
        <v>21.9</v>
      </c>
      <c r="C32" s="407">
        <v>2</v>
      </c>
      <c r="D32" s="408"/>
      <c r="E32" s="356" t="s">
        <v>8</v>
      </c>
      <c r="F32" s="359">
        <f t="shared" si="0"/>
        <v>43.8</v>
      </c>
    </row>
    <row r="33" spans="1:6">
      <c r="A33" s="9">
        <v>22</v>
      </c>
      <c r="B33" s="8">
        <v>21.9</v>
      </c>
      <c r="C33" s="407">
        <v>3</v>
      </c>
      <c r="D33" s="408"/>
      <c r="E33" s="356" t="s">
        <v>8</v>
      </c>
      <c r="F33" s="359">
        <f t="shared" si="0"/>
        <v>65.699999999999989</v>
      </c>
    </row>
    <row r="34" spans="1:6">
      <c r="A34" s="9">
        <v>23</v>
      </c>
      <c r="B34" s="8">
        <v>22</v>
      </c>
      <c r="C34" s="407">
        <v>2</v>
      </c>
      <c r="D34" s="408"/>
      <c r="E34" s="356" t="s">
        <v>8</v>
      </c>
      <c r="F34" s="359">
        <f t="shared" si="0"/>
        <v>44</v>
      </c>
    </row>
    <row r="35" spans="1:6">
      <c r="A35" s="10">
        <v>24</v>
      </c>
      <c r="B35" s="8">
        <v>102.5</v>
      </c>
      <c r="C35" s="407">
        <v>1</v>
      </c>
      <c r="D35" s="408"/>
      <c r="E35" s="356" t="s">
        <v>8</v>
      </c>
      <c r="F35" s="359">
        <f t="shared" si="0"/>
        <v>102.5</v>
      </c>
    </row>
    <row r="36" spans="1:6">
      <c r="A36" s="9">
        <v>25</v>
      </c>
      <c r="B36" s="8">
        <v>102.6</v>
      </c>
      <c r="C36" s="407">
        <v>2</v>
      </c>
      <c r="D36" s="408"/>
      <c r="E36" s="356" t="s">
        <v>8</v>
      </c>
      <c r="F36" s="359">
        <f t="shared" si="0"/>
        <v>205.2</v>
      </c>
    </row>
    <row r="37" spans="1:6">
      <c r="A37" s="9">
        <v>26</v>
      </c>
      <c r="B37" s="8">
        <v>142.4</v>
      </c>
      <c r="C37" s="407">
        <v>1</v>
      </c>
      <c r="D37" s="408"/>
      <c r="E37" s="356" t="s">
        <v>8</v>
      </c>
      <c r="F37" s="359">
        <f t="shared" si="0"/>
        <v>142.4</v>
      </c>
    </row>
    <row r="38" spans="1:6">
      <c r="A38" s="9">
        <v>27</v>
      </c>
      <c r="B38" s="8">
        <v>142.5</v>
      </c>
      <c r="C38" s="407">
        <v>2</v>
      </c>
      <c r="D38" s="408"/>
      <c r="E38" s="356" t="s">
        <v>8</v>
      </c>
      <c r="F38" s="359">
        <f t="shared" si="0"/>
        <v>285</v>
      </c>
    </row>
    <row r="39" spans="1:6">
      <c r="A39" s="10">
        <v>28</v>
      </c>
      <c r="B39" s="8">
        <v>102.6</v>
      </c>
      <c r="C39" s="407">
        <v>3</v>
      </c>
      <c r="D39" s="408"/>
      <c r="E39" s="356" t="s">
        <v>8</v>
      </c>
      <c r="F39" s="359">
        <f t="shared" si="0"/>
        <v>307.79999999999995</v>
      </c>
    </row>
    <row r="40" spans="1:6">
      <c r="A40" s="9">
        <v>29</v>
      </c>
      <c r="B40" s="8">
        <v>102.5</v>
      </c>
      <c r="C40" s="407">
        <v>1</v>
      </c>
      <c r="D40" s="408"/>
      <c r="E40" s="356" t="s">
        <v>8</v>
      </c>
      <c r="F40" s="359">
        <f>C40*B40</f>
        <v>102.5</v>
      </c>
    </row>
    <row r="41" spans="1:6">
      <c r="A41" s="9">
        <v>30</v>
      </c>
      <c r="B41" s="8">
        <v>65.900000000000006</v>
      </c>
      <c r="C41" s="407">
        <v>2</v>
      </c>
      <c r="D41" s="408"/>
      <c r="E41" s="356" t="s">
        <v>8</v>
      </c>
      <c r="F41" s="359">
        <f t="shared" ref="F41:F56" si="1">C41*B41</f>
        <v>131.80000000000001</v>
      </c>
    </row>
    <row r="42" spans="1:6">
      <c r="A42" s="9">
        <v>31</v>
      </c>
      <c r="B42" s="8">
        <v>65.900000000000006</v>
      </c>
      <c r="C42" s="407">
        <v>2</v>
      </c>
      <c r="D42" s="408"/>
      <c r="E42" s="356" t="s">
        <v>17</v>
      </c>
      <c r="F42" s="359">
        <f t="shared" si="1"/>
        <v>131.80000000000001</v>
      </c>
    </row>
    <row r="43" spans="1:6">
      <c r="A43" s="9">
        <v>32</v>
      </c>
      <c r="B43" s="8">
        <v>131</v>
      </c>
      <c r="C43" s="407">
        <v>2</v>
      </c>
      <c r="D43" s="408"/>
      <c r="E43" s="356" t="s">
        <v>8</v>
      </c>
      <c r="F43" s="359">
        <f t="shared" si="1"/>
        <v>262</v>
      </c>
    </row>
    <row r="44" spans="1:6">
      <c r="A44" s="9">
        <v>33</v>
      </c>
      <c r="B44" s="8">
        <v>170.9</v>
      </c>
      <c r="C44" s="407">
        <v>3</v>
      </c>
      <c r="D44" s="408"/>
      <c r="E44" s="356" t="s">
        <v>8</v>
      </c>
      <c r="F44" s="359">
        <f t="shared" si="1"/>
        <v>512.70000000000005</v>
      </c>
    </row>
    <row r="45" spans="1:6">
      <c r="A45" s="9">
        <v>34</v>
      </c>
      <c r="B45" s="8">
        <v>171</v>
      </c>
      <c r="C45" s="407">
        <v>2</v>
      </c>
      <c r="D45" s="408"/>
      <c r="E45" s="356" t="s">
        <v>8</v>
      </c>
      <c r="F45" s="359">
        <f t="shared" si="1"/>
        <v>342</v>
      </c>
    </row>
    <row r="46" spans="1:6">
      <c r="A46" s="9">
        <v>35</v>
      </c>
      <c r="B46" s="8">
        <v>170.8</v>
      </c>
      <c r="C46" s="407">
        <v>3</v>
      </c>
      <c r="D46" s="408"/>
      <c r="E46" s="356" t="s">
        <v>8</v>
      </c>
      <c r="F46" s="359">
        <f t="shared" si="1"/>
        <v>512.40000000000009</v>
      </c>
    </row>
    <row r="47" spans="1:6">
      <c r="A47" s="9">
        <v>36</v>
      </c>
      <c r="B47" s="8">
        <v>171</v>
      </c>
      <c r="C47" s="407">
        <v>1</v>
      </c>
      <c r="D47" s="408"/>
      <c r="E47" s="356" t="s">
        <v>8</v>
      </c>
      <c r="F47" s="359">
        <f t="shared" si="1"/>
        <v>171</v>
      </c>
    </row>
    <row r="48" spans="1:6">
      <c r="A48" s="9">
        <v>37</v>
      </c>
      <c r="B48" s="8">
        <v>170.8</v>
      </c>
      <c r="C48" s="407">
        <v>3</v>
      </c>
      <c r="D48" s="408"/>
      <c r="E48" s="356" t="s">
        <v>8</v>
      </c>
      <c r="F48" s="359">
        <f t="shared" si="1"/>
        <v>512.40000000000009</v>
      </c>
    </row>
    <row r="49" spans="1:6">
      <c r="A49" s="9">
        <v>38</v>
      </c>
      <c r="B49" s="8">
        <v>171</v>
      </c>
      <c r="C49" s="407">
        <v>2</v>
      </c>
      <c r="D49" s="408"/>
      <c r="E49" s="356" t="s">
        <v>8</v>
      </c>
      <c r="F49" s="359">
        <f t="shared" si="1"/>
        <v>342</v>
      </c>
    </row>
    <row r="50" spans="1:6">
      <c r="A50" s="9">
        <v>39</v>
      </c>
      <c r="B50" s="8">
        <v>171.1</v>
      </c>
      <c r="C50" s="407">
        <v>2</v>
      </c>
      <c r="D50" s="408"/>
      <c r="E50" s="356" t="s">
        <v>8</v>
      </c>
      <c r="F50" s="359">
        <f t="shared" si="1"/>
        <v>342.2</v>
      </c>
    </row>
    <row r="51" spans="1:6">
      <c r="A51" s="9">
        <v>40</v>
      </c>
      <c r="B51" s="8">
        <v>170.6</v>
      </c>
      <c r="C51" s="407">
        <v>1</v>
      </c>
      <c r="D51" s="408"/>
      <c r="E51" s="356" t="s">
        <v>8</v>
      </c>
      <c r="F51" s="359">
        <f t="shared" si="1"/>
        <v>170.6</v>
      </c>
    </row>
    <row r="52" spans="1:6">
      <c r="A52" s="9">
        <v>41</v>
      </c>
      <c r="B52" s="8">
        <v>140.4</v>
      </c>
      <c r="C52" s="407">
        <v>3</v>
      </c>
      <c r="D52" s="408"/>
      <c r="E52" s="356" t="s">
        <v>8</v>
      </c>
      <c r="F52" s="359">
        <f t="shared" si="1"/>
        <v>421.20000000000005</v>
      </c>
    </row>
    <row r="53" spans="1:6">
      <c r="A53" s="9">
        <v>42</v>
      </c>
      <c r="B53" s="8">
        <v>111.3</v>
      </c>
      <c r="C53" s="407">
        <v>1</v>
      </c>
      <c r="D53" s="408"/>
      <c r="E53" s="356" t="s">
        <v>8</v>
      </c>
      <c r="F53" s="359">
        <f t="shared" si="1"/>
        <v>111.3</v>
      </c>
    </row>
    <row r="54" spans="1:6">
      <c r="A54" s="9">
        <v>43</v>
      </c>
      <c r="B54" s="8">
        <v>86.3</v>
      </c>
      <c r="C54" s="407">
        <v>2</v>
      </c>
      <c r="D54" s="408"/>
      <c r="E54" s="356" t="s">
        <v>8</v>
      </c>
      <c r="F54" s="359">
        <f t="shared" si="1"/>
        <v>172.6</v>
      </c>
    </row>
    <row r="55" spans="1:6">
      <c r="A55" s="9">
        <v>44</v>
      </c>
      <c r="B55" s="8">
        <v>62</v>
      </c>
      <c r="C55" s="407">
        <v>2</v>
      </c>
      <c r="D55" s="408"/>
      <c r="E55" s="356" t="s">
        <v>8</v>
      </c>
      <c r="F55" s="359">
        <f t="shared" si="1"/>
        <v>124</v>
      </c>
    </row>
    <row r="56" spans="1:6">
      <c r="A56" s="9">
        <v>45</v>
      </c>
      <c r="B56" s="8">
        <v>47.3</v>
      </c>
      <c r="C56" s="407">
        <v>2</v>
      </c>
      <c r="D56" s="408"/>
      <c r="E56" s="356" t="s">
        <v>8</v>
      </c>
      <c r="F56" s="359">
        <f t="shared" si="1"/>
        <v>94.6</v>
      </c>
    </row>
    <row r="57" spans="1:6">
      <c r="A57" s="323" t="s">
        <v>21</v>
      </c>
      <c r="B57" s="6">
        <f>SUM(B12:B56)</f>
        <v>5189.2000000000016</v>
      </c>
      <c r="C57" s="409" t="s">
        <v>22</v>
      </c>
      <c r="D57" s="410"/>
      <c r="E57" s="356" t="s">
        <v>8</v>
      </c>
      <c r="F57" s="6">
        <f>SUM(F12:F56)</f>
        <v>10638.200000000003</v>
      </c>
    </row>
  </sheetData>
  <mergeCells count="59">
    <mergeCell ref="C53:D53"/>
    <mergeCell ref="C54:D54"/>
    <mergeCell ref="C55:D55"/>
    <mergeCell ref="C56:D56"/>
    <mergeCell ref="C57:D57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B5:C5"/>
    <mergeCell ref="B6:C6"/>
    <mergeCell ref="B7:C7"/>
    <mergeCell ref="A9:F9"/>
    <mergeCell ref="C10:D10"/>
    <mergeCell ref="E10:F10"/>
    <mergeCell ref="A1:F1"/>
    <mergeCell ref="A2:A3"/>
    <mergeCell ref="B2:C2"/>
    <mergeCell ref="E2:F2"/>
    <mergeCell ref="B3:C3"/>
    <mergeCell ref="B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EDD19-FEE5-40D1-85CA-D8300D866CFF}">
  <dimension ref="A1:L140"/>
  <sheetViews>
    <sheetView topLeftCell="A120" zoomScaleNormal="100" workbookViewId="0">
      <selection activeCell="F136" sqref="F136:L138"/>
    </sheetView>
  </sheetViews>
  <sheetFormatPr baseColWidth="10" defaultRowHeight="15.6" outlineLevelRow="2"/>
  <cols>
    <col min="1" max="1" width="5" style="45" customWidth="1"/>
    <col min="2" max="2" width="61.33203125" style="46" customWidth="1"/>
    <col min="3" max="3" width="12.6640625" style="45" customWidth="1"/>
    <col min="4" max="4" width="19.44140625" style="47" customWidth="1"/>
    <col min="5" max="5" width="17.77734375" customWidth="1"/>
    <col min="6" max="6" width="30.33203125" bestFit="1" customWidth="1"/>
    <col min="7" max="7" width="11.6640625" bestFit="1" customWidth="1"/>
  </cols>
  <sheetData>
    <row r="1" spans="1:7" ht="15" customHeight="1">
      <c r="A1" s="405" t="s">
        <v>47</v>
      </c>
      <c r="B1" s="405"/>
      <c r="C1" s="405"/>
      <c r="D1" s="405"/>
      <c r="E1" s="327"/>
      <c r="F1" s="327"/>
      <c r="G1" s="327"/>
    </row>
    <row r="2" spans="1:7" ht="15" customHeight="1">
      <c r="A2" s="406" t="s">
        <v>270</v>
      </c>
      <c r="B2" s="406"/>
      <c r="C2" s="406"/>
      <c r="D2" s="406"/>
      <c r="E2" s="328"/>
      <c r="F2" s="328"/>
      <c r="G2" s="328"/>
    </row>
    <row r="4" spans="1:7">
      <c r="A4" s="380" t="s">
        <v>49</v>
      </c>
      <c r="B4" s="381"/>
      <c r="C4" s="381"/>
      <c r="D4" s="382"/>
    </row>
    <row r="5" spans="1:7" hidden="1" outlineLevel="1">
      <c r="A5" s="391" t="s">
        <v>30</v>
      </c>
      <c r="B5" s="392"/>
      <c r="C5" s="329" t="s">
        <v>76</v>
      </c>
      <c r="D5" s="330">
        <v>59</v>
      </c>
    </row>
    <row r="6" spans="1:7" hidden="1" outlineLevel="1">
      <c r="A6" s="391" t="s">
        <v>28</v>
      </c>
      <c r="B6" s="392"/>
      <c r="C6" s="329" t="s">
        <v>76</v>
      </c>
      <c r="D6" s="330">
        <v>11.56</v>
      </c>
    </row>
    <row r="7" spans="1:7" hidden="1" outlineLevel="1">
      <c r="A7" s="391" t="s">
        <v>29</v>
      </c>
      <c r="B7" s="392"/>
      <c r="C7" s="329" t="s">
        <v>76</v>
      </c>
      <c r="D7" s="330">
        <v>10.17</v>
      </c>
    </row>
    <row r="8" spans="1:7" hidden="1" outlineLevel="1">
      <c r="A8" s="391" t="s">
        <v>12</v>
      </c>
      <c r="B8" s="392"/>
      <c r="C8" s="329" t="s">
        <v>76</v>
      </c>
      <c r="D8" s="330">
        <v>12.4</v>
      </c>
    </row>
    <row r="9" spans="1:7" hidden="1" outlineLevel="1">
      <c r="A9" s="391" t="s">
        <v>6</v>
      </c>
      <c r="B9" s="392"/>
      <c r="C9" s="329" t="s">
        <v>76</v>
      </c>
      <c r="D9" s="331" t="s">
        <v>5</v>
      </c>
    </row>
    <row r="10" spans="1:7" hidden="1" outlineLevel="1">
      <c r="A10" s="391" t="s">
        <v>31</v>
      </c>
      <c r="B10" s="392"/>
      <c r="C10" s="329" t="s">
        <v>76</v>
      </c>
      <c r="D10" s="332">
        <v>0.6</v>
      </c>
    </row>
    <row r="11" spans="1:7" hidden="1" outlineLevel="1">
      <c r="A11" s="391" t="s">
        <v>32</v>
      </c>
      <c r="B11" s="392"/>
      <c r="C11" s="329" t="s">
        <v>76</v>
      </c>
      <c r="D11" s="332">
        <v>0.6</v>
      </c>
    </row>
    <row r="12" spans="1:7" hidden="1" outlineLevel="1">
      <c r="A12" s="391" t="s">
        <v>33</v>
      </c>
      <c r="B12" s="392"/>
      <c r="C12" s="329" t="s">
        <v>76</v>
      </c>
      <c r="D12" s="332">
        <v>0.6</v>
      </c>
    </row>
    <row r="13" spans="1:7" hidden="1" outlineLevel="1">
      <c r="A13" s="391" t="s">
        <v>34</v>
      </c>
      <c r="B13" s="392"/>
      <c r="C13" s="329" t="s">
        <v>76</v>
      </c>
      <c r="D13" s="332">
        <v>0.6</v>
      </c>
    </row>
    <row r="14" spans="1:7" hidden="1" outlineLevel="1">
      <c r="A14" s="397" t="s">
        <v>13</v>
      </c>
      <c r="B14" s="398"/>
      <c r="C14" s="329" t="s">
        <v>76</v>
      </c>
      <c r="D14" s="333">
        <v>0.6</v>
      </c>
    </row>
    <row r="15" spans="1:7" hidden="1" outlineLevel="1">
      <c r="A15" s="397" t="s">
        <v>36</v>
      </c>
      <c r="B15" s="398"/>
      <c r="C15" s="14" t="s">
        <v>1</v>
      </c>
      <c r="D15" s="15">
        <v>2</v>
      </c>
    </row>
    <row r="16" spans="1:7" hidden="1" outlineLevel="1">
      <c r="A16" s="399" t="s">
        <v>43</v>
      </c>
      <c r="B16" s="400"/>
      <c r="C16" s="14" t="s">
        <v>3</v>
      </c>
      <c r="D16" s="16">
        <v>5313.9177200000004</v>
      </c>
    </row>
    <row r="17" spans="1:7" hidden="1" outlineLevel="1">
      <c r="A17" s="391" t="s">
        <v>4</v>
      </c>
      <c r="B17" s="392"/>
      <c r="C17" s="404" t="s">
        <v>27</v>
      </c>
      <c r="D17" s="404"/>
    </row>
    <row r="18" spans="1:7" collapsed="1">
      <c r="A18" s="380" t="s">
        <v>48</v>
      </c>
      <c r="B18" s="381"/>
      <c r="C18" s="381"/>
      <c r="D18" s="382"/>
      <c r="F18" t="s">
        <v>268</v>
      </c>
      <c r="G18">
        <v>1150000</v>
      </c>
    </row>
    <row r="19" spans="1:7" outlineLevel="1">
      <c r="A19" s="391" t="s">
        <v>30</v>
      </c>
      <c r="B19" s="392"/>
      <c r="C19" s="329" t="s">
        <v>76</v>
      </c>
      <c r="D19" s="330">
        <v>59</v>
      </c>
      <c r="F19" t="s">
        <v>269</v>
      </c>
      <c r="G19">
        <v>776364</v>
      </c>
    </row>
    <row r="20" spans="1:7" outlineLevel="1">
      <c r="A20" s="391" t="s">
        <v>28</v>
      </c>
      <c r="B20" s="392"/>
      <c r="C20" s="329" t="s">
        <v>76</v>
      </c>
      <c r="D20" s="330">
        <v>16</v>
      </c>
    </row>
    <row r="21" spans="1:7" outlineLevel="1">
      <c r="A21" s="391" t="s">
        <v>29</v>
      </c>
      <c r="B21" s="392"/>
      <c r="C21" s="329" t="s">
        <v>76</v>
      </c>
      <c r="D21" s="330">
        <v>16</v>
      </c>
    </row>
    <row r="22" spans="1:7" outlineLevel="1">
      <c r="A22" s="391" t="s">
        <v>12</v>
      </c>
      <c r="B22" s="392"/>
      <c r="C22" s="329" t="s">
        <v>76</v>
      </c>
      <c r="D22" s="330">
        <v>14</v>
      </c>
    </row>
    <row r="23" spans="1:7" outlineLevel="1">
      <c r="A23" s="391" t="s">
        <v>6</v>
      </c>
      <c r="B23" s="392"/>
      <c r="C23" s="329" t="s">
        <v>76</v>
      </c>
      <c r="D23" s="331" t="s">
        <v>5</v>
      </c>
    </row>
    <row r="24" spans="1:7" outlineLevel="1">
      <c r="A24" s="391" t="s">
        <v>31</v>
      </c>
      <c r="B24" s="392"/>
      <c r="C24" s="329" t="s">
        <v>76</v>
      </c>
      <c r="D24" s="332">
        <v>0.6</v>
      </c>
    </row>
    <row r="25" spans="1:7" outlineLevel="1">
      <c r="A25" s="391" t="s">
        <v>32</v>
      </c>
      <c r="B25" s="392"/>
      <c r="C25" s="329" t="s">
        <v>76</v>
      </c>
      <c r="D25" s="332">
        <v>0.6</v>
      </c>
    </row>
    <row r="26" spans="1:7" outlineLevel="1">
      <c r="A26" s="391" t="s">
        <v>33</v>
      </c>
      <c r="B26" s="392"/>
      <c r="C26" s="329" t="s">
        <v>76</v>
      </c>
      <c r="D26" s="332">
        <v>0.6</v>
      </c>
    </row>
    <row r="27" spans="1:7" outlineLevel="1">
      <c r="A27" s="391" t="s">
        <v>34</v>
      </c>
      <c r="B27" s="392"/>
      <c r="C27" s="329" t="s">
        <v>76</v>
      </c>
      <c r="D27" s="332">
        <v>0.6</v>
      </c>
    </row>
    <row r="28" spans="1:7" outlineLevel="1">
      <c r="A28" s="397" t="s">
        <v>13</v>
      </c>
      <c r="B28" s="398"/>
      <c r="C28" s="329" t="s">
        <v>76</v>
      </c>
      <c r="D28" s="333">
        <v>0.6</v>
      </c>
    </row>
    <row r="29" spans="1:7" outlineLevel="1">
      <c r="A29" s="397" t="s">
        <v>14</v>
      </c>
      <c r="B29" s="398"/>
      <c r="C29" s="14" t="s">
        <v>1</v>
      </c>
      <c r="D29" s="17">
        <v>3</v>
      </c>
    </row>
    <row r="30" spans="1:7" outlineLevel="1">
      <c r="A30" s="397" t="s">
        <v>15</v>
      </c>
      <c r="B30" s="398"/>
      <c r="C30" s="14" t="s">
        <v>1</v>
      </c>
      <c r="D30" s="17">
        <v>9</v>
      </c>
    </row>
    <row r="31" spans="1:7" outlineLevel="1">
      <c r="A31" s="399" t="s">
        <v>43</v>
      </c>
      <c r="B31" s="400"/>
      <c r="C31" s="14" t="s">
        <v>3</v>
      </c>
      <c r="D31" s="16">
        <v>5313.9177200000004</v>
      </c>
    </row>
    <row r="32" spans="1:7" outlineLevel="1">
      <c r="A32" s="391" t="s">
        <v>4</v>
      </c>
      <c r="B32" s="392"/>
      <c r="C32" s="403" t="s">
        <v>35</v>
      </c>
      <c r="D32" s="403"/>
    </row>
    <row r="33" spans="1:8">
      <c r="A33" s="380" t="s">
        <v>50</v>
      </c>
      <c r="B33" s="381"/>
      <c r="C33" s="381"/>
      <c r="D33" s="382"/>
    </row>
    <row r="34" spans="1:8" outlineLevel="1">
      <c r="A34" s="401" t="s">
        <v>51</v>
      </c>
      <c r="B34" s="402"/>
      <c r="C34" s="18" t="s">
        <v>1</v>
      </c>
      <c r="D34" s="19">
        <f>'Base (12p) Oct 26'!A56</f>
        <v>45</v>
      </c>
      <c r="G34" s="13"/>
      <c r="H34" s="50"/>
    </row>
    <row r="35" spans="1:8" outlineLevel="1">
      <c r="A35" s="399" t="s">
        <v>84</v>
      </c>
      <c r="B35" s="400"/>
      <c r="C35" s="20" t="s">
        <v>3</v>
      </c>
      <c r="D35" s="21">
        <f>D31</f>
        <v>5313.9177200000004</v>
      </c>
      <c r="F35" s="48"/>
      <c r="G35" s="1"/>
    </row>
    <row r="36" spans="1:8" outlineLevel="1">
      <c r="A36" s="397" t="s">
        <v>85</v>
      </c>
      <c r="B36" s="398"/>
      <c r="C36" s="30" t="s">
        <v>3</v>
      </c>
      <c r="D36" s="22">
        <f>'Base (12p) Oct 26'!F57</f>
        <v>10638.200000000003</v>
      </c>
    </row>
    <row r="37" spans="1:8" outlineLevel="1">
      <c r="A37" s="399" t="s">
        <v>54</v>
      </c>
      <c r="B37" s="400"/>
      <c r="C37" s="20" t="s">
        <v>3</v>
      </c>
      <c r="D37" s="21">
        <f>'Base (12p) Oct 26'!F7</f>
        <v>27132.575109999998</v>
      </c>
    </row>
    <row r="38" spans="1:8" outlineLevel="1">
      <c r="A38" s="397" t="s">
        <v>42</v>
      </c>
      <c r="B38" s="398"/>
      <c r="C38" s="30" t="s">
        <v>3</v>
      </c>
      <c r="D38" s="22">
        <f>D37-D36</f>
        <v>16494.375109999994</v>
      </c>
    </row>
    <row r="39" spans="1:8" outlineLevel="1">
      <c r="A39" s="401" t="s">
        <v>52</v>
      </c>
      <c r="B39" s="402"/>
      <c r="C39" s="18" t="s">
        <v>3</v>
      </c>
      <c r="D39" s="23">
        <f>D35</f>
        <v>5313.9177200000004</v>
      </c>
      <c r="E39" s="1"/>
    </row>
    <row r="40" spans="1:8" outlineLevel="1">
      <c r="A40" s="391" t="s">
        <v>39</v>
      </c>
      <c r="B40" s="392"/>
      <c r="C40" s="30" t="s">
        <v>1</v>
      </c>
      <c r="D40" s="335">
        <f>D36/D35</f>
        <v>2.0019504554918104</v>
      </c>
    </row>
    <row r="41" spans="1:8" outlineLevel="1">
      <c r="A41" s="385" t="s">
        <v>98</v>
      </c>
      <c r="B41" s="386"/>
      <c r="C41" s="20" t="s">
        <v>1</v>
      </c>
      <c r="D41" s="24">
        <f>D37/D35</f>
        <v>5.1059456581122973</v>
      </c>
    </row>
    <row r="42" spans="1:8" outlineLevel="1">
      <c r="A42" s="385" t="s">
        <v>97</v>
      </c>
      <c r="B42" s="386"/>
      <c r="C42" s="20" t="s">
        <v>1</v>
      </c>
      <c r="D42" s="24">
        <f>(D37-D68-D70)/D39</f>
        <v>4.7269486897512589</v>
      </c>
      <c r="E42" s="13">
        <f>(D37-D68-D70)/D39</f>
        <v>4.7269486897512589</v>
      </c>
    </row>
    <row r="43" spans="1:8" outlineLevel="1">
      <c r="A43" s="385" t="s">
        <v>53</v>
      </c>
      <c r="B43" s="386"/>
      <c r="C43" s="25" t="s">
        <v>1</v>
      </c>
      <c r="D43" s="26">
        <f>D41-D42</f>
        <v>0.37899696836103836</v>
      </c>
    </row>
    <row r="44" spans="1:8" outlineLevel="1">
      <c r="A44" s="391" t="s">
        <v>9</v>
      </c>
      <c r="B44" s="392"/>
      <c r="C44" s="329" t="s">
        <v>76</v>
      </c>
      <c r="D44" s="22">
        <v>3.3</v>
      </c>
      <c r="F44" s="1"/>
    </row>
    <row r="45" spans="1:8" outlineLevel="1">
      <c r="A45" s="391" t="s">
        <v>11</v>
      </c>
      <c r="B45" s="392"/>
      <c r="C45" s="329" t="s">
        <v>76</v>
      </c>
      <c r="D45" s="22">
        <v>3.8</v>
      </c>
    </row>
    <row r="46" spans="1:8" outlineLevel="1">
      <c r="A46" s="393" t="s">
        <v>37</v>
      </c>
      <c r="B46" s="394"/>
      <c r="C46" s="329" t="s">
        <v>76</v>
      </c>
      <c r="D46" s="22">
        <v>13.2</v>
      </c>
    </row>
    <row r="47" spans="1:8" outlineLevel="1">
      <c r="A47" s="395"/>
      <c r="B47" s="396"/>
      <c r="C47" s="18" t="s">
        <v>1</v>
      </c>
      <c r="D47" s="19">
        <f>D29</f>
        <v>3</v>
      </c>
    </row>
    <row r="48" spans="1:8" ht="15" customHeight="1" outlineLevel="1">
      <c r="A48" s="393" t="s">
        <v>7</v>
      </c>
      <c r="B48" s="394"/>
      <c r="C48" s="14" t="s">
        <v>76</v>
      </c>
      <c r="D48" s="21">
        <f>((D49-1)*3.3)+3.8</f>
        <v>40.099999999999994</v>
      </c>
    </row>
    <row r="49" spans="1:7" outlineLevel="1">
      <c r="A49" s="395"/>
      <c r="B49" s="396"/>
      <c r="C49" s="18" t="s">
        <v>1</v>
      </c>
      <c r="D49" s="19">
        <v>12</v>
      </c>
    </row>
    <row r="50" spans="1:7" outlineLevel="1">
      <c r="A50" s="385" t="s">
        <v>60</v>
      </c>
      <c r="B50" s="386"/>
      <c r="C50" s="14" t="s">
        <v>1</v>
      </c>
      <c r="D50" s="21">
        <f ca="1">D51+D52+D53</f>
        <v>467</v>
      </c>
      <c r="E50" s="48"/>
    </row>
    <row r="51" spans="1:7" outlineLevel="1">
      <c r="A51" s="18">
        <v>1</v>
      </c>
      <c r="B51" s="314" t="s">
        <v>99</v>
      </c>
      <c r="C51" s="329" t="s">
        <v>1</v>
      </c>
      <c r="D51" s="49">
        <v>0</v>
      </c>
      <c r="E51" s="2">
        <f ca="1">D51/D50</f>
        <v>0</v>
      </c>
      <c r="G51" s="1">
        <f ca="1">D50*2.3</f>
        <v>1074.0999999999999</v>
      </c>
    </row>
    <row r="52" spans="1:7" outlineLevel="2">
      <c r="A52" s="18">
        <v>2</v>
      </c>
      <c r="B52" s="314" t="s">
        <v>92</v>
      </c>
      <c r="C52" s="329" t="s">
        <v>1</v>
      </c>
      <c r="D52" s="49">
        <f ca="1">INT((D137*20%)/42)</f>
        <v>93</v>
      </c>
      <c r="E52" s="2">
        <f ca="1">D52/D50</f>
        <v>0.19914346895074947</v>
      </c>
      <c r="F52" s="1">
        <f ca="1">D52*42</f>
        <v>3906</v>
      </c>
      <c r="G52" s="1">
        <f ca="1">(D68+D70)/G51</f>
        <v>1.8750197430406859</v>
      </c>
    </row>
    <row r="53" spans="1:7" outlineLevel="2">
      <c r="A53" s="18">
        <v>3</v>
      </c>
      <c r="B53" s="314" t="s">
        <v>61</v>
      </c>
      <c r="C53" s="329" t="s">
        <v>1</v>
      </c>
      <c r="D53" s="49">
        <f ca="1">INT((D137*80%)/42)</f>
        <v>374</v>
      </c>
      <c r="E53" s="2">
        <f ca="1">D53/D50</f>
        <v>0.80085653104925059</v>
      </c>
      <c r="F53" s="1">
        <f ca="1">D53*42</f>
        <v>15708</v>
      </c>
    </row>
    <row r="54" spans="1:7">
      <c r="A54" s="371" t="s">
        <v>45</v>
      </c>
      <c r="B54" s="371"/>
      <c r="C54" s="371"/>
      <c r="D54" s="371"/>
      <c r="F54" s="1"/>
    </row>
    <row r="55" spans="1:7" ht="16.95" customHeight="1">
      <c r="A55" s="336">
        <v>1</v>
      </c>
      <c r="B55" s="337" t="s">
        <v>271</v>
      </c>
      <c r="C55" s="338" t="s">
        <v>3</v>
      </c>
      <c r="D55" s="339">
        <f ca="1">D138*(10/120)</f>
        <v>137.87134720769231</v>
      </c>
      <c r="F55" s="1"/>
    </row>
    <row r="56" spans="1:7" ht="16.95" customHeight="1">
      <c r="A56" s="340">
        <v>2</v>
      </c>
      <c r="B56" s="337" t="s">
        <v>272</v>
      </c>
      <c r="C56" s="338" t="s">
        <v>3</v>
      </c>
      <c r="D56" s="339">
        <f ca="1">D57+D58</f>
        <v>2521.5</v>
      </c>
    </row>
    <row r="57" spans="1:7" ht="15" customHeight="1" outlineLevel="1">
      <c r="A57" s="18">
        <v>2.1</v>
      </c>
      <c r="B57" s="27" t="s">
        <v>56</v>
      </c>
      <c r="C57" s="30" t="s">
        <v>3</v>
      </c>
      <c r="D57" s="23">
        <f ca="1">6*D52</f>
        <v>558</v>
      </c>
      <c r="E57" s="1">
        <f ca="1">D57*0.2</f>
        <v>111.60000000000001</v>
      </c>
    </row>
    <row r="58" spans="1:7" outlineLevel="1">
      <c r="A58" s="18">
        <v>2.2000000000000002</v>
      </c>
      <c r="B58" s="27" t="s">
        <v>57</v>
      </c>
      <c r="C58" s="30" t="s">
        <v>3</v>
      </c>
      <c r="D58" s="23">
        <f ca="1">(D53*42)*(10/80)</f>
        <v>1963.5</v>
      </c>
      <c r="E58" s="1">
        <f ca="1">D58*0.2</f>
        <v>392.70000000000005</v>
      </c>
    </row>
    <row r="59" spans="1:7" ht="16.95" customHeight="1" outlineLevel="1">
      <c r="A59" s="387" t="s">
        <v>273</v>
      </c>
      <c r="B59" s="388"/>
      <c r="C59" s="388"/>
      <c r="D59" s="389"/>
    </row>
    <row r="60" spans="1:7" outlineLevel="2">
      <c r="A60" s="18">
        <v>1</v>
      </c>
      <c r="B60" s="341" t="s">
        <v>46</v>
      </c>
      <c r="C60" s="30" t="s">
        <v>3</v>
      </c>
      <c r="D60" s="342">
        <f ca="1">D56*0.2</f>
        <v>504.3</v>
      </c>
    </row>
    <row r="61" spans="1:7" outlineLevel="2">
      <c r="A61" s="18">
        <v>1.1000000000000001</v>
      </c>
      <c r="B61" s="27" t="s">
        <v>78</v>
      </c>
      <c r="C61" s="30" t="s">
        <v>3</v>
      </c>
      <c r="D61" s="28">
        <f ca="1">D89</f>
        <v>50.430000000000007</v>
      </c>
    </row>
    <row r="62" spans="1:7" outlineLevel="2">
      <c r="A62" s="18">
        <v>1.2</v>
      </c>
      <c r="B62" s="27" t="s">
        <v>79</v>
      </c>
      <c r="C62" s="30" t="s">
        <v>3</v>
      </c>
      <c r="D62" s="44">
        <f ca="1">+D103+D107+D111+D115+D119+D123+D127+D131+D135+D95</f>
        <v>453.87</v>
      </c>
    </row>
    <row r="63" spans="1:7" outlineLevel="2">
      <c r="A63" s="18">
        <v>2</v>
      </c>
      <c r="B63" s="341" t="s">
        <v>94</v>
      </c>
      <c r="C63" s="30" t="s">
        <v>3</v>
      </c>
      <c r="D63" s="342">
        <f ca="1">D56*0.4</f>
        <v>1008.6</v>
      </c>
    </row>
    <row r="64" spans="1:7" outlineLevel="2">
      <c r="A64" s="18">
        <v>2.1</v>
      </c>
      <c r="B64" s="341" t="s">
        <v>80</v>
      </c>
      <c r="C64" s="30" t="s">
        <v>3</v>
      </c>
      <c r="D64" s="342">
        <f>529.134734</f>
        <v>529.13473399999998</v>
      </c>
    </row>
    <row r="65" spans="1:7" outlineLevel="2">
      <c r="A65" s="18">
        <v>2.2000000000000002</v>
      </c>
      <c r="B65" s="341" t="s">
        <v>81</v>
      </c>
      <c r="C65" s="30" t="s">
        <v>3</v>
      </c>
      <c r="D65" s="342">
        <f ca="1">D63-D64</f>
        <v>479.46526600000004</v>
      </c>
    </row>
    <row r="66" spans="1:7" outlineLevel="2">
      <c r="A66" s="18">
        <v>3</v>
      </c>
      <c r="B66" s="341" t="s">
        <v>95</v>
      </c>
      <c r="C66" s="30" t="s">
        <v>3</v>
      </c>
      <c r="D66" s="342">
        <f ca="1">D56*0.4</f>
        <v>1008.6</v>
      </c>
    </row>
    <row r="67" spans="1:7">
      <c r="A67" s="380" t="s">
        <v>58</v>
      </c>
      <c r="B67" s="381"/>
      <c r="C67" s="381"/>
      <c r="D67" s="382"/>
    </row>
    <row r="68" spans="1:7" outlineLevel="1">
      <c r="A68" s="376">
        <v>1</v>
      </c>
      <c r="B68" s="390" t="s">
        <v>59</v>
      </c>
      <c r="C68" s="20" t="s">
        <v>3</v>
      </c>
      <c r="D68" s="29">
        <f>5313.91772-1597.433-3296.70133</f>
        <v>419.78339000000051</v>
      </c>
      <c r="E68" s="51"/>
    </row>
    <row r="69" spans="1:7" outlineLevel="1">
      <c r="A69" s="377"/>
      <c r="B69" s="390"/>
      <c r="C69" s="30" t="s">
        <v>10</v>
      </c>
      <c r="D69" s="31">
        <f>D68/D35</f>
        <v>7.8996968361038242E-2</v>
      </c>
      <c r="F69" s="52"/>
    </row>
    <row r="70" spans="1:7" outlineLevel="1">
      <c r="A70" s="376">
        <v>2</v>
      </c>
      <c r="B70" s="379" t="s">
        <v>86</v>
      </c>
      <c r="C70" s="20" t="s">
        <v>3</v>
      </c>
      <c r="D70" s="29">
        <f>D35*D71</f>
        <v>1594.1753160000001</v>
      </c>
    </row>
    <row r="71" spans="1:7" outlineLevel="1">
      <c r="A71" s="377"/>
      <c r="B71" s="379"/>
      <c r="C71" s="32" t="s">
        <v>10</v>
      </c>
      <c r="D71" s="33">
        <v>0.3</v>
      </c>
    </row>
    <row r="72" spans="1:7" outlineLevel="1">
      <c r="A72" s="380" t="s">
        <v>274</v>
      </c>
      <c r="B72" s="381"/>
      <c r="C72" s="381"/>
      <c r="D72" s="382"/>
    </row>
    <row r="73" spans="1:7" outlineLevel="1">
      <c r="A73" s="18">
        <v>1</v>
      </c>
      <c r="B73" s="343" t="s">
        <v>275</v>
      </c>
      <c r="C73" s="32" t="s">
        <v>3</v>
      </c>
      <c r="D73" s="344">
        <f>D68+998.04295</f>
        <v>1417.8263400000005</v>
      </c>
    </row>
    <row r="74" spans="1:7" outlineLevel="1">
      <c r="A74" s="380" t="s">
        <v>44</v>
      </c>
      <c r="B74" s="381"/>
      <c r="C74" s="381"/>
      <c r="D74" s="382"/>
    </row>
    <row r="75" spans="1:7" outlineLevel="1">
      <c r="A75" s="383" t="s">
        <v>77</v>
      </c>
      <c r="B75" s="384"/>
      <c r="C75" s="345" t="s">
        <v>3</v>
      </c>
      <c r="D75" s="15">
        <f ca="1">D77+D80+D82+D84</f>
        <v>2182.6133399999999</v>
      </c>
    </row>
    <row r="76" spans="1:7" outlineLevel="2">
      <c r="A76" s="376">
        <v>1</v>
      </c>
      <c r="B76" s="378" t="s">
        <v>44</v>
      </c>
      <c r="C76" s="18" t="s">
        <v>1</v>
      </c>
      <c r="D76" s="23">
        <f ca="1">D77/12</f>
        <v>113.78008943333333</v>
      </c>
      <c r="F76" s="346" t="s">
        <v>276</v>
      </c>
      <c r="G76" s="346">
        <f ca="1">D50/D76</f>
        <v>4.1044087970560721</v>
      </c>
    </row>
    <row r="77" spans="1:7" outlineLevel="2">
      <c r="A77" s="377"/>
      <c r="B77" s="378"/>
      <c r="C77" s="18" t="s">
        <v>3</v>
      </c>
      <c r="D77" s="23">
        <f ca="1">G87-D80-D82-D84</f>
        <v>1365.3610732</v>
      </c>
    </row>
    <row r="78" spans="1:7" outlineLevel="1">
      <c r="A78" s="374" t="s">
        <v>62</v>
      </c>
      <c r="B78" s="375"/>
      <c r="C78" s="25" t="s">
        <v>3</v>
      </c>
      <c r="D78" s="26">
        <f ca="1">D80+D82+D84</f>
        <v>817.25226680000003</v>
      </c>
    </row>
    <row r="79" spans="1:7" outlineLevel="2">
      <c r="A79" s="376">
        <v>1</v>
      </c>
      <c r="B79" s="378" t="s">
        <v>63</v>
      </c>
      <c r="C79" s="18" t="s">
        <v>1</v>
      </c>
      <c r="D79" s="34">
        <f ca="1">1*D50</f>
        <v>467</v>
      </c>
    </row>
    <row r="80" spans="1:7" outlineLevel="2">
      <c r="A80" s="377"/>
      <c r="B80" s="378"/>
      <c r="C80" s="18" t="s">
        <v>3</v>
      </c>
      <c r="D80" s="23">
        <f ca="1">D79*1.3</f>
        <v>607.1</v>
      </c>
    </row>
    <row r="81" spans="1:9" outlineLevel="2">
      <c r="A81" s="376">
        <v>2</v>
      </c>
      <c r="B81" s="378" t="s">
        <v>64</v>
      </c>
      <c r="C81" s="18" t="s">
        <v>1</v>
      </c>
      <c r="D81" s="19">
        <f>INT(D37/3000)</f>
        <v>9</v>
      </c>
    </row>
    <row r="82" spans="1:9" outlineLevel="2">
      <c r="A82" s="377"/>
      <c r="B82" s="378"/>
      <c r="C82" s="18" t="s">
        <v>3</v>
      </c>
      <c r="D82" s="23">
        <f>D81*18.5</f>
        <v>166.5</v>
      </c>
    </row>
    <row r="83" spans="1:9" outlineLevel="2">
      <c r="A83" s="376">
        <v>3</v>
      </c>
      <c r="B83" s="378" t="s">
        <v>65</v>
      </c>
      <c r="C83" s="18" t="s">
        <v>1</v>
      </c>
      <c r="D83" s="19">
        <f ca="1">INT(D84/15)</f>
        <v>2</v>
      </c>
    </row>
    <row r="84" spans="1:9" outlineLevel="2">
      <c r="A84" s="377"/>
      <c r="B84" s="378"/>
      <c r="C84" s="18" t="s">
        <v>3</v>
      </c>
      <c r="D84" s="23">
        <f ca="1">D75*2%</f>
        <v>43.6522668</v>
      </c>
      <c r="F84" s="1"/>
    </row>
    <row r="85" spans="1:9">
      <c r="A85" s="371" t="s">
        <v>75</v>
      </c>
      <c r="B85" s="371"/>
      <c r="C85" s="371"/>
      <c r="D85" s="371"/>
    </row>
    <row r="86" spans="1:9" outlineLevel="2">
      <c r="A86" s="372" t="s">
        <v>23</v>
      </c>
      <c r="B86" s="373"/>
      <c r="C86" s="35" t="s">
        <v>3</v>
      </c>
      <c r="D86" s="36">
        <f>'Base (12p) Oct 26'!D4</f>
        <v>3296.7013299999999</v>
      </c>
      <c r="E86" s="1"/>
      <c r="F86" s="346" t="s">
        <v>277</v>
      </c>
      <c r="G86" s="347">
        <v>1091.3066699999999</v>
      </c>
    </row>
    <row r="87" spans="1:9" outlineLevel="2">
      <c r="A87" s="18">
        <v>1</v>
      </c>
      <c r="B87" s="27" t="s">
        <v>66</v>
      </c>
      <c r="C87" s="18" t="s">
        <v>3</v>
      </c>
      <c r="D87" s="23">
        <f ca="1">D86-D88-D89-D91-D90</f>
        <v>1654.4561664923078</v>
      </c>
      <c r="E87" s="1"/>
      <c r="F87" s="346" t="s">
        <v>278</v>
      </c>
      <c r="G87" s="346">
        <f>2*G86</f>
        <v>2182.6133399999999</v>
      </c>
    </row>
    <row r="88" spans="1:9" outlineLevel="2">
      <c r="A88" s="18">
        <v>2</v>
      </c>
      <c r="B88" s="27" t="s">
        <v>44</v>
      </c>
      <c r="C88" s="18" t="s">
        <v>3</v>
      </c>
      <c r="D88" s="44">
        <f>G86</f>
        <v>1091.3066699999999</v>
      </c>
      <c r="F88" s="1"/>
    </row>
    <row r="89" spans="1:9" outlineLevel="2">
      <c r="A89" s="18">
        <v>3</v>
      </c>
      <c r="B89" s="57" t="s">
        <v>272</v>
      </c>
      <c r="C89" s="58" t="s">
        <v>3</v>
      </c>
      <c r="D89" s="60">
        <f ca="1">D60-D95</f>
        <v>50.430000000000007</v>
      </c>
      <c r="E89" s="1"/>
      <c r="F89" s="1"/>
      <c r="G89" s="1"/>
    </row>
    <row r="90" spans="1:9" outlineLevel="2">
      <c r="A90" s="18">
        <v>4</v>
      </c>
      <c r="B90" s="57" t="s">
        <v>271</v>
      </c>
      <c r="C90" s="58" t="s">
        <v>3</v>
      </c>
      <c r="D90" s="60">
        <f ca="1">D55</f>
        <v>137.87134720769231</v>
      </c>
      <c r="E90" s="1"/>
      <c r="F90" s="1"/>
      <c r="G90" s="1"/>
    </row>
    <row r="91" spans="1:9" outlineLevel="2">
      <c r="A91" s="18">
        <v>5</v>
      </c>
      <c r="B91" s="27" t="s">
        <v>55</v>
      </c>
      <c r="C91" s="18" t="s">
        <v>3</v>
      </c>
      <c r="D91" s="44">
        <f>D86*D140</f>
        <v>362.63714629999998</v>
      </c>
      <c r="E91" s="1"/>
      <c r="F91" s="1"/>
    </row>
    <row r="92" spans="1:9" outlineLevel="1">
      <c r="A92" s="372" t="s">
        <v>67</v>
      </c>
      <c r="B92" s="373"/>
      <c r="C92" s="35" t="s">
        <v>3</v>
      </c>
      <c r="D92" s="36">
        <f>'Base (12p) Oct 26'!D4</f>
        <v>3296.7013299999999</v>
      </c>
      <c r="F92" s="1"/>
      <c r="I92" s="1"/>
    </row>
    <row r="93" spans="1:9" outlineLevel="2">
      <c r="A93" s="18">
        <v>1</v>
      </c>
      <c r="B93" s="56" t="s">
        <v>68</v>
      </c>
      <c r="C93" s="54" t="s">
        <v>3</v>
      </c>
      <c r="D93" s="55">
        <f ca="1">D92-D96-D94-D95</f>
        <v>1388.8875137</v>
      </c>
      <c r="F93" s="1"/>
    </row>
    <row r="94" spans="1:9" outlineLevel="2">
      <c r="A94" s="18">
        <v>2</v>
      </c>
      <c r="B94" s="27" t="s">
        <v>44</v>
      </c>
      <c r="C94" s="18" t="s">
        <v>3</v>
      </c>
      <c r="D94" s="44">
        <f>G86</f>
        <v>1091.3066699999999</v>
      </c>
      <c r="F94" s="1"/>
    </row>
    <row r="95" spans="1:9" outlineLevel="2">
      <c r="A95" s="18">
        <v>3</v>
      </c>
      <c r="B95" s="57" t="s">
        <v>45</v>
      </c>
      <c r="C95" s="58" t="s">
        <v>96</v>
      </c>
      <c r="D95" s="59">
        <f ca="1">D60*90%</f>
        <v>453.87</v>
      </c>
      <c r="F95" s="1"/>
    </row>
    <row r="96" spans="1:9" outlineLevel="2">
      <c r="A96" s="348">
        <v>3</v>
      </c>
      <c r="B96" s="349" t="s">
        <v>55</v>
      </c>
      <c r="C96" s="18" t="s">
        <v>3</v>
      </c>
      <c r="D96" s="44">
        <f>D92*D140</f>
        <v>362.63714629999998</v>
      </c>
    </row>
    <row r="97" spans="1:4" outlineLevel="1">
      <c r="A97" s="372" t="s">
        <v>69</v>
      </c>
      <c r="B97" s="373"/>
      <c r="C97" s="35" t="s">
        <v>3</v>
      </c>
      <c r="D97" s="36">
        <f>'Base (12p) Oct 26'!D5</f>
        <v>2684.2529</v>
      </c>
    </row>
    <row r="98" spans="1:4" outlineLevel="2">
      <c r="A98" s="18">
        <v>1</v>
      </c>
      <c r="B98" s="56" t="s">
        <v>68</v>
      </c>
      <c r="C98" s="54" t="s">
        <v>3</v>
      </c>
      <c r="D98" s="55">
        <f>D97-D100-D99</f>
        <v>2388.9850809999998</v>
      </c>
    </row>
    <row r="99" spans="1:4" outlineLevel="2">
      <c r="A99" s="18">
        <v>2</v>
      </c>
      <c r="B99" s="27" t="s">
        <v>44</v>
      </c>
      <c r="C99" s="18" t="s">
        <v>3</v>
      </c>
      <c r="D99" s="44">
        <v>0</v>
      </c>
    </row>
    <row r="100" spans="1:4" outlineLevel="2">
      <c r="A100" s="18">
        <v>3</v>
      </c>
      <c r="B100" s="27" t="s">
        <v>55</v>
      </c>
      <c r="C100" s="18" t="s">
        <v>3</v>
      </c>
      <c r="D100" s="44">
        <f>D97*D140</f>
        <v>295.26781899999997</v>
      </c>
    </row>
    <row r="101" spans="1:4" outlineLevel="1">
      <c r="A101" s="361" t="s">
        <v>70</v>
      </c>
      <c r="B101" s="362"/>
      <c r="C101" s="35" t="s">
        <v>3</v>
      </c>
      <c r="D101" s="36">
        <f>'Base (12p) Oct 26'!D6</f>
        <v>1983.87995</v>
      </c>
    </row>
    <row r="102" spans="1:4" outlineLevel="2">
      <c r="A102" s="18">
        <v>1</v>
      </c>
      <c r="B102" s="53" t="s">
        <v>68</v>
      </c>
      <c r="C102" s="54" t="s">
        <v>3</v>
      </c>
      <c r="D102" s="55">
        <f>D101-D104-D103</f>
        <v>1765.6531554999999</v>
      </c>
    </row>
    <row r="103" spans="1:4" outlineLevel="2">
      <c r="A103" s="18">
        <v>2</v>
      </c>
      <c r="B103" s="350" t="s">
        <v>45</v>
      </c>
      <c r="C103" s="18" t="s">
        <v>3</v>
      </c>
      <c r="D103" s="19">
        <v>0</v>
      </c>
    </row>
    <row r="104" spans="1:4" outlineLevel="2">
      <c r="A104" s="18">
        <v>3</v>
      </c>
      <c r="B104" s="350" t="s">
        <v>55</v>
      </c>
      <c r="C104" s="18" t="s">
        <v>3</v>
      </c>
      <c r="D104" s="44">
        <f>D101*D140</f>
        <v>218.22679450000001</v>
      </c>
    </row>
    <row r="105" spans="1:4" outlineLevel="1">
      <c r="A105" s="361" t="s">
        <v>71</v>
      </c>
      <c r="B105" s="362"/>
      <c r="C105" s="35" t="s">
        <v>3</v>
      </c>
      <c r="D105" s="36">
        <f>'Base (12p) Oct 26'!D6</f>
        <v>1983.87995</v>
      </c>
    </row>
    <row r="106" spans="1:4" outlineLevel="2">
      <c r="A106" s="18">
        <v>1</v>
      </c>
      <c r="B106" s="53" t="s">
        <v>68</v>
      </c>
      <c r="C106" s="54" t="s">
        <v>3</v>
      </c>
      <c r="D106" s="55">
        <f>D105-D108-D107</f>
        <v>1765.6531554999999</v>
      </c>
    </row>
    <row r="107" spans="1:4" outlineLevel="2">
      <c r="A107" s="18">
        <v>2</v>
      </c>
      <c r="B107" s="350" t="s">
        <v>45</v>
      </c>
      <c r="C107" s="18" t="s">
        <v>3</v>
      </c>
      <c r="D107" s="19">
        <v>0</v>
      </c>
    </row>
    <row r="108" spans="1:4" outlineLevel="2">
      <c r="A108" s="18">
        <v>3</v>
      </c>
      <c r="B108" s="350" t="s">
        <v>55</v>
      </c>
      <c r="C108" s="18" t="s">
        <v>3</v>
      </c>
      <c r="D108" s="37">
        <f>D105*D140</f>
        <v>218.22679450000001</v>
      </c>
    </row>
    <row r="109" spans="1:4" outlineLevel="1">
      <c r="A109" s="361" t="s">
        <v>72</v>
      </c>
      <c r="B109" s="362"/>
      <c r="C109" s="35" t="s">
        <v>3</v>
      </c>
      <c r="D109" s="36">
        <f>'Base (12p) Oct 26'!D6</f>
        <v>1983.87995</v>
      </c>
    </row>
    <row r="110" spans="1:4" outlineLevel="2">
      <c r="A110" s="18">
        <v>1</v>
      </c>
      <c r="B110" s="53" t="s">
        <v>68</v>
      </c>
      <c r="C110" s="54" t="s">
        <v>3</v>
      </c>
      <c r="D110" s="55">
        <f>D109-D112-D111</f>
        <v>1765.6531554999999</v>
      </c>
    </row>
    <row r="111" spans="1:4" outlineLevel="2">
      <c r="A111" s="18">
        <v>2</v>
      </c>
      <c r="B111" s="350" t="s">
        <v>45</v>
      </c>
      <c r="C111" s="18" t="s">
        <v>3</v>
      </c>
      <c r="D111" s="19">
        <v>0</v>
      </c>
    </row>
    <row r="112" spans="1:4" outlineLevel="2">
      <c r="A112" s="18">
        <v>3</v>
      </c>
      <c r="B112" s="350" t="s">
        <v>55</v>
      </c>
      <c r="C112" s="18" t="s">
        <v>3</v>
      </c>
      <c r="D112" s="37">
        <f>D109*D140</f>
        <v>218.22679450000001</v>
      </c>
    </row>
    <row r="113" spans="1:4" outlineLevel="1">
      <c r="A113" s="361" t="s">
        <v>73</v>
      </c>
      <c r="B113" s="362"/>
      <c r="C113" s="35" t="s">
        <v>3</v>
      </c>
      <c r="D113" s="36">
        <f>'Base (12p) Oct 26'!D6</f>
        <v>1983.87995</v>
      </c>
    </row>
    <row r="114" spans="1:4" outlineLevel="2">
      <c r="A114" s="18">
        <v>1</v>
      </c>
      <c r="B114" s="53" t="s">
        <v>68</v>
      </c>
      <c r="C114" s="54" t="s">
        <v>3</v>
      </c>
      <c r="D114" s="55">
        <f>D113-D116-D115</f>
        <v>1765.6531554999999</v>
      </c>
    </row>
    <row r="115" spans="1:4" outlineLevel="2">
      <c r="A115" s="18">
        <v>2</v>
      </c>
      <c r="B115" s="350" t="s">
        <v>45</v>
      </c>
      <c r="C115" s="18" t="s">
        <v>3</v>
      </c>
      <c r="D115" s="19">
        <v>0</v>
      </c>
    </row>
    <row r="116" spans="1:4" outlineLevel="2">
      <c r="A116" s="18">
        <v>3</v>
      </c>
      <c r="B116" s="350" t="s">
        <v>55</v>
      </c>
      <c r="C116" s="18" t="s">
        <v>3</v>
      </c>
      <c r="D116" s="37">
        <f>D113*D140</f>
        <v>218.22679450000001</v>
      </c>
    </row>
    <row r="117" spans="1:4" outlineLevel="1">
      <c r="A117" s="361" t="s">
        <v>74</v>
      </c>
      <c r="B117" s="362"/>
      <c r="C117" s="35" t="s">
        <v>3</v>
      </c>
      <c r="D117" s="36">
        <f>'Base (12p) Oct 26'!D6</f>
        <v>1983.87995</v>
      </c>
    </row>
    <row r="118" spans="1:4" outlineLevel="2">
      <c r="A118" s="18">
        <v>1</v>
      </c>
      <c r="B118" s="53" t="s">
        <v>68</v>
      </c>
      <c r="C118" s="54" t="s">
        <v>3</v>
      </c>
      <c r="D118" s="55">
        <f>D117-D120-D119</f>
        <v>1765.6531554999999</v>
      </c>
    </row>
    <row r="119" spans="1:4" outlineLevel="2">
      <c r="A119" s="18">
        <v>2</v>
      </c>
      <c r="B119" s="350" t="s">
        <v>45</v>
      </c>
      <c r="C119" s="18" t="s">
        <v>3</v>
      </c>
      <c r="D119" s="19">
        <v>0</v>
      </c>
    </row>
    <row r="120" spans="1:4" outlineLevel="2">
      <c r="A120" s="18">
        <v>3</v>
      </c>
      <c r="B120" s="350" t="s">
        <v>55</v>
      </c>
      <c r="C120" s="18" t="s">
        <v>3</v>
      </c>
      <c r="D120" s="37">
        <f>D117*D140</f>
        <v>218.22679450000001</v>
      </c>
    </row>
    <row r="121" spans="1:4" outlineLevel="1">
      <c r="A121" s="361" t="s">
        <v>87</v>
      </c>
      <c r="B121" s="362"/>
      <c r="C121" s="35" t="s">
        <v>3</v>
      </c>
      <c r="D121" s="36">
        <f>'Base (12p) Oct 26'!D6</f>
        <v>1983.87995</v>
      </c>
    </row>
    <row r="122" spans="1:4" outlineLevel="2">
      <c r="A122" s="18">
        <v>1</v>
      </c>
      <c r="B122" s="53" t="s">
        <v>68</v>
      </c>
      <c r="C122" s="54" t="s">
        <v>3</v>
      </c>
      <c r="D122" s="55">
        <f>D121-D124-D123</f>
        <v>1765.6531554999999</v>
      </c>
    </row>
    <row r="123" spans="1:4" outlineLevel="2">
      <c r="A123" s="18">
        <v>2</v>
      </c>
      <c r="B123" s="350" t="s">
        <v>45</v>
      </c>
      <c r="C123" s="18" t="s">
        <v>3</v>
      </c>
      <c r="D123" s="19">
        <v>0</v>
      </c>
    </row>
    <row r="124" spans="1:4" outlineLevel="2">
      <c r="A124" s="18">
        <v>3</v>
      </c>
      <c r="B124" s="350" t="s">
        <v>55</v>
      </c>
      <c r="C124" s="18" t="s">
        <v>3</v>
      </c>
      <c r="D124" s="37">
        <f>D121*D140</f>
        <v>218.22679450000001</v>
      </c>
    </row>
    <row r="125" spans="1:4" outlineLevel="1">
      <c r="A125" s="361" t="s">
        <v>88</v>
      </c>
      <c r="B125" s="362"/>
      <c r="C125" s="35" t="s">
        <v>3</v>
      </c>
      <c r="D125" s="36">
        <f>'Base (12p) Oct 26'!D6</f>
        <v>1983.87995</v>
      </c>
    </row>
    <row r="126" spans="1:4" outlineLevel="2">
      <c r="A126" s="18">
        <v>1</v>
      </c>
      <c r="B126" s="53" t="s">
        <v>68</v>
      </c>
      <c r="C126" s="54" t="s">
        <v>3</v>
      </c>
      <c r="D126" s="55">
        <f>D125-D128-D127</f>
        <v>1765.6531554999999</v>
      </c>
    </row>
    <row r="127" spans="1:4" outlineLevel="2">
      <c r="A127" s="18">
        <v>2</v>
      </c>
      <c r="B127" s="350" t="s">
        <v>45</v>
      </c>
      <c r="C127" s="18" t="s">
        <v>3</v>
      </c>
      <c r="D127" s="19">
        <v>0</v>
      </c>
    </row>
    <row r="128" spans="1:4" outlineLevel="2">
      <c r="A128" s="18">
        <v>3</v>
      </c>
      <c r="B128" s="350" t="s">
        <v>55</v>
      </c>
      <c r="C128" s="18" t="s">
        <v>3</v>
      </c>
      <c r="D128" s="37">
        <f>D125*D140</f>
        <v>218.22679450000001</v>
      </c>
    </row>
    <row r="129" spans="1:12" outlineLevel="1">
      <c r="A129" s="361" t="s">
        <v>89</v>
      </c>
      <c r="B129" s="362"/>
      <c r="C129" s="35" t="s">
        <v>3</v>
      </c>
      <c r="D129" s="36">
        <f>'Base (12p) Oct 26'!D6</f>
        <v>1983.87995</v>
      </c>
    </row>
    <row r="130" spans="1:12" outlineLevel="2">
      <c r="A130" s="18">
        <v>1</v>
      </c>
      <c r="B130" s="53" t="s">
        <v>68</v>
      </c>
      <c r="C130" s="54" t="s">
        <v>3</v>
      </c>
      <c r="D130" s="55">
        <f>D129-D132-D131</f>
        <v>1765.6531554999999</v>
      </c>
    </row>
    <row r="131" spans="1:12" outlineLevel="2">
      <c r="A131" s="18">
        <v>2</v>
      </c>
      <c r="B131" s="350" t="s">
        <v>45</v>
      </c>
      <c r="C131" s="18" t="s">
        <v>3</v>
      </c>
      <c r="D131" s="19">
        <v>0</v>
      </c>
    </row>
    <row r="132" spans="1:12" outlineLevel="2">
      <c r="A132" s="18">
        <v>3</v>
      </c>
      <c r="B132" s="350" t="s">
        <v>55</v>
      </c>
      <c r="C132" s="18" t="s">
        <v>3</v>
      </c>
      <c r="D132" s="37">
        <f>D129*D140</f>
        <v>218.22679450000001</v>
      </c>
      <c r="E132" s="48"/>
    </row>
    <row r="133" spans="1:12" outlineLevel="1">
      <c r="A133" s="361" t="s">
        <v>90</v>
      </c>
      <c r="B133" s="362"/>
      <c r="C133" s="35" t="s">
        <v>3</v>
      </c>
      <c r="D133" s="36">
        <f>'Base (12p) Oct 26'!D6</f>
        <v>1983.87995</v>
      </c>
      <c r="E133" s="48"/>
      <c r="F133" s="284"/>
      <c r="G133" s="284"/>
      <c r="H133" s="286"/>
    </row>
    <row r="134" spans="1:12" outlineLevel="2">
      <c r="A134" s="18">
        <v>1</v>
      </c>
      <c r="B134" s="53" t="s">
        <v>68</v>
      </c>
      <c r="C134" s="54" t="s">
        <v>3</v>
      </c>
      <c r="D134" s="55">
        <f>D133-D136-D135</f>
        <v>1765.6531554999999</v>
      </c>
      <c r="F134" s="351"/>
      <c r="G134" s="352"/>
      <c r="H134" s="353"/>
      <c r="I134" s="354"/>
      <c r="J134" s="354"/>
      <c r="K134" s="354"/>
    </row>
    <row r="135" spans="1:12" outlineLevel="2">
      <c r="A135" s="18">
        <v>2</v>
      </c>
      <c r="B135" s="350" t="s">
        <v>45</v>
      </c>
      <c r="C135" s="18" t="s">
        <v>3</v>
      </c>
      <c r="D135" s="19">
        <v>0</v>
      </c>
    </row>
    <row r="136" spans="1:12" outlineLevel="2">
      <c r="A136" s="18">
        <v>3</v>
      </c>
      <c r="B136" s="350" t="s">
        <v>55</v>
      </c>
      <c r="C136" s="18" t="s">
        <v>3</v>
      </c>
      <c r="D136" s="37">
        <f>D133*D140</f>
        <v>218.22679450000001</v>
      </c>
      <c r="F136" s="287" t="s">
        <v>170</v>
      </c>
      <c r="G136" t="s">
        <v>171</v>
      </c>
      <c r="H136" t="s">
        <v>172</v>
      </c>
      <c r="J136" s="283" t="s">
        <v>55</v>
      </c>
      <c r="K136" t="s">
        <v>171</v>
      </c>
      <c r="L136" t="s">
        <v>172</v>
      </c>
    </row>
    <row r="137" spans="1:12" outlineLevel="1">
      <c r="A137" s="363" t="s">
        <v>82</v>
      </c>
      <c r="B137" s="364"/>
      <c r="C137" s="61" t="s">
        <v>3</v>
      </c>
      <c r="D137" s="62">
        <f ca="1">D118+D114+D110+D106+D102+D98+D93+D122+D126+D130+D134</f>
        <v>19668.7509942</v>
      </c>
      <c r="E137" s="48"/>
      <c r="F137" s="284">
        <f ca="1">D137-SUM(F52:F53)</f>
        <v>54.750994199999695</v>
      </c>
      <c r="G137" s="284">
        <f ca="1">F137*E52</f>
        <v>10.903302913490304</v>
      </c>
      <c r="H137" s="286">
        <f ca="1">F137*E53</f>
        <v>43.847691286509395</v>
      </c>
      <c r="J137" s="284">
        <f ca="1">D139*(D137/SUM(D137:D138))</f>
        <v>2753.0110532301424</v>
      </c>
      <c r="K137" s="285">
        <f ca="1">J137*E52</f>
        <v>548.24417120000692</v>
      </c>
      <c r="L137" s="285">
        <f ca="1">J137*E53</f>
        <v>2204.7668820301355</v>
      </c>
    </row>
    <row r="138" spans="1:12" outlineLevel="1">
      <c r="A138" s="365" t="s">
        <v>83</v>
      </c>
      <c r="B138" s="366"/>
      <c r="C138" s="38" t="s">
        <v>3</v>
      </c>
      <c r="D138" s="39">
        <f ca="1">D87</f>
        <v>1654.4561664923078</v>
      </c>
      <c r="E138" s="48"/>
      <c r="F138" s="284"/>
      <c r="G138" s="284"/>
      <c r="H138" s="286"/>
      <c r="J138" s="284">
        <f ca="1">D139*(D138/SUM(D137:D138))</f>
        <v>231.57220886985712</v>
      </c>
      <c r="K138" s="284"/>
      <c r="L138" s="286"/>
    </row>
    <row r="139" spans="1:12" outlineLevel="1">
      <c r="A139" s="367" t="s">
        <v>38</v>
      </c>
      <c r="B139" s="368"/>
      <c r="C139" s="40" t="s">
        <v>3</v>
      </c>
      <c r="D139" s="41">
        <f>D120+D116+D112+D108+D104+D100+D96+D91+D124+D128+D132+D136</f>
        <v>2984.5832620999995</v>
      </c>
      <c r="F139" s="351"/>
      <c r="G139" s="352"/>
      <c r="H139" s="353"/>
      <c r="I139" s="354"/>
      <c r="J139" s="354"/>
      <c r="K139" s="354"/>
    </row>
    <row r="140" spans="1:12" outlineLevel="1">
      <c r="A140" s="369"/>
      <c r="B140" s="370"/>
      <c r="C140" s="42" t="s">
        <v>10</v>
      </c>
      <c r="D140" s="43">
        <v>0.11</v>
      </c>
    </row>
  </sheetData>
  <mergeCells count="84">
    <mergeCell ref="A7:B7"/>
    <mergeCell ref="A1:D1"/>
    <mergeCell ref="A2:D2"/>
    <mergeCell ref="A4:D4"/>
    <mergeCell ref="A5:B5"/>
    <mergeCell ref="A6:B6"/>
    <mergeCell ref="C17:D17"/>
    <mergeCell ref="A18:D18"/>
    <mergeCell ref="A8:B8"/>
    <mergeCell ref="A9:B9"/>
    <mergeCell ref="A10:B10"/>
    <mergeCell ref="A11:B11"/>
    <mergeCell ref="A12:B12"/>
    <mergeCell ref="A13:B13"/>
    <mergeCell ref="A24:B24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35:B35"/>
    <mergeCell ref="A25:B25"/>
    <mergeCell ref="A26:B26"/>
    <mergeCell ref="A27:B27"/>
    <mergeCell ref="A28:B28"/>
    <mergeCell ref="A29:B29"/>
    <mergeCell ref="A30:B30"/>
    <mergeCell ref="A31:B31"/>
    <mergeCell ref="A32:B32"/>
    <mergeCell ref="C32:D32"/>
    <mergeCell ref="A33:D33"/>
    <mergeCell ref="A34:B34"/>
    <mergeCell ref="A48:B49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7"/>
    <mergeCell ref="A76:A77"/>
    <mergeCell ref="B76:B77"/>
    <mergeCell ref="A50:B50"/>
    <mergeCell ref="A54:D54"/>
    <mergeCell ref="A59:D59"/>
    <mergeCell ref="A67:D67"/>
    <mergeCell ref="A68:A69"/>
    <mergeCell ref="B68:B69"/>
    <mergeCell ref="A70:A71"/>
    <mergeCell ref="B70:B71"/>
    <mergeCell ref="A72:D72"/>
    <mergeCell ref="A74:D74"/>
    <mergeCell ref="A75:B75"/>
    <mergeCell ref="A105:B105"/>
    <mergeCell ref="A78:B78"/>
    <mergeCell ref="A79:A80"/>
    <mergeCell ref="B79:B80"/>
    <mergeCell ref="A81:A82"/>
    <mergeCell ref="B81:B82"/>
    <mergeCell ref="A83:A84"/>
    <mergeCell ref="B83:B84"/>
    <mergeCell ref="A85:D85"/>
    <mergeCell ref="A86:B86"/>
    <mergeCell ref="A92:B92"/>
    <mergeCell ref="A97:B97"/>
    <mergeCell ref="A101:B101"/>
    <mergeCell ref="A133:B133"/>
    <mergeCell ref="A137:B137"/>
    <mergeCell ref="A138:B138"/>
    <mergeCell ref="A139:B140"/>
    <mergeCell ref="A109:B109"/>
    <mergeCell ref="A113:B113"/>
    <mergeCell ref="A117:B117"/>
    <mergeCell ref="A121:B121"/>
    <mergeCell ref="A125:B125"/>
    <mergeCell ref="A129:B12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C16D-3BAD-42AC-8AD1-BB6616B19F26}">
  <dimension ref="A1:F57"/>
  <sheetViews>
    <sheetView topLeftCell="A43" workbookViewId="0">
      <selection activeCell="B82" sqref="B82"/>
    </sheetView>
  </sheetViews>
  <sheetFormatPr baseColWidth="10" defaultRowHeight="14.4"/>
  <cols>
    <col min="1" max="1" width="28.6640625" customWidth="1"/>
    <col min="4" max="4" width="17.109375" customWidth="1"/>
    <col min="5" max="5" width="15.44140625" customWidth="1"/>
    <col min="6" max="6" width="18.44140625" customWidth="1"/>
  </cols>
  <sheetData>
    <row r="1" spans="1:6">
      <c r="A1" s="420" t="s">
        <v>41</v>
      </c>
      <c r="B1" s="421"/>
      <c r="C1" s="421"/>
      <c r="D1" s="421"/>
      <c r="E1" s="421"/>
      <c r="F1" s="422"/>
    </row>
    <row r="2" spans="1:6">
      <c r="A2" s="423" t="s">
        <v>25</v>
      </c>
      <c r="B2" s="420" t="s">
        <v>24</v>
      </c>
      <c r="C2" s="422"/>
      <c r="D2" s="312" t="s">
        <v>26</v>
      </c>
      <c r="E2" s="417" t="s">
        <v>20</v>
      </c>
      <c r="F2" s="419"/>
    </row>
    <row r="3" spans="1:6">
      <c r="A3" s="424"/>
      <c r="B3" s="425" t="s">
        <v>1</v>
      </c>
      <c r="C3" s="426"/>
      <c r="D3" s="313" t="s">
        <v>3</v>
      </c>
      <c r="E3" s="3"/>
      <c r="F3" s="313" t="s">
        <v>3</v>
      </c>
    </row>
    <row r="4" spans="1:6">
      <c r="A4" s="355" t="s">
        <v>93</v>
      </c>
      <c r="B4" s="413">
        <v>2</v>
      </c>
      <c r="C4" s="414"/>
      <c r="D4" s="7">
        <v>3296.7013299999999</v>
      </c>
      <c r="E4" s="356" t="s">
        <v>8</v>
      </c>
      <c r="F4" s="357">
        <f>+D4*B4</f>
        <v>6593.4026599999997</v>
      </c>
    </row>
    <row r="5" spans="1:6">
      <c r="A5" s="355" t="s">
        <v>69</v>
      </c>
      <c r="B5" s="413">
        <v>1</v>
      </c>
      <c r="C5" s="414"/>
      <c r="D5" s="7">
        <f>D4-612.44843</f>
        <v>2684.2529</v>
      </c>
      <c r="E5" s="356" t="s">
        <v>8</v>
      </c>
      <c r="F5" s="357">
        <f>+D5*B5</f>
        <v>2684.2529</v>
      </c>
    </row>
    <row r="6" spans="1:6">
      <c r="A6" s="358" t="s">
        <v>91</v>
      </c>
      <c r="B6" s="413">
        <v>9</v>
      </c>
      <c r="C6" s="414"/>
      <c r="D6" s="7">
        <f>2596.32838-612.44843</f>
        <v>1983.87995</v>
      </c>
      <c r="E6" s="356" t="s">
        <v>8</v>
      </c>
      <c r="F6" s="357">
        <f>D6*B6</f>
        <v>17854.919549999999</v>
      </c>
    </row>
    <row r="7" spans="1:6">
      <c r="A7" s="358" t="s">
        <v>2</v>
      </c>
      <c r="B7" s="415">
        <f>SUM(B4:B6)</f>
        <v>12</v>
      </c>
      <c r="C7" s="416"/>
      <c r="D7" s="4" t="s">
        <v>0</v>
      </c>
      <c r="E7" s="312" t="s">
        <v>8</v>
      </c>
      <c r="F7" s="5">
        <f>SUM(F4:F6)</f>
        <v>27132.575109999998</v>
      </c>
    </row>
    <row r="9" spans="1:6">
      <c r="A9" s="417" t="s">
        <v>40</v>
      </c>
      <c r="B9" s="418"/>
      <c r="C9" s="418"/>
      <c r="D9" s="418"/>
      <c r="E9" s="418"/>
      <c r="F9" s="419"/>
    </row>
    <row r="10" spans="1:6">
      <c r="A10" s="315" t="s">
        <v>16</v>
      </c>
      <c r="B10" s="12" t="s">
        <v>19</v>
      </c>
      <c r="C10" s="417" t="s">
        <v>18</v>
      </c>
      <c r="D10" s="419"/>
      <c r="E10" s="417" t="s">
        <v>20</v>
      </c>
      <c r="F10" s="419"/>
    </row>
    <row r="11" spans="1:6">
      <c r="A11" s="316" t="s">
        <v>1</v>
      </c>
      <c r="B11" s="11" t="s">
        <v>3</v>
      </c>
      <c r="C11" s="411" t="s">
        <v>1</v>
      </c>
      <c r="D11" s="412"/>
      <c r="E11" s="316"/>
      <c r="F11" s="317" t="s">
        <v>3</v>
      </c>
    </row>
    <row r="12" spans="1:6">
      <c r="A12" s="10">
        <v>1</v>
      </c>
      <c r="B12" s="8">
        <v>45.6</v>
      </c>
      <c r="C12" s="407">
        <v>1</v>
      </c>
      <c r="D12" s="408"/>
      <c r="E12" s="356" t="s">
        <v>8</v>
      </c>
      <c r="F12" s="359">
        <f>C12*B12</f>
        <v>45.6</v>
      </c>
    </row>
    <row r="13" spans="1:6">
      <c r="A13" s="10">
        <v>2</v>
      </c>
      <c r="B13" s="8">
        <v>61.3</v>
      </c>
      <c r="C13" s="407">
        <v>3</v>
      </c>
      <c r="D13" s="408"/>
      <c r="E13" s="356" t="s">
        <v>8</v>
      </c>
      <c r="F13" s="359">
        <f t="shared" ref="F13:F39" si="0">C13*B13</f>
        <v>183.89999999999998</v>
      </c>
    </row>
    <row r="14" spans="1:6">
      <c r="A14" s="10">
        <v>3</v>
      </c>
      <c r="B14" s="8">
        <v>86</v>
      </c>
      <c r="C14" s="407">
        <v>2</v>
      </c>
      <c r="D14" s="408"/>
      <c r="E14" s="356" t="s">
        <v>8</v>
      </c>
      <c r="F14" s="359">
        <f t="shared" si="0"/>
        <v>172</v>
      </c>
    </row>
    <row r="15" spans="1:6">
      <c r="A15" s="10">
        <v>4</v>
      </c>
      <c r="B15" s="8">
        <v>109.9</v>
      </c>
      <c r="C15" s="407">
        <v>2</v>
      </c>
      <c r="D15" s="408"/>
      <c r="E15" s="356" t="s">
        <v>8</v>
      </c>
      <c r="F15" s="359">
        <f t="shared" si="0"/>
        <v>219.8</v>
      </c>
    </row>
    <row r="16" spans="1:6">
      <c r="A16" s="10">
        <v>5</v>
      </c>
      <c r="B16" s="8">
        <v>138.9</v>
      </c>
      <c r="C16" s="407">
        <v>1</v>
      </c>
      <c r="D16" s="408"/>
      <c r="E16" s="356" t="s">
        <v>8</v>
      </c>
      <c r="F16" s="359">
        <f t="shared" si="0"/>
        <v>138.9</v>
      </c>
    </row>
    <row r="17" spans="1:6">
      <c r="A17" s="9">
        <v>6</v>
      </c>
      <c r="B17" s="8">
        <v>139.6</v>
      </c>
      <c r="C17" s="407">
        <v>2</v>
      </c>
      <c r="D17" s="408"/>
      <c r="E17" s="356" t="s">
        <v>8</v>
      </c>
      <c r="F17" s="359">
        <f t="shared" si="0"/>
        <v>279.2</v>
      </c>
    </row>
    <row r="18" spans="1:6">
      <c r="A18" s="9">
        <v>7</v>
      </c>
      <c r="B18" s="8">
        <v>123</v>
      </c>
      <c r="C18" s="407">
        <v>2</v>
      </c>
      <c r="D18" s="408"/>
      <c r="E18" s="356" t="s">
        <v>8</v>
      </c>
      <c r="F18" s="359">
        <f t="shared" si="0"/>
        <v>246</v>
      </c>
    </row>
    <row r="19" spans="1:6">
      <c r="A19" s="10">
        <v>8</v>
      </c>
      <c r="B19" s="8">
        <v>67</v>
      </c>
      <c r="C19" s="407">
        <v>2</v>
      </c>
      <c r="D19" s="408"/>
      <c r="E19" s="356" t="s">
        <v>8</v>
      </c>
      <c r="F19" s="359">
        <f t="shared" si="0"/>
        <v>134</v>
      </c>
    </row>
    <row r="20" spans="1:6">
      <c r="A20" s="9">
        <v>9</v>
      </c>
      <c r="B20" s="8">
        <v>125.6</v>
      </c>
      <c r="C20" s="407">
        <v>3</v>
      </c>
      <c r="D20" s="408"/>
      <c r="E20" s="356" t="s">
        <v>8</v>
      </c>
      <c r="F20" s="359">
        <f t="shared" si="0"/>
        <v>376.79999999999995</v>
      </c>
    </row>
    <row r="21" spans="1:6">
      <c r="A21" s="9">
        <v>10</v>
      </c>
      <c r="B21" s="8">
        <v>170.9</v>
      </c>
      <c r="C21" s="407">
        <v>3</v>
      </c>
      <c r="D21" s="408"/>
      <c r="E21" s="356" t="s">
        <v>8</v>
      </c>
      <c r="F21" s="359">
        <f t="shared" si="0"/>
        <v>512.70000000000005</v>
      </c>
    </row>
    <row r="22" spans="1:6">
      <c r="A22" s="9">
        <v>11</v>
      </c>
      <c r="B22" s="8">
        <v>171</v>
      </c>
      <c r="C22" s="407">
        <v>1</v>
      </c>
      <c r="D22" s="408"/>
      <c r="E22" s="356" t="s">
        <v>8</v>
      </c>
      <c r="F22" s="359">
        <f t="shared" si="0"/>
        <v>171</v>
      </c>
    </row>
    <row r="23" spans="1:6">
      <c r="A23" s="10">
        <v>12</v>
      </c>
      <c r="B23" s="8">
        <v>170.8</v>
      </c>
      <c r="C23" s="407">
        <v>2</v>
      </c>
      <c r="D23" s="408"/>
      <c r="E23" s="356" t="s">
        <v>8</v>
      </c>
      <c r="F23" s="359">
        <f t="shared" si="0"/>
        <v>341.6</v>
      </c>
    </row>
    <row r="24" spans="1:6">
      <c r="A24" s="9">
        <v>13</v>
      </c>
      <c r="B24" s="8">
        <v>170.8</v>
      </c>
      <c r="C24" s="407">
        <v>4</v>
      </c>
      <c r="D24" s="408"/>
      <c r="E24" s="356" t="s">
        <v>8</v>
      </c>
      <c r="F24" s="359">
        <f t="shared" si="0"/>
        <v>683.2</v>
      </c>
    </row>
    <row r="25" spans="1:6">
      <c r="A25" s="9">
        <v>14</v>
      </c>
      <c r="B25" s="8">
        <v>85.5</v>
      </c>
      <c r="C25" s="407">
        <v>1</v>
      </c>
      <c r="D25" s="408"/>
      <c r="E25" s="356" t="s">
        <v>8</v>
      </c>
      <c r="F25" s="359">
        <f t="shared" si="0"/>
        <v>85.5</v>
      </c>
    </row>
    <row r="26" spans="1:6">
      <c r="A26" s="9">
        <v>15</v>
      </c>
      <c r="B26" s="8">
        <v>85.5</v>
      </c>
      <c r="C26" s="407">
        <v>1</v>
      </c>
      <c r="D26" s="408"/>
      <c r="E26" s="356" t="s">
        <v>8</v>
      </c>
      <c r="F26" s="359">
        <f t="shared" si="0"/>
        <v>85.5</v>
      </c>
    </row>
    <row r="27" spans="1:6">
      <c r="A27" s="10">
        <v>16</v>
      </c>
      <c r="B27" s="8">
        <v>170.8</v>
      </c>
      <c r="C27" s="407">
        <v>3</v>
      </c>
      <c r="D27" s="408"/>
      <c r="E27" s="356" t="s">
        <v>8</v>
      </c>
      <c r="F27" s="359">
        <f t="shared" si="0"/>
        <v>512.40000000000009</v>
      </c>
    </row>
    <row r="28" spans="1:6">
      <c r="A28" s="9">
        <v>17</v>
      </c>
      <c r="B28" s="8">
        <v>61</v>
      </c>
      <c r="C28" s="407">
        <v>1</v>
      </c>
      <c r="D28" s="408"/>
      <c r="E28" s="356" t="s">
        <v>8</v>
      </c>
      <c r="F28" s="359">
        <f t="shared" si="0"/>
        <v>61</v>
      </c>
    </row>
    <row r="29" spans="1:6">
      <c r="A29" s="9">
        <v>18</v>
      </c>
      <c r="B29" s="8">
        <v>170.9</v>
      </c>
      <c r="C29" s="407">
        <v>2</v>
      </c>
      <c r="D29" s="408"/>
      <c r="E29" s="356" t="s">
        <v>8</v>
      </c>
      <c r="F29" s="359">
        <f t="shared" si="0"/>
        <v>341.8</v>
      </c>
    </row>
    <row r="30" spans="1:6">
      <c r="A30" s="9">
        <v>19</v>
      </c>
      <c r="B30" s="8">
        <v>131</v>
      </c>
      <c r="C30" s="407">
        <v>2</v>
      </c>
      <c r="D30" s="408"/>
      <c r="E30" s="356" t="s">
        <v>8</v>
      </c>
      <c r="F30" s="359">
        <f t="shared" si="0"/>
        <v>262</v>
      </c>
    </row>
    <row r="31" spans="1:6">
      <c r="A31" s="10">
        <v>20</v>
      </c>
      <c r="B31" s="8">
        <v>65.900000000000006</v>
      </c>
      <c r="C31" s="407">
        <v>2</v>
      </c>
      <c r="D31" s="408"/>
      <c r="E31" s="356" t="s">
        <v>8</v>
      </c>
      <c r="F31" s="359">
        <f t="shared" si="0"/>
        <v>131.80000000000001</v>
      </c>
    </row>
    <row r="32" spans="1:6">
      <c r="A32" s="9">
        <v>21</v>
      </c>
      <c r="B32" s="8">
        <v>21.9</v>
      </c>
      <c r="C32" s="407">
        <v>2</v>
      </c>
      <c r="D32" s="408"/>
      <c r="E32" s="356" t="s">
        <v>8</v>
      </c>
      <c r="F32" s="359">
        <f t="shared" si="0"/>
        <v>43.8</v>
      </c>
    </row>
    <row r="33" spans="1:6">
      <c r="A33" s="9">
        <v>22</v>
      </c>
      <c r="B33" s="8">
        <v>21.9</v>
      </c>
      <c r="C33" s="407">
        <v>3</v>
      </c>
      <c r="D33" s="408"/>
      <c r="E33" s="356" t="s">
        <v>8</v>
      </c>
      <c r="F33" s="359">
        <f t="shared" si="0"/>
        <v>65.699999999999989</v>
      </c>
    </row>
    <row r="34" spans="1:6">
      <c r="A34" s="9">
        <v>23</v>
      </c>
      <c r="B34" s="8">
        <v>22</v>
      </c>
      <c r="C34" s="407">
        <v>2</v>
      </c>
      <c r="D34" s="408"/>
      <c r="E34" s="356" t="s">
        <v>8</v>
      </c>
      <c r="F34" s="359">
        <f t="shared" si="0"/>
        <v>44</v>
      </c>
    </row>
    <row r="35" spans="1:6">
      <c r="A35" s="10">
        <v>24</v>
      </c>
      <c r="B35" s="8">
        <v>102.5</v>
      </c>
      <c r="C35" s="407">
        <v>1</v>
      </c>
      <c r="D35" s="408"/>
      <c r="E35" s="356" t="s">
        <v>8</v>
      </c>
      <c r="F35" s="359">
        <f t="shared" si="0"/>
        <v>102.5</v>
      </c>
    </row>
    <row r="36" spans="1:6">
      <c r="A36" s="9">
        <v>25</v>
      </c>
      <c r="B36" s="8">
        <v>102.6</v>
      </c>
      <c r="C36" s="407">
        <v>2</v>
      </c>
      <c r="D36" s="408"/>
      <c r="E36" s="356" t="s">
        <v>8</v>
      </c>
      <c r="F36" s="359">
        <f t="shared" si="0"/>
        <v>205.2</v>
      </c>
    </row>
    <row r="37" spans="1:6">
      <c r="A37" s="9">
        <v>26</v>
      </c>
      <c r="B37" s="8">
        <v>142.4</v>
      </c>
      <c r="C37" s="407">
        <v>1</v>
      </c>
      <c r="D37" s="408"/>
      <c r="E37" s="356" t="s">
        <v>8</v>
      </c>
      <c r="F37" s="359">
        <f t="shared" si="0"/>
        <v>142.4</v>
      </c>
    </row>
    <row r="38" spans="1:6">
      <c r="A38" s="9">
        <v>27</v>
      </c>
      <c r="B38" s="8">
        <v>142.5</v>
      </c>
      <c r="C38" s="407">
        <v>2</v>
      </c>
      <c r="D38" s="408"/>
      <c r="E38" s="356" t="s">
        <v>8</v>
      </c>
      <c r="F38" s="359">
        <f t="shared" si="0"/>
        <v>285</v>
      </c>
    </row>
    <row r="39" spans="1:6">
      <c r="A39" s="10">
        <v>28</v>
      </c>
      <c r="B39" s="8">
        <v>102.6</v>
      </c>
      <c r="C39" s="407">
        <v>3</v>
      </c>
      <c r="D39" s="408"/>
      <c r="E39" s="356" t="s">
        <v>8</v>
      </c>
      <c r="F39" s="359">
        <f t="shared" si="0"/>
        <v>307.79999999999995</v>
      </c>
    </row>
    <row r="40" spans="1:6">
      <c r="A40" s="9">
        <v>29</v>
      </c>
      <c r="B40" s="8">
        <v>102.5</v>
      </c>
      <c r="C40" s="407">
        <v>1</v>
      </c>
      <c r="D40" s="408"/>
      <c r="E40" s="356" t="s">
        <v>8</v>
      </c>
      <c r="F40" s="359">
        <f>C40*B40</f>
        <v>102.5</v>
      </c>
    </row>
    <row r="41" spans="1:6">
      <c r="A41" s="9">
        <v>30</v>
      </c>
      <c r="B41" s="8">
        <v>65.900000000000006</v>
      </c>
      <c r="C41" s="407">
        <v>2</v>
      </c>
      <c r="D41" s="408"/>
      <c r="E41" s="356" t="s">
        <v>8</v>
      </c>
      <c r="F41" s="359">
        <f t="shared" ref="F41:F56" si="1">C41*B41</f>
        <v>131.80000000000001</v>
      </c>
    </row>
    <row r="42" spans="1:6">
      <c r="A42" s="9">
        <v>31</v>
      </c>
      <c r="B42" s="8">
        <v>65.900000000000006</v>
      </c>
      <c r="C42" s="407">
        <v>2</v>
      </c>
      <c r="D42" s="408"/>
      <c r="E42" s="356" t="s">
        <v>17</v>
      </c>
      <c r="F42" s="359">
        <f t="shared" si="1"/>
        <v>131.80000000000001</v>
      </c>
    </row>
    <row r="43" spans="1:6">
      <c r="A43" s="9">
        <v>32</v>
      </c>
      <c r="B43" s="8">
        <v>131</v>
      </c>
      <c r="C43" s="407">
        <v>2</v>
      </c>
      <c r="D43" s="408"/>
      <c r="E43" s="356" t="s">
        <v>8</v>
      </c>
      <c r="F43" s="359">
        <f t="shared" si="1"/>
        <v>262</v>
      </c>
    </row>
    <row r="44" spans="1:6">
      <c r="A44" s="9">
        <v>33</v>
      </c>
      <c r="B44" s="8">
        <v>170.9</v>
      </c>
      <c r="C44" s="407">
        <v>3</v>
      </c>
      <c r="D44" s="408"/>
      <c r="E44" s="356" t="s">
        <v>8</v>
      </c>
      <c r="F44" s="359">
        <f t="shared" si="1"/>
        <v>512.70000000000005</v>
      </c>
    </row>
    <row r="45" spans="1:6">
      <c r="A45" s="9">
        <v>34</v>
      </c>
      <c r="B45" s="8">
        <v>171</v>
      </c>
      <c r="C45" s="407">
        <v>2</v>
      </c>
      <c r="D45" s="408"/>
      <c r="E45" s="356" t="s">
        <v>8</v>
      </c>
      <c r="F45" s="359">
        <f t="shared" si="1"/>
        <v>342</v>
      </c>
    </row>
    <row r="46" spans="1:6">
      <c r="A46" s="9">
        <v>35</v>
      </c>
      <c r="B46" s="8">
        <v>170.8</v>
      </c>
      <c r="C46" s="407">
        <v>3</v>
      </c>
      <c r="D46" s="408"/>
      <c r="E46" s="356" t="s">
        <v>8</v>
      </c>
      <c r="F46" s="359">
        <f t="shared" si="1"/>
        <v>512.40000000000009</v>
      </c>
    </row>
    <row r="47" spans="1:6">
      <c r="A47" s="9">
        <v>36</v>
      </c>
      <c r="B47" s="8">
        <v>171</v>
      </c>
      <c r="C47" s="407">
        <v>1</v>
      </c>
      <c r="D47" s="408"/>
      <c r="E47" s="356" t="s">
        <v>8</v>
      </c>
      <c r="F47" s="359">
        <f t="shared" si="1"/>
        <v>171</v>
      </c>
    </row>
    <row r="48" spans="1:6">
      <c r="A48" s="9">
        <v>37</v>
      </c>
      <c r="B48" s="8">
        <v>170.8</v>
      </c>
      <c r="C48" s="407">
        <v>3</v>
      </c>
      <c r="D48" s="408"/>
      <c r="E48" s="356" t="s">
        <v>8</v>
      </c>
      <c r="F48" s="359">
        <f t="shared" si="1"/>
        <v>512.40000000000009</v>
      </c>
    </row>
    <row r="49" spans="1:6">
      <c r="A49" s="9">
        <v>38</v>
      </c>
      <c r="B49" s="8">
        <v>171</v>
      </c>
      <c r="C49" s="407">
        <v>2</v>
      </c>
      <c r="D49" s="408"/>
      <c r="E49" s="356" t="s">
        <v>8</v>
      </c>
      <c r="F49" s="359">
        <f t="shared" si="1"/>
        <v>342</v>
      </c>
    </row>
    <row r="50" spans="1:6">
      <c r="A50" s="9">
        <v>39</v>
      </c>
      <c r="B50" s="8">
        <v>171.1</v>
      </c>
      <c r="C50" s="407">
        <v>2</v>
      </c>
      <c r="D50" s="408"/>
      <c r="E50" s="356" t="s">
        <v>8</v>
      </c>
      <c r="F50" s="359">
        <f t="shared" si="1"/>
        <v>342.2</v>
      </c>
    </row>
    <row r="51" spans="1:6">
      <c r="A51" s="9">
        <v>40</v>
      </c>
      <c r="B51" s="8">
        <v>170.6</v>
      </c>
      <c r="C51" s="407">
        <v>1</v>
      </c>
      <c r="D51" s="408"/>
      <c r="E51" s="356" t="s">
        <v>8</v>
      </c>
      <c r="F51" s="359">
        <f t="shared" si="1"/>
        <v>170.6</v>
      </c>
    </row>
    <row r="52" spans="1:6">
      <c r="A52" s="9">
        <v>41</v>
      </c>
      <c r="B52" s="8">
        <v>140.4</v>
      </c>
      <c r="C52" s="407">
        <v>3</v>
      </c>
      <c r="D52" s="408"/>
      <c r="E52" s="356" t="s">
        <v>8</v>
      </c>
      <c r="F52" s="359">
        <f t="shared" si="1"/>
        <v>421.20000000000005</v>
      </c>
    </row>
    <row r="53" spans="1:6">
      <c r="A53" s="9">
        <v>42</v>
      </c>
      <c r="B53" s="8">
        <v>111.3</v>
      </c>
      <c r="C53" s="407">
        <v>1</v>
      </c>
      <c r="D53" s="408"/>
      <c r="E53" s="356" t="s">
        <v>8</v>
      </c>
      <c r="F53" s="359">
        <f t="shared" si="1"/>
        <v>111.3</v>
      </c>
    </row>
    <row r="54" spans="1:6">
      <c r="A54" s="9">
        <v>43</v>
      </c>
      <c r="B54" s="8">
        <v>86.3</v>
      </c>
      <c r="C54" s="407">
        <v>2</v>
      </c>
      <c r="D54" s="408"/>
      <c r="E54" s="356" t="s">
        <v>8</v>
      </c>
      <c r="F54" s="359">
        <f t="shared" si="1"/>
        <v>172.6</v>
      </c>
    </row>
    <row r="55" spans="1:6">
      <c r="A55" s="9">
        <v>44</v>
      </c>
      <c r="B55" s="8">
        <v>62</v>
      </c>
      <c r="C55" s="407">
        <v>2</v>
      </c>
      <c r="D55" s="408"/>
      <c r="E55" s="356" t="s">
        <v>8</v>
      </c>
      <c r="F55" s="359">
        <f t="shared" si="1"/>
        <v>124</v>
      </c>
    </row>
    <row r="56" spans="1:6">
      <c r="A56" s="9">
        <v>45</v>
      </c>
      <c r="B56" s="8">
        <v>47.3</v>
      </c>
      <c r="C56" s="407">
        <v>2</v>
      </c>
      <c r="D56" s="408"/>
      <c r="E56" s="356" t="s">
        <v>8</v>
      </c>
      <c r="F56" s="359">
        <f t="shared" si="1"/>
        <v>94.6</v>
      </c>
    </row>
    <row r="57" spans="1:6">
      <c r="A57" s="318" t="s">
        <v>21</v>
      </c>
      <c r="B57" s="6">
        <f>SUM(B12:B56)</f>
        <v>5189.2000000000016</v>
      </c>
      <c r="C57" s="409" t="s">
        <v>22</v>
      </c>
      <c r="D57" s="410"/>
      <c r="E57" s="356" t="s">
        <v>8</v>
      </c>
      <c r="F57" s="6">
        <f>SUM(F12:F56)</f>
        <v>10638.200000000003</v>
      </c>
    </row>
  </sheetData>
  <mergeCells count="59">
    <mergeCell ref="B4:C4"/>
    <mergeCell ref="A1:F1"/>
    <mergeCell ref="A2:A3"/>
    <mergeCell ref="B2:C2"/>
    <mergeCell ref="E2:F2"/>
    <mergeCell ref="B3:C3"/>
    <mergeCell ref="C16:D16"/>
    <mergeCell ref="B5:C5"/>
    <mergeCell ref="B6:C6"/>
    <mergeCell ref="B7:C7"/>
    <mergeCell ref="A9:F9"/>
    <mergeCell ref="C10:D10"/>
    <mergeCell ref="E10:F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52:D52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3:D53"/>
    <mergeCell ref="C54:D54"/>
    <mergeCell ref="C55:D55"/>
    <mergeCell ref="C56:D56"/>
    <mergeCell ref="C57:D5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78DAE-511E-4692-BA6F-FE6B063ABC1C}">
  <dimension ref="A1:L140"/>
  <sheetViews>
    <sheetView topLeftCell="A4" zoomScaleNormal="100" workbookViewId="0">
      <selection activeCell="A37" sqref="A37:E37"/>
    </sheetView>
  </sheetViews>
  <sheetFormatPr baseColWidth="10" defaultRowHeight="15.6" outlineLevelRow="2"/>
  <cols>
    <col min="1" max="1" width="5" style="45" customWidth="1"/>
    <col min="2" max="2" width="61.33203125" style="46" customWidth="1"/>
    <col min="3" max="3" width="12.6640625" style="45" customWidth="1"/>
    <col min="4" max="4" width="19.44140625" style="47" customWidth="1"/>
    <col min="5" max="5" width="9.44140625" customWidth="1"/>
    <col min="6" max="6" width="30.33203125" bestFit="1" customWidth="1"/>
    <col min="7" max="7" width="11.6640625" bestFit="1" customWidth="1"/>
    <col min="12" max="12" width="11.77734375" bestFit="1" customWidth="1"/>
  </cols>
  <sheetData>
    <row r="1" spans="1:7" ht="15" customHeight="1">
      <c r="A1" s="405" t="s">
        <v>47</v>
      </c>
      <c r="B1" s="405"/>
      <c r="C1" s="405"/>
      <c r="D1" s="405"/>
      <c r="E1" s="327"/>
      <c r="F1" s="327"/>
      <c r="G1" s="327"/>
    </row>
    <row r="2" spans="1:7" ht="15" customHeight="1">
      <c r="A2" s="406" t="s">
        <v>270</v>
      </c>
      <c r="B2" s="406"/>
      <c r="C2" s="406"/>
      <c r="D2" s="406"/>
      <c r="E2" s="328"/>
      <c r="F2" s="328"/>
      <c r="G2" s="328"/>
    </row>
    <row r="4" spans="1:7">
      <c r="A4" s="380" t="s">
        <v>49</v>
      </c>
      <c r="B4" s="381"/>
      <c r="C4" s="381"/>
      <c r="D4" s="382"/>
    </row>
    <row r="5" spans="1:7" hidden="1" outlineLevel="1">
      <c r="A5" s="391" t="s">
        <v>30</v>
      </c>
      <c r="B5" s="392"/>
      <c r="C5" s="329" t="s">
        <v>76</v>
      </c>
      <c r="D5" s="330">
        <v>59</v>
      </c>
    </row>
    <row r="6" spans="1:7" hidden="1" outlineLevel="1">
      <c r="A6" s="391" t="s">
        <v>28</v>
      </c>
      <c r="B6" s="392"/>
      <c r="C6" s="329" t="s">
        <v>76</v>
      </c>
      <c r="D6" s="330">
        <v>11.56</v>
      </c>
    </row>
    <row r="7" spans="1:7" hidden="1" outlineLevel="1">
      <c r="A7" s="391" t="s">
        <v>29</v>
      </c>
      <c r="B7" s="392"/>
      <c r="C7" s="329" t="s">
        <v>76</v>
      </c>
      <c r="D7" s="330">
        <v>10.17</v>
      </c>
    </row>
    <row r="8" spans="1:7" hidden="1" outlineLevel="1">
      <c r="A8" s="391" t="s">
        <v>12</v>
      </c>
      <c r="B8" s="392"/>
      <c r="C8" s="329" t="s">
        <v>76</v>
      </c>
      <c r="D8" s="330">
        <v>12.4</v>
      </c>
    </row>
    <row r="9" spans="1:7" hidden="1" outlineLevel="1">
      <c r="A9" s="391" t="s">
        <v>6</v>
      </c>
      <c r="B9" s="392"/>
      <c r="C9" s="329" t="s">
        <v>76</v>
      </c>
      <c r="D9" s="331" t="s">
        <v>5</v>
      </c>
    </row>
    <row r="10" spans="1:7" hidden="1" outlineLevel="1">
      <c r="A10" s="391" t="s">
        <v>31</v>
      </c>
      <c r="B10" s="392"/>
      <c r="C10" s="329" t="s">
        <v>76</v>
      </c>
      <c r="D10" s="332">
        <v>0.6</v>
      </c>
    </row>
    <row r="11" spans="1:7" hidden="1" outlineLevel="1">
      <c r="A11" s="391" t="s">
        <v>32</v>
      </c>
      <c r="B11" s="392"/>
      <c r="C11" s="329" t="s">
        <v>76</v>
      </c>
      <c r="D11" s="332">
        <v>0.6</v>
      </c>
    </row>
    <row r="12" spans="1:7" hidden="1" outlineLevel="1">
      <c r="A12" s="391" t="s">
        <v>33</v>
      </c>
      <c r="B12" s="392"/>
      <c r="C12" s="329" t="s">
        <v>76</v>
      </c>
      <c r="D12" s="332">
        <v>0.6</v>
      </c>
    </row>
    <row r="13" spans="1:7" hidden="1" outlineLevel="1">
      <c r="A13" s="391" t="s">
        <v>34</v>
      </c>
      <c r="B13" s="392"/>
      <c r="C13" s="329" t="s">
        <v>76</v>
      </c>
      <c r="D13" s="332">
        <v>0.6</v>
      </c>
    </row>
    <row r="14" spans="1:7" hidden="1" outlineLevel="1">
      <c r="A14" s="397" t="s">
        <v>13</v>
      </c>
      <c r="B14" s="398"/>
      <c r="C14" s="329" t="s">
        <v>76</v>
      </c>
      <c r="D14" s="333">
        <v>0.6</v>
      </c>
    </row>
    <row r="15" spans="1:7" hidden="1" outlineLevel="1">
      <c r="A15" s="397" t="s">
        <v>36</v>
      </c>
      <c r="B15" s="398"/>
      <c r="C15" s="14" t="s">
        <v>1</v>
      </c>
      <c r="D15" s="15">
        <v>2</v>
      </c>
    </row>
    <row r="16" spans="1:7" hidden="1" outlineLevel="1">
      <c r="A16" s="399" t="s">
        <v>43</v>
      </c>
      <c r="B16" s="400"/>
      <c r="C16" s="14" t="s">
        <v>3</v>
      </c>
      <c r="D16" s="16">
        <v>5313.9177200000004</v>
      </c>
    </row>
    <row r="17" spans="1:4" hidden="1" outlineLevel="1">
      <c r="A17" s="391" t="s">
        <v>4</v>
      </c>
      <c r="B17" s="392"/>
      <c r="C17" s="404" t="s">
        <v>27</v>
      </c>
      <c r="D17" s="404"/>
    </row>
    <row r="18" spans="1:4" collapsed="1">
      <c r="A18" s="380" t="s">
        <v>48</v>
      </c>
      <c r="B18" s="381"/>
      <c r="C18" s="381"/>
      <c r="D18" s="382"/>
    </row>
    <row r="19" spans="1:4" outlineLevel="1">
      <c r="A19" s="391" t="s">
        <v>30</v>
      </c>
      <c r="B19" s="392"/>
      <c r="C19" s="329" t="s">
        <v>76</v>
      </c>
      <c r="D19" s="330">
        <v>59</v>
      </c>
    </row>
    <row r="20" spans="1:4" outlineLevel="1">
      <c r="A20" s="391" t="s">
        <v>28</v>
      </c>
      <c r="B20" s="392"/>
      <c r="C20" s="329" t="s">
        <v>76</v>
      </c>
      <c r="D20" s="330">
        <v>16</v>
      </c>
    </row>
    <row r="21" spans="1:4" outlineLevel="1">
      <c r="A21" s="391" t="s">
        <v>29</v>
      </c>
      <c r="B21" s="392"/>
      <c r="C21" s="329" t="s">
        <v>76</v>
      </c>
      <c r="D21" s="330">
        <v>16</v>
      </c>
    </row>
    <row r="22" spans="1:4" outlineLevel="1">
      <c r="A22" s="391" t="s">
        <v>12</v>
      </c>
      <c r="B22" s="392"/>
      <c r="C22" s="329" t="s">
        <v>76</v>
      </c>
      <c r="D22" s="330">
        <v>14</v>
      </c>
    </row>
    <row r="23" spans="1:4" outlineLevel="1">
      <c r="A23" s="391" t="s">
        <v>6</v>
      </c>
      <c r="B23" s="392"/>
      <c r="C23" s="329" t="s">
        <v>76</v>
      </c>
      <c r="D23" s="331" t="s">
        <v>5</v>
      </c>
    </row>
    <row r="24" spans="1:4" outlineLevel="1">
      <c r="A24" s="391" t="s">
        <v>31</v>
      </c>
      <c r="B24" s="392"/>
      <c r="C24" s="329" t="s">
        <v>76</v>
      </c>
      <c r="D24" s="332">
        <v>0.6</v>
      </c>
    </row>
    <row r="25" spans="1:4" outlineLevel="1">
      <c r="A25" s="391" t="s">
        <v>32</v>
      </c>
      <c r="B25" s="392"/>
      <c r="C25" s="329" t="s">
        <v>76</v>
      </c>
      <c r="D25" s="332">
        <v>0.6</v>
      </c>
    </row>
    <row r="26" spans="1:4" outlineLevel="1">
      <c r="A26" s="391" t="s">
        <v>33</v>
      </c>
      <c r="B26" s="392"/>
      <c r="C26" s="329" t="s">
        <v>76</v>
      </c>
      <c r="D26" s="332">
        <v>0.6</v>
      </c>
    </row>
    <row r="27" spans="1:4" outlineLevel="1">
      <c r="A27" s="391" t="s">
        <v>34</v>
      </c>
      <c r="B27" s="392"/>
      <c r="C27" s="329" t="s">
        <v>76</v>
      </c>
      <c r="D27" s="332">
        <v>0.6</v>
      </c>
    </row>
    <row r="28" spans="1:4" outlineLevel="1">
      <c r="A28" s="397" t="s">
        <v>13</v>
      </c>
      <c r="B28" s="398"/>
      <c r="C28" s="329" t="s">
        <v>76</v>
      </c>
      <c r="D28" s="333">
        <v>0.6</v>
      </c>
    </row>
    <row r="29" spans="1:4" outlineLevel="1">
      <c r="A29" s="397" t="s">
        <v>14</v>
      </c>
      <c r="B29" s="398"/>
      <c r="C29" s="14" t="s">
        <v>1</v>
      </c>
      <c r="D29" s="17">
        <v>3</v>
      </c>
    </row>
    <row r="30" spans="1:4" outlineLevel="1">
      <c r="A30" s="397" t="s">
        <v>15</v>
      </c>
      <c r="B30" s="398"/>
      <c r="C30" s="14" t="s">
        <v>1</v>
      </c>
      <c r="D30" s="17">
        <v>9</v>
      </c>
    </row>
    <row r="31" spans="1:4" outlineLevel="1">
      <c r="A31" s="399" t="s">
        <v>43</v>
      </c>
      <c r="B31" s="400"/>
      <c r="C31" s="14" t="s">
        <v>3</v>
      </c>
      <c r="D31" s="16">
        <v>5313.9177200000004</v>
      </c>
    </row>
    <row r="32" spans="1:4" outlineLevel="1">
      <c r="A32" s="391" t="s">
        <v>4</v>
      </c>
      <c r="B32" s="392"/>
      <c r="C32" s="403" t="s">
        <v>35</v>
      </c>
      <c r="D32" s="403"/>
    </row>
    <row r="33" spans="1:12">
      <c r="A33" s="380" t="s">
        <v>50</v>
      </c>
      <c r="B33" s="381"/>
      <c r="C33" s="381"/>
      <c r="D33" s="382"/>
    </row>
    <row r="34" spans="1:12" outlineLevel="1">
      <c r="A34" s="401" t="s">
        <v>51</v>
      </c>
      <c r="B34" s="402"/>
      <c r="C34" s="334" t="s">
        <v>1</v>
      </c>
      <c r="D34" s="19">
        <f>'Base (12p) Nov 8'!A56</f>
        <v>45</v>
      </c>
      <c r="G34" s="13"/>
      <c r="H34" s="50"/>
    </row>
    <row r="35" spans="1:12" outlineLevel="1">
      <c r="A35" s="399" t="s">
        <v>84</v>
      </c>
      <c r="B35" s="400"/>
      <c r="C35" s="20" t="s">
        <v>3</v>
      </c>
      <c r="D35" s="21">
        <f>D31</f>
        <v>5313.9177200000004</v>
      </c>
      <c r="F35" s="48"/>
      <c r="G35" s="1"/>
      <c r="L35" s="431">
        <v>43700</v>
      </c>
    </row>
    <row r="36" spans="1:12" outlineLevel="1">
      <c r="A36" s="397" t="s">
        <v>85</v>
      </c>
      <c r="B36" s="398"/>
      <c r="C36" s="30" t="s">
        <v>3</v>
      </c>
      <c r="D36" s="22">
        <f>'Base (12p) Nov 8'!F57</f>
        <v>10638.200000000003</v>
      </c>
      <c r="L36" s="431">
        <v>39350</v>
      </c>
    </row>
    <row r="37" spans="1:12" outlineLevel="1">
      <c r="A37" s="399" t="s">
        <v>54</v>
      </c>
      <c r="B37" s="400"/>
      <c r="C37" s="20" t="s">
        <v>3</v>
      </c>
      <c r="D37" s="21">
        <f>'Base (12p) Nov 8'!F7</f>
        <v>27132.575109999998</v>
      </c>
      <c r="L37" s="431">
        <f>SUM(L35:L36)</f>
        <v>83050</v>
      </c>
    </row>
    <row r="38" spans="1:12" outlineLevel="1">
      <c r="A38" s="397" t="s">
        <v>42</v>
      </c>
      <c r="B38" s="398"/>
      <c r="C38" s="30" t="s">
        <v>3</v>
      </c>
      <c r="D38" s="22">
        <f>D37-D36</f>
        <v>16494.375109999994</v>
      </c>
    </row>
    <row r="39" spans="1:12" outlineLevel="1">
      <c r="A39" s="401" t="s">
        <v>52</v>
      </c>
      <c r="B39" s="402"/>
      <c r="C39" s="334" t="s">
        <v>3</v>
      </c>
      <c r="D39" s="23">
        <f>D35</f>
        <v>5313.9177200000004</v>
      </c>
      <c r="E39" s="1"/>
    </row>
    <row r="40" spans="1:12" outlineLevel="1">
      <c r="A40" s="391" t="s">
        <v>39</v>
      </c>
      <c r="B40" s="392"/>
      <c r="C40" s="30" t="s">
        <v>1</v>
      </c>
      <c r="D40" s="335">
        <f>D36/D35</f>
        <v>2.0019504554918104</v>
      </c>
    </row>
    <row r="41" spans="1:12" outlineLevel="1">
      <c r="A41" s="385" t="s">
        <v>98</v>
      </c>
      <c r="B41" s="386"/>
      <c r="C41" s="20" t="s">
        <v>1</v>
      </c>
      <c r="D41" s="24">
        <f>D37/D35</f>
        <v>5.1059456581122973</v>
      </c>
    </row>
    <row r="42" spans="1:12" outlineLevel="1">
      <c r="A42" s="385" t="s">
        <v>97</v>
      </c>
      <c r="B42" s="386"/>
      <c r="C42" s="20" t="s">
        <v>1</v>
      </c>
      <c r="D42" s="24">
        <f ca="1">(D138+D137-(D52*42))/D35</f>
        <v>3.2527594524640384</v>
      </c>
      <c r="E42" s="13"/>
    </row>
    <row r="43" spans="1:12" outlineLevel="1">
      <c r="A43" s="385" t="s">
        <v>53</v>
      </c>
      <c r="B43" s="386"/>
      <c r="C43" s="25" t="s">
        <v>1</v>
      </c>
      <c r="D43" s="26">
        <f ca="1">D41-D42</f>
        <v>1.8531862056482589</v>
      </c>
    </row>
    <row r="44" spans="1:12" outlineLevel="1">
      <c r="A44" s="391" t="s">
        <v>9</v>
      </c>
      <c r="B44" s="392"/>
      <c r="C44" s="329" t="s">
        <v>76</v>
      </c>
      <c r="D44" s="22">
        <v>3.3</v>
      </c>
      <c r="F44" s="1"/>
    </row>
    <row r="45" spans="1:12" outlineLevel="1">
      <c r="A45" s="391" t="s">
        <v>11</v>
      </c>
      <c r="B45" s="392"/>
      <c r="C45" s="329" t="s">
        <v>76</v>
      </c>
      <c r="D45" s="22">
        <v>3.8</v>
      </c>
    </row>
    <row r="46" spans="1:12" outlineLevel="1">
      <c r="A46" s="393" t="s">
        <v>37</v>
      </c>
      <c r="B46" s="394"/>
      <c r="C46" s="329" t="s">
        <v>76</v>
      </c>
      <c r="D46" s="22">
        <v>13.2</v>
      </c>
    </row>
    <row r="47" spans="1:12" outlineLevel="1">
      <c r="A47" s="395"/>
      <c r="B47" s="396"/>
      <c r="C47" s="334" t="s">
        <v>1</v>
      </c>
      <c r="D47" s="19">
        <f>D29</f>
        <v>3</v>
      </c>
    </row>
    <row r="48" spans="1:12" ht="15" customHeight="1" outlineLevel="1">
      <c r="A48" s="393" t="s">
        <v>7</v>
      </c>
      <c r="B48" s="394"/>
      <c r="C48" s="14" t="s">
        <v>76</v>
      </c>
      <c r="D48" s="21">
        <f>((D49-1)*3.3)+3.8</f>
        <v>40.099999999999994</v>
      </c>
    </row>
    <row r="49" spans="1:7" outlineLevel="1">
      <c r="A49" s="395"/>
      <c r="B49" s="396"/>
      <c r="C49" s="334" t="s">
        <v>1</v>
      </c>
      <c r="D49" s="19">
        <v>12</v>
      </c>
    </row>
    <row r="50" spans="1:7" outlineLevel="1">
      <c r="A50" s="385" t="s">
        <v>60</v>
      </c>
      <c r="B50" s="386"/>
      <c r="C50" s="14" t="s">
        <v>1</v>
      </c>
      <c r="D50" s="21">
        <f ca="1">D51+D52+D53</f>
        <v>465</v>
      </c>
      <c r="E50" s="48"/>
    </row>
    <row r="51" spans="1:7" outlineLevel="1">
      <c r="A51" s="334">
        <v>1</v>
      </c>
      <c r="B51" s="320" t="s">
        <v>99</v>
      </c>
      <c r="C51" s="329" t="s">
        <v>1</v>
      </c>
      <c r="D51" s="49">
        <v>0</v>
      </c>
      <c r="E51" s="2">
        <f ca="1">D51/D50</f>
        <v>0</v>
      </c>
      <c r="G51" s="1">
        <f ca="1">D50*2.3</f>
        <v>1069.5</v>
      </c>
    </row>
    <row r="52" spans="1:7" outlineLevel="2">
      <c r="A52" s="334">
        <v>2</v>
      </c>
      <c r="B52" s="320" t="s">
        <v>92</v>
      </c>
      <c r="C52" s="329" t="s">
        <v>1</v>
      </c>
      <c r="D52" s="49">
        <f ca="1">INT((D137*20%)/42)</f>
        <v>93</v>
      </c>
      <c r="E52" s="2">
        <f ca="1">D52/D50</f>
        <v>0.2</v>
      </c>
      <c r="F52" s="1">
        <f ca="1">D52*42</f>
        <v>3906</v>
      </c>
      <c r="G52" s="1">
        <f ca="1">(D68+D70)/G51</f>
        <v>1.8830843440860221</v>
      </c>
    </row>
    <row r="53" spans="1:7" outlineLevel="2">
      <c r="A53" s="334">
        <v>3</v>
      </c>
      <c r="B53" s="320" t="s">
        <v>61</v>
      </c>
      <c r="C53" s="329" t="s">
        <v>1</v>
      </c>
      <c r="D53" s="49">
        <f ca="1">INT((D137*80%)/42)</f>
        <v>372</v>
      </c>
      <c r="E53" s="2">
        <f ca="1">D53/D50</f>
        <v>0.8</v>
      </c>
      <c r="F53" s="1">
        <f ca="1">D53*42</f>
        <v>15624</v>
      </c>
    </row>
    <row r="54" spans="1:7">
      <c r="A54" s="371" t="s">
        <v>45</v>
      </c>
      <c r="B54" s="371"/>
      <c r="C54" s="371"/>
      <c r="D54" s="371"/>
      <c r="F54" s="1"/>
    </row>
    <row r="55" spans="1:7" ht="16.95" customHeight="1">
      <c r="A55" s="336">
        <v>1</v>
      </c>
      <c r="B55" s="337" t="s">
        <v>271</v>
      </c>
      <c r="C55" s="338" t="s">
        <v>3</v>
      </c>
      <c r="D55" s="339">
        <f ca="1">D138*(10/120)</f>
        <v>136.61953900384617</v>
      </c>
      <c r="F55" s="1"/>
    </row>
    <row r="56" spans="1:7" ht="16.95" customHeight="1">
      <c r="A56" s="340">
        <v>2</v>
      </c>
      <c r="B56" s="337" t="s">
        <v>272</v>
      </c>
      <c r="C56" s="338" t="s">
        <v>3</v>
      </c>
      <c r="D56" s="339">
        <f ca="1">D57+D58</f>
        <v>2511</v>
      </c>
    </row>
    <row r="57" spans="1:7" ht="15" customHeight="1" outlineLevel="1">
      <c r="A57" s="334">
        <v>2.1</v>
      </c>
      <c r="B57" s="27" t="s">
        <v>56</v>
      </c>
      <c r="C57" s="30" t="s">
        <v>3</v>
      </c>
      <c r="D57" s="23">
        <f ca="1">6*D52</f>
        <v>558</v>
      </c>
      <c r="E57" s="1">
        <f ca="1">D57*0.2</f>
        <v>111.60000000000001</v>
      </c>
    </row>
    <row r="58" spans="1:7" outlineLevel="1">
      <c r="A58" s="334">
        <v>2.2000000000000002</v>
      </c>
      <c r="B58" s="27" t="s">
        <v>57</v>
      </c>
      <c r="C58" s="30" t="s">
        <v>3</v>
      </c>
      <c r="D58" s="23">
        <f ca="1">(D53*42)*(10/80)</f>
        <v>1953</v>
      </c>
      <c r="E58" s="1">
        <f ca="1">D58*0.2</f>
        <v>390.6</v>
      </c>
    </row>
    <row r="59" spans="1:7" ht="16.95" customHeight="1" outlineLevel="1">
      <c r="A59" s="387" t="s">
        <v>273</v>
      </c>
      <c r="B59" s="388"/>
      <c r="C59" s="388"/>
      <c r="D59" s="389"/>
    </row>
    <row r="60" spans="1:7" outlineLevel="2">
      <c r="A60" s="334">
        <v>1</v>
      </c>
      <c r="B60" s="341" t="s">
        <v>46</v>
      </c>
      <c r="C60" s="30" t="s">
        <v>3</v>
      </c>
      <c r="D60" s="342">
        <f ca="1">D56*0.2</f>
        <v>502.20000000000005</v>
      </c>
    </row>
    <row r="61" spans="1:7" outlineLevel="2">
      <c r="A61" s="334">
        <v>1.1000000000000001</v>
      </c>
      <c r="B61" s="27" t="s">
        <v>78</v>
      </c>
      <c r="C61" s="30" t="s">
        <v>3</v>
      </c>
      <c r="D61" s="28">
        <f ca="1">D89</f>
        <v>50.21999999999997</v>
      </c>
    </row>
    <row r="62" spans="1:7" outlineLevel="2">
      <c r="A62" s="334">
        <v>1.2</v>
      </c>
      <c r="B62" s="27" t="s">
        <v>79</v>
      </c>
      <c r="C62" s="30" t="s">
        <v>3</v>
      </c>
      <c r="D62" s="44">
        <f ca="1">+D103+D107+D111+D115+D119+D123+D127+D131+D135+D95</f>
        <v>451.98000000000008</v>
      </c>
    </row>
    <row r="63" spans="1:7" outlineLevel="2">
      <c r="A63" s="334">
        <v>2</v>
      </c>
      <c r="B63" s="341" t="s">
        <v>94</v>
      </c>
      <c r="C63" s="30" t="s">
        <v>3</v>
      </c>
      <c r="D63" s="342">
        <f ca="1">D56*0.4</f>
        <v>1004.4000000000001</v>
      </c>
    </row>
    <row r="64" spans="1:7" outlineLevel="2">
      <c r="A64" s="334">
        <v>2.1</v>
      </c>
      <c r="B64" s="341" t="s">
        <v>80</v>
      </c>
      <c r="C64" s="30" t="s">
        <v>3</v>
      </c>
      <c r="D64" s="342">
        <f>529.134734</f>
        <v>529.13473399999998</v>
      </c>
    </row>
    <row r="65" spans="1:7" outlineLevel="2">
      <c r="A65" s="334">
        <v>2.2000000000000002</v>
      </c>
      <c r="B65" s="341" t="s">
        <v>81</v>
      </c>
      <c r="C65" s="30" t="s">
        <v>3</v>
      </c>
      <c r="D65" s="342">
        <f ca="1">D63-D64</f>
        <v>475.26526600000011</v>
      </c>
    </row>
    <row r="66" spans="1:7" outlineLevel="2">
      <c r="A66" s="334">
        <v>3</v>
      </c>
      <c r="B66" s="341" t="s">
        <v>95</v>
      </c>
      <c r="C66" s="30" t="s">
        <v>3</v>
      </c>
      <c r="D66" s="342">
        <f ca="1">D56*0.4</f>
        <v>1004.4000000000001</v>
      </c>
    </row>
    <row r="67" spans="1:7">
      <c r="A67" s="380" t="s">
        <v>58</v>
      </c>
      <c r="B67" s="381"/>
      <c r="C67" s="381"/>
      <c r="D67" s="382"/>
    </row>
    <row r="68" spans="1:7" outlineLevel="1">
      <c r="A68" s="376">
        <v>1</v>
      </c>
      <c r="B68" s="390" t="s">
        <v>59</v>
      </c>
      <c r="C68" s="20" t="s">
        <v>3</v>
      </c>
      <c r="D68" s="29">
        <f>5313.91772-1597.433-3296.70133</f>
        <v>419.78339000000051</v>
      </c>
      <c r="E68" s="51"/>
    </row>
    <row r="69" spans="1:7" outlineLevel="1">
      <c r="A69" s="377"/>
      <c r="B69" s="390"/>
      <c r="C69" s="30" t="s">
        <v>10</v>
      </c>
      <c r="D69" s="31">
        <f>D68/D35</f>
        <v>7.8996968361038242E-2</v>
      </c>
      <c r="F69" s="52"/>
    </row>
    <row r="70" spans="1:7" outlineLevel="1">
      <c r="A70" s="376">
        <v>2</v>
      </c>
      <c r="B70" s="379" t="s">
        <v>86</v>
      </c>
      <c r="C70" s="20" t="s">
        <v>3</v>
      </c>
      <c r="D70" s="29">
        <f>D35*D71</f>
        <v>1594.1753160000001</v>
      </c>
    </row>
    <row r="71" spans="1:7" outlineLevel="1">
      <c r="A71" s="377"/>
      <c r="B71" s="379"/>
      <c r="C71" s="32" t="s">
        <v>10</v>
      </c>
      <c r="D71" s="33">
        <v>0.3</v>
      </c>
    </row>
    <row r="72" spans="1:7" outlineLevel="1">
      <c r="A72" s="380" t="s">
        <v>274</v>
      </c>
      <c r="B72" s="381"/>
      <c r="C72" s="381"/>
      <c r="D72" s="382"/>
    </row>
    <row r="73" spans="1:7" outlineLevel="1">
      <c r="A73" s="334">
        <v>1</v>
      </c>
      <c r="B73" s="343" t="s">
        <v>275</v>
      </c>
      <c r="C73" s="32" t="s">
        <v>3</v>
      </c>
      <c r="D73" s="427">
        <f>D68+998.04295</f>
        <v>1417.8263400000005</v>
      </c>
    </row>
    <row r="74" spans="1:7" outlineLevel="1">
      <c r="A74" s="380" t="s">
        <v>44</v>
      </c>
      <c r="B74" s="381"/>
      <c r="C74" s="381"/>
      <c r="D74" s="382"/>
    </row>
    <row r="75" spans="1:7" outlineLevel="1">
      <c r="A75" s="383" t="s">
        <v>77</v>
      </c>
      <c r="B75" s="384"/>
      <c r="C75" s="345" t="s">
        <v>3</v>
      </c>
      <c r="D75" s="15">
        <f ca="1">D77+D80+D82+D84</f>
        <v>2182.6133399999999</v>
      </c>
    </row>
    <row r="76" spans="1:7" outlineLevel="2">
      <c r="A76" s="376">
        <v>1</v>
      </c>
      <c r="B76" s="378" t="s">
        <v>44</v>
      </c>
      <c r="C76" s="334" t="s">
        <v>1</v>
      </c>
      <c r="D76" s="23">
        <f ca="1">D77/12</f>
        <v>113.99675609999998</v>
      </c>
      <c r="F76" s="346" t="s">
        <v>276</v>
      </c>
      <c r="G76" s="346">
        <f ca="1">D50/D76</f>
        <v>4.0790634392446545</v>
      </c>
    </row>
    <row r="77" spans="1:7" outlineLevel="2">
      <c r="A77" s="377"/>
      <c r="B77" s="378"/>
      <c r="C77" s="334" t="s">
        <v>3</v>
      </c>
      <c r="D77" s="23">
        <f ca="1">G87-D80-D82-D84</f>
        <v>1367.9610731999999</v>
      </c>
    </row>
    <row r="78" spans="1:7" outlineLevel="1">
      <c r="A78" s="374" t="s">
        <v>62</v>
      </c>
      <c r="B78" s="375"/>
      <c r="C78" s="25" t="s">
        <v>3</v>
      </c>
      <c r="D78" s="26">
        <f ca="1">D80+D82+D84</f>
        <v>814.65226680000001</v>
      </c>
    </row>
    <row r="79" spans="1:7" outlineLevel="2">
      <c r="A79" s="376">
        <v>1</v>
      </c>
      <c r="B79" s="378" t="s">
        <v>63</v>
      </c>
      <c r="C79" s="334" t="s">
        <v>1</v>
      </c>
      <c r="D79" s="34">
        <f ca="1">1*D50</f>
        <v>465</v>
      </c>
    </row>
    <row r="80" spans="1:7" outlineLevel="2">
      <c r="A80" s="377"/>
      <c r="B80" s="378"/>
      <c r="C80" s="334" t="s">
        <v>3</v>
      </c>
      <c r="D80" s="23">
        <f ca="1">D79*1.3</f>
        <v>604.5</v>
      </c>
    </row>
    <row r="81" spans="1:9" outlineLevel="2">
      <c r="A81" s="376">
        <v>2</v>
      </c>
      <c r="B81" s="378" t="s">
        <v>64</v>
      </c>
      <c r="C81" s="334" t="s">
        <v>1</v>
      </c>
      <c r="D81" s="19">
        <f>INT(D37/3000)</f>
        <v>9</v>
      </c>
    </row>
    <row r="82" spans="1:9" outlineLevel="2">
      <c r="A82" s="377"/>
      <c r="B82" s="378"/>
      <c r="C82" s="334" t="s">
        <v>3</v>
      </c>
      <c r="D82" s="23">
        <f>D81*18.5</f>
        <v>166.5</v>
      </c>
    </row>
    <row r="83" spans="1:9" outlineLevel="2">
      <c r="A83" s="376">
        <v>3</v>
      </c>
      <c r="B83" s="378" t="s">
        <v>65</v>
      </c>
      <c r="C83" s="334" t="s">
        <v>1</v>
      </c>
      <c r="D83" s="19">
        <f ca="1">INT(D84/15)</f>
        <v>2</v>
      </c>
    </row>
    <row r="84" spans="1:9" outlineLevel="2">
      <c r="A84" s="377"/>
      <c r="B84" s="378"/>
      <c r="C84" s="334" t="s">
        <v>3</v>
      </c>
      <c r="D84" s="23">
        <f ca="1">D75*2%</f>
        <v>43.6522668</v>
      </c>
      <c r="F84" s="1"/>
    </row>
    <row r="85" spans="1:9">
      <c r="A85" s="371" t="s">
        <v>75</v>
      </c>
      <c r="B85" s="371"/>
      <c r="C85" s="371"/>
      <c r="D85" s="371"/>
    </row>
    <row r="86" spans="1:9" outlineLevel="2">
      <c r="A86" s="372" t="s">
        <v>23</v>
      </c>
      <c r="B86" s="373"/>
      <c r="C86" s="35" t="s">
        <v>3</v>
      </c>
      <c r="D86" s="36">
        <f>'Base (12p) Nov 8'!D4</f>
        <v>3296.7013299999999</v>
      </c>
      <c r="E86" s="1"/>
      <c r="F86" s="346" t="s">
        <v>277</v>
      </c>
      <c r="G86" s="347">
        <v>1091.3066699999999</v>
      </c>
    </row>
    <row r="87" spans="1:9" outlineLevel="2">
      <c r="A87" s="334">
        <v>1</v>
      </c>
      <c r="B87" s="428" t="s">
        <v>66</v>
      </c>
      <c r="C87" s="429" t="s">
        <v>3</v>
      </c>
      <c r="D87" s="430">
        <f ca="1">D86-D88-D89-D91-D90</f>
        <v>1639.4344680461541</v>
      </c>
      <c r="E87" s="1"/>
      <c r="F87" s="346" t="s">
        <v>278</v>
      </c>
      <c r="G87" s="346">
        <f>2*G86</f>
        <v>2182.6133399999999</v>
      </c>
    </row>
    <row r="88" spans="1:9" outlineLevel="2">
      <c r="A88" s="334">
        <v>2</v>
      </c>
      <c r="B88" s="27" t="s">
        <v>44</v>
      </c>
      <c r="C88" s="334" t="s">
        <v>3</v>
      </c>
      <c r="D88" s="44">
        <f>G86</f>
        <v>1091.3066699999999</v>
      </c>
      <c r="F88" s="1"/>
    </row>
    <row r="89" spans="1:9" outlineLevel="2">
      <c r="A89" s="334">
        <v>3</v>
      </c>
      <c r="B89" s="57" t="s">
        <v>272</v>
      </c>
      <c r="C89" s="58" t="s">
        <v>3</v>
      </c>
      <c r="D89" s="60">
        <f ca="1">D60-D95</f>
        <v>50.21999999999997</v>
      </c>
      <c r="E89" s="1"/>
      <c r="F89" s="1"/>
      <c r="G89" s="1"/>
    </row>
    <row r="90" spans="1:9" outlineLevel="2">
      <c r="A90" s="334">
        <v>4</v>
      </c>
      <c r="B90" s="57" t="s">
        <v>271</v>
      </c>
      <c r="C90" s="58" t="s">
        <v>3</v>
      </c>
      <c r="D90" s="60">
        <f ca="1">D55</f>
        <v>136.61953900384617</v>
      </c>
      <c r="E90" s="1"/>
      <c r="F90" s="1"/>
      <c r="G90" s="1"/>
    </row>
    <row r="91" spans="1:9" outlineLevel="2">
      <c r="A91" s="334">
        <v>5</v>
      </c>
      <c r="B91" s="27" t="s">
        <v>55</v>
      </c>
      <c r="C91" s="334" t="s">
        <v>3</v>
      </c>
      <c r="D91" s="44">
        <f>D86*D140</f>
        <v>379.12065295000002</v>
      </c>
      <c r="E91" s="1"/>
      <c r="F91" s="1"/>
    </row>
    <row r="92" spans="1:9" outlineLevel="1">
      <c r="A92" s="372" t="s">
        <v>67</v>
      </c>
      <c r="B92" s="373"/>
      <c r="C92" s="35" t="s">
        <v>3</v>
      </c>
      <c r="D92" s="36">
        <f>'Base (12p) Nov 8'!D4</f>
        <v>3296.7013299999999</v>
      </c>
      <c r="F92" s="1"/>
      <c r="I92" s="1"/>
    </row>
    <row r="93" spans="1:9" outlineLevel="2">
      <c r="A93" s="334">
        <v>1</v>
      </c>
      <c r="B93" s="56" t="s">
        <v>68</v>
      </c>
      <c r="C93" s="54" t="s">
        <v>3</v>
      </c>
      <c r="D93" s="55">
        <f ca="1">D92-D96-D94-D95</f>
        <v>1374.2940070499999</v>
      </c>
      <c r="F93" s="1"/>
    </row>
    <row r="94" spans="1:9" outlineLevel="2">
      <c r="A94" s="334">
        <v>2</v>
      </c>
      <c r="B94" s="27" t="s">
        <v>44</v>
      </c>
      <c r="C94" s="334" t="s">
        <v>3</v>
      </c>
      <c r="D94" s="44">
        <f>G86</f>
        <v>1091.3066699999999</v>
      </c>
      <c r="F94" s="1"/>
    </row>
    <row r="95" spans="1:9" outlineLevel="2">
      <c r="A95" s="334">
        <v>3</v>
      </c>
      <c r="B95" s="57" t="s">
        <v>45</v>
      </c>
      <c r="C95" s="58" t="s">
        <v>96</v>
      </c>
      <c r="D95" s="59">
        <f ca="1">D60*90%</f>
        <v>451.98000000000008</v>
      </c>
      <c r="F95" s="1"/>
    </row>
    <row r="96" spans="1:9" outlineLevel="2">
      <c r="A96" s="348">
        <v>3</v>
      </c>
      <c r="B96" s="349" t="s">
        <v>55</v>
      </c>
      <c r="C96" s="334" t="s">
        <v>3</v>
      </c>
      <c r="D96" s="44">
        <f>D92*D140</f>
        <v>379.12065295000002</v>
      </c>
    </row>
    <row r="97" spans="1:4" outlineLevel="1">
      <c r="A97" s="372" t="s">
        <v>69</v>
      </c>
      <c r="B97" s="373"/>
      <c r="C97" s="35" t="s">
        <v>3</v>
      </c>
      <c r="D97" s="36">
        <f>'Base (12p) Nov 8'!D5</f>
        <v>2684.2529</v>
      </c>
    </row>
    <row r="98" spans="1:4" outlineLevel="2">
      <c r="A98" s="334">
        <v>1</v>
      </c>
      <c r="B98" s="56" t="s">
        <v>68</v>
      </c>
      <c r="C98" s="54" t="s">
        <v>3</v>
      </c>
      <c r="D98" s="55">
        <f>D97-D100-D99</f>
        <v>2375.5638165</v>
      </c>
    </row>
    <row r="99" spans="1:4" outlineLevel="2">
      <c r="A99" s="334">
        <v>2</v>
      </c>
      <c r="B99" s="27" t="s">
        <v>44</v>
      </c>
      <c r="C99" s="334" t="s">
        <v>3</v>
      </c>
      <c r="D99" s="44">
        <v>0</v>
      </c>
    </row>
    <row r="100" spans="1:4" outlineLevel="2">
      <c r="A100" s="334">
        <v>3</v>
      </c>
      <c r="B100" s="27" t="s">
        <v>55</v>
      </c>
      <c r="C100" s="334" t="s">
        <v>3</v>
      </c>
      <c r="D100" s="44">
        <f>D97*D140</f>
        <v>308.68908349999998</v>
      </c>
    </row>
    <row r="101" spans="1:4" outlineLevel="1">
      <c r="A101" s="361" t="s">
        <v>70</v>
      </c>
      <c r="B101" s="362"/>
      <c r="C101" s="35" t="s">
        <v>3</v>
      </c>
      <c r="D101" s="36">
        <f>'Base (12p) Nov 8'!D6</f>
        <v>1983.87995</v>
      </c>
    </row>
    <row r="102" spans="1:4" outlineLevel="2">
      <c r="A102" s="334">
        <v>1</v>
      </c>
      <c r="B102" s="53" t="s">
        <v>68</v>
      </c>
      <c r="C102" s="54" t="s">
        <v>3</v>
      </c>
      <c r="D102" s="55">
        <f>D101-D104-D103</f>
        <v>1755.73375575</v>
      </c>
    </row>
    <row r="103" spans="1:4" outlineLevel="2">
      <c r="A103" s="334">
        <v>2</v>
      </c>
      <c r="B103" s="350" t="s">
        <v>45</v>
      </c>
      <c r="C103" s="334" t="s">
        <v>3</v>
      </c>
      <c r="D103" s="19">
        <v>0</v>
      </c>
    </row>
    <row r="104" spans="1:4" outlineLevel="2">
      <c r="A104" s="334">
        <v>3</v>
      </c>
      <c r="B104" s="350" t="s">
        <v>55</v>
      </c>
      <c r="C104" s="334" t="s">
        <v>3</v>
      </c>
      <c r="D104" s="44">
        <f>D101*D140</f>
        <v>228.14619425000001</v>
      </c>
    </row>
    <row r="105" spans="1:4" outlineLevel="1">
      <c r="A105" s="361" t="s">
        <v>71</v>
      </c>
      <c r="B105" s="362"/>
      <c r="C105" s="35" t="s">
        <v>3</v>
      </c>
      <c r="D105" s="36">
        <f>'Base (12p) Nov 8'!D6</f>
        <v>1983.87995</v>
      </c>
    </row>
    <row r="106" spans="1:4" outlineLevel="2">
      <c r="A106" s="334">
        <v>1</v>
      </c>
      <c r="B106" s="53" t="s">
        <v>68</v>
      </c>
      <c r="C106" s="54" t="s">
        <v>3</v>
      </c>
      <c r="D106" s="55">
        <f>D105-D108-D107</f>
        <v>1755.73375575</v>
      </c>
    </row>
    <row r="107" spans="1:4" outlineLevel="2">
      <c r="A107" s="334">
        <v>2</v>
      </c>
      <c r="B107" s="350" t="s">
        <v>45</v>
      </c>
      <c r="C107" s="334" t="s">
        <v>3</v>
      </c>
      <c r="D107" s="19">
        <v>0</v>
      </c>
    </row>
    <row r="108" spans="1:4" outlineLevel="2">
      <c r="A108" s="334">
        <v>3</v>
      </c>
      <c r="B108" s="350" t="s">
        <v>55</v>
      </c>
      <c r="C108" s="334" t="s">
        <v>3</v>
      </c>
      <c r="D108" s="37">
        <f>D105*D140</f>
        <v>228.14619425000001</v>
      </c>
    </row>
    <row r="109" spans="1:4" outlineLevel="1">
      <c r="A109" s="361" t="s">
        <v>72</v>
      </c>
      <c r="B109" s="362"/>
      <c r="C109" s="35" t="s">
        <v>3</v>
      </c>
      <c r="D109" s="36">
        <f>'Base (12p) Nov 8'!D6</f>
        <v>1983.87995</v>
      </c>
    </row>
    <row r="110" spans="1:4" outlineLevel="2">
      <c r="A110" s="334">
        <v>1</v>
      </c>
      <c r="B110" s="53" t="s">
        <v>68</v>
      </c>
      <c r="C110" s="54" t="s">
        <v>3</v>
      </c>
      <c r="D110" s="55">
        <f>D109-D112-D111</f>
        <v>1755.73375575</v>
      </c>
    </row>
    <row r="111" spans="1:4" outlineLevel="2">
      <c r="A111" s="334">
        <v>2</v>
      </c>
      <c r="B111" s="350" t="s">
        <v>45</v>
      </c>
      <c r="C111" s="334" t="s">
        <v>3</v>
      </c>
      <c r="D111" s="19">
        <v>0</v>
      </c>
    </row>
    <row r="112" spans="1:4" outlineLevel="2">
      <c r="A112" s="334">
        <v>3</v>
      </c>
      <c r="B112" s="350" t="s">
        <v>55</v>
      </c>
      <c r="C112" s="334" t="s">
        <v>3</v>
      </c>
      <c r="D112" s="37">
        <f>D109*D140</f>
        <v>228.14619425000001</v>
      </c>
    </row>
    <row r="113" spans="1:4" outlineLevel="1">
      <c r="A113" s="361" t="s">
        <v>73</v>
      </c>
      <c r="B113" s="362"/>
      <c r="C113" s="35" t="s">
        <v>3</v>
      </c>
      <c r="D113" s="36">
        <f>'Base (12p) Nov 8'!D6</f>
        <v>1983.87995</v>
      </c>
    </row>
    <row r="114" spans="1:4" outlineLevel="2">
      <c r="A114" s="334">
        <v>1</v>
      </c>
      <c r="B114" s="53" t="s">
        <v>68</v>
      </c>
      <c r="C114" s="54" t="s">
        <v>3</v>
      </c>
      <c r="D114" s="55">
        <f>D113-D116-D115</f>
        <v>1755.73375575</v>
      </c>
    </row>
    <row r="115" spans="1:4" outlineLevel="2">
      <c r="A115" s="334">
        <v>2</v>
      </c>
      <c r="B115" s="350" t="s">
        <v>45</v>
      </c>
      <c r="C115" s="334" t="s">
        <v>3</v>
      </c>
      <c r="D115" s="19">
        <v>0</v>
      </c>
    </row>
    <row r="116" spans="1:4" outlineLevel="2">
      <c r="A116" s="334">
        <v>3</v>
      </c>
      <c r="B116" s="350" t="s">
        <v>55</v>
      </c>
      <c r="C116" s="334" t="s">
        <v>3</v>
      </c>
      <c r="D116" s="37">
        <f>D113*D140</f>
        <v>228.14619425000001</v>
      </c>
    </row>
    <row r="117" spans="1:4" outlineLevel="1">
      <c r="A117" s="361" t="s">
        <v>74</v>
      </c>
      <c r="B117" s="362"/>
      <c r="C117" s="35" t="s">
        <v>3</v>
      </c>
      <c r="D117" s="36">
        <f>'Base (12p) Nov 8'!D6</f>
        <v>1983.87995</v>
      </c>
    </row>
    <row r="118" spans="1:4" outlineLevel="2">
      <c r="A118" s="334">
        <v>1</v>
      </c>
      <c r="B118" s="53" t="s">
        <v>68</v>
      </c>
      <c r="C118" s="54" t="s">
        <v>3</v>
      </c>
      <c r="D118" s="55">
        <f>D117-D120-D119</f>
        <v>1755.73375575</v>
      </c>
    </row>
    <row r="119" spans="1:4" outlineLevel="2">
      <c r="A119" s="334">
        <v>2</v>
      </c>
      <c r="B119" s="350" t="s">
        <v>45</v>
      </c>
      <c r="C119" s="334" t="s">
        <v>3</v>
      </c>
      <c r="D119" s="19">
        <v>0</v>
      </c>
    </row>
    <row r="120" spans="1:4" outlineLevel="2">
      <c r="A120" s="334">
        <v>3</v>
      </c>
      <c r="B120" s="350" t="s">
        <v>55</v>
      </c>
      <c r="C120" s="334" t="s">
        <v>3</v>
      </c>
      <c r="D120" s="37">
        <f>D117*D140</f>
        <v>228.14619425000001</v>
      </c>
    </row>
    <row r="121" spans="1:4" outlineLevel="1">
      <c r="A121" s="361" t="s">
        <v>87</v>
      </c>
      <c r="B121" s="362"/>
      <c r="C121" s="35" t="s">
        <v>3</v>
      </c>
      <c r="D121" s="36">
        <f>'Base (12p) Nov 8'!D6</f>
        <v>1983.87995</v>
      </c>
    </row>
    <row r="122" spans="1:4" outlineLevel="2">
      <c r="A122" s="334">
        <v>1</v>
      </c>
      <c r="B122" s="53" t="s">
        <v>68</v>
      </c>
      <c r="C122" s="54" t="s">
        <v>3</v>
      </c>
      <c r="D122" s="55">
        <f>D121-D124-D123</f>
        <v>1755.73375575</v>
      </c>
    </row>
    <row r="123" spans="1:4" outlineLevel="2">
      <c r="A123" s="334">
        <v>2</v>
      </c>
      <c r="B123" s="350" t="s">
        <v>45</v>
      </c>
      <c r="C123" s="334" t="s">
        <v>3</v>
      </c>
      <c r="D123" s="19">
        <v>0</v>
      </c>
    </row>
    <row r="124" spans="1:4" outlineLevel="2">
      <c r="A124" s="334">
        <v>3</v>
      </c>
      <c r="B124" s="350" t="s">
        <v>55</v>
      </c>
      <c r="C124" s="334" t="s">
        <v>3</v>
      </c>
      <c r="D124" s="37">
        <f>D121*D140</f>
        <v>228.14619425000001</v>
      </c>
    </row>
    <row r="125" spans="1:4" outlineLevel="1">
      <c r="A125" s="361" t="s">
        <v>88</v>
      </c>
      <c r="B125" s="362"/>
      <c r="C125" s="35" t="s">
        <v>3</v>
      </c>
      <c r="D125" s="36">
        <f>'Base (12p) Nov 8'!D6</f>
        <v>1983.87995</v>
      </c>
    </row>
    <row r="126" spans="1:4" outlineLevel="2">
      <c r="A126" s="334">
        <v>1</v>
      </c>
      <c r="B126" s="53" t="s">
        <v>68</v>
      </c>
      <c r="C126" s="54" t="s">
        <v>3</v>
      </c>
      <c r="D126" s="55">
        <f>D125-D128-D127</f>
        <v>1755.73375575</v>
      </c>
    </row>
    <row r="127" spans="1:4" outlineLevel="2">
      <c r="A127" s="334">
        <v>2</v>
      </c>
      <c r="B127" s="350" t="s">
        <v>45</v>
      </c>
      <c r="C127" s="334" t="s">
        <v>3</v>
      </c>
      <c r="D127" s="19">
        <v>0</v>
      </c>
    </row>
    <row r="128" spans="1:4" outlineLevel="2">
      <c r="A128" s="334">
        <v>3</v>
      </c>
      <c r="B128" s="350" t="s">
        <v>55</v>
      </c>
      <c r="C128" s="334" t="s">
        <v>3</v>
      </c>
      <c r="D128" s="37">
        <f>D125*D140</f>
        <v>228.14619425000001</v>
      </c>
    </row>
    <row r="129" spans="1:12" outlineLevel="1">
      <c r="A129" s="361" t="s">
        <v>89</v>
      </c>
      <c r="B129" s="362"/>
      <c r="C129" s="35" t="s">
        <v>3</v>
      </c>
      <c r="D129" s="36">
        <f>'Base (12p) Nov 8'!D6</f>
        <v>1983.87995</v>
      </c>
    </row>
    <row r="130" spans="1:12" outlineLevel="2">
      <c r="A130" s="334">
        <v>1</v>
      </c>
      <c r="B130" s="53" t="s">
        <v>68</v>
      </c>
      <c r="C130" s="54" t="s">
        <v>3</v>
      </c>
      <c r="D130" s="55">
        <f>D129-D132-D131</f>
        <v>1755.73375575</v>
      </c>
    </row>
    <row r="131" spans="1:12" outlineLevel="2">
      <c r="A131" s="334">
        <v>2</v>
      </c>
      <c r="B131" s="350" t="s">
        <v>45</v>
      </c>
      <c r="C131" s="334" t="s">
        <v>3</v>
      </c>
      <c r="D131" s="19">
        <v>0</v>
      </c>
    </row>
    <row r="132" spans="1:12" outlineLevel="2">
      <c r="A132" s="334">
        <v>3</v>
      </c>
      <c r="B132" s="350" t="s">
        <v>55</v>
      </c>
      <c r="C132" s="334" t="s">
        <v>3</v>
      </c>
      <c r="D132" s="37">
        <f>D129*D140</f>
        <v>228.14619425000001</v>
      </c>
      <c r="E132" s="48"/>
    </row>
    <row r="133" spans="1:12" outlineLevel="1">
      <c r="A133" s="361" t="s">
        <v>90</v>
      </c>
      <c r="B133" s="362"/>
      <c r="C133" s="35" t="s">
        <v>3</v>
      </c>
      <c r="D133" s="36">
        <f>'Base (12p) Nov 8'!D6</f>
        <v>1983.87995</v>
      </c>
      <c r="E133" s="48"/>
      <c r="F133" s="284"/>
      <c r="G133" s="284"/>
      <c r="H133" s="286"/>
    </row>
    <row r="134" spans="1:12" outlineLevel="2">
      <c r="A134" s="334">
        <v>1</v>
      </c>
      <c r="B134" s="53" t="s">
        <v>68</v>
      </c>
      <c r="C134" s="54" t="s">
        <v>3</v>
      </c>
      <c r="D134" s="55">
        <f>D133-D136-D135</f>
        <v>1755.73375575</v>
      </c>
      <c r="F134" s="351"/>
      <c r="G134" s="352"/>
      <c r="H134" s="353"/>
      <c r="I134" s="354"/>
      <c r="J134" s="354"/>
      <c r="K134" s="354"/>
    </row>
    <row r="135" spans="1:12" outlineLevel="2">
      <c r="A135" s="334">
        <v>2</v>
      </c>
      <c r="B135" s="350" t="s">
        <v>45</v>
      </c>
      <c r="C135" s="334" t="s">
        <v>3</v>
      </c>
      <c r="D135" s="19">
        <v>0</v>
      </c>
    </row>
    <row r="136" spans="1:12" outlineLevel="2">
      <c r="A136" s="334">
        <v>3</v>
      </c>
      <c r="B136" s="350" t="s">
        <v>55</v>
      </c>
      <c r="C136" s="334" t="s">
        <v>3</v>
      </c>
      <c r="D136" s="37">
        <f>D133*D140</f>
        <v>228.14619425000001</v>
      </c>
      <c r="F136" s="287" t="s">
        <v>170</v>
      </c>
      <c r="G136" t="s">
        <v>171</v>
      </c>
      <c r="H136" t="s">
        <v>172</v>
      </c>
      <c r="J136" s="283" t="s">
        <v>55</v>
      </c>
      <c r="K136" t="s">
        <v>171</v>
      </c>
      <c r="L136" t="s">
        <v>172</v>
      </c>
    </row>
    <row r="137" spans="1:12" outlineLevel="1">
      <c r="A137" s="363" t="s">
        <v>82</v>
      </c>
      <c r="B137" s="364"/>
      <c r="C137" s="61" t="s">
        <v>3</v>
      </c>
      <c r="D137" s="62">
        <f ca="1">D118+D114+D110+D106+D102+D98+D93+D122+D126+D130+D134</f>
        <v>19551.461625299999</v>
      </c>
      <c r="E137" s="48"/>
      <c r="F137" s="284">
        <f ca="1">D137-SUM(F52:F53)</f>
        <v>21.461625299998559</v>
      </c>
      <c r="G137" s="284">
        <f ca="1">F137*E52</f>
        <v>4.2923250599997118</v>
      </c>
      <c r="H137" s="286">
        <f ca="1">F137*E53</f>
        <v>17.169300239998847</v>
      </c>
      <c r="J137" s="284">
        <f ca="1">D139*(D137/SUM(D137:D138))</f>
        <v>2878.8481786246844</v>
      </c>
      <c r="K137" s="285">
        <f ca="1">J137*E52</f>
        <v>575.76963572493685</v>
      </c>
      <c r="L137" s="285">
        <f ca="1">J137*E53</f>
        <v>2303.0785428997474</v>
      </c>
    </row>
    <row r="138" spans="1:12" outlineLevel="1">
      <c r="A138" s="365" t="s">
        <v>83</v>
      </c>
      <c r="B138" s="366"/>
      <c r="C138" s="38" t="s">
        <v>3</v>
      </c>
      <c r="D138" s="39">
        <f ca="1">D87</f>
        <v>1639.4344680461541</v>
      </c>
      <c r="E138" s="48"/>
      <c r="F138" s="284"/>
      <c r="G138" s="284"/>
      <c r="H138" s="286"/>
      <c r="J138" s="284">
        <f ca="1">D139*(D138/SUM(D137:D138))</f>
        <v>241.39795902531557</v>
      </c>
      <c r="K138" s="284"/>
      <c r="L138" s="286"/>
    </row>
    <row r="139" spans="1:12" outlineLevel="1">
      <c r="A139" s="367" t="s">
        <v>38</v>
      </c>
      <c r="B139" s="368"/>
      <c r="C139" s="40" t="s">
        <v>3</v>
      </c>
      <c r="D139" s="41">
        <f>D120+D116+D112+D108+D104+D100+D96+D91+D124+D128+D132+D136</f>
        <v>3120.24613765</v>
      </c>
      <c r="F139" s="351"/>
      <c r="G139" s="352"/>
      <c r="H139" s="353"/>
      <c r="I139" s="354"/>
      <c r="J139" s="354"/>
      <c r="K139" s="354"/>
    </row>
    <row r="140" spans="1:12" outlineLevel="1">
      <c r="A140" s="369"/>
      <c r="B140" s="370"/>
      <c r="C140" s="42" t="s">
        <v>10</v>
      </c>
      <c r="D140" s="43">
        <v>0.115</v>
      </c>
    </row>
  </sheetData>
  <mergeCells count="84">
    <mergeCell ref="A133:B133"/>
    <mergeCell ref="A137:B137"/>
    <mergeCell ref="A138:B138"/>
    <mergeCell ref="A139:B140"/>
    <mergeCell ref="A109:B109"/>
    <mergeCell ref="A113:B113"/>
    <mergeCell ref="A117:B117"/>
    <mergeCell ref="A121:B121"/>
    <mergeCell ref="A125:B125"/>
    <mergeCell ref="A129:B129"/>
    <mergeCell ref="A85:D85"/>
    <mergeCell ref="A86:B86"/>
    <mergeCell ref="A92:B92"/>
    <mergeCell ref="A97:B97"/>
    <mergeCell ref="A101:B101"/>
    <mergeCell ref="A105:B105"/>
    <mergeCell ref="A78:B78"/>
    <mergeCell ref="A79:A80"/>
    <mergeCell ref="B79:B80"/>
    <mergeCell ref="A81:A82"/>
    <mergeCell ref="B81:B82"/>
    <mergeCell ref="A83:A84"/>
    <mergeCell ref="B83:B84"/>
    <mergeCell ref="A70:A71"/>
    <mergeCell ref="B70:B71"/>
    <mergeCell ref="A72:D72"/>
    <mergeCell ref="A74:D74"/>
    <mergeCell ref="A75:B75"/>
    <mergeCell ref="A76:A77"/>
    <mergeCell ref="B76:B77"/>
    <mergeCell ref="A50:B50"/>
    <mergeCell ref="A54:D54"/>
    <mergeCell ref="A59:D59"/>
    <mergeCell ref="A67:D67"/>
    <mergeCell ref="A68:A69"/>
    <mergeCell ref="B68:B69"/>
    <mergeCell ref="A42:B42"/>
    <mergeCell ref="A43:B43"/>
    <mergeCell ref="A44:B44"/>
    <mergeCell ref="A45:B45"/>
    <mergeCell ref="A46:B47"/>
    <mergeCell ref="A48:B49"/>
    <mergeCell ref="A36:B36"/>
    <mergeCell ref="A37:B37"/>
    <mergeCell ref="A38:B38"/>
    <mergeCell ref="A39:B39"/>
    <mergeCell ref="A40:B40"/>
    <mergeCell ref="A41:B41"/>
    <mergeCell ref="A31:B31"/>
    <mergeCell ref="A32:B32"/>
    <mergeCell ref="C32:D32"/>
    <mergeCell ref="A33:D33"/>
    <mergeCell ref="A34:B34"/>
    <mergeCell ref="A35:B35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C17:D17"/>
    <mergeCell ref="A18:D18"/>
    <mergeCell ref="A8:B8"/>
    <mergeCell ref="A9:B9"/>
    <mergeCell ref="A10:B10"/>
    <mergeCell ref="A11:B11"/>
    <mergeCell ref="A12:B12"/>
    <mergeCell ref="A13:B13"/>
    <mergeCell ref="A1:D1"/>
    <mergeCell ref="A2:D2"/>
    <mergeCell ref="A4:D4"/>
    <mergeCell ref="A5:B5"/>
    <mergeCell ref="A6:B6"/>
    <mergeCell ref="A7:B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04BA-3A6A-49D6-8093-48A6D5F49CC9}">
  <dimension ref="A1:F57"/>
  <sheetViews>
    <sheetView topLeftCell="A28" workbookViewId="0">
      <selection activeCell="E36" sqref="E36"/>
    </sheetView>
  </sheetViews>
  <sheetFormatPr baseColWidth="10" defaultRowHeight="14.4"/>
  <cols>
    <col min="1" max="1" width="28.6640625" customWidth="1"/>
    <col min="4" max="4" width="17.109375" customWidth="1"/>
    <col min="5" max="5" width="15.44140625" customWidth="1"/>
    <col min="6" max="6" width="18.44140625" customWidth="1"/>
  </cols>
  <sheetData>
    <row r="1" spans="1:6">
      <c r="A1" s="420" t="s">
        <v>41</v>
      </c>
      <c r="B1" s="421"/>
      <c r="C1" s="421"/>
      <c r="D1" s="421"/>
      <c r="E1" s="421"/>
      <c r="F1" s="422"/>
    </row>
    <row r="2" spans="1:6">
      <c r="A2" s="423" t="s">
        <v>25</v>
      </c>
      <c r="B2" s="420" t="s">
        <v>24</v>
      </c>
      <c r="C2" s="422"/>
      <c r="D2" s="321" t="s">
        <v>26</v>
      </c>
      <c r="E2" s="417" t="s">
        <v>20</v>
      </c>
      <c r="F2" s="419"/>
    </row>
    <row r="3" spans="1:6">
      <c r="A3" s="424"/>
      <c r="B3" s="425" t="s">
        <v>1</v>
      </c>
      <c r="C3" s="426"/>
      <c r="D3" s="322" t="s">
        <v>3</v>
      </c>
      <c r="E3" s="3"/>
      <c r="F3" s="322" t="s">
        <v>3</v>
      </c>
    </row>
    <row r="4" spans="1:6">
      <c r="A4" s="355" t="s">
        <v>93</v>
      </c>
      <c r="B4" s="413">
        <v>2</v>
      </c>
      <c r="C4" s="414"/>
      <c r="D4" s="7">
        <v>3296.7013299999999</v>
      </c>
      <c r="E4" s="356" t="s">
        <v>8</v>
      </c>
      <c r="F4" s="357">
        <f>+D4*B4</f>
        <v>6593.4026599999997</v>
      </c>
    </row>
    <row r="5" spans="1:6">
      <c r="A5" s="355" t="s">
        <v>69</v>
      </c>
      <c r="B5" s="413">
        <v>1</v>
      </c>
      <c r="C5" s="414"/>
      <c r="D5" s="7">
        <f>D4-612.44843</f>
        <v>2684.2529</v>
      </c>
      <c r="E5" s="356" t="s">
        <v>8</v>
      </c>
      <c r="F5" s="357">
        <f>+D5*B5</f>
        <v>2684.2529</v>
      </c>
    </row>
    <row r="6" spans="1:6">
      <c r="A6" s="358" t="s">
        <v>91</v>
      </c>
      <c r="B6" s="413">
        <v>9</v>
      </c>
      <c r="C6" s="414"/>
      <c r="D6" s="7">
        <f>2596.32838-612.44843</f>
        <v>1983.87995</v>
      </c>
      <c r="E6" s="356" t="s">
        <v>8</v>
      </c>
      <c r="F6" s="357">
        <f>D6*B6</f>
        <v>17854.919549999999</v>
      </c>
    </row>
    <row r="7" spans="1:6">
      <c r="A7" s="358" t="s">
        <v>2</v>
      </c>
      <c r="B7" s="415">
        <f>SUM(B4:B6)</f>
        <v>12</v>
      </c>
      <c r="C7" s="416"/>
      <c r="D7" s="4" t="s">
        <v>0</v>
      </c>
      <c r="E7" s="321" t="s">
        <v>8</v>
      </c>
      <c r="F7" s="5">
        <f>SUM(F4:F6)</f>
        <v>27132.575109999998</v>
      </c>
    </row>
    <row r="9" spans="1:6">
      <c r="A9" s="417" t="s">
        <v>40</v>
      </c>
      <c r="B9" s="418"/>
      <c r="C9" s="418"/>
      <c r="D9" s="418"/>
      <c r="E9" s="418"/>
      <c r="F9" s="419"/>
    </row>
    <row r="10" spans="1:6">
      <c r="A10" s="326" t="s">
        <v>16</v>
      </c>
      <c r="B10" s="12" t="s">
        <v>19</v>
      </c>
      <c r="C10" s="417" t="s">
        <v>18</v>
      </c>
      <c r="D10" s="419"/>
      <c r="E10" s="417" t="s">
        <v>20</v>
      </c>
      <c r="F10" s="419"/>
    </row>
    <row r="11" spans="1:6">
      <c r="A11" s="324" t="s">
        <v>1</v>
      </c>
      <c r="B11" s="11" t="s">
        <v>3</v>
      </c>
      <c r="C11" s="411" t="s">
        <v>1</v>
      </c>
      <c r="D11" s="412"/>
      <c r="E11" s="324"/>
      <c r="F11" s="325" t="s">
        <v>3</v>
      </c>
    </row>
    <row r="12" spans="1:6">
      <c r="A12" s="10">
        <v>1</v>
      </c>
      <c r="B12" s="8">
        <v>45.6</v>
      </c>
      <c r="C12" s="407">
        <v>1</v>
      </c>
      <c r="D12" s="408"/>
      <c r="E12" s="356" t="s">
        <v>8</v>
      </c>
      <c r="F12" s="359">
        <f>C12*B12</f>
        <v>45.6</v>
      </c>
    </row>
    <row r="13" spans="1:6">
      <c r="A13" s="10">
        <v>2</v>
      </c>
      <c r="B13" s="8">
        <v>61.3</v>
      </c>
      <c r="C13" s="407">
        <v>3</v>
      </c>
      <c r="D13" s="408"/>
      <c r="E13" s="356" t="s">
        <v>8</v>
      </c>
      <c r="F13" s="359">
        <f t="shared" ref="F13:F39" si="0">C13*B13</f>
        <v>183.89999999999998</v>
      </c>
    </row>
    <row r="14" spans="1:6">
      <c r="A14" s="10">
        <v>3</v>
      </c>
      <c r="B14" s="8">
        <v>86</v>
      </c>
      <c r="C14" s="407">
        <v>2</v>
      </c>
      <c r="D14" s="408"/>
      <c r="E14" s="356" t="s">
        <v>8</v>
      </c>
      <c r="F14" s="359">
        <f t="shared" si="0"/>
        <v>172</v>
      </c>
    </row>
    <row r="15" spans="1:6">
      <c r="A15" s="10">
        <v>4</v>
      </c>
      <c r="B15" s="8">
        <v>109.9</v>
      </c>
      <c r="C15" s="407">
        <v>2</v>
      </c>
      <c r="D15" s="408"/>
      <c r="E15" s="356" t="s">
        <v>8</v>
      </c>
      <c r="F15" s="359">
        <f t="shared" si="0"/>
        <v>219.8</v>
      </c>
    </row>
    <row r="16" spans="1:6">
      <c r="A16" s="10">
        <v>5</v>
      </c>
      <c r="B16" s="8">
        <v>138.9</v>
      </c>
      <c r="C16" s="407">
        <v>1</v>
      </c>
      <c r="D16" s="408"/>
      <c r="E16" s="356" t="s">
        <v>8</v>
      </c>
      <c r="F16" s="359">
        <f t="shared" si="0"/>
        <v>138.9</v>
      </c>
    </row>
    <row r="17" spans="1:6">
      <c r="A17" s="9">
        <v>6</v>
      </c>
      <c r="B17" s="8">
        <v>139.6</v>
      </c>
      <c r="C17" s="407">
        <v>2</v>
      </c>
      <c r="D17" s="408"/>
      <c r="E17" s="356" t="s">
        <v>8</v>
      </c>
      <c r="F17" s="359">
        <f t="shared" si="0"/>
        <v>279.2</v>
      </c>
    </row>
    <row r="18" spans="1:6">
      <c r="A18" s="9">
        <v>7</v>
      </c>
      <c r="B18" s="8">
        <v>123</v>
      </c>
      <c r="C18" s="407">
        <v>2</v>
      </c>
      <c r="D18" s="408"/>
      <c r="E18" s="356" t="s">
        <v>8</v>
      </c>
      <c r="F18" s="359">
        <f t="shared" si="0"/>
        <v>246</v>
      </c>
    </row>
    <row r="19" spans="1:6">
      <c r="A19" s="10">
        <v>8</v>
      </c>
      <c r="B19" s="8">
        <v>67</v>
      </c>
      <c r="C19" s="407">
        <v>2</v>
      </c>
      <c r="D19" s="408"/>
      <c r="E19" s="356" t="s">
        <v>8</v>
      </c>
      <c r="F19" s="359">
        <f t="shared" si="0"/>
        <v>134</v>
      </c>
    </row>
    <row r="20" spans="1:6">
      <c r="A20" s="9">
        <v>9</v>
      </c>
      <c r="B20" s="8">
        <v>125.6</v>
      </c>
      <c r="C20" s="407">
        <v>3</v>
      </c>
      <c r="D20" s="408"/>
      <c r="E20" s="356" t="s">
        <v>8</v>
      </c>
      <c r="F20" s="359">
        <f t="shared" si="0"/>
        <v>376.79999999999995</v>
      </c>
    </row>
    <row r="21" spans="1:6">
      <c r="A21" s="9">
        <v>10</v>
      </c>
      <c r="B21" s="8">
        <v>170.9</v>
      </c>
      <c r="C21" s="407">
        <v>3</v>
      </c>
      <c r="D21" s="408"/>
      <c r="E21" s="356" t="s">
        <v>8</v>
      </c>
      <c r="F21" s="359">
        <f t="shared" si="0"/>
        <v>512.70000000000005</v>
      </c>
    </row>
    <row r="22" spans="1:6">
      <c r="A22" s="9">
        <v>11</v>
      </c>
      <c r="B22" s="8">
        <v>171</v>
      </c>
      <c r="C22" s="407">
        <v>1</v>
      </c>
      <c r="D22" s="408"/>
      <c r="E22" s="356" t="s">
        <v>8</v>
      </c>
      <c r="F22" s="359">
        <f t="shared" si="0"/>
        <v>171</v>
      </c>
    </row>
    <row r="23" spans="1:6">
      <c r="A23" s="10">
        <v>12</v>
      </c>
      <c r="B23" s="8">
        <v>170.8</v>
      </c>
      <c r="C23" s="407">
        <v>2</v>
      </c>
      <c r="D23" s="408"/>
      <c r="E23" s="356" t="s">
        <v>8</v>
      </c>
      <c r="F23" s="359">
        <f t="shared" si="0"/>
        <v>341.6</v>
      </c>
    </row>
    <row r="24" spans="1:6">
      <c r="A24" s="9">
        <v>13</v>
      </c>
      <c r="B24" s="8">
        <v>170.8</v>
      </c>
      <c r="C24" s="407">
        <v>4</v>
      </c>
      <c r="D24" s="408"/>
      <c r="E24" s="356" t="s">
        <v>8</v>
      </c>
      <c r="F24" s="359">
        <f t="shared" si="0"/>
        <v>683.2</v>
      </c>
    </row>
    <row r="25" spans="1:6">
      <c r="A25" s="9">
        <v>14</v>
      </c>
      <c r="B25" s="8">
        <v>85.5</v>
      </c>
      <c r="C25" s="407">
        <v>1</v>
      </c>
      <c r="D25" s="408"/>
      <c r="E25" s="356" t="s">
        <v>8</v>
      </c>
      <c r="F25" s="359">
        <f t="shared" si="0"/>
        <v>85.5</v>
      </c>
    </row>
    <row r="26" spans="1:6">
      <c r="A26" s="9">
        <v>15</v>
      </c>
      <c r="B26" s="8">
        <v>85.5</v>
      </c>
      <c r="C26" s="407">
        <v>1</v>
      </c>
      <c r="D26" s="408"/>
      <c r="E26" s="356" t="s">
        <v>8</v>
      </c>
      <c r="F26" s="359">
        <f t="shared" si="0"/>
        <v>85.5</v>
      </c>
    </row>
    <row r="27" spans="1:6">
      <c r="A27" s="10">
        <v>16</v>
      </c>
      <c r="B27" s="8">
        <v>170.8</v>
      </c>
      <c r="C27" s="407">
        <v>3</v>
      </c>
      <c r="D27" s="408"/>
      <c r="E27" s="356" t="s">
        <v>8</v>
      </c>
      <c r="F27" s="359">
        <f t="shared" si="0"/>
        <v>512.40000000000009</v>
      </c>
    </row>
    <row r="28" spans="1:6">
      <c r="A28" s="9">
        <v>17</v>
      </c>
      <c r="B28" s="8">
        <v>61</v>
      </c>
      <c r="C28" s="407">
        <v>1</v>
      </c>
      <c r="D28" s="408"/>
      <c r="E28" s="356" t="s">
        <v>8</v>
      </c>
      <c r="F28" s="359">
        <f t="shared" si="0"/>
        <v>61</v>
      </c>
    </row>
    <row r="29" spans="1:6">
      <c r="A29" s="9">
        <v>18</v>
      </c>
      <c r="B29" s="8">
        <v>170.9</v>
      </c>
      <c r="C29" s="407">
        <v>2</v>
      </c>
      <c r="D29" s="408"/>
      <c r="E29" s="356" t="s">
        <v>8</v>
      </c>
      <c r="F29" s="359">
        <f t="shared" si="0"/>
        <v>341.8</v>
      </c>
    </row>
    <row r="30" spans="1:6">
      <c r="A30" s="9">
        <v>19</v>
      </c>
      <c r="B30" s="8">
        <v>131</v>
      </c>
      <c r="C30" s="407">
        <v>2</v>
      </c>
      <c r="D30" s="408"/>
      <c r="E30" s="356" t="s">
        <v>8</v>
      </c>
      <c r="F30" s="359">
        <f t="shared" si="0"/>
        <v>262</v>
      </c>
    </row>
    <row r="31" spans="1:6">
      <c r="A31" s="10">
        <v>20</v>
      </c>
      <c r="B31" s="8">
        <v>65.900000000000006</v>
      </c>
      <c r="C31" s="407">
        <v>2</v>
      </c>
      <c r="D31" s="408"/>
      <c r="E31" s="356" t="s">
        <v>8</v>
      </c>
      <c r="F31" s="359">
        <f t="shared" si="0"/>
        <v>131.80000000000001</v>
      </c>
    </row>
    <row r="32" spans="1:6">
      <c r="A32" s="9">
        <v>21</v>
      </c>
      <c r="B32" s="8">
        <v>21.9</v>
      </c>
      <c r="C32" s="407">
        <v>2</v>
      </c>
      <c r="D32" s="408"/>
      <c r="E32" s="356" t="s">
        <v>8</v>
      </c>
      <c r="F32" s="359">
        <f t="shared" si="0"/>
        <v>43.8</v>
      </c>
    </row>
    <row r="33" spans="1:6">
      <c r="A33" s="9">
        <v>22</v>
      </c>
      <c r="B33" s="8">
        <v>21.9</v>
      </c>
      <c r="C33" s="407">
        <v>3</v>
      </c>
      <c r="D33" s="408"/>
      <c r="E33" s="356" t="s">
        <v>8</v>
      </c>
      <c r="F33" s="359">
        <f t="shared" si="0"/>
        <v>65.699999999999989</v>
      </c>
    </row>
    <row r="34" spans="1:6">
      <c r="A34" s="9">
        <v>23</v>
      </c>
      <c r="B34" s="8">
        <v>22</v>
      </c>
      <c r="C34" s="407">
        <v>2</v>
      </c>
      <c r="D34" s="408"/>
      <c r="E34" s="356" t="s">
        <v>8</v>
      </c>
      <c r="F34" s="359">
        <f t="shared" si="0"/>
        <v>44</v>
      </c>
    </row>
    <row r="35" spans="1:6">
      <c r="A35" s="10">
        <v>24</v>
      </c>
      <c r="B35" s="8">
        <v>102.5</v>
      </c>
      <c r="C35" s="407">
        <v>1</v>
      </c>
      <c r="D35" s="408"/>
      <c r="E35" s="356" t="s">
        <v>8</v>
      </c>
      <c r="F35" s="359">
        <f t="shared" si="0"/>
        <v>102.5</v>
      </c>
    </row>
    <row r="36" spans="1:6">
      <c r="A36" s="9">
        <v>25</v>
      </c>
      <c r="B36" s="8">
        <v>102.6</v>
      </c>
      <c r="C36" s="407">
        <v>2</v>
      </c>
      <c r="D36" s="408"/>
      <c r="E36" s="356" t="s">
        <v>8</v>
      </c>
      <c r="F36" s="359">
        <f t="shared" si="0"/>
        <v>205.2</v>
      </c>
    </row>
    <row r="37" spans="1:6">
      <c r="A37" s="9">
        <v>26</v>
      </c>
      <c r="B37" s="8">
        <v>142.4</v>
      </c>
      <c r="C37" s="407">
        <v>1</v>
      </c>
      <c r="D37" s="408"/>
      <c r="E37" s="356" t="s">
        <v>8</v>
      </c>
      <c r="F37" s="359">
        <f t="shared" si="0"/>
        <v>142.4</v>
      </c>
    </row>
    <row r="38" spans="1:6">
      <c r="A38" s="9">
        <v>27</v>
      </c>
      <c r="B38" s="8">
        <v>142.5</v>
      </c>
      <c r="C38" s="407">
        <v>2</v>
      </c>
      <c r="D38" s="408"/>
      <c r="E38" s="356" t="s">
        <v>8</v>
      </c>
      <c r="F38" s="359">
        <f t="shared" si="0"/>
        <v>285</v>
      </c>
    </row>
    <row r="39" spans="1:6">
      <c r="A39" s="10">
        <v>28</v>
      </c>
      <c r="B39" s="8">
        <v>102.6</v>
      </c>
      <c r="C39" s="407">
        <v>3</v>
      </c>
      <c r="D39" s="408"/>
      <c r="E39" s="356" t="s">
        <v>8</v>
      </c>
      <c r="F39" s="359">
        <f t="shared" si="0"/>
        <v>307.79999999999995</v>
      </c>
    </row>
    <row r="40" spans="1:6">
      <c r="A40" s="9">
        <v>29</v>
      </c>
      <c r="B40" s="8">
        <v>102.5</v>
      </c>
      <c r="C40" s="407">
        <v>1</v>
      </c>
      <c r="D40" s="408"/>
      <c r="E40" s="356" t="s">
        <v>8</v>
      </c>
      <c r="F40" s="359">
        <f>C40*B40</f>
        <v>102.5</v>
      </c>
    </row>
    <row r="41" spans="1:6">
      <c r="A41" s="9">
        <v>30</v>
      </c>
      <c r="B41" s="8">
        <v>65.900000000000006</v>
      </c>
      <c r="C41" s="407">
        <v>2</v>
      </c>
      <c r="D41" s="408"/>
      <c r="E41" s="356" t="s">
        <v>8</v>
      </c>
      <c r="F41" s="359">
        <f t="shared" ref="F41:F56" si="1">C41*B41</f>
        <v>131.80000000000001</v>
      </c>
    </row>
    <row r="42" spans="1:6">
      <c r="A42" s="9">
        <v>31</v>
      </c>
      <c r="B42" s="8">
        <v>65.900000000000006</v>
      </c>
      <c r="C42" s="407">
        <v>2</v>
      </c>
      <c r="D42" s="408"/>
      <c r="E42" s="356" t="s">
        <v>17</v>
      </c>
      <c r="F42" s="359">
        <f t="shared" si="1"/>
        <v>131.80000000000001</v>
      </c>
    </row>
    <row r="43" spans="1:6">
      <c r="A43" s="9">
        <v>32</v>
      </c>
      <c r="B43" s="8">
        <v>131</v>
      </c>
      <c r="C43" s="407">
        <v>2</v>
      </c>
      <c r="D43" s="408"/>
      <c r="E43" s="356" t="s">
        <v>8</v>
      </c>
      <c r="F43" s="359">
        <f t="shared" si="1"/>
        <v>262</v>
      </c>
    </row>
    <row r="44" spans="1:6">
      <c r="A44" s="9">
        <v>33</v>
      </c>
      <c r="B44" s="8">
        <v>170.9</v>
      </c>
      <c r="C44" s="407">
        <v>3</v>
      </c>
      <c r="D44" s="408"/>
      <c r="E44" s="356" t="s">
        <v>8</v>
      </c>
      <c r="F44" s="359">
        <f t="shared" si="1"/>
        <v>512.70000000000005</v>
      </c>
    </row>
    <row r="45" spans="1:6">
      <c r="A45" s="9">
        <v>34</v>
      </c>
      <c r="B45" s="8">
        <v>171</v>
      </c>
      <c r="C45" s="407">
        <v>2</v>
      </c>
      <c r="D45" s="408"/>
      <c r="E45" s="356" t="s">
        <v>8</v>
      </c>
      <c r="F45" s="359">
        <f t="shared" si="1"/>
        <v>342</v>
      </c>
    </row>
    <row r="46" spans="1:6">
      <c r="A46" s="9">
        <v>35</v>
      </c>
      <c r="B46" s="8">
        <v>170.8</v>
      </c>
      <c r="C46" s="407">
        <v>3</v>
      </c>
      <c r="D46" s="408"/>
      <c r="E46" s="356" t="s">
        <v>8</v>
      </c>
      <c r="F46" s="359">
        <f t="shared" si="1"/>
        <v>512.40000000000009</v>
      </c>
    </row>
    <row r="47" spans="1:6">
      <c r="A47" s="9">
        <v>36</v>
      </c>
      <c r="B47" s="8">
        <v>171</v>
      </c>
      <c r="C47" s="407">
        <v>1</v>
      </c>
      <c r="D47" s="408"/>
      <c r="E47" s="356" t="s">
        <v>8</v>
      </c>
      <c r="F47" s="359">
        <f t="shared" si="1"/>
        <v>171</v>
      </c>
    </row>
    <row r="48" spans="1:6">
      <c r="A48" s="9">
        <v>37</v>
      </c>
      <c r="B48" s="8">
        <v>170.8</v>
      </c>
      <c r="C48" s="407">
        <v>3</v>
      </c>
      <c r="D48" s="408"/>
      <c r="E48" s="356" t="s">
        <v>8</v>
      </c>
      <c r="F48" s="359">
        <f t="shared" si="1"/>
        <v>512.40000000000009</v>
      </c>
    </row>
    <row r="49" spans="1:6">
      <c r="A49" s="9">
        <v>38</v>
      </c>
      <c r="B49" s="8">
        <v>171</v>
      </c>
      <c r="C49" s="407">
        <v>2</v>
      </c>
      <c r="D49" s="408"/>
      <c r="E49" s="356" t="s">
        <v>8</v>
      </c>
      <c r="F49" s="359">
        <f t="shared" si="1"/>
        <v>342</v>
      </c>
    </row>
    <row r="50" spans="1:6">
      <c r="A50" s="9">
        <v>39</v>
      </c>
      <c r="B50" s="8">
        <v>171.1</v>
      </c>
      <c r="C50" s="407">
        <v>2</v>
      </c>
      <c r="D50" s="408"/>
      <c r="E50" s="356" t="s">
        <v>8</v>
      </c>
      <c r="F50" s="359">
        <f t="shared" si="1"/>
        <v>342.2</v>
      </c>
    </row>
    <row r="51" spans="1:6">
      <c r="A51" s="9">
        <v>40</v>
      </c>
      <c r="B51" s="8">
        <v>170.6</v>
      </c>
      <c r="C51" s="407">
        <v>1</v>
      </c>
      <c r="D51" s="408"/>
      <c r="E51" s="356" t="s">
        <v>8</v>
      </c>
      <c r="F51" s="359">
        <f t="shared" si="1"/>
        <v>170.6</v>
      </c>
    </row>
    <row r="52" spans="1:6">
      <c r="A52" s="9">
        <v>41</v>
      </c>
      <c r="B52" s="8">
        <v>140.4</v>
      </c>
      <c r="C52" s="407">
        <v>3</v>
      </c>
      <c r="D52" s="408"/>
      <c r="E52" s="356" t="s">
        <v>8</v>
      </c>
      <c r="F52" s="359">
        <f t="shared" si="1"/>
        <v>421.20000000000005</v>
      </c>
    </row>
    <row r="53" spans="1:6">
      <c r="A53" s="9">
        <v>42</v>
      </c>
      <c r="B53" s="8">
        <v>111.3</v>
      </c>
      <c r="C53" s="407">
        <v>1</v>
      </c>
      <c r="D53" s="408"/>
      <c r="E53" s="356" t="s">
        <v>8</v>
      </c>
      <c r="F53" s="359">
        <f t="shared" si="1"/>
        <v>111.3</v>
      </c>
    </row>
    <row r="54" spans="1:6">
      <c r="A54" s="9">
        <v>43</v>
      </c>
      <c r="B54" s="8">
        <v>86.3</v>
      </c>
      <c r="C54" s="407">
        <v>2</v>
      </c>
      <c r="D54" s="408"/>
      <c r="E54" s="356" t="s">
        <v>8</v>
      </c>
      <c r="F54" s="359">
        <f t="shared" si="1"/>
        <v>172.6</v>
      </c>
    </row>
    <row r="55" spans="1:6">
      <c r="A55" s="9">
        <v>44</v>
      </c>
      <c r="B55" s="8">
        <v>62</v>
      </c>
      <c r="C55" s="407">
        <v>2</v>
      </c>
      <c r="D55" s="408"/>
      <c r="E55" s="356" t="s">
        <v>8</v>
      </c>
      <c r="F55" s="359">
        <f t="shared" si="1"/>
        <v>124</v>
      </c>
    </row>
    <row r="56" spans="1:6">
      <c r="A56" s="9">
        <v>45</v>
      </c>
      <c r="B56" s="8">
        <v>47.3</v>
      </c>
      <c r="C56" s="407">
        <v>2</v>
      </c>
      <c r="D56" s="408"/>
      <c r="E56" s="356" t="s">
        <v>8</v>
      </c>
      <c r="F56" s="359">
        <f t="shared" si="1"/>
        <v>94.6</v>
      </c>
    </row>
    <row r="57" spans="1:6">
      <c r="A57" s="323" t="s">
        <v>21</v>
      </c>
      <c r="B57" s="6">
        <f>SUM(B12:B56)</f>
        <v>5189.2000000000016</v>
      </c>
      <c r="C57" s="409" t="s">
        <v>22</v>
      </c>
      <c r="D57" s="410"/>
      <c r="E57" s="356" t="s">
        <v>8</v>
      </c>
      <c r="F57" s="6">
        <f>SUM(F12:F56)</f>
        <v>10638.200000000003</v>
      </c>
    </row>
  </sheetData>
  <mergeCells count="59">
    <mergeCell ref="C53:D53"/>
    <mergeCell ref="C54:D54"/>
    <mergeCell ref="C55:D55"/>
    <mergeCell ref="C56:D56"/>
    <mergeCell ref="C57:D57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B5:C5"/>
    <mergeCell ref="B6:C6"/>
    <mergeCell ref="B7:C7"/>
    <mergeCell ref="A9:F9"/>
    <mergeCell ref="C10:D10"/>
    <mergeCell ref="E10:F10"/>
    <mergeCell ref="A1:F1"/>
    <mergeCell ref="A2:A3"/>
    <mergeCell ref="B2:C2"/>
    <mergeCell ref="E2:F2"/>
    <mergeCell ref="B3:C3"/>
    <mergeCell ref="B4: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2ED29-2CF4-4F38-8F9C-501EAFD45DEB}">
  <sheetPr>
    <tabColor rgb="FF0070C0"/>
  </sheetPr>
  <dimension ref="A1:T105"/>
  <sheetViews>
    <sheetView showGridLines="0" tabSelected="1" zoomScale="70" zoomScaleNormal="70" workbookViewId="0">
      <pane xSplit="2" ySplit="10" topLeftCell="C11" activePane="bottomRight" state="frozen"/>
      <selection pane="topRight" activeCell="D16" sqref="D16"/>
      <selection pane="bottomLeft" activeCell="D16" sqref="D16"/>
      <selection pane="bottomRight" activeCell="H52" sqref="H52"/>
    </sheetView>
  </sheetViews>
  <sheetFormatPr baseColWidth="10" defaultColWidth="10.6640625" defaultRowHeight="14.4" outlineLevelRow="2" outlineLevelCol="1"/>
  <cols>
    <col min="1" max="1" width="7" style="63" customWidth="1"/>
    <col min="2" max="2" width="49.5546875" style="64" bestFit="1" customWidth="1"/>
    <col min="3" max="3" width="0.6640625" style="64" customWidth="1"/>
    <col min="4" max="4" width="18" style="64" customWidth="1" outlineLevel="1"/>
    <col min="5" max="5" width="15.77734375" style="64" customWidth="1" outlineLevel="1"/>
    <col min="6" max="6" width="16.109375" style="64" customWidth="1" outlineLevel="1"/>
    <col min="7" max="7" width="16.88671875" style="64" customWidth="1" outlineLevel="1"/>
    <col min="8" max="8" width="18.33203125" style="64" bestFit="1" customWidth="1"/>
    <col min="9" max="9" width="1.44140625" style="64" customWidth="1"/>
    <col min="10" max="10" width="18" style="64" customWidth="1" outlineLevel="1"/>
    <col min="11" max="11" width="15.77734375" style="64" customWidth="1" outlineLevel="1"/>
    <col min="12" max="12" width="16.109375" style="64" customWidth="1" outlineLevel="1"/>
    <col min="13" max="13" width="16.88671875" style="64" customWidth="1" outlineLevel="1"/>
    <col min="14" max="14" width="18.33203125" style="64" bestFit="1" customWidth="1"/>
    <col min="15" max="15" width="1.21875" style="64" customWidth="1"/>
    <col min="16" max="16" width="18" style="64" customWidth="1" outlineLevel="1"/>
    <col min="17" max="17" width="15.77734375" style="64" customWidth="1" outlineLevel="1"/>
    <col min="18" max="18" width="16.109375" style="64" customWidth="1" outlineLevel="1"/>
    <col min="19" max="19" width="16.88671875" style="64" customWidth="1" outlineLevel="1"/>
    <col min="20" max="20" width="18.33203125" style="64" bestFit="1" customWidth="1"/>
    <col min="21" max="16384" width="10.6640625" style="64"/>
  </cols>
  <sheetData>
    <row r="1" spans="1:20">
      <c r="D1" s="65" t="s">
        <v>100</v>
      </c>
      <c r="J1" s="65" t="s">
        <v>100</v>
      </c>
      <c r="P1" s="65" t="s">
        <v>100</v>
      </c>
    </row>
    <row r="2" spans="1:20">
      <c r="D2" s="66" t="s">
        <v>101</v>
      </c>
      <c r="E2" s="67">
        <v>908.52599999999995</v>
      </c>
      <c r="J2" s="66" t="s">
        <v>101</v>
      </c>
      <c r="K2" s="67">
        <v>908.52599999999995</v>
      </c>
      <c r="P2" s="66" t="s">
        <v>101</v>
      </c>
      <c r="Q2" s="67">
        <v>908.52599999999995</v>
      </c>
    </row>
    <row r="3" spans="1:20">
      <c r="D3" s="66" t="s">
        <v>102</v>
      </c>
      <c r="E3" s="68">
        <v>1</v>
      </c>
      <c r="F3" s="69"/>
      <c r="G3" s="70" t="s">
        <v>103</v>
      </c>
      <c r="H3" s="71">
        <f>'Malla vial arterial (12p) Oct26'!D35</f>
        <v>5313.9177200000004</v>
      </c>
      <c r="J3" s="66" t="s">
        <v>102</v>
      </c>
      <c r="K3" s="68">
        <v>1</v>
      </c>
      <c r="L3" s="69"/>
      <c r="M3" s="70" t="s">
        <v>103</v>
      </c>
      <c r="N3" s="71">
        <f>'Malla vial arterial (12p) Nov8'!D35</f>
        <v>5313.9177200000004</v>
      </c>
      <c r="P3" s="66" t="s">
        <v>102</v>
      </c>
      <c r="Q3" s="68">
        <v>1</v>
      </c>
      <c r="R3" s="69"/>
      <c r="S3" s="70" t="s">
        <v>103</v>
      </c>
      <c r="T3" s="71">
        <f>'Malla vial arterial(12p)NoVisN8'!D35</f>
        <v>5313.9177200000004</v>
      </c>
    </row>
    <row r="4" spans="1:20">
      <c r="D4" s="66" t="s">
        <v>104</v>
      </c>
      <c r="E4" s="72">
        <v>42</v>
      </c>
      <c r="F4" s="69"/>
      <c r="G4" s="73" t="s">
        <v>105</v>
      </c>
      <c r="H4" s="71">
        <f ca="1">SUM('Malla vial arterial (12p) Oct26'!D137:D138)</f>
        <v>21323.207160692309</v>
      </c>
      <c r="J4" s="66" t="s">
        <v>104</v>
      </c>
      <c r="K4" s="72">
        <v>42</v>
      </c>
      <c r="L4" s="69"/>
      <c r="M4" s="73" t="s">
        <v>105</v>
      </c>
      <c r="N4" s="71">
        <f ca="1">N5*N3</f>
        <v>17284.896093346153</v>
      </c>
      <c r="P4" s="66" t="s">
        <v>104</v>
      </c>
      <c r="Q4" s="72">
        <v>42</v>
      </c>
      <c r="R4" s="69"/>
      <c r="S4" s="73" t="s">
        <v>105</v>
      </c>
      <c r="T4" s="71">
        <f ca="1">T5*T3</f>
        <v>21204.738785653844</v>
      </c>
    </row>
    <row r="5" spans="1:20">
      <c r="D5" s="66" t="s">
        <v>106</v>
      </c>
      <c r="E5" s="72">
        <v>42</v>
      </c>
      <c r="F5" s="69"/>
      <c r="G5" s="74" t="s">
        <v>107</v>
      </c>
      <c r="H5" s="360">
        <f ca="1">H4/H3</f>
        <v>4.0127093199877972</v>
      </c>
      <c r="J5" s="66" t="s">
        <v>106</v>
      </c>
      <c r="K5" s="72">
        <v>42</v>
      </c>
      <c r="L5" s="69"/>
      <c r="M5" s="74" t="s">
        <v>107</v>
      </c>
      <c r="N5" s="360">
        <f ca="1">'Malla vial arterial (12p) Nov8'!D42</f>
        <v>3.2527594524640384</v>
      </c>
      <c r="P5" s="66" t="s">
        <v>106</v>
      </c>
      <c r="Q5" s="72">
        <v>42</v>
      </c>
      <c r="R5" s="69"/>
      <c r="S5" s="74" t="s">
        <v>107</v>
      </c>
      <c r="T5" s="360">
        <f ca="1">'Malla vial arterial(12p)NoVisN8'!D42</f>
        <v>3.9904153400504372</v>
      </c>
    </row>
    <row r="6" spans="1:20">
      <c r="D6" s="66" t="s">
        <v>108</v>
      </c>
      <c r="E6" s="319">
        <f>'Malla vial arterial (12p) Oct26'!G19/1000</f>
        <v>776.36400000000003</v>
      </c>
      <c r="F6" s="69"/>
      <c r="G6" s="66" t="s">
        <v>109</v>
      </c>
      <c r="H6" s="68">
        <v>0.5</v>
      </c>
      <c r="J6" s="66" t="s">
        <v>108</v>
      </c>
      <c r="K6" s="319">
        <f>E6</f>
        <v>776.36400000000003</v>
      </c>
      <c r="L6" s="69"/>
      <c r="M6" s="66" t="s">
        <v>109</v>
      </c>
      <c r="N6" s="68">
        <v>0.5</v>
      </c>
      <c r="P6" s="66" t="s">
        <v>108</v>
      </c>
      <c r="Q6" s="319">
        <f>K6</f>
        <v>776.36400000000003</v>
      </c>
      <c r="R6" s="69"/>
      <c r="S6" s="66" t="s">
        <v>109</v>
      </c>
      <c r="T6" s="68">
        <v>0.5</v>
      </c>
    </row>
    <row r="7" spans="1:20">
      <c r="D7" s="66" t="s">
        <v>110</v>
      </c>
      <c r="E7" s="319"/>
      <c r="G7" s="75" t="s">
        <v>111</v>
      </c>
      <c r="H7" s="76">
        <f>E6*(1+H6)</f>
        <v>1164.546</v>
      </c>
      <c r="J7" s="66" t="s">
        <v>110</v>
      </c>
      <c r="K7" s="319"/>
      <c r="M7" s="75" t="s">
        <v>111</v>
      </c>
      <c r="N7" s="76">
        <f>K6*(1+N6)</f>
        <v>1164.546</v>
      </c>
      <c r="P7" s="66" t="s">
        <v>110</v>
      </c>
      <c r="Q7" s="319"/>
      <c r="S7" s="75" t="s">
        <v>111</v>
      </c>
      <c r="T7" s="76">
        <f>Q6*(1+T6)</f>
        <v>1164.546</v>
      </c>
    </row>
    <row r="8" spans="1:20">
      <c r="D8" s="66" t="s">
        <v>112</v>
      </c>
      <c r="E8" s="319">
        <f>'Malla vial arterial (12p) Oct26'!G18/1000</f>
        <v>1150</v>
      </c>
      <c r="H8" s="77" t="str">
        <f>IF(H7&gt;=E8,"ok","revisar")</f>
        <v>ok</v>
      </c>
      <c r="J8" s="66" t="s">
        <v>112</v>
      </c>
      <c r="K8" s="319">
        <f>E8</f>
        <v>1150</v>
      </c>
      <c r="N8" s="77" t="str">
        <f>IF(N7&gt;=K8,"ok","revisar")</f>
        <v>ok</v>
      </c>
      <c r="P8" s="66" t="s">
        <v>112</v>
      </c>
      <c r="Q8" s="319">
        <f>K8</f>
        <v>1150</v>
      </c>
      <c r="T8" s="77" t="str">
        <f>IF(T7&gt;=Q8,"ok","revisar")</f>
        <v>ok</v>
      </c>
    </row>
    <row r="9" spans="1:20" ht="6" customHeight="1"/>
    <row r="10" spans="1:20" s="82" customFormat="1" ht="31.2">
      <c r="A10" s="78"/>
      <c r="B10" s="79" t="s">
        <v>113</v>
      </c>
      <c r="C10" s="80"/>
      <c r="D10" s="81" t="str">
        <f>'Malla vial arterial (12p) Oct26'!A1</f>
        <v>ACTUACIÓN MANZANA SIN ANTEJARDÍN SOBRE MALLA VIAL ARTERIAL</v>
      </c>
      <c r="G10" s="83"/>
      <c r="H10" s="84" t="s">
        <v>279</v>
      </c>
      <c r="J10" s="81" t="str">
        <f>'Malla vial arterial (12p) Nov8'!A1</f>
        <v>ACTUACIÓN MANZANA SIN ANTEJARDÍN SOBRE MALLA VIAL ARTERIAL</v>
      </c>
      <c r="M10" s="83"/>
      <c r="N10" s="84" t="s">
        <v>280</v>
      </c>
      <c r="P10" s="81" t="str">
        <f>'Malla vial arterial(12p)NoVisN8'!A1</f>
        <v>ACTUACIÓN MANZANA SIN ANTEJARDÍN SOBRE MALLA VIAL ARTERIAL</v>
      </c>
      <c r="S10" s="83"/>
      <c r="T10" s="432" t="s">
        <v>281</v>
      </c>
    </row>
    <row r="11" spans="1:20" s="80" customFormat="1" outlineLevel="1">
      <c r="A11" s="78"/>
      <c r="B11" s="85"/>
      <c r="C11" s="64"/>
      <c r="D11" s="86" t="s">
        <v>114</v>
      </c>
      <c r="E11" s="87" t="s">
        <v>115</v>
      </c>
      <c r="F11" s="87" t="s">
        <v>116</v>
      </c>
      <c r="G11" s="88" t="s">
        <v>117</v>
      </c>
      <c r="H11" s="89" t="s">
        <v>101</v>
      </c>
      <c r="J11" s="86" t="s">
        <v>114</v>
      </c>
      <c r="K11" s="87" t="s">
        <v>115</v>
      </c>
      <c r="L11" s="87" t="s">
        <v>116</v>
      </c>
      <c r="M11" s="88" t="s">
        <v>117</v>
      </c>
      <c r="N11" s="89" t="s">
        <v>101</v>
      </c>
      <c r="P11" s="86" t="s">
        <v>114</v>
      </c>
      <c r="Q11" s="87" t="s">
        <v>115</v>
      </c>
      <c r="R11" s="87" t="s">
        <v>116</v>
      </c>
      <c r="S11" s="88" t="s">
        <v>117</v>
      </c>
      <c r="T11" s="89" t="s">
        <v>101</v>
      </c>
    </row>
    <row r="12" spans="1:20" outlineLevel="1">
      <c r="A12" s="90"/>
      <c r="B12" s="91" t="s">
        <v>118</v>
      </c>
      <c r="D12" s="92">
        <f ca="1">'Malla vial arterial (12p) Oct26'!D52</f>
        <v>93</v>
      </c>
      <c r="E12" s="93">
        <f>H12*$E$2</f>
        <v>81767.34</v>
      </c>
      <c r="F12" s="94">
        <f>E12/E4</f>
        <v>1946.8414285714284</v>
      </c>
      <c r="G12" s="95">
        <f ca="1">E12*D12</f>
        <v>7604362.6200000001</v>
      </c>
      <c r="H12" s="96">
        <v>90</v>
      </c>
      <c r="J12" s="92">
        <f ca="1">'Malla vial arterial (12p) Nov8'!D52</f>
        <v>93</v>
      </c>
      <c r="K12" s="93">
        <f>N12*$E$2</f>
        <v>81767.34</v>
      </c>
      <c r="L12" s="94">
        <f>K12/K4</f>
        <v>1946.8414285714284</v>
      </c>
      <c r="M12" s="95">
        <f ca="1">K12*J12</f>
        <v>7604362.6200000001</v>
      </c>
      <c r="N12" s="96">
        <v>90</v>
      </c>
      <c r="P12" s="92"/>
      <c r="Q12" s="93">
        <f>T12*$E$2</f>
        <v>81767.34</v>
      </c>
      <c r="R12" s="94">
        <f>Q12/Q4</f>
        <v>1946.8414285714284</v>
      </c>
      <c r="S12" s="95">
        <f>Q12*P12</f>
        <v>0</v>
      </c>
      <c r="T12" s="96">
        <v>90</v>
      </c>
    </row>
    <row r="13" spans="1:20" outlineLevel="1">
      <c r="A13" s="97"/>
      <c r="B13" s="98"/>
      <c r="D13" s="99">
        <f ca="1">D12</f>
        <v>93</v>
      </c>
      <c r="E13" s="100">
        <f ca="1">D13*E4</f>
        <v>3906</v>
      </c>
      <c r="F13" s="101">
        <f ca="1">E13+'Malla vial arterial (12p) Oct26'!G137+'Malla vial arterial (12p) Oct26'!K137+'Malla vial arterial (12p) Oct26'!E57</f>
        <v>4576.7474741134974</v>
      </c>
      <c r="G13" s="102">
        <f ca="1">SUM(G12:G12)</f>
        <v>7604362.6200000001</v>
      </c>
      <c r="H13" s="103">
        <f ca="1">G13/G$36</f>
        <v>9.9434548824442526E-2</v>
      </c>
      <c r="J13" s="99">
        <f ca="1">J12</f>
        <v>93</v>
      </c>
      <c r="K13" s="100">
        <f ca="1">J13*K4</f>
        <v>3906</v>
      </c>
      <c r="L13" s="101">
        <f ca="1">K13+'Malla vial arterial (12p) Nov8'!G137+'Malla vial arterial (12p) Nov8'!K137+'Malla vial arterial (12p) Nov8'!E57</f>
        <v>4597.661960784937</v>
      </c>
      <c r="M13" s="102">
        <f ca="1">SUM(M12:M12)</f>
        <v>7604362.6200000001</v>
      </c>
      <c r="N13" s="103">
        <f ca="1">M13/M$36</f>
        <v>9.9953029346643629E-2</v>
      </c>
      <c r="P13" s="99">
        <f>P12</f>
        <v>0</v>
      </c>
      <c r="Q13" s="100">
        <f>P13*Q4</f>
        <v>0</v>
      </c>
      <c r="R13" s="101"/>
      <c r="S13" s="102">
        <f>SUM(S12:S12)</f>
        <v>0</v>
      </c>
      <c r="T13" s="103">
        <f ca="1">S13/S$36</f>
        <v>0</v>
      </c>
    </row>
    <row r="14" spans="1:20" outlineLevel="1">
      <c r="A14" s="97"/>
      <c r="B14" s="98"/>
      <c r="D14" s="104"/>
      <c r="E14" s="105">
        <f ca="1">IFERROR(E13/F13,0)</f>
        <v>0.85344450881170386</v>
      </c>
      <c r="F14" s="106"/>
      <c r="G14" s="107"/>
      <c r="H14" s="103"/>
      <c r="J14" s="104"/>
      <c r="K14" s="105">
        <f ca="1">IFERROR(K13/L13,0)</f>
        <v>0.84956224126863544</v>
      </c>
      <c r="L14" s="106"/>
      <c r="M14" s="107"/>
      <c r="N14" s="103"/>
      <c r="P14" s="104"/>
      <c r="Q14" s="105">
        <f>IFERROR(Q13/R13,0)</f>
        <v>0</v>
      </c>
      <c r="R14" s="106"/>
      <c r="S14" s="107"/>
      <c r="T14" s="103"/>
    </row>
    <row r="15" spans="1:20" ht="6" customHeight="1" outlineLevel="1">
      <c r="A15" s="97"/>
      <c r="B15" s="98"/>
      <c r="D15" s="104"/>
      <c r="E15" s="100"/>
      <c r="F15" s="108"/>
      <c r="G15" s="107"/>
      <c r="H15" s="103"/>
      <c r="J15" s="104"/>
      <c r="K15" s="100"/>
      <c r="L15" s="108"/>
      <c r="M15" s="107"/>
      <c r="N15" s="103"/>
      <c r="P15" s="104"/>
      <c r="Q15" s="100"/>
      <c r="R15" s="108"/>
      <c r="S15" s="107"/>
      <c r="T15" s="103"/>
    </row>
    <row r="16" spans="1:20" outlineLevel="1">
      <c r="A16" s="90"/>
      <c r="B16" s="91" t="s">
        <v>119</v>
      </c>
      <c r="D16" s="92">
        <v>0</v>
      </c>
      <c r="E16" s="93">
        <f>H16*$E$2</f>
        <v>0</v>
      </c>
      <c r="F16" s="94">
        <f>E16/E4</f>
        <v>0</v>
      </c>
      <c r="G16" s="95">
        <f>E16*D16</f>
        <v>0</v>
      </c>
      <c r="H16" s="96">
        <v>0</v>
      </c>
      <c r="J16" s="92"/>
      <c r="K16" s="93">
        <f>N16*$E$2</f>
        <v>0</v>
      </c>
      <c r="L16" s="94">
        <f>K16/K4</f>
        <v>0</v>
      </c>
      <c r="M16" s="95">
        <f>K16*J16</f>
        <v>0</v>
      </c>
      <c r="N16" s="96">
        <v>0</v>
      </c>
      <c r="P16" s="92"/>
      <c r="Q16" s="93">
        <f>T16*$E$2</f>
        <v>0</v>
      </c>
      <c r="R16" s="94">
        <f>Q16/Q4</f>
        <v>0</v>
      </c>
      <c r="S16" s="95">
        <f>Q16*P16</f>
        <v>0</v>
      </c>
      <c r="T16" s="96">
        <v>0</v>
      </c>
    </row>
    <row r="17" spans="1:20" outlineLevel="1">
      <c r="A17" s="97"/>
      <c r="B17" s="98"/>
      <c r="D17" s="99">
        <f>D15+D16</f>
        <v>0</v>
      </c>
      <c r="E17" s="100">
        <f>D17*E4</f>
        <v>0</v>
      </c>
      <c r="F17" s="101">
        <v>0</v>
      </c>
      <c r="G17" s="102">
        <f>SUM(G15:G16)</f>
        <v>0</v>
      </c>
      <c r="H17" s="103">
        <f ca="1">G17/G$36</f>
        <v>0</v>
      </c>
      <c r="J17" s="99">
        <f>J15+J16</f>
        <v>0</v>
      </c>
      <c r="K17" s="100">
        <f>J17*K4</f>
        <v>0</v>
      </c>
      <c r="L17" s="101"/>
      <c r="M17" s="102">
        <f>SUM(M15:M16)</f>
        <v>0</v>
      </c>
      <c r="N17" s="103">
        <f ca="1">M17/M$36</f>
        <v>0</v>
      </c>
      <c r="P17" s="99">
        <f>P15+P16</f>
        <v>0</v>
      </c>
      <c r="Q17" s="100">
        <f>P17*Q4</f>
        <v>0</v>
      </c>
      <c r="R17" s="101"/>
      <c r="S17" s="102">
        <f>SUM(S15:S16)</f>
        <v>0</v>
      </c>
      <c r="T17" s="103">
        <f ca="1">S17/S$36</f>
        <v>0</v>
      </c>
    </row>
    <row r="18" spans="1:20" outlineLevel="1">
      <c r="B18" s="98"/>
      <c r="D18" s="104"/>
      <c r="E18" s="105">
        <f>IFERROR(E17/F17,0)</f>
        <v>0</v>
      </c>
      <c r="F18" s="106"/>
      <c r="G18" s="107"/>
      <c r="H18" s="103"/>
      <c r="J18" s="104"/>
      <c r="K18" s="105">
        <f>IFERROR(K17/L17,0)</f>
        <v>0</v>
      </c>
      <c r="L18" s="106"/>
      <c r="M18" s="107"/>
      <c r="N18" s="103"/>
      <c r="P18" s="104"/>
      <c r="Q18" s="105">
        <f>IFERROR(Q17/R17,0)</f>
        <v>0</v>
      </c>
      <c r="R18" s="106"/>
      <c r="S18" s="107"/>
      <c r="T18" s="103"/>
    </row>
    <row r="19" spans="1:20" s="111" customFormat="1" ht="4.95" customHeight="1" outlineLevel="1">
      <c r="A19" s="109"/>
      <c r="B19" s="98"/>
      <c r="C19" s="64"/>
      <c r="D19" s="104"/>
      <c r="E19" s="106"/>
      <c r="F19" s="106"/>
      <c r="G19" s="107"/>
      <c r="H19" s="110"/>
      <c r="J19" s="104"/>
      <c r="K19" s="106"/>
      <c r="L19" s="106"/>
      <c r="M19" s="107"/>
      <c r="N19" s="110"/>
      <c r="P19" s="104"/>
      <c r="Q19" s="106"/>
      <c r="R19" s="106"/>
      <c r="S19" s="107"/>
      <c r="T19" s="110"/>
    </row>
    <row r="20" spans="1:20" outlineLevel="1">
      <c r="A20" s="112"/>
      <c r="B20" s="91" t="s">
        <v>120</v>
      </c>
      <c r="D20" s="92">
        <f ca="1">'Malla vial arterial (12p) Oct26'!D53</f>
        <v>374</v>
      </c>
      <c r="E20" s="93">
        <f>H20*$E$2</f>
        <v>163800</v>
      </c>
      <c r="F20" s="94">
        <f>E20/E5</f>
        <v>3900</v>
      </c>
      <c r="G20" s="95">
        <f ca="1">E20*D20</f>
        <v>61261200</v>
      </c>
      <c r="H20" s="113">
        <v>180.29203346959801</v>
      </c>
      <c r="J20" s="92">
        <f ca="1">'Malla vial arterial (12p) Nov8'!D53</f>
        <v>372</v>
      </c>
      <c r="K20" s="93">
        <f>N20*$E$2</f>
        <v>163800</v>
      </c>
      <c r="L20" s="94">
        <f>K20/K5</f>
        <v>3900</v>
      </c>
      <c r="M20" s="95">
        <f ca="1">K20*J20</f>
        <v>60933600</v>
      </c>
      <c r="N20" s="113">
        <v>180.29203346959801</v>
      </c>
      <c r="P20" s="92">
        <f ca="1">'Malla vial arterial(12p)NoVisN8'!D53</f>
        <v>465</v>
      </c>
      <c r="Q20" s="93">
        <f>T20*$E$2</f>
        <v>163800</v>
      </c>
      <c r="R20" s="94">
        <f>Q20/Q5</f>
        <v>3900</v>
      </c>
      <c r="S20" s="95">
        <f ca="1">Q20*P20</f>
        <v>76167000</v>
      </c>
      <c r="T20" s="113">
        <v>180.29203346959801</v>
      </c>
    </row>
    <row r="21" spans="1:20" outlineLevel="1">
      <c r="B21" s="98"/>
      <c r="D21" s="99">
        <f ca="1">D20</f>
        <v>374</v>
      </c>
      <c r="E21" s="100">
        <f ca="1">D20*E5</f>
        <v>15708</v>
      </c>
      <c r="F21" s="101">
        <f ca="1">E21+'Malla vial arterial (12p) Oct26'!H137+'Malla vial arterial (12p) Oct26'!L137+'Malla vial arterial (12p) Oct26'!E58</f>
        <v>18349.314573316646</v>
      </c>
      <c r="G21" s="102">
        <f ca="1">SUM(G20:G20)</f>
        <v>61261200</v>
      </c>
      <c r="H21" s="103">
        <f ca="1">G21/G$36</f>
        <v>0.80105067141629005</v>
      </c>
      <c r="J21" s="99">
        <f ca="1">J20</f>
        <v>372</v>
      </c>
      <c r="K21" s="100">
        <f ca="1">J20*K5</f>
        <v>15624</v>
      </c>
      <c r="L21" s="101">
        <f ca="1">K21+'Malla vial arterial (12p) Nov8'!H137+'Malla vial arterial (12p) Nov8'!L137+'Malla vial arterial (12p) Nov8'!E58</f>
        <v>18334.847843139745</v>
      </c>
      <c r="M21" s="102">
        <f ca="1">SUM(M20:M20)</f>
        <v>60933600</v>
      </c>
      <c r="N21" s="103">
        <f ca="1">M21/M$36</f>
        <v>0.8009215516601238</v>
      </c>
      <c r="P21" s="99">
        <f ca="1">P20</f>
        <v>465</v>
      </c>
      <c r="Q21" s="100">
        <f ca="1">P20*Q5</f>
        <v>19530</v>
      </c>
      <c r="R21" s="101">
        <f ca="1">Q21+'Malla vial arterial(12p)NoVisN8'!H137+'Malla vial arterial(12p)NoVisN8'!L137+'Malla vial arterial(12p)NoVisN8'!D60</f>
        <v>22931.08290920125</v>
      </c>
      <c r="S21" s="102">
        <f ca="1">SUM(S20:S20)</f>
        <v>76167000</v>
      </c>
      <c r="T21" s="103">
        <f ca="1">S21/S$36</f>
        <v>0.90984431620612172</v>
      </c>
    </row>
    <row r="22" spans="1:20" outlineLevel="1">
      <c r="B22" s="98"/>
      <c r="D22" s="104"/>
      <c r="E22" s="288">
        <f ca="1">IFERROR(E21/F21,0)</f>
        <v>0.85605377450133135</v>
      </c>
      <c r="F22" s="106"/>
      <c r="G22" s="107"/>
      <c r="H22" s="103"/>
      <c r="J22" s="104"/>
      <c r="K22" s="288">
        <f ca="1">IFERROR(K21/L21,0)</f>
        <v>0.85214778620843323</v>
      </c>
      <c r="L22" s="106"/>
      <c r="M22" s="107"/>
      <c r="N22" s="103"/>
      <c r="P22" s="104"/>
      <c r="Q22" s="288">
        <f ca="1">IFERROR(Q21/R21,0)</f>
        <v>0.85168241191799354</v>
      </c>
      <c r="R22" s="106"/>
      <c r="S22" s="107"/>
      <c r="T22" s="103"/>
    </row>
    <row r="23" spans="1:20" ht="5.4" customHeight="1" outlineLevel="1">
      <c r="B23" s="98"/>
      <c r="D23" s="114"/>
      <c r="E23" s="106"/>
      <c r="F23" s="106"/>
      <c r="H23" s="115"/>
      <c r="J23" s="114"/>
      <c r="K23" s="106"/>
      <c r="L23" s="106"/>
      <c r="N23" s="115"/>
      <c r="P23" s="114"/>
      <c r="Q23" s="106"/>
      <c r="R23" s="106"/>
      <c r="T23" s="115"/>
    </row>
    <row r="24" spans="1:20" outlineLevel="1">
      <c r="A24" s="112"/>
      <c r="B24" s="91" t="s">
        <v>121</v>
      </c>
      <c r="D24" s="116">
        <f ca="1">'Malla vial arterial (12p) Oct26'!D138</f>
        <v>1654.4561664923078</v>
      </c>
      <c r="E24" s="93"/>
      <c r="F24" s="94">
        <v>4600</v>
      </c>
      <c r="G24" s="95">
        <f ca="1">F24*D24</f>
        <v>7610498.3658646159</v>
      </c>
      <c r="H24" s="96"/>
      <c r="J24" s="116">
        <f ca="1">'Malla vial arterial (12p) Nov8'!D138</f>
        <v>1639.4344680461541</v>
      </c>
      <c r="K24" s="93"/>
      <c r="L24" s="94">
        <v>4600</v>
      </c>
      <c r="M24" s="95">
        <f ca="1">L24*J24</f>
        <v>7541398.5530123087</v>
      </c>
      <c r="N24" s="96"/>
      <c r="P24" s="116">
        <f ca="1">'Malla vial arterial(12p)NoVisN8'!D138</f>
        <v>1640.7221603538462</v>
      </c>
      <c r="Q24" s="93"/>
      <c r="R24" s="94">
        <v>4600</v>
      </c>
      <c r="S24" s="95">
        <f ca="1">R24*P24</f>
        <v>7547321.9376276927</v>
      </c>
      <c r="T24" s="96"/>
    </row>
    <row r="25" spans="1:20" outlineLevel="1">
      <c r="B25" s="98"/>
      <c r="D25" s="99">
        <f ca="1">D24/30</f>
        <v>55.148538883076931</v>
      </c>
      <c r="E25" s="100">
        <f ca="1">D24</f>
        <v>1654.4561664923078</v>
      </c>
      <c r="F25" s="101">
        <f ca="1">E25+'Malla vial arterial (12p) Oct26'!J138+'Malla vial arterial (12p) Oct26'!D90</f>
        <v>2023.8997225698572</v>
      </c>
      <c r="G25" s="102">
        <f ca="1">SUM(G24:G24)</f>
        <v>7610498.3658646159</v>
      </c>
      <c r="H25" s="103">
        <f ca="1">G25/G$36</f>
        <v>9.9514779759267341E-2</v>
      </c>
      <c r="J25" s="99">
        <f ca="1">J24/30</f>
        <v>54.647815601538468</v>
      </c>
      <c r="K25" s="100">
        <f ca="1">J24</f>
        <v>1639.4344680461541</v>
      </c>
      <c r="L25" s="101">
        <f ca="1">K25+'Malla vial arterial (12p) Nov8'!J138+'Malla vial arterial (12p) Nov8'!D90</f>
        <v>2017.4519660753158</v>
      </c>
      <c r="M25" s="102">
        <f ca="1">SUM(M24:M24)</f>
        <v>7541398.5530123087</v>
      </c>
      <c r="N25" s="103">
        <f ca="1">M25/M$36</f>
        <v>9.9125418993232475E-2</v>
      </c>
      <c r="P25" s="99">
        <f ca="1">P24/30</f>
        <v>54.690738678461543</v>
      </c>
      <c r="Q25" s="100">
        <f ca="1">P24</f>
        <v>1640.7221603538462</v>
      </c>
      <c r="R25" s="101">
        <f ca="1">Q25+'Malla vial arterial(12p)NoVisN8'!J138+'Malla vial arterial(12p)NoVisN8'!D90</f>
        <v>2018.8788607987501</v>
      </c>
      <c r="S25" s="102">
        <f ca="1">SUM(S24:S24)</f>
        <v>7547321.9376276927</v>
      </c>
      <c r="T25" s="103">
        <f ca="1">S25/S$36</f>
        <v>9.0155683793878325E-2</v>
      </c>
    </row>
    <row r="26" spans="1:20" outlineLevel="1">
      <c r="B26" s="98"/>
      <c r="D26" s="104"/>
      <c r="E26" s="105">
        <f ca="1">IFERROR(E25/F25,0)</f>
        <v>0.81745955495836198</v>
      </c>
      <c r="F26" s="106"/>
      <c r="G26" s="107"/>
      <c r="H26" s="103"/>
      <c r="J26" s="104"/>
      <c r="K26" s="105">
        <f ca="1">IFERROR(K25/L25,0)</f>
        <v>0.81262627096666673</v>
      </c>
      <c r="L26" s="106"/>
      <c r="M26" s="107"/>
      <c r="N26" s="103"/>
      <c r="P26" s="104"/>
      <c r="Q26" s="105">
        <f ca="1">IFERROR(Q25/R25,0)</f>
        <v>0.81268975182825487</v>
      </c>
      <c r="R26" s="106"/>
      <c r="S26" s="107"/>
      <c r="T26" s="103"/>
    </row>
    <row r="27" spans="1:20" outlineLevel="1">
      <c r="B27" s="117"/>
      <c r="D27" s="114"/>
      <c r="E27" s="118"/>
      <c r="F27" s="118"/>
      <c r="G27" s="119"/>
      <c r="H27" s="115"/>
      <c r="J27" s="114"/>
      <c r="K27" s="118"/>
      <c r="L27" s="118"/>
      <c r="M27" s="119"/>
      <c r="N27" s="115"/>
      <c r="P27" s="114"/>
      <c r="Q27" s="118"/>
      <c r="R27" s="118"/>
      <c r="S27" s="119"/>
      <c r="T27" s="115"/>
    </row>
    <row r="28" spans="1:20" outlineLevel="1">
      <c r="A28" s="112"/>
      <c r="B28" s="91" t="s">
        <v>122</v>
      </c>
      <c r="D28" s="116">
        <v>0</v>
      </c>
      <c r="E28" s="93"/>
      <c r="F28" s="94">
        <v>0</v>
      </c>
      <c r="G28" s="95">
        <f>F28*D28</f>
        <v>0</v>
      </c>
      <c r="H28" s="96"/>
      <c r="J28" s="116"/>
      <c r="K28" s="93"/>
      <c r="L28" s="94">
        <v>0</v>
      </c>
      <c r="M28" s="95">
        <f>L28*J28</f>
        <v>0</v>
      </c>
      <c r="N28" s="96"/>
      <c r="P28" s="116"/>
      <c r="Q28" s="93"/>
      <c r="R28" s="94">
        <v>0</v>
      </c>
      <c r="S28" s="95">
        <f>R28*P28</f>
        <v>0</v>
      </c>
      <c r="T28" s="96"/>
    </row>
    <row r="29" spans="1:20" outlineLevel="1">
      <c r="B29" s="98"/>
      <c r="D29" s="99">
        <f>D28/80</f>
        <v>0</v>
      </c>
      <c r="E29" s="100">
        <f>D28</f>
        <v>0</v>
      </c>
      <c r="F29" s="101">
        <v>0</v>
      </c>
      <c r="G29" s="102">
        <f>SUM(G28:G28)</f>
        <v>0</v>
      </c>
      <c r="H29" s="103">
        <f ca="1">G29/G$36</f>
        <v>0</v>
      </c>
      <c r="J29" s="99">
        <f>J28/80</f>
        <v>0</v>
      </c>
      <c r="K29" s="100">
        <f>J28</f>
        <v>0</v>
      </c>
      <c r="L29" s="101"/>
      <c r="M29" s="102">
        <f>SUM(M28:M28)</f>
        <v>0</v>
      </c>
      <c r="N29" s="103">
        <f ca="1">M29/M$36</f>
        <v>0</v>
      </c>
      <c r="P29" s="99">
        <f>P28/80</f>
        <v>0</v>
      </c>
      <c r="Q29" s="100">
        <f>P28</f>
        <v>0</v>
      </c>
      <c r="R29" s="101"/>
      <c r="S29" s="102">
        <f>SUM(S28:S28)</f>
        <v>0</v>
      </c>
      <c r="T29" s="103">
        <f ca="1">S29/S$36</f>
        <v>0</v>
      </c>
    </row>
    <row r="30" spans="1:20" outlineLevel="1">
      <c r="B30" s="98"/>
      <c r="D30" s="104"/>
      <c r="E30" s="105">
        <f>IFERROR(E29/F29,0)</f>
        <v>0</v>
      </c>
      <c r="F30" s="106"/>
      <c r="G30" s="107"/>
      <c r="H30" s="103"/>
      <c r="J30" s="104"/>
      <c r="K30" s="105">
        <f>IFERROR(K29/L29,0)</f>
        <v>0</v>
      </c>
      <c r="L30" s="106"/>
      <c r="M30" s="107"/>
      <c r="N30" s="103"/>
      <c r="P30" s="104"/>
      <c r="Q30" s="105">
        <f>IFERROR(Q29/R29,0)</f>
        <v>0</v>
      </c>
      <c r="R30" s="106"/>
      <c r="S30" s="107"/>
      <c r="T30" s="103"/>
    </row>
    <row r="31" spans="1:20" outlineLevel="1">
      <c r="B31" s="98"/>
      <c r="D31" s="104"/>
      <c r="E31" s="105"/>
      <c r="F31" s="106"/>
      <c r="G31" s="107"/>
      <c r="H31" s="103"/>
      <c r="J31" s="104"/>
      <c r="K31" s="105"/>
      <c r="L31" s="106"/>
      <c r="M31" s="107"/>
      <c r="N31" s="103"/>
      <c r="P31" s="104"/>
      <c r="Q31" s="105"/>
      <c r="R31" s="106"/>
      <c r="S31" s="107"/>
      <c r="T31" s="103"/>
    </row>
    <row r="32" spans="1:20" outlineLevel="1">
      <c r="A32" s="112"/>
      <c r="B32" s="91" t="s">
        <v>123</v>
      </c>
      <c r="D32" s="116">
        <v>0</v>
      </c>
      <c r="E32" s="93"/>
      <c r="F32" s="94">
        <v>0</v>
      </c>
      <c r="G32" s="95">
        <f>F32*D32</f>
        <v>0</v>
      </c>
      <c r="H32" s="96"/>
      <c r="J32" s="116"/>
      <c r="K32" s="93"/>
      <c r="L32" s="94">
        <v>0</v>
      </c>
      <c r="M32" s="95">
        <f>L32*J32</f>
        <v>0</v>
      </c>
      <c r="N32" s="96"/>
      <c r="P32" s="116"/>
      <c r="Q32" s="93"/>
      <c r="R32" s="94">
        <v>0</v>
      </c>
      <c r="S32" s="95">
        <f>R32*P32</f>
        <v>0</v>
      </c>
      <c r="T32" s="96"/>
    </row>
    <row r="33" spans="1:20" outlineLevel="1">
      <c r="B33" s="98"/>
      <c r="D33" s="99">
        <f>D32/80</f>
        <v>0</v>
      </c>
      <c r="E33" s="100">
        <f>D32</f>
        <v>0</v>
      </c>
      <c r="F33" s="101">
        <v>0</v>
      </c>
      <c r="G33" s="102">
        <f>SUM(G32:G32)</f>
        <v>0</v>
      </c>
      <c r="H33" s="103">
        <f ca="1">G33/G$36</f>
        <v>0</v>
      </c>
      <c r="J33" s="99">
        <f>J32/80</f>
        <v>0</v>
      </c>
      <c r="K33" s="100">
        <f>J32</f>
        <v>0</v>
      </c>
      <c r="L33" s="101"/>
      <c r="M33" s="102">
        <f>SUM(M32:M32)</f>
        <v>0</v>
      </c>
      <c r="N33" s="103">
        <f ca="1">M33/M$36</f>
        <v>0</v>
      </c>
      <c r="P33" s="99">
        <f>P32/80</f>
        <v>0</v>
      </c>
      <c r="Q33" s="100">
        <f>P32</f>
        <v>0</v>
      </c>
      <c r="R33" s="101"/>
      <c r="S33" s="102">
        <f>SUM(S32:S32)</f>
        <v>0</v>
      </c>
      <c r="T33" s="103">
        <f ca="1">S33/S$36</f>
        <v>0</v>
      </c>
    </row>
    <row r="34" spans="1:20" outlineLevel="1">
      <c r="B34" s="98"/>
      <c r="D34" s="104"/>
      <c r="E34" s="105">
        <f>IFERROR(E33/F33,0)</f>
        <v>0</v>
      </c>
      <c r="F34" s="106"/>
      <c r="G34" s="107"/>
      <c r="H34" s="103"/>
      <c r="J34" s="104"/>
      <c r="K34" s="105">
        <f>IFERROR(K33/L33,0)</f>
        <v>0</v>
      </c>
      <c r="L34" s="106"/>
      <c r="M34" s="107"/>
      <c r="N34" s="103"/>
      <c r="P34" s="104"/>
      <c r="Q34" s="105">
        <f>IFERROR(Q33/R33,0)</f>
        <v>0</v>
      </c>
      <c r="R34" s="106"/>
      <c r="S34" s="107"/>
      <c r="T34" s="103"/>
    </row>
    <row r="35" spans="1:20" outlineLevel="1">
      <c r="B35" s="98"/>
      <c r="D35" s="104"/>
      <c r="E35" s="105"/>
      <c r="F35" s="106"/>
      <c r="G35" s="107"/>
      <c r="H35" s="103"/>
      <c r="J35" s="104"/>
      <c r="K35" s="105"/>
      <c r="L35" s="106"/>
      <c r="M35" s="107"/>
      <c r="N35" s="103"/>
      <c r="P35" s="104"/>
      <c r="Q35" s="105"/>
      <c r="R35" s="106"/>
      <c r="S35" s="107"/>
      <c r="T35" s="103"/>
    </row>
    <row r="36" spans="1:20" s="120" customFormat="1" ht="15.6">
      <c r="B36" s="121" t="s">
        <v>124</v>
      </c>
      <c r="C36" s="122"/>
      <c r="D36" s="123">
        <f>'Malla vial arterial (12p) Oct26'!D49</f>
        <v>12</v>
      </c>
      <c r="E36" s="124">
        <f ca="1">E13+E17+E21+E25+E29</f>
        <v>21268.456166492309</v>
      </c>
      <c r="F36" s="125">
        <f ca="1">F13+F17+F21+F25+F29</f>
        <v>24949.961770000002</v>
      </c>
      <c r="G36" s="126">
        <f ca="1">G13+G17+G21+G25+G29</f>
        <v>76476060.985864624</v>
      </c>
      <c r="H36" s="127">
        <v>1</v>
      </c>
      <c r="J36" s="123">
        <f>'Malla vial arterial (12p) Nov8'!D49</f>
        <v>12</v>
      </c>
      <c r="K36" s="124">
        <f ca="1">K13+K17+K21+K25+K29</f>
        <v>21169.434468046155</v>
      </c>
      <c r="L36" s="125">
        <f ca="1">L13+L17+L21+L25+L29</f>
        <v>24949.961769999994</v>
      </c>
      <c r="M36" s="126">
        <f ca="1">M13+M17+M21+M25+M29</f>
        <v>76079361.173012316</v>
      </c>
      <c r="N36" s="127">
        <v>1</v>
      </c>
      <c r="P36" s="123">
        <f>'Malla vial arterial(12p)NoVisN8'!D49</f>
        <v>12</v>
      </c>
      <c r="Q36" s="124">
        <f ca="1">Q13+Q17+Q21+Q25+Q29</f>
        <v>21170.722160353846</v>
      </c>
      <c r="R36" s="125">
        <f ca="1">R13+R17+R21+R25+R29</f>
        <v>24949.961770000002</v>
      </c>
      <c r="S36" s="126">
        <f ca="1">S13+S17+S21+S25+S29</f>
        <v>83714321.937627688</v>
      </c>
      <c r="T36" s="127">
        <v>1</v>
      </c>
    </row>
    <row r="37" spans="1:20">
      <c r="B37" s="128"/>
      <c r="D37" s="129"/>
      <c r="E37" s="130"/>
      <c r="F37" s="129"/>
      <c r="G37" s="129"/>
      <c r="H37" s="129"/>
      <c r="J37" s="129"/>
      <c r="K37" s="130"/>
      <c r="L37" s="129"/>
      <c r="M37" s="129"/>
      <c r="N37" s="129"/>
      <c r="P37" s="129"/>
      <c r="Q37" s="130"/>
      <c r="R37" s="129"/>
      <c r="S37" s="129"/>
      <c r="T37" s="129"/>
    </row>
    <row r="38" spans="1:20" s="137" customFormat="1" ht="18">
      <c r="A38" s="63"/>
      <c r="B38" s="131" t="s">
        <v>125</v>
      </c>
      <c r="C38" s="64"/>
      <c r="D38" s="132"/>
      <c r="E38" s="133">
        <v>1000</v>
      </c>
      <c r="F38" s="134">
        <f ca="1">F75</f>
        <v>-1.4525911373294089</v>
      </c>
      <c r="G38" s="135">
        <f ca="1">G77</f>
        <v>-1341465.9972350448</v>
      </c>
      <c r="H38" s="136">
        <f ca="1">H77</f>
        <v>-1.7540992304546036E-2</v>
      </c>
      <c r="J38" s="132"/>
      <c r="K38" s="133">
        <v>1000</v>
      </c>
      <c r="L38" s="134">
        <f ca="1">L75</f>
        <v>-1.4594105099163828</v>
      </c>
      <c r="M38" s="135">
        <f ca="1">M77</f>
        <v>-1423336.3129827827</v>
      </c>
      <c r="N38" s="136">
        <f ca="1">N77</f>
        <v>-1.8708573403317216E-2</v>
      </c>
      <c r="P38" s="132"/>
      <c r="Q38" s="133">
        <v>1000</v>
      </c>
      <c r="R38" s="134">
        <f ca="1">R75</f>
        <v>-0.78132838767095847</v>
      </c>
      <c r="S38" s="135">
        <f ca="1">S77</f>
        <v>3536336.4625587463</v>
      </c>
      <c r="T38" s="136">
        <f ca="1">T77</f>
        <v>4.2242908748559585E-2</v>
      </c>
    </row>
    <row r="39" spans="1:20" s="144" customFormat="1" ht="24" customHeight="1" outlineLevel="1">
      <c r="A39" s="138"/>
      <c r="B39" s="139" t="s">
        <v>126</v>
      </c>
      <c r="C39" s="137"/>
      <c r="D39" s="140"/>
      <c r="E39" s="141"/>
      <c r="F39" s="141"/>
      <c r="G39" s="142">
        <f ca="1">SUM(G42:G47)</f>
        <v>259805.6285323654</v>
      </c>
      <c r="H39" s="143">
        <f ca="1">G39/G36</f>
        <v>3.3972150916662183E-3</v>
      </c>
      <c r="J39" s="140"/>
      <c r="K39" s="141"/>
      <c r="L39" s="141"/>
      <c r="M39" s="142">
        <f ca="1">SUM(M42:M47)</f>
        <v>39110.434419200006</v>
      </c>
      <c r="N39" s="143">
        <f ca="1">M39/M36</f>
        <v>5.1407416960637777E-4</v>
      </c>
      <c r="P39" s="140"/>
      <c r="Q39" s="141"/>
      <c r="R39" s="141"/>
      <c r="S39" s="142">
        <f ca="1">SUM(S42:S47)</f>
        <v>39110.434419200006</v>
      </c>
      <c r="T39" s="143">
        <f ca="1">S39/S36</f>
        <v>4.6718928749539036E-4</v>
      </c>
    </row>
    <row r="40" spans="1:20" s="151" customFormat="1" ht="22.2" customHeight="1" outlineLevel="2">
      <c r="A40" s="90"/>
      <c r="B40" s="145" t="s">
        <v>127</v>
      </c>
      <c r="C40" s="64"/>
      <c r="D40" s="146">
        <v>0.1</v>
      </c>
      <c r="E40" s="147">
        <f>E41/H3</f>
        <v>0</v>
      </c>
      <c r="F40" s="148">
        <v>0.3</v>
      </c>
      <c r="G40" s="149"/>
      <c r="H40" s="150"/>
      <c r="J40" s="146">
        <v>0.1</v>
      </c>
      <c r="K40" s="147">
        <f>K41/N3</f>
        <v>0</v>
      </c>
      <c r="L40" s="148">
        <v>0.3</v>
      </c>
      <c r="M40" s="149"/>
      <c r="N40" s="150"/>
      <c r="P40" s="146">
        <v>0.1</v>
      </c>
      <c r="Q40" s="147">
        <f>Q41/T3</f>
        <v>0</v>
      </c>
      <c r="R40" s="148">
        <v>0.3</v>
      </c>
      <c r="S40" s="149"/>
      <c r="T40" s="150"/>
    </row>
    <row r="41" spans="1:20" s="151" customFormat="1" ht="22.2" customHeight="1" outlineLevel="2">
      <c r="A41" s="90"/>
      <c r="B41" s="152" t="s">
        <v>128</v>
      </c>
      <c r="C41" s="64"/>
      <c r="D41" s="153">
        <f>D40*H3</f>
        <v>531.39177200000006</v>
      </c>
      <c r="E41" s="153">
        <v>0</v>
      </c>
      <c r="F41" s="153">
        <f>F40*H3</f>
        <v>1594.1753160000001</v>
      </c>
      <c r="G41" s="154"/>
      <c r="H41" s="155"/>
      <c r="J41" s="153">
        <f>J40*N3</f>
        <v>531.39177200000006</v>
      </c>
      <c r="K41" s="153">
        <v>0</v>
      </c>
      <c r="L41" s="153">
        <f>L40*N3</f>
        <v>1594.1753160000001</v>
      </c>
      <c r="M41" s="154"/>
      <c r="N41" s="155"/>
      <c r="P41" s="153">
        <f>P40*T3</f>
        <v>531.39177200000006</v>
      </c>
      <c r="Q41" s="153">
        <v>0</v>
      </c>
      <c r="R41" s="153">
        <f>R40*T3</f>
        <v>1594.1753160000001</v>
      </c>
      <c r="S41" s="154"/>
      <c r="T41" s="155"/>
    </row>
    <row r="42" spans="1:20" s="151" customFormat="1" ht="22.2" customHeight="1" outlineLevel="2">
      <c r="A42" s="90"/>
      <c r="B42" s="156" t="s">
        <v>129</v>
      </c>
      <c r="C42" s="64"/>
      <c r="D42" s="157">
        <v>400</v>
      </c>
      <c r="E42" s="158">
        <v>0.8</v>
      </c>
      <c r="F42" s="159"/>
      <c r="G42" s="160">
        <f>IF(F41&lt;D42,F41*(E8*E42),)</f>
        <v>0</v>
      </c>
      <c r="H42" s="161">
        <f ca="1">G42/G36</f>
        <v>0</v>
      </c>
      <c r="J42" s="157">
        <v>400</v>
      </c>
      <c r="K42" s="158">
        <v>0.8</v>
      </c>
      <c r="L42" s="159"/>
      <c r="M42" s="160">
        <f>IF(L41&lt;J42,L41*(K8*K42),)</f>
        <v>0</v>
      </c>
      <c r="N42" s="161">
        <f ca="1">M42/M36</f>
        <v>0</v>
      </c>
      <c r="P42" s="157">
        <v>400</v>
      </c>
      <c r="Q42" s="158">
        <v>0.8</v>
      </c>
      <c r="R42" s="159"/>
      <c r="S42" s="160">
        <f>IF(R41&lt;P42,R41*(Q8*Q42),)</f>
        <v>0</v>
      </c>
      <c r="T42" s="161">
        <f ca="1">S42/S36</f>
        <v>0</v>
      </c>
    </row>
    <row r="43" spans="1:20" s="151" customFormat="1" ht="22.2" customHeight="1" outlineLevel="2">
      <c r="A43" s="90"/>
      <c r="B43" s="162" t="s">
        <v>130</v>
      </c>
      <c r="C43" s="64"/>
      <c r="D43" s="163"/>
      <c r="E43" s="164">
        <v>0.75</v>
      </c>
      <c r="F43" s="159">
        <v>0</v>
      </c>
      <c r="G43" s="160">
        <f>E41*E8*E43</f>
        <v>0</v>
      </c>
      <c r="H43" s="161">
        <f ca="1">G43/G36</f>
        <v>0</v>
      </c>
      <c r="J43" s="163"/>
      <c r="K43" s="164">
        <v>0.75</v>
      </c>
      <c r="L43" s="159">
        <v>0</v>
      </c>
      <c r="M43" s="160">
        <f>K41*K8*K43</f>
        <v>0</v>
      </c>
      <c r="N43" s="161">
        <f ca="1">M43/M36</f>
        <v>0</v>
      </c>
      <c r="P43" s="163"/>
      <c r="Q43" s="164">
        <v>0.75</v>
      </c>
      <c r="R43" s="159">
        <v>0</v>
      </c>
      <c r="S43" s="160">
        <f>Q41*Q8*Q43</f>
        <v>0</v>
      </c>
      <c r="T43" s="161">
        <f ca="1">S43/S36</f>
        <v>0</v>
      </c>
    </row>
    <row r="44" spans="1:20" s="151" customFormat="1" ht="22.2" customHeight="1" outlineLevel="2">
      <c r="A44" s="90"/>
      <c r="B44" s="162" t="s">
        <v>131</v>
      </c>
      <c r="C44" s="64"/>
      <c r="D44" s="163"/>
      <c r="E44" s="165">
        <v>6.4000000000000001E-2</v>
      </c>
      <c r="F44" s="159">
        <v>0</v>
      </c>
      <c r="G44" s="160">
        <f>D41*E8*E44</f>
        <v>39110.434419200006</v>
      </c>
      <c r="H44" s="161">
        <f ca="1">G44/G36</f>
        <v>5.1140754263519065E-4</v>
      </c>
      <c r="J44" s="163"/>
      <c r="K44" s="165">
        <v>6.4000000000000001E-2</v>
      </c>
      <c r="L44" s="159">
        <v>0</v>
      </c>
      <c r="M44" s="160">
        <f>J41*K8*K44</f>
        <v>39110.434419200006</v>
      </c>
      <c r="N44" s="161">
        <f ca="1">M44/M36</f>
        <v>5.1407416960637777E-4</v>
      </c>
      <c r="P44" s="163"/>
      <c r="Q44" s="165">
        <v>6.4000000000000001E-2</v>
      </c>
      <c r="R44" s="159">
        <v>0</v>
      </c>
      <c r="S44" s="160">
        <f>P41*Q8*Q44</f>
        <v>39110.434419200006</v>
      </c>
      <c r="T44" s="161">
        <f ca="1">S44/S36</f>
        <v>4.6718928749539036E-4</v>
      </c>
    </row>
    <row r="45" spans="1:20" s="151" customFormat="1" ht="22.2" customHeight="1" outlineLevel="2">
      <c r="B45" s="166" t="s">
        <v>132</v>
      </c>
      <c r="C45" s="64"/>
      <c r="D45" s="167">
        <f ca="1">+(IF(H5&lt;4,0,IF(H5&lt;=5,0.05,IF(H5&lt;=6,0.1,IF(H5&lt;=7,0.1,IF(H5&lt;=11,0.1)))))*H4)</f>
        <v>1066.1603580346155</v>
      </c>
      <c r="E45" s="165">
        <v>0.18</v>
      </c>
      <c r="F45" s="159"/>
      <c r="G45" s="160">
        <f ca="1">D45*E8*E45</f>
        <v>220695.1941131654</v>
      </c>
      <c r="H45" s="161">
        <f ca="1">G45/G36</f>
        <v>2.8858075490310279E-3</v>
      </c>
      <c r="J45" s="167">
        <f ca="1">+(IF(N5&lt;4,0,IF(N5&lt;=5,0.05,IF(N5&lt;=6,0.1,IF(N5&lt;=7,0.1,IF(N5&lt;=11,0.1)))))*N4)</f>
        <v>0</v>
      </c>
      <c r="K45" s="165">
        <v>0.18</v>
      </c>
      <c r="L45" s="159"/>
      <c r="M45" s="160">
        <f ca="1">J45*K8*K45</f>
        <v>0</v>
      </c>
      <c r="N45" s="161">
        <f ca="1">M45/M36</f>
        <v>0</v>
      </c>
      <c r="P45" s="167">
        <f ca="1">+(IF(T5&lt;4,0,IF(T5&lt;=5,0.05,IF(T5&lt;=6,0.1,IF(T5&lt;=7,0.1,IF(T5&lt;=11,0.1)))))*T4)</f>
        <v>0</v>
      </c>
      <c r="Q45" s="165">
        <v>0.18</v>
      </c>
      <c r="R45" s="159"/>
      <c r="S45" s="160">
        <f ca="1">P45*Q8*Q45</f>
        <v>0</v>
      </c>
      <c r="T45" s="161">
        <f ca="1">S45/S36</f>
        <v>0</v>
      </c>
    </row>
    <row r="46" spans="1:20" s="151" customFormat="1" ht="22.2" customHeight="1" outlineLevel="2">
      <c r="B46" s="166" t="s">
        <v>133</v>
      </c>
      <c r="C46" s="64"/>
      <c r="D46" s="167">
        <v>0</v>
      </c>
      <c r="E46" s="165">
        <v>0.18</v>
      </c>
      <c r="F46" s="159">
        <v>0</v>
      </c>
      <c r="G46" s="160">
        <f>D46*E8*E46</f>
        <v>0</v>
      </c>
      <c r="H46" s="161">
        <f ca="1">G46/G36</f>
        <v>0</v>
      </c>
      <c r="J46" s="167">
        <v>0</v>
      </c>
      <c r="K46" s="165">
        <v>0.18</v>
      </c>
      <c r="L46" s="159">
        <v>0</v>
      </c>
      <c r="M46" s="160">
        <f>J46*K8*K46</f>
        <v>0</v>
      </c>
      <c r="N46" s="161">
        <f ca="1">M46/M36</f>
        <v>0</v>
      </c>
      <c r="P46" s="167">
        <v>0</v>
      </c>
      <c r="Q46" s="165">
        <v>0.18</v>
      </c>
      <c r="R46" s="159">
        <v>0</v>
      </c>
      <c r="S46" s="160">
        <f>P46*Q8*Q46</f>
        <v>0</v>
      </c>
      <c r="T46" s="161">
        <f ca="1">S46/S36</f>
        <v>0</v>
      </c>
    </row>
    <row r="47" spans="1:20" s="171" customFormat="1" ht="22.2" customHeight="1" outlineLevel="2">
      <c r="A47" s="90"/>
      <c r="B47" s="168" t="s">
        <v>134</v>
      </c>
      <c r="C47" s="169"/>
      <c r="D47" s="167">
        <v>0</v>
      </c>
      <c r="E47" s="170">
        <v>0.1</v>
      </c>
      <c r="F47" s="159">
        <v>0</v>
      </c>
      <c r="G47" s="160">
        <f>D47*E47*E8</f>
        <v>0</v>
      </c>
      <c r="H47" s="161">
        <f ca="1">G47/G36</f>
        <v>0</v>
      </c>
      <c r="J47" s="167">
        <v>0</v>
      </c>
      <c r="K47" s="170">
        <v>0.1</v>
      </c>
      <c r="L47" s="159">
        <v>0</v>
      </c>
      <c r="M47" s="160">
        <f>J47*K47*K8</f>
        <v>0</v>
      </c>
      <c r="N47" s="161">
        <f ca="1">M47/M36</f>
        <v>0</v>
      </c>
      <c r="P47" s="167">
        <v>0</v>
      </c>
      <c r="Q47" s="170">
        <v>0.1</v>
      </c>
      <c r="R47" s="159">
        <v>0</v>
      </c>
      <c r="S47" s="160">
        <f>P47*Q47*Q8</f>
        <v>0</v>
      </c>
      <c r="T47" s="161">
        <f ca="1">S47/S36</f>
        <v>0</v>
      </c>
    </row>
    <row r="48" spans="1:20" s="172" customFormat="1" ht="3.6" customHeight="1" outlineLevel="1">
      <c r="B48" s="173"/>
      <c r="D48" s="173"/>
      <c r="E48" s="173"/>
      <c r="F48" s="173"/>
      <c r="G48" s="173"/>
      <c r="H48" s="173"/>
      <c r="J48" s="173"/>
      <c r="K48" s="173"/>
      <c r="L48" s="173"/>
      <c r="M48" s="173"/>
      <c r="N48" s="173"/>
      <c r="P48" s="173"/>
      <c r="Q48" s="173"/>
      <c r="R48" s="173"/>
      <c r="S48" s="173"/>
      <c r="T48" s="173"/>
    </row>
    <row r="49" spans="1:20" s="180" customFormat="1" ht="19.95" customHeight="1" outlineLevel="1">
      <c r="A49" s="174"/>
      <c r="B49" s="175" t="s">
        <v>135</v>
      </c>
      <c r="C49" s="172"/>
      <c r="D49" s="176"/>
      <c r="E49" s="177"/>
      <c r="F49" s="177"/>
      <c r="G49" s="178">
        <f>SUM(G50:G52)</f>
        <v>2144472.9260000004</v>
      </c>
      <c r="H49" s="179">
        <f ca="1">G49/G36</f>
        <v>2.8041100683733854E-2</v>
      </c>
      <c r="J49" s="176"/>
      <c r="K49" s="177"/>
      <c r="L49" s="177"/>
      <c r="M49" s="178">
        <f>SUM(M50:M52)</f>
        <v>2144472.9260000004</v>
      </c>
      <c r="N49" s="179">
        <f ca="1">M49/M36</f>
        <v>2.8187315100126141E-2</v>
      </c>
      <c r="P49" s="176"/>
      <c r="Q49" s="177"/>
      <c r="R49" s="177"/>
      <c r="S49" s="178">
        <f>SUM(S50:S52)</f>
        <v>2144472.9260000004</v>
      </c>
      <c r="T49" s="179">
        <f ca="1">S49/S36</f>
        <v>2.561655970405834E-2</v>
      </c>
    </row>
    <row r="50" spans="1:20" s="180" customFormat="1" ht="19.95" customHeight="1" outlineLevel="2">
      <c r="A50" s="181"/>
      <c r="B50" s="182" t="s">
        <v>136</v>
      </c>
      <c r="C50" s="172"/>
      <c r="D50" s="183"/>
      <c r="E50" s="184">
        <f>'Malla vial arterial (12p) Oct26'!D73</f>
        <v>1417.8263400000005</v>
      </c>
      <c r="F50" s="185">
        <v>200</v>
      </c>
      <c r="G50" s="186">
        <f>E50*F50</f>
        <v>283565.2680000001</v>
      </c>
      <c r="H50" s="187"/>
      <c r="J50" s="183"/>
      <c r="K50" s="184">
        <f>'Malla vial arterial (12p) Nov8'!D73</f>
        <v>1417.8263400000005</v>
      </c>
      <c r="L50" s="185">
        <v>200</v>
      </c>
      <c r="M50" s="186">
        <f>K50*L50</f>
        <v>283565.2680000001</v>
      </c>
      <c r="N50" s="187"/>
      <c r="P50" s="183"/>
      <c r="Q50" s="184">
        <f>'Malla vial arterial(12p)NoVisN8'!D73</f>
        <v>1417.8263400000005</v>
      </c>
      <c r="R50" s="185">
        <v>200</v>
      </c>
      <c r="S50" s="186">
        <f>Q50*R50</f>
        <v>283565.2680000001</v>
      </c>
      <c r="T50" s="187"/>
    </row>
    <row r="51" spans="1:20" s="180" customFormat="1" ht="19.95" customHeight="1" outlineLevel="2">
      <c r="A51" s="181"/>
      <c r="B51" s="182" t="s">
        <v>137</v>
      </c>
      <c r="C51" s="172"/>
      <c r="D51" s="183"/>
      <c r="E51" s="188">
        <f>IF(F41&gt;400,F41,)</f>
        <v>1594.1753160000001</v>
      </c>
      <c r="F51" s="185">
        <v>500</v>
      </c>
      <c r="G51" s="186">
        <f t="shared" ref="G51:G52" si="0">E51*F51</f>
        <v>797087.65800000005</v>
      </c>
      <c r="H51" s="187"/>
      <c r="J51" s="183"/>
      <c r="K51" s="188">
        <f>IF(L41&gt;400,L41,)</f>
        <v>1594.1753160000001</v>
      </c>
      <c r="L51" s="185">
        <v>500</v>
      </c>
      <c r="M51" s="186">
        <f t="shared" ref="M51:M52" si="1">K51*L51</f>
        <v>797087.65800000005</v>
      </c>
      <c r="N51" s="187"/>
      <c r="P51" s="183"/>
      <c r="Q51" s="188">
        <f>IF(R41&gt;400,R41,)</f>
        <v>1594.1753160000001</v>
      </c>
      <c r="R51" s="185">
        <v>500</v>
      </c>
      <c r="S51" s="186">
        <f t="shared" ref="S51:S52" si="2">Q51*R51</f>
        <v>797087.65800000005</v>
      </c>
      <c r="T51" s="187"/>
    </row>
    <row r="52" spans="1:20" s="195" customFormat="1" ht="19.95" customHeight="1" outlineLevel="2">
      <c r="A52" s="189"/>
      <c r="B52" s="190" t="s">
        <v>138</v>
      </c>
      <c r="C52" s="172"/>
      <c r="D52" s="191"/>
      <c r="E52" s="192">
        <f>'Base (12p) Oct 26'!F57</f>
        <v>10638.200000000003</v>
      </c>
      <c r="F52" s="185">
        <v>100</v>
      </c>
      <c r="G52" s="193">
        <f t="shared" si="0"/>
        <v>1063820.0000000002</v>
      </c>
      <c r="H52" s="194"/>
      <c r="J52" s="191"/>
      <c r="K52" s="192">
        <f>'Base (12p) Nov 8'!F57</f>
        <v>10638.200000000003</v>
      </c>
      <c r="L52" s="185">
        <v>100</v>
      </c>
      <c r="M52" s="193">
        <f t="shared" si="1"/>
        <v>1063820.0000000002</v>
      </c>
      <c r="N52" s="194"/>
      <c r="P52" s="191"/>
      <c r="Q52" s="192">
        <f>'Base (12p)NoVisN8'!F57</f>
        <v>10638.200000000003</v>
      </c>
      <c r="R52" s="185">
        <v>100</v>
      </c>
      <c r="S52" s="193">
        <f t="shared" si="2"/>
        <v>1063820.0000000002</v>
      </c>
      <c r="T52" s="194"/>
    </row>
    <row r="53" spans="1:20" s="172" customFormat="1" ht="4.95" customHeight="1" outlineLevel="1">
      <c r="A53" s="196"/>
      <c r="B53" s="196"/>
      <c r="D53" s="196"/>
      <c r="E53" s="197"/>
      <c r="F53" s="197"/>
      <c r="G53" s="196"/>
      <c r="H53" s="196"/>
      <c r="J53" s="196"/>
      <c r="K53" s="197"/>
      <c r="L53" s="197"/>
      <c r="M53" s="196"/>
      <c r="N53" s="196"/>
      <c r="P53" s="196"/>
      <c r="Q53" s="197"/>
      <c r="R53" s="197"/>
      <c r="S53" s="196"/>
      <c r="T53" s="196"/>
    </row>
    <row r="54" spans="1:20" s="151" customFormat="1" outlineLevel="1">
      <c r="A54" s="196"/>
      <c r="B54" s="198" t="s">
        <v>139</v>
      </c>
      <c r="C54" s="64"/>
      <c r="D54" s="199"/>
      <c r="E54" s="200"/>
      <c r="F54" s="200"/>
      <c r="G54" s="201">
        <f ca="1">SUM(G56:G62)</f>
        <v>51635452.776663326</v>
      </c>
      <c r="H54" s="202">
        <f ca="1">G54/G36</f>
        <v>0.67518452324848832</v>
      </c>
      <c r="J54" s="199"/>
      <c r="K54" s="200"/>
      <c r="L54" s="200"/>
      <c r="M54" s="201">
        <f ca="1">SUM(M56:M62)</f>
        <v>51632559.43062795</v>
      </c>
      <c r="N54" s="202">
        <f ca="1">M54/M36</f>
        <v>0.67866710017727649</v>
      </c>
      <c r="P54" s="199"/>
      <c r="Q54" s="200"/>
      <c r="R54" s="200"/>
      <c r="S54" s="201">
        <f ca="1">SUM(S56:S62)</f>
        <v>52551806.44384025</v>
      </c>
      <c r="T54" s="202">
        <f ca="1">S54/S36</f>
        <v>0.62775168247787483</v>
      </c>
    </row>
    <row r="55" spans="1:20" outlineLevel="2">
      <c r="A55" s="196"/>
      <c r="B55" s="203"/>
      <c r="D55" s="204"/>
      <c r="E55" s="205"/>
      <c r="F55" s="205"/>
      <c r="G55" s="206"/>
      <c r="H55" s="207"/>
      <c r="J55" s="204"/>
      <c r="K55" s="205"/>
      <c r="L55" s="205"/>
      <c r="M55" s="206"/>
      <c r="N55" s="207"/>
      <c r="P55" s="204"/>
      <c r="Q55" s="205"/>
      <c r="R55" s="205"/>
      <c r="S55" s="206"/>
      <c r="T55" s="207"/>
    </row>
    <row r="56" spans="1:20" ht="20.399999999999999" customHeight="1" outlineLevel="2">
      <c r="A56" s="196"/>
      <c r="B56" s="208" t="str">
        <f>B12</f>
        <v>VIP</v>
      </c>
      <c r="D56" s="209">
        <f ca="1">F13</f>
        <v>4576.7474741134974</v>
      </c>
      <c r="E56" s="210">
        <v>1800</v>
      </c>
      <c r="F56" s="211"/>
      <c r="G56" s="212">
        <f ca="1">D56*(E56+F56)</f>
        <v>8238145.4534042953</v>
      </c>
      <c r="H56" s="213">
        <f ca="1">G56/G36</f>
        <v>0.10772188508671994</v>
      </c>
      <c r="J56" s="209">
        <f ca="1">L13</f>
        <v>4597.661960784937</v>
      </c>
      <c r="K56" s="210">
        <v>1800</v>
      </c>
      <c r="L56" s="211"/>
      <c r="M56" s="212">
        <f ca="1">J56*(K56+L56)</f>
        <v>8275791.5294128871</v>
      </c>
      <c r="N56" s="213">
        <f ca="1">M56/M36</f>
        <v>0.10877840457404582</v>
      </c>
      <c r="P56" s="209">
        <f>R13</f>
        <v>0</v>
      </c>
      <c r="Q56" s="210">
        <v>0</v>
      </c>
      <c r="R56" s="211"/>
      <c r="S56" s="212">
        <f>P56*(Q56+R56)</f>
        <v>0</v>
      </c>
      <c r="T56" s="213">
        <f ca="1">S56/S36</f>
        <v>0</v>
      </c>
    </row>
    <row r="57" spans="1:20" ht="20.399999999999999" customHeight="1" outlineLevel="2">
      <c r="B57" s="166" t="str">
        <f>B16</f>
        <v>VIS</v>
      </c>
      <c r="D57" s="209">
        <f>F17</f>
        <v>0</v>
      </c>
      <c r="E57" s="210">
        <v>0</v>
      </c>
      <c r="F57" s="214"/>
      <c r="G57" s="212">
        <f>D57*(E57+F57)</f>
        <v>0</v>
      </c>
      <c r="H57" s="215">
        <f ca="1">G57/G36</f>
        <v>0</v>
      </c>
      <c r="J57" s="209">
        <f>L17</f>
        <v>0</v>
      </c>
      <c r="K57" s="210">
        <v>0</v>
      </c>
      <c r="L57" s="214"/>
      <c r="M57" s="212">
        <f>J57*(K57+L57)</f>
        <v>0</v>
      </c>
      <c r="N57" s="215">
        <f ca="1">M57/M36</f>
        <v>0</v>
      </c>
      <c r="P57" s="209">
        <f>R17</f>
        <v>0</v>
      </c>
      <c r="Q57" s="210">
        <v>0</v>
      </c>
      <c r="R57" s="214"/>
      <c r="S57" s="212">
        <f>P57*(Q57+R57)</f>
        <v>0</v>
      </c>
      <c r="T57" s="215">
        <f ca="1">S57/S36</f>
        <v>0</v>
      </c>
    </row>
    <row r="58" spans="1:20" ht="20.399999999999999" customHeight="1" outlineLevel="2">
      <c r="B58" s="166" t="str">
        <f>B20</f>
        <v>No VIS</v>
      </c>
      <c r="D58" s="157">
        <f ca="1">F21</f>
        <v>18349.314573316646</v>
      </c>
      <c r="E58" s="210">
        <v>2000</v>
      </c>
      <c r="F58" s="214"/>
      <c r="G58" s="216">
        <f ca="1">D58*(E58+F58)</f>
        <v>36698629.14663329</v>
      </c>
      <c r="H58" s="215">
        <f ca="1">G58/G36</f>
        <v>0.47987080759057982</v>
      </c>
      <c r="J58" s="157">
        <f ca="1">L21</f>
        <v>18334.847843139745</v>
      </c>
      <c r="K58" s="210">
        <v>2000</v>
      </c>
      <c r="L58" s="214"/>
      <c r="M58" s="216">
        <f ca="1">J58*(K58+L58)</f>
        <v>36669695.686279491</v>
      </c>
      <c r="N58" s="215">
        <f ca="1">M58/M36</f>
        <v>0.48199268659589317</v>
      </c>
      <c r="P58" s="157">
        <f ca="1">R21</f>
        <v>22931.08290920125</v>
      </c>
      <c r="Q58" s="210">
        <v>2000</v>
      </c>
      <c r="R58" s="214"/>
      <c r="S58" s="216">
        <f ca="1">P58*(Q58+R58)</f>
        <v>45862165.818402499</v>
      </c>
      <c r="T58" s="215">
        <f ca="1">S58/S36</f>
        <v>0.54784133415752478</v>
      </c>
    </row>
    <row r="59" spans="1:20" ht="20.399999999999999" customHeight="1" outlineLevel="2">
      <c r="B59" s="166" t="str">
        <f>B24</f>
        <v>Comercio</v>
      </c>
      <c r="D59" s="157">
        <f ca="1">F25</f>
        <v>2023.8997225698572</v>
      </c>
      <c r="E59" s="210">
        <v>1800</v>
      </c>
      <c r="F59" s="214"/>
      <c r="G59" s="212">
        <f ca="1">D59*(E59+F59)</f>
        <v>3643019.5006257431</v>
      </c>
      <c r="H59" s="215">
        <f ca="1">G59/G36</f>
        <v>4.7636076618787895E-2</v>
      </c>
      <c r="J59" s="157">
        <f ca="1">L25</f>
        <v>2017.4519660753158</v>
      </c>
      <c r="K59" s="210">
        <v>1800</v>
      </c>
      <c r="L59" s="214"/>
      <c r="M59" s="212">
        <f ca="1">J59*(K59+L59)</f>
        <v>3631413.5389355686</v>
      </c>
      <c r="N59" s="215">
        <f ca="1">M59/M36</f>
        <v>4.7731914187309744E-2</v>
      </c>
      <c r="P59" s="157">
        <f ca="1">R25</f>
        <v>2018.8788607987501</v>
      </c>
      <c r="Q59" s="210">
        <v>1800</v>
      </c>
      <c r="R59" s="214"/>
      <c r="S59" s="212">
        <f ca="1">P59*(Q59+R59)</f>
        <v>3633981.94943775</v>
      </c>
      <c r="T59" s="215">
        <f ca="1">S59/S36</f>
        <v>4.3409321909640385E-2</v>
      </c>
    </row>
    <row r="60" spans="1:20" ht="20.399999999999999" customHeight="1" outlineLevel="2">
      <c r="B60" s="166" t="str">
        <f>B28</f>
        <v>Servicios</v>
      </c>
      <c r="D60" s="157">
        <f>F29</f>
        <v>0</v>
      </c>
      <c r="E60" s="210">
        <v>0</v>
      </c>
      <c r="F60" s="214"/>
      <c r="G60" s="212">
        <f>D60*(E60+F60)</f>
        <v>0</v>
      </c>
      <c r="H60" s="215">
        <f ca="1">G60/G36</f>
        <v>0</v>
      </c>
      <c r="J60" s="157">
        <f>L29</f>
        <v>0</v>
      </c>
      <c r="K60" s="210">
        <v>0</v>
      </c>
      <c r="L60" s="214"/>
      <c r="M60" s="212">
        <f>J60*(K60+L60)</f>
        <v>0</v>
      </c>
      <c r="N60" s="215">
        <f ca="1">M60/M36</f>
        <v>0</v>
      </c>
      <c r="P60" s="157">
        <f>R29</f>
        <v>0</v>
      </c>
      <c r="Q60" s="210">
        <v>0</v>
      </c>
      <c r="R60" s="214"/>
      <c r="S60" s="212">
        <f>P60*(Q60+R60)</f>
        <v>0</v>
      </c>
      <c r="T60" s="215">
        <f ca="1">S60/S36</f>
        <v>0</v>
      </c>
    </row>
    <row r="61" spans="1:20" ht="20.399999999999999" customHeight="1" outlineLevel="2">
      <c r="A61" s="112"/>
      <c r="B61" s="166" t="s">
        <v>140</v>
      </c>
      <c r="D61" s="157">
        <v>0</v>
      </c>
      <c r="E61" s="210">
        <v>0</v>
      </c>
      <c r="F61" s="214"/>
      <c r="G61" s="216">
        <f>D61*E61</f>
        <v>0</v>
      </c>
      <c r="H61" s="215">
        <f ca="1">G61/G36</f>
        <v>0</v>
      </c>
      <c r="J61" s="157">
        <v>0</v>
      </c>
      <c r="K61" s="210">
        <v>0</v>
      </c>
      <c r="L61" s="214"/>
      <c r="M61" s="216">
        <f>J61*K61</f>
        <v>0</v>
      </c>
      <c r="N61" s="215">
        <f ca="1">M61/M36</f>
        <v>0</v>
      </c>
      <c r="P61" s="157">
        <v>0</v>
      </c>
      <c r="Q61" s="210">
        <v>0</v>
      </c>
      <c r="R61" s="214"/>
      <c r="S61" s="216">
        <f>P61*Q61</f>
        <v>0</v>
      </c>
      <c r="T61" s="215">
        <f ca="1">S61/S36</f>
        <v>0</v>
      </c>
    </row>
    <row r="62" spans="1:20" ht="20.399999999999999" customHeight="1" outlineLevel="2">
      <c r="A62" s="112"/>
      <c r="B62" s="166" t="s">
        <v>44</v>
      </c>
      <c r="D62" s="157">
        <f>'Malla vial arterial (12p) Oct26'!D88+'Malla vial arterial (12p) Oct26'!D94</f>
        <v>2182.6133399999999</v>
      </c>
      <c r="E62" s="210">
        <v>1400</v>
      </c>
      <c r="F62" s="214"/>
      <c r="G62" s="216">
        <f>D62*E62</f>
        <v>3055658.676</v>
      </c>
      <c r="H62" s="215">
        <f ca="1">G62/G36</f>
        <v>3.9955753952400731E-2</v>
      </c>
      <c r="J62" s="157">
        <f>'Malla vial arterial (12p) Nov8'!D88+'Malla vial arterial (12p) Nov8'!D94</f>
        <v>2182.6133399999999</v>
      </c>
      <c r="K62" s="210">
        <v>1400</v>
      </c>
      <c r="L62" s="214"/>
      <c r="M62" s="216">
        <f>J62*K62</f>
        <v>3055658.676</v>
      </c>
      <c r="N62" s="215">
        <f ca="1">M62/M36</f>
        <v>4.0164094820027696E-2</v>
      </c>
      <c r="P62" s="157">
        <f>'Malla vial arterial(12p)NoVisN8'!D88+'Malla vial arterial(12p)NoVisN8'!D94</f>
        <v>2182.6133399999999</v>
      </c>
      <c r="Q62" s="210">
        <v>1400</v>
      </c>
      <c r="R62" s="214"/>
      <c r="S62" s="216">
        <f>P62*Q62</f>
        <v>3055658.676</v>
      </c>
      <c r="T62" s="215">
        <f ca="1">S62/S36</f>
        <v>3.6501026410709667E-2</v>
      </c>
    </row>
    <row r="63" spans="1:20" s="65" customFormat="1" outlineLevel="2">
      <c r="A63" s="217"/>
      <c r="B63" s="218"/>
      <c r="D63" s="219">
        <f ca="1">SUM(D56:D61)</f>
        <v>24949.961770000002</v>
      </c>
      <c r="E63" s="289">
        <f ca="1">SUM(D61:D62)+D63</f>
        <v>27132.575110000002</v>
      </c>
      <c r="F63" s="220">
        <f ca="1">G54/E63</f>
        <v>1903.0796954334248</v>
      </c>
      <c r="G63" s="221"/>
      <c r="H63" s="222"/>
      <c r="I63" s="64"/>
      <c r="J63" s="219">
        <f ca="1">SUM(J56:J61)</f>
        <v>24949.961769999994</v>
      </c>
      <c r="K63" s="289">
        <f ca="1">SUM(J61:J62)+J63</f>
        <v>27132.575109999994</v>
      </c>
      <c r="L63" s="220">
        <f ca="1">M54/K63</f>
        <v>1902.9730580787457</v>
      </c>
      <c r="M63" s="221"/>
      <c r="N63" s="222"/>
      <c r="P63" s="219">
        <f ca="1">SUM(P56:P61)</f>
        <v>24949.961770000002</v>
      </c>
      <c r="Q63" s="289">
        <f ca="1">SUM(P61:P62)+P63</f>
        <v>27132.575110000002</v>
      </c>
      <c r="R63" s="220">
        <f ca="1">S54/Q63</f>
        <v>1936.8528873793375</v>
      </c>
      <c r="S63" s="221"/>
      <c r="T63" s="222"/>
    </row>
    <row r="64" spans="1:20" ht="3" customHeight="1" outlineLevel="1">
      <c r="A64" s="112"/>
      <c r="B64" s="112"/>
      <c r="C64" s="112"/>
      <c r="D64" s="112"/>
      <c r="E64" s="112"/>
      <c r="F64" s="223"/>
      <c r="J64" s="112"/>
      <c r="K64" s="112"/>
      <c r="L64" s="223"/>
      <c r="P64" s="112"/>
      <c r="Q64" s="112"/>
      <c r="R64" s="223"/>
    </row>
    <row r="65" spans="1:20" s="151" customFormat="1" outlineLevel="1">
      <c r="A65" s="196"/>
      <c r="B65" s="198" t="s">
        <v>141</v>
      </c>
      <c r="C65" s="64"/>
      <c r="D65" s="199"/>
      <c r="E65" s="224">
        <v>0.23</v>
      </c>
      <c r="F65" s="200"/>
      <c r="G65" s="225">
        <f ca="1">E65*G36</f>
        <v>17589494.026748866</v>
      </c>
      <c r="H65" s="202">
        <f ca="1">G65/G36</f>
        <v>0.23000000000000004</v>
      </c>
      <c r="I65" s="64"/>
      <c r="J65" s="199"/>
      <c r="K65" s="224">
        <v>0.23</v>
      </c>
      <c r="L65" s="200"/>
      <c r="M65" s="225">
        <f ca="1">K65*M36</f>
        <v>17498253.069792833</v>
      </c>
      <c r="N65" s="202">
        <f ca="1">M65/M36</f>
        <v>0.23</v>
      </c>
      <c r="P65" s="199"/>
      <c r="Q65" s="224">
        <v>0.23</v>
      </c>
      <c r="R65" s="200"/>
      <c r="S65" s="225">
        <f ca="1">Q65*S36</f>
        <v>19254294.045654368</v>
      </c>
      <c r="T65" s="202">
        <f ca="1">S65/S36</f>
        <v>0.22999999999999998</v>
      </c>
    </row>
    <row r="66" spans="1:20" s="65" customFormat="1" outlineLevel="2">
      <c r="A66" s="217"/>
      <c r="B66" s="226" t="s">
        <v>142</v>
      </c>
      <c r="C66" s="64"/>
      <c r="D66" s="227"/>
      <c r="E66" s="228"/>
      <c r="F66" s="229">
        <f ca="1">G65/E63</f>
        <v>648.27956636766373</v>
      </c>
      <c r="G66" s="230"/>
      <c r="H66" s="231"/>
      <c r="I66" s="64"/>
      <c r="J66" s="227"/>
      <c r="K66" s="228"/>
      <c r="L66" s="229">
        <f ca="1">M65/K63</f>
        <v>644.91678356558452</v>
      </c>
      <c r="M66" s="230"/>
      <c r="N66" s="231"/>
      <c r="P66" s="227"/>
      <c r="Q66" s="228"/>
      <c r="R66" s="229">
        <f ca="1">S65/Q63</f>
        <v>709.6375470295111</v>
      </c>
      <c r="S66" s="230"/>
      <c r="T66" s="231"/>
    </row>
    <row r="67" spans="1:20" s="120" customFormat="1" ht="15.6">
      <c r="B67" s="232" t="s">
        <v>143</v>
      </c>
      <c r="C67" s="122"/>
      <c r="D67" s="233"/>
      <c r="E67" s="124"/>
      <c r="F67" s="125"/>
      <c r="G67" s="126">
        <f ca="1">G39+G49+G54+G65</f>
        <v>71629225.357944548</v>
      </c>
      <c r="H67" s="234">
        <f ca="1">G67/G36</f>
        <v>0.93662283902388832</v>
      </c>
      <c r="I67" s="64"/>
      <c r="J67" s="233"/>
      <c r="K67" s="124"/>
      <c r="L67" s="125"/>
      <c r="M67" s="126">
        <f ca="1">M39+M49+M54+M65</f>
        <v>71314395.860839978</v>
      </c>
      <c r="N67" s="234">
        <f ca="1">M67/M36</f>
        <v>0.9373684894470089</v>
      </c>
      <c r="P67" s="233"/>
      <c r="Q67" s="124"/>
      <c r="R67" s="125"/>
      <c r="S67" s="126">
        <f ca="1">S39+S49+S54+S65</f>
        <v>73989683.849913821</v>
      </c>
      <c r="T67" s="234">
        <f ca="1">S67/S36</f>
        <v>0.88383543146942856</v>
      </c>
    </row>
    <row r="68" spans="1:20" ht="4.95" customHeight="1"/>
    <row r="69" spans="1:20" s="137" customFormat="1" ht="15.6">
      <c r="A69" s="235"/>
      <c r="B69" s="236" t="s">
        <v>144</v>
      </c>
      <c r="D69" s="237"/>
      <c r="E69" s="238"/>
      <c r="F69" s="238"/>
      <c r="G69" s="239">
        <f ca="1">G36-G67</f>
        <v>4846835.6279200763</v>
      </c>
      <c r="H69" s="240">
        <f ca="1">G69/G36</f>
        <v>6.3377160976111679E-2</v>
      </c>
      <c r="I69" s="64"/>
      <c r="J69" s="237"/>
      <c r="K69" s="238"/>
      <c r="L69" s="238"/>
      <c r="M69" s="239">
        <f ca="1">M36-M67</f>
        <v>4764965.3121723384</v>
      </c>
      <c r="N69" s="240">
        <f ca="1">M69/M36</f>
        <v>6.2631510552991043E-2</v>
      </c>
      <c r="P69" s="237"/>
      <c r="Q69" s="238"/>
      <c r="R69" s="238"/>
      <c r="S69" s="239">
        <f ca="1">S36-S67</f>
        <v>9724638.0877138674</v>
      </c>
      <c r="T69" s="240">
        <f ca="1">S69/S36</f>
        <v>0.11616456853057139</v>
      </c>
    </row>
    <row r="70" spans="1:20" s="137" customFormat="1" ht="15.6">
      <c r="A70" s="235"/>
      <c r="B70" s="241" t="s">
        <v>145</v>
      </c>
      <c r="D70" s="242"/>
      <c r="E70" s="243">
        <v>0.1</v>
      </c>
      <c r="F70" s="244"/>
      <c r="G70" s="245">
        <f ca="1">E70*G36</f>
        <v>7647606.0985864624</v>
      </c>
      <c r="H70" s="246">
        <f ca="1">G70/G36</f>
        <v>0.1</v>
      </c>
      <c r="I70" s="64"/>
      <c r="J70" s="242"/>
      <c r="K70" s="243">
        <v>0.1</v>
      </c>
      <c r="L70" s="244"/>
      <c r="M70" s="245">
        <f ca="1">K70*M36</f>
        <v>7607936.1173012322</v>
      </c>
      <c r="N70" s="246">
        <f ca="1">M70/M36</f>
        <v>0.1</v>
      </c>
      <c r="P70" s="242"/>
      <c r="Q70" s="243">
        <v>0.1</v>
      </c>
      <c r="R70" s="244"/>
      <c r="S70" s="245">
        <f ca="1">Q70*S36</f>
        <v>8371432.193762769</v>
      </c>
      <c r="T70" s="246">
        <f ca="1">S70/S36</f>
        <v>0.1</v>
      </c>
    </row>
    <row r="71" spans="1:20" ht="4.95" customHeight="1"/>
    <row r="72" spans="1:20" s="137" customFormat="1" ht="15.6">
      <c r="A72" s="235"/>
      <c r="B72" s="247" t="s">
        <v>146</v>
      </c>
      <c r="D72" s="248">
        <f ca="1">G72/H3</f>
        <v>-527.063198612414</v>
      </c>
      <c r="E72" s="249"/>
      <c r="F72" s="249"/>
      <c r="G72" s="250">
        <f ca="1">G69-G70</f>
        <v>-2800770.4706663862</v>
      </c>
      <c r="H72" s="251">
        <f ca="1">G72/G36</f>
        <v>-3.6622839023888319E-2</v>
      </c>
      <c r="J72" s="248">
        <f ca="1">M72/N3</f>
        <v>-535.00467168108389</v>
      </c>
      <c r="K72" s="249"/>
      <c r="L72" s="249"/>
      <c r="M72" s="250">
        <f ca="1">M69-M70</f>
        <v>-2842970.8051288938</v>
      </c>
      <c r="N72" s="251">
        <f ca="1">M72/M36</f>
        <v>-3.7368489447008955E-2</v>
      </c>
      <c r="P72" s="248">
        <f ca="1">S72/T3</f>
        <v>254.65315145133604</v>
      </c>
      <c r="Q72" s="249"/>
      <c r="R72" s="249"/>
      <c r="S72" s="250">
        <f ca="1">S69-S70</f>
        <v>1353205.8939510984</v>
      </c>
      <c r="T72" s="251">
        <f ca="1">S72/S36</f>
        <v>1.6164568530571386E-2</v>
      </c>
    </row>
    <row r="73" spans="1:20" s="137" customFormat="1" ht="15.6">
      <c r="A73" s="235"/>
      <c r="B73" s="252" t="s">
        <v>147</v>
      </c>
      <c r="D73" s="253">
        <f>H7</f>
        <v>1164.546</v>
      </c>
      <c r="E73" s="254"/>
      <c r="F73" s="255"/>
      <c r="G73" s="256">
        <f>(E6*(1+H6))*H3</f>
        <v>6188301.6251551211</v>
      </c>
      <c r="H73" s="257">
        <f ca="1">G73/G36</f>
        <v>8.0918153280657712E-2</v>
      </c>
      <c r="J73" s="253">
        <f>N7</f>
        <v>1164.546</v>
      </c>
      <c r="K73" s="254"/>
      <c r="L73" s="255"/>
      <c r="M73" s="256">
        <f>(K6*(1+N6))*N3</f>
        <v>6188301.6251551211</v>
      </c>
      <c r="N73" s="257">
        <f ca="1">M73/M36</f>
        <v>8.1340083956308262E-2</v>
      </c>
      <c r="P73" s="253">
        <f>T7</f>
        <v>1164.546</v>
      </c>
      <c r="Q73" s="254"/>
      <c r="R73" s="255"/>
      <c r="S73" s="256">
        <f>(Q6*(1+T6))*T3</f>
        <v>6188301.6251551211</v>
      </c>
      <c r="T73" s="257">
        <f ca="1">S73/S36</f>
        <v>7.3921659782011803E-2</v>
      </c>
    </row>
    <row r="74" spans="1:20" ht="5.4" customHeight="1"/>
    <row r="75" spans="1:20" s="137" customFormat="1" ht="15.6">
      <c r="A75" s="235"/>
      <c r="B75" s="258" t="s">
        <v>148</v>
      </c>
      <c r="D75" s="259"/>
      <c r="E75" s="260" t="s">
        <v>149</v>
      </c>
      <c r="F75" s="261">
        <f ca="1">G75/G73</f>
        <v>-1.4525911373294089</v>
      </c>
      <c r="G75" s="262">
        <f ca="1">G72-G73</f>
        <v>-8989072.0958215073</v>
      </c>
      <c r="H75" s="263">
        <f ca="1">G75/G36</f>
        <v>-0.11754099230454604</v>
      </c>
      <c r="J75" s="259"/>
      <c r="K75" s="260" t="s">
        <v>149</v>
      </c>
      <c r="L75" s="261">
        <f ca="1">M75/M73</f>
        <v>-1.4594105099163828</v>
      </c>
      <c r="M75" s="262">
        <f ca="1">M72-M73</f>
        <v>-9031272.4302840158</v>
      </c>
      <c r="N75" s="263">
        <f ca="1">M75/M36</f>
        <v>-0.11870857340331724</v>
      </c>
      <c r="P75" s="259"/>
      <c r="Q75" s="260" t="s">
        <v>149</v>
      </c>
      <c r="R75" s="261">
        <f ca="1">S75/S73</f>
        <v>-0.78132838767095847</v>
      </c>
      <c r="S75" s="262">
        <f ca="1">S72-S73</f>
        <v>-4835095.7312040227</v>
      </c>
      <c r="T75" s="263">
        <f ca="1">S75/S36</f>
        <v>-5.7757091251440414E-2</v>
      </c>
    </row>
    <row r="76" spans="1:20" ht="4.2" customHeight="1"/>
    <row r="77" spans="1:20" s="137" customFormat="1" ht="31.2">
      <c r="A77" s="235"/>
      <c r="B77" s="264" t="s">
        <v>150</v>
      </c>
      <c r="D77" s="265"/>
      <c r="E77" s="262"/>
      <c r="F77" s="266"/>
      <c r="G77" s="262">
        <f ca="1">G69-G73</f>
        <v>-1341465.9972350448</v>
      </c>
      <c r="H77" s="263">
        <f ca="1">G77/G36</f>
        <v>-1.7540992304546036E-2</v>
      </c>
      <c r="J77" s="265"/>
      <c r="K77" s="262"/>
      <c r="L77" s="266"/>
      <c r="M77" s="262">
        <f ca="1">M69-M73</f>
        <v>-1423336.3129827827</v>
      </c>
      <c r="N77" s="263">
        <f ca="1">M77/M36</f>
        <v>-1.8708573403317216E-2</v>
      </c>
      <c r="P77" s="265"/>
      <c r="Q77" s="262"/>
      <c r="R77" s="266"/>
      <c r="S77" s="262">
        <f ca="1">S69-S73</f>
        <v>3536336.4625587463</v>
      </c>
      <c r="T77" s="263">
        <f ca="1">S77/S36</f>
        <v>4.2242908748559585E-2</v>
      </c>
    </row>
    <row r="79" spans="1:20">
      <c r="B79" s="151"/>
      <c r="H79" s="80" t="s">
        <v>151</v>
      </c>
      <c r="N79" s="80" t="s">
        <v>151</v>
      </c>
      <c r="T79" s="80" t="s">
        <v>151</v>
      </c>
    </row>
    <row r="80" spans="1:20" ht="69">
      <c r="B80" s="151"/>
      <c r="H80" s="267" t="str">
        <f>D10</f>
        <v>ACTUACIÓN MANZANA SIN ANTEJARDÍN SOBRE MALLA VIAL ARTERIAL</v>
      </c>
      <c r="N80" s="267" t="str">
        <f>J10</f>
        <v>ACTUACIÓN MANZANA SIN ANTEJARDÍN SOBRE MALLA VIAL ARTERIAL</v>
      </c>
      <c r="T80" s="267" t="str">
        <f>P10</f>
        <v>ACTUACIÓN MANZANA SIN ANTEJARDÍN SOBRE MALLA VIAL ARTERIAL</v>
      </c>
    </row>
    <row r="81" spans="2:20">
      <c r="B81" s="151"/>
    </row>
    <row r="82" spans="2:20">
      <c r="B82" s="151"/>
      <c r="H82" s="268"/>
      <c r="N82" s="268"/>
      <c r="T82" s="268"/>
    </row>
    <row r="83" spans="2:20">
      <c r="B83" s="269" t="s">
        <v>152</v>
      </c>
      <c r="H83" s="270" t="s">
        <v>153</v>
      </c>
      <c r="N83" s="270" t="s">
        <v>153</v>
      </c>
      <c r="T83" s="270" t="s">
        <v>153</v>
      </c>
    </row>
    <row r="84" spans="2:20">
      <c r="B84" s="151"/>
      <c r="H84" s="268"/>
      <c r="N84" s="268"/>
      <c r="T84" s="268"/>
    </row>
    <row r="85" spans="2:20">
      <c r="B85" s="151" t="s">
        <v>154</v>
      </c>
      <c r="H85" s="271">
        <f>H3</f>
        <v>5313.9177200000004</v>
      </c>
      <c r="N85" s="271">
        <f>N3</f>
        <v>5313.9177200000004</v>
      </c>
      <c r="T85" s="271">
        <f>T3</f>
        <v>5313.9177200000004</v>
      </c>
    </row>
    <row r="86" spans="2:20">
      <c r="B86" s="151" t="s">
        <v>50</v>
      </c>
      <c r="H86" s="271">
        <f ca="1">H4</f>
        <v>21323.207160692309</v>
      </c>
      <c r="N86" s="271">
        <f ca="1">N4</f>
        <v>17284.896093346153</v>
      </c>
      <c r="T86" s="271">
        <f ca="1">T4</f>
        <v>21204.738785653844</v>
      </c>
    </row>
    <row r="87" spans="2:20">
      <c r="B87" s="151" t="s">
        <v>155</v>
      </c>
      <c r="H87" s="272">
        <f ca="1">H5</f>
        <v>4.0127093199877972</v>
      </c>
      <c r="N87" s="272">
        <f ca="1">N5</f>
        <v>3.2527594524640384</v>
      </c>
      <c r="T87" s="272">
        <f ca="1">T5</f>
        <v>3.9904153400504372</v>
      </c>
    </row>
    <row r="88" spans="2:20">
      <c r="B88" s="151" t="s">
        <v>156</v>
      </c>
      <c r="H88" s="273">
        <f ca="1">D13+D17</f>
        <v>93</v>
      </c>
      <c r="N88" s="273">
        <f ca="1">J13+J17</f>
        <v>93</v>
      </c>
      <c r="T88" s="273">
        <f>P13+P17</f>
        <v>0</v>
      </c>
    </row>
    <row r="89" spans="2:20">
      <c r="B89" s="151" t="s">
        <v>157</v>
      </c>
      <c r="H89" s="273">
        <f ca="1">D21</f>
        <v>374</v>
      </c>
      <c r="N89" s="273">
        <f ca="1">J21</f>
        <v>372</v>
      </c>
      <c r="T89" s="273">
        <f ca="1">P21</f>
        <v>465</v>
      </c>
    </row>
    <row r="90" spans="2:20">
      <c r="B90" s="151" t="s">
        <v>121</v>
      </c>
      <c r="H90" s="271">
        <f ca="1">D24</f>
        <v>1654.4561664923078</v>
      </c>
      <c r="N90" s="271">
        <f ca="1">J24</f>
        <v>1639.4344680461541</v>
      </c>
      <c r="T90" s="271">
        <f ca="1">P24</f>
        <v>1640.7221603538462</v>
      </c>
    </row>
    <row r="91" spans="2:20">
      <c r="B91" s="274" t="s">
        <v>122</v>
      </c>
      <c r="H91" s="275">
        <f>D28</f>
        <v>0</v>
      </c>
      <c r="N91" s="275">
        <f>J28</f>
        <v>0</v>
      </c>
      <c r="T91" s="275">
        <f>P28</f>
        <v>0</v>
      </c>
    </row>
    <row r="92" spans="2:20">
      <c r="B92" s="151"/>
      <c r="H92" s="276"/>
      <c r="N92" s="276"/>
      <c r="T92" s="276"/>
    </row>
    <row r="93" spans="2:20">
      <c r="B93" s="151" t="s">
        <v>158</v>
      </c>
      <c r="H93" s="277">
        <f ca="1">G36</f>
        <v>76476060.985864624</v>
      </c>
      <c r="N93" s="277">
        <f ca="1">M36</f>
        <v>76079361.173012316</v>
      </c>
      <c r="T93" s="277">
        <f ca="1">S36</f>
        <v>83714321.937627688</v>
      </c>
    </row>
    <row r="94" spans="2:20">
      <c r="B94" s="151" t="s">
        <v>159</v>
      </c>
      <c r="H94" s="278">
        <f ca="1">G39</f>
        <v>259805.6285323654</v>
      </c>
      <c r="N94" s="278">
        <f ca="1">M39</f>
        <v>39110.434419200006</v>
      </c>
      <c r="T94" s="278">
        <f ca="1">S39</f>
        <v>39110.434419200006</v>
      </c>
    </row>
    <row r="95" spans="2:20">
      <c r="B95" s="151" t="s">
        <v>160</v>
      </c>
      <c r="H95" s="279">
        <f ca="1">H39</f>
        <v>3.3972150916662183E-3</v>
      </c>
      <c r="N95" s="279">
        <f ca="1">N39</f>
        <v>5.1407416960637777E-4</v>
      </c>
      <c r="T95" s="279">
        <f ca="1">T39</f>
        <v>4.6718928749539036E-4</v>
      </c>
    </row>
    <row r="96" spans="2:20">
      <c r="B96" s="151" t="s">
        <v>161</v>
      </c>
      <c r="H96" s="278">
        <f>G49</f>
        <v>2144472.9260000004</v>
      </c>
      <c r="N96" s="278">
        <f>M49</f>
        <v>2144472.9260000004</v>
      </c>
      <c r="T96" s="278">
        <f>S49</f>
        <v>2144472.9260000004</v>
      </c>
    </row>
    <row r="97" spans="2:20">
      <c r="B97" s="151" t="s">
        <v>162</v>
      </c>
      <c r="H97" s="278">
        <f ca="1">G54</f>
        <v>51635452.776663326</v>
      </c>
      <c r="N97" s="278">
        <f ca="1">M54</f>
        <v>51632559.43062795</v>
      </c>
      <c r="T97" s="278">
        <f ca="1">S54</f>
        <v>52551806.44384025</v>
      </c>
    </row>
    <row r="98" spans="2:20">
      <c r="B98" s="151" t="s">
        <v>163</v>
      </c>
      <c r="H98" s="278">
        <f ca="1">G65</f>
        <v>17589494.026748866</v>
      </c>
      <c r="N98" s="278">
        <f ca="1">M65</f>
        <v>17498253.069792833</v>
      </c>
      <c r="T98" s="278">
        <f ca="1">S65</f>
        <v>19254294.045654368</v>
      </c>
    </row>
    <row r="99" spans="2:20">
      <c r="B99" s="151" t="s">
        <v>164</v>
      </c>
      <c r="H99" s="278">
        <f ca="1">G72</f>
        <v>-2800770.4706663862</v>
      </c>
      <c r="N99" s="278">
        <f ca="1">M72</f>
        <v>-2842970.8051288938</v>
      </c>
      <c r="T99" s="278">
        <f ca="1">S72</f>
        <v>1353205.8939510984</v>
      </c>
    </row>
    <row r="100" spans="2:20">
      <c r="B100" s="151" t="s">
        <v>165</v>
      </c>
      <c r="H100" s="278">
        <f ca="1">G77</f>
        <v>-1341465.9972350448</v>
      </c>
      <c r="N100" s="278">
        <f ca="1">M77</f>
        <v>-1423336.3129827827</v>
      </c>
      <c r="T100" s="278">
        <f ca="1">S77</f>
        <v>3536336.4625587463</v>
      </c>
    </row>
    <row r="101" spans="2:20">
      <c r="B101" s="274" t="s">
        <v>166</v>
      </c>
      <c r="H101" s="280">
        <f ca="1">H77</f>
        <v>-1.7540992304546036E-2</v>
      </c>
      <c r="N101" s="280">
        <f ca="1">N77</f>
        <v>-1.8708573403317216E-2</v>
      </c>
      <c r="T101" s="280">
        <f ca="1">T77</f>
        <v>4.2242908748559585E-2</v>
      </c>
    </row>
    <row r="102" spans="2:20">
      <c r="B102" s="151"/>
      <c r="H102" s="276"/>
      <c r="N102" s="276"/>
      <c r="T102" s="276"/>
    </row>
    <row r="103" spans="2:20">
      <c r="B103" s="151" t="s">
        <v>167</v>
      </c>
      <c r="H103" s="281">
        <f>F20</f>
        <v>3900</v>
      </c>
      <c r="N103" s="281">
        <f>L20</f>
        <v>3900</v>
      </c>
      <c r="T103" s="281">
        <f>R20</f>
        <v>3900</v>
      </c>
    </row>
    <row r="104" spans="2:20">
      <c r="B104" s="151" t="s">
        <v>168</v>
      </c>
      <c r="H104" s="281">
        <f>F24</f>
        <v>4600</v>
      </c>
      <c r="N104" s="281">
        <f>L24</f>
        <v>4600</v>
      </c>
      <c r="T104" s="281">
        <f>R24</f>
        <v>4600</v>
      </c>
    </row>
    <row r="105" spans="2:20">
      <c r="B105" s="274" t="s">
        <v>169</v>
      </c>
      <c r="H105" s="282">
        <f>F28</f>
        <v>0</v>
      </c>
      <c r="N105" s="282">
        <f>L28</f>
        <v>0</v>
      </c>
      <c r="T105" s="282">
        <f>R28</f>
        <v>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4C9EC-1E56-4F01-886D-DE338AAC3C4C}">
  <dimension ref="A1:Y32"/>
  <sheetViews>
    <sheetView workbookViewId="0">
      <selection activeCell="I6" sqref="I6:I26"/>
    </sheetView>
  </sheetViews>
  <sheetFormatPr baseColWidth="10" defaultRowHeight="14.4"/>
  <cols>
    <col min="5" max="5" width="14.33203125" bestFit="1" customWidth="1"/>
    <col min="6" max="6" width="21.21875" bestFit="1" customWidth="1"/>
  </cols>
  <sheetData>
    <row r="1" spans="1:25">
      <c r="H1" t="s">
        <v>173</v>
      </c>
      <c r="I1" s="290">
        <f>AVERAGE(I6:I27)</f>
        <v>3922884.9843334034</v>
      </c>
    </row>
    <row r="2" spans="1:25">
      <c r="H2" t="s">
        <v>174</v>
      </c>
      <c r="I2" s="291">
        <f>MIN(I6:I27)</f>
        <v>3264513.8521263455</v>
      </c>
    </row>
    <row r="3" spans="1:25">
      <c r="H3" t="s">
        <v>175</v>
      </c>
      <c r="I3" s="291">
        <f>MAX(I6:I27)</f>
        <v>4993176.961301784</v>
      </c>
    </row>
    <row r="4" spans="1:25">
      <c r="H4" t="s">
        <v>176</v>
      </c>
      <c r="I4" s="291">
        <f>MEDIAN(I6:I27)</f>
        <v>3853152.1624127347</v>
      </c>
    </row>
    <row r="5" spans="1:25" ht="57.6">
      <c r="A5" s="292" t="s">
        <v>177</v>
      </c>
      <c r="B5" s="293" t="s">
        <v>178</v>
      </c>
      <c r="C5" s="292" t="s">
        <v>179</v>
      </c>
      <c r="D5" s="292" t="s">
        <v>180</v>
      </c>
      <c r="E5" s="292" t="s">
        <v>181</v>
      </c>
      <c r="F5" s="292" t="s">
        <v>182</v>
      </c>
      <c r="G5" s="292" t="s">
        <v>183</v>
      </c>
      <c r="H5" s="292" t="s">
        <v>184</v>
      </c>
      <c r="I5" s="294" t="s">
        <v>185</v>
      </c>
      <c r="J5" s="294" t="s">
        <v>186</v>
      </c>
      <c r="K5" s="295" t="s">
        <v>187</v>
      </c>
      <c r="L5" s="296" t="s">
        <v>188</v>
      </c>
      <c r="M5" s="294" t="s">
        <v>189</v>
      </c>
      <c r="N5" s="297" t="s">
        <v>190</v>
      </c>
      <c r="O5" s="298" t="s">
        <v>191</v>
      </c>
      <c r="P5" s="298" t="s">
        <v>192</v>
      </c>
      <c r="Q5" s="298" t="s">
        <v>193</v>
      </c>
      <c r="R5" s="299" t="s">
        <v>194</v>
      </c>
      <c r="S5" s="298" t="s">
        <v>195</v>
      </c>
      <c r="T5" s="296" t="s">
        <v>196</v>
      </c>
      <c r="U5" s="296" t="s">
        <v>197</v>
      </c>
      <c r="V5" s="294" t="s">
        <v>198</v>
      </c>
      <c r="W5" s="294" t="s">
        <v>199</v>
      </c>
      <c r="X5" s="292" t="s">
        <v>200</v>
      </c>
      <c r="Y5" s="292" t="s">
        <v>201</v>
      </c>
    </row>
    <row r="6" spans="1:25" ht="15.6">
      <c r="A6" s="300">
        <v>429</v>
      </c>
      <c r="B6" s="301">
        <v>407153</v>
      </c>
      <c r="C6" s="302" t="s">
        <v>202</v>
      </c>
      <c r="D6" s="302" t="s">
        <v>203</v>
      </c>
      <c r="E6" s="302" t="s">
        <v>203</v>
      </c>
      <c r="F6" s="302" t="s">
        <v>204</v>
      </c>
      <c r="G6" s="302" t="s">
        <v>205</v>
      </c>
      <c r="H6" s="302" t="s">
        <v>206</v>
      </c>
      <c r="I6" s="303" t="s">
        <v>207</v>
      </c>
      <c r="J6" s="304">
        <v>1</v>
      </c>
      <c r="K6" s="305">
        <v>2</v>
      </c>
      <c r="L6" s="304">
        <v>780</v>
      </c>
      <c r="M6" s="304">
        <v>0</v>
      </c>
      <c r="N6" s="306">
        <v>43831</v>
      </c>
      <c r="O6" s="307">
        <v>0.67441860465116277</v>
      </c>
      <c r="P6" s="304">
        <v>9</v>
      </c>
      <c r="Q6" s="304">
        <v>9</v>
      </c>
      <c r="R6" s="305">
        <v>0.5625</v>
      </c>
      <c r="S6" s="307">
        <v>1</v>
      </c>
      <c r="T6" s="308">
        <v>390</v>
      </c>
      <c r="U6" s="309">
        <v>0</v>
      </c>
      <c r="V6" s="304">
        <v>0</v>
      </c>
      <c r="W6" s="304" t="s">
        <v>207</v>
      </c>
      <c r="X6" s="310" t="s">
        <v>208</v>
      </c>
      <c r="Y6" s="310" t="s">
        <v>209</v>
      </c>
    </row>
    <row r="7" spans="1:25" ht="15.6">
      <c r="A7" s="300">
        <v>459</v>
      </c>
      <c r="B7" s="301">
        <v>407061</v>
      </c>
      <c r="C7" s="302" t="s">
        <v>210</v>
      </c>
      <c r="D7" s="302" t="s">
        <v>203</v>
      </c>
      <c r="E7" s="302" t="s">
        <v>203</v>
      </c>
      <c r="F7" s="302" t="s">
        <v>211</v>
      </c>
      <c r="G7" s="302" t="s">
        <v>205</v>
      </c>
      <c r="H7" s="302" t="s">
        <v>206</v>
      </c>
      <c r="I7" s="303">
        <v>4068244.6233329326</v>
      </c>
      <c r="J7" s="304">
        <v>6</v>
      </c>
      <c r="K7" s="305">
        <v>2.1666666666666665</v>
      </c>
      <c r="L7" s="304">
        <v>696.19706666666661</v>
      </c>
      <c r="M7" s="304">
        <v>4</v>
      </c>
      <c r="N7" s="306">
        <v>43556</v>
      </c>
      <c r="O7" s="307">
        <v>0.66279069767441867</v>
      </c>
      <c r="P7" s="304">
        <v>60</v>
      </c>
      <c r="Q7" s="304">
        <v>56</v>
      </c>
      <c r="R7" s="305">
        <v>1.8666666666666667</v>
      </c>
      <c r="S7" s="307">
        <v>0.93333333333333335</v>
      </c>
      <c r="T7" s="308">
        <v>336.74679358974362</v>
      </c>
      <c r="U7" s="309">
        <v>1</v>
      </c>
      <c r="V7" s="304">
        <v>344</v>
      </c>
      <c r="W7" s="304">
        <v>83.23</v>
      </c>
      <c r="X7" s="310" t="s">
        <v>208</v>
      </c>
      <c r="Y7" s="310" t="s">
        <v>209</v>
      </c>
    </row>
    <row r="8" spans="1:25" ht="15.6">
      <c r="A8" s="300">
        <v>499</v>
      </c>
      <c r="B8" s="301">
        <v>407140</v>
      </c>
      <c r="C8" s="302" t="s">
        <v>212</v>
      </c>
      <c r="D8" s="302" t="s">
        <v>213</v>
      </c>
      <c r="E8" s="302" t="s">
        <v>213</v>
      </c>
      <c r="F8" s="302" t="s">
        <v>214</v>
      </c>
      <c r="G8" s="302" t="s">
        <v>205</v>
      </c>
      <c r="H8" s="302" t="s">
        <v>215</v>
      </c>
      <c r="I8" s="303">
        <v>4993176.961301784</v>
      </c>
      <c r="J8" s="304">
        <v>6</v>
      </c>
      <c r="K8" s="305">
        <v>2.8333333333333335</v>
      </c>
      <c r="L8" s="304">
        <v>564.79999999999995</v>
      </c>
      <c r="M8" s="304">
        <v>29</v>
      </c>
      <c r="N8" s="306">
        <v>44044</v>
      </c>
      <c r="O8" s="307">
        <v>0.60465116279069764</v>
      </c>
      <c r="P8" s="304">
        <v>60</v>
      </c>
      <c r="Q8" s="304">
        <v>31</v>
      </c>
      <c r="R8" s="305">
        <v>2.2142857142857144</v>
      </c>
      <c r="S8" s="307">
        <v>0.51666666666666672</v>
      </c>
      <c r="T8" s="308">
        <v>202.50835789399383</v>
      </c>
      <c r="U8" s="309">
        <v>2</v>
      </c>
      <c r="V8" s="304">
        <v>337</v>
      </c>
      <c r="W8" s="304">
        <v>40.178275862068965</v>
      </c>
      <c r="X8" s="310" t="s">
        <v>208</v>
      </c>
      <c r="Y8" s="310" t="s">
        <v>209</v>
      </c>
    </row>
    <row r="9" spans="1:25" ht="15.6">
      <c r="A9" s="300">
        <v>545</v>
      </c>
      <c r="B9" s="301">
        <v>407199</v>
      </c>
      <c r="C9" s="302" t="s">
        <v>216</v>
      </c>
      <c r="D9" s="302" t="s">
        <v>203</v>
      </c>
      <c r="E9" s="302" t="s">
        <v>203</v>
      </c>
      <c r="F9" s="302" t="s">
        <v>217</v>
      </c>
      <c r="G9" s="302" t="s">
        <v>205</v>
      </c>
      <c r="H9" s="302" t="s">
        <v>215</v>
      </c>
      <c r="I9" s="303">
        <v>4200000</v>
      </c>
      <c r="J9" s="304">
        <v>5</v>
      </c>
      <c r="K9" s="305">
        <v>1.4</v>
      </c>
      <c r="L9" s="304">
        <v>441</v>
      </c>
      <c r="M9" s="304">
        <v>5</v>
      </c>
      <c r="N9" s="306">
        <v>44317</v>
      </c>
      <c r="O9" s="307">
        <v>0.54651162790697683</v>
      </c>
      <c r="P9" s="304">
        <v>12</v>
      </c>
      <c r="Q9" s="304">
        <v>7</v>
      </c>
      <c r="R9" s="305">
        <v>1.4</v>
      </c>
      <c r="S9" s="307">
        <v>0.58333333333333337</v>
      </c>
      <c r="T9" s="308">
        <v>315</v>
      </c>
      <c r="U9" s="309">
        <v>3</v>
      </c>
      <c r="V9" s="304">
        <v>945</v>
      </c>
      <c r="W9" s="304">
        <v>75</v>
      </c>
      <c r="X9" s="310" t="s">
        <v>208</v>
      </c>
      <c r="Y9" s="310" t="s">
        <v>209</v>
      </c>
    </row>
    <row r="10" spans="1:25" ht="15.6">
      <c r="A10" s="300">
        <v>564</v>
      </c>
      <c r="B10" s="301">
        <v>407154</v>
      </c>
      <c r="C10" s="302" t="s">
        <v>218</v>
      </c>
      <c r="D10" s="302" t="s">
        <v>219</v>
      </c>
      <c r="E10" s="302" t="s">
        <v>219</v>
      </c>
      <c r="F10" s="302" t="s">
        <v>220</v>
      </c>
      <c r="G10" s="302" t="s">
        <v>205</v>
      </c>
      <c r="H10" s="302" t="s">
        <v>221</v>
      </c>
      <c r="I10" s="303" t="s">
        <v>207</v>
      </c>
      <c r="J10" s="304">
        <v>4</v>
      </c>
      <c r="K10" s="305">
        <v>1.75</v>
      </c>
      <c r="L10" s="304">
        <v>410</v>
      </c>
      <c r="M10" s="304">
        <v>0</v>
      </c>
      <c r="N10" s="306">
        <v>43983</v>
      </c>
      <c r="O10" s="307">
        <v>0.51162790697674421</v>
      </c>
      <c r="P10" s="304">
        <v>30</v>
      </c>
      <c r="Q10" s="304">
        <v>30</v>
      </c>
      <c r="R10" s="305">
        <v>2</v>
      </c>
      <c r="S10" s="307">
        <v>1</v>
      </c>
      <c r="T10" s="308">
        <v>237.26666666666665</v>
      </c>
      <c r="U10" s="309">
        <v>0</v>
      </c>
      <c r="V10" s="304">
        <v>0</v>
      </c>
      <c r="W10" s="304" t="s">
        <v>207</v>
      </c>
      <c r="X10" s="310" t="s">
        <v>208</v>
      </c>
      <c r="Y10" s="310" t="s">
        <v>209</v>
      </c>
    </row>
    <row r="11" spans="1:25" ht="15.6">
      <c r="A11" s="300">
        <v>590</v>
      </c>
      <c r="B11" s="301">
        <v>407092</v>
      </c>
      <c r="C11" s="302" t="s">
        <v>222</v>
      </c>
      <c r="D11" s="302" t="s">
        <v>203</v>
      </c>
      <c r="E11" s="302" t="s">
        <v>203</v>
      </c>
      <c r="F11" s="302" t="s">
        <v>223</v>
      </c>
      <c r="G11" s="302" t="s">
        <v>205</v>
      </c>
      <c r="H11" s="302" t="s">
        <v>206</v>
      </c>
      <c r="I11" s="303" t="s">
        <v>207</v>
      </c>
      <c r="J11" s="304">
        <v>5</v>
      </c>
      <c r="K11" s="305">
        <v>1.2</v>
      </c>
      <c r="L11" s="304">
        <v>356.2</v>
      </c>
      <c r="M11" s="304">
        <v>0</v>
      </c>
      <c r="N11" s="306">
        <v>43739</v>
      </c>
      <c r="O11" s="307">
        <v>0.5</v>
      </c>
      <c r="P11" s="304">
        <v>22</v>
      </c>
      <c r="Q11" s="304">
        <v>22</v>
      </c>
      <c r="R11" s="305">
        <v>0.91666666666666663</v>
      </c>
      <c r="S11" s="307">
        <v>1</v>
      </c>
      <c r="T11" s="308">
        <v>321.76</v>
      </c>
      <c r="U11" s="309">
        <v>1</v>
      </c>
      <c r="V11" s="304">
        <v>348</v>
      </c>
      <c r="W11" s="304" t="s">
        <v>207</v>
      </c>
      <c r="X11" s="310" t="s">
        <v>208</v>
      </c>
      <c r="Y11" s="310" t="s">
        <v>209</v>
      </c>
    </row>
    <row r="12" spans="1:25" ht="15.6">
      <c r="A12" s="300">
        <v>617</v>
      </c>
      <c r="B12" s="301">
        <v>407062</v>
      </c>
      <c r="C12" s="302" t="s">
        <v>224</v>
      </c>
      <c r="D12" s="302" t="s">
        <v>225</v>
      </c>
      <c r="E12" s="302" t="s">
        <v>225</v>
      </c>
      <c r="F12" s="302" t="s">
        <v>226</v>
      </c>
      <c r="G12" s="302" t="s">
        <v>205</v>
      </c>
      <c r="H12" s="302" t="s">
        <v>215</v>
      </c>
      <c r="I12" s="303" t="s">
        <v>207</v>
      </c>
      <c r="J12" s="304">
        <v>1</v>
      </c>
      <c r="K12" s="305">
        <v>1</v>
      </c>
      <c r="L12" s="304">
        <v>320</v>
      </c>
      <c r="M12" s="304">
        <v>0</v>
      </c>
      <c r="N12" s="306">
        <v>43586</v>
      </c>
      <c r="O12" s="307">
        <v>0.48837209302325579</v>
      </c>
      <c r="P12" s="304">
        <v>24</v>
      </c>
      <c r="Q12" s="304">
        <v>24</v>
      </c>
      <c r="R12" s="305">
        <v>1</v>
      </c>
      <c r="S12" s="307">
        <v>1</v>
      </c>
      <c r="T12" s="308">
        <v>320</v>
      </c>
      <c r="U12" s="309">
        <v>0</v>
      </c>
      <c r="V12" s="304">
        <v>0</v>
      </c>
      <c r="W12" s="304" t="s">
        <v>207</v>
      </c>
      <c r="X12" s="310" t="s">
        <v>208</v>
      </c>
      <c r="Y12" s="310" t="s">
        <v>209</v>
      </c>
    </row>
    <row r="13" spans="1:25" ht="15.6">
      <c r="A13" s="300">
        <v>671</v>
      </c>
      <c r="B13" s="301">
        <v>407058</v>
      </c>
      <c r="C13" s="302" t="s">
        <v>227</v>
      </c>
      <c r="D13" s="302" t="s">
        <v>228</v>
      </c>
      <c r="E13" s="302" t="s">
        <v>228</v>
      </c>
      <c r="F13" s="302" t="s">
        <v>229</v>
      </c>
      <c r="G13" s="302" t="s">
        <v>205</v>
      </c>
      <c r="H13" s="302" t="s">
        <v>206</v>
      </c>
      <c r="I13" s="303" t="s">
        <v>207</v>
      </c>
      <c r="J13" s="304">
        <v>2</v>
      </c>
      <c r="K13" s="305">
        <v>1</v>
      </c>
      <c r="L13" s="304">
        <v>240.65</v>
      </c>
      <c r="M13" s="304">
        <v>0</v>
      </c>
      <c r="N13" s="306">
        <v>43586</v>
      </c>
      <c r="O13" s="307">
        <v>0.44186046511627908</v>
      </c>
      <c r="P13" s="304">
        <v>21</v>
      </c>
      <c r="Q13" s="304">
        <v>21</v>
      </c>
      <c r="R13" s="305">
        <v>0.80769230769230771</v>
      </c>
      <c r="S13" s="307">
        <v>1</v>
      </c>
      <c r="T13" s="308">
        <v>238.7</v>
      </c>
      <c r="U13" s="309">
        <v>0</v>
      </c>
      <c r="V13" s="304">
        <v>0</v>
      </c>
      <c r="W13" s="304" t="s">
        <v>207</v>
      </c>
      <c r="X13" s="310" t="s">
        <v>208</v>
      </c>
      <c r="Y13" s="310" t="s">
        <v>209</v>
      </c>
    </row>
    <row r="14" spans="1:25" ht="15.6">
      <c r="A14" s="300">
        <v>679</v>
      </c>
      <c r="B14" s="301">
        <v>407176</v>
      </c>
      <c r="C14" s="302" t="s">
        <v>230</v>
      </c>
      <c r="D14" s="302" t="s">
        <v>231</v>
      </c>
      <c r="E14" s="302" t="s">
        <v>231</v>
      </c>
      <c r="F14" s="302" t="s">
        <v>232</v>
      </c>
      <c r="G14" s="302" t="s">
        <v>205</v>
      </c>
      <c r="H14" s="302" t="s">
        <v>206</v>
      </c>
      <c r="I14" s="303" t="s">
        <v>207</v>
      </c>
      <c r="J14" s="304">
        <v>3</v>
      </c>
      <c r="K14" s="305">
        <v>1</v>
      </c>
      <c r="L14" s="304">
        <v>232.66666666666666</v>
      </c>
      <c r="M14" s="304">
        <v>0</v>
      </c>
      <c r="N14" s="306">
        <v>43831</v>
      </c>
      <c r="O14" s="307">
        <v>0.43023255813953487</v>
      </c>
      <c r="P14" s="304">
        <v>18</v>
      </c>
      <c r="Q14" s="304">
        <v>18</v>
      </c>
      <c r="R14" s="305">
        <v>0.94736842105263153</v>
      </c>
      <c r="S14" s="307">
        <v>1</v>
      </c>
      <c r="T14" s="308">
        <v>232.66666666666666</v>
      </c>
      <c r="U14" s="309">
        <v>0</v>
      </c>
      <c r="V14" s="304">
        <v>0</v>
      </c>
      <c r="W14" s="304" t="s">
        <v>207</v>
      </c>
      <c r="X14" s="310" t="s">
        <v>208</v>
      </c>
      <c r="Y14" s="310" t="s">
        <v>209</v>
      </c>
    </row>
    <row r="15" spans="1:25" ht="15.6">
      <c r="A15" s="300">
        <v>698</v>
      </c>
      <c r="B15" s="301">
        <v>407067</v>
      </c>
      <c r="C15" s="302" t="s">
        <v>233</v>
      </c>
      <c r="D15" s="302" t="s">
        <v>234</v>
      </c>
      <c r="E15" s="302" t="s">
        <v>234</v>
      </c>
      <c r="F15" s="302" t="s">
        <v>235</v>
      </c>
      <c r="G15" s="302" t="s">
        <v>205</v>
      </c>
      <c r="H15" s="302" t="s">
        <v>215</v>
      </c>
      <c r="I15" s="303" t="s">
        <v>207</v>
      </c>
      <c r="J15" s="304">
        <v>1</v>
      </c>
      <c r="K15" s="305">
        <v>1</v>
      </c>
      <c r="L15" s="304">
        <v>215</v>
      </c>
      <c r="M15" s="304">
        <v>0</v>
      </c>
      <c r="N15" s="306">
        <v>43586</v>
      </c>
      <c r="O15" s="307">
        <v>0.39534883720930236</v>
      </c>
      <c r="P15" s="304">
        <v>37</v>
      </c>
      <c r="Q15" s="304">
        <v>37</v>
      </c>
      <c r="R15" s="305">
        <v>1.5416666666666667</v>
      </c>
      <c r="S15" s="307">
        <v>1</v>
      </c>
      <c r="T15" s="308">
        <v>215</v>
      </c>
      <c r="U15" s="309">
        <v>0</v>
      </c>
      <c r="V15" s="304">
        <v>0</v>
      </c>
      <c r="W15" s="304" t="s">
        <v>207</v>
      </c>
      <c r="X15" s="310" t="s">
        <v>208</v>
      </c>
      <c r="Y15" s="310" t="s">
        <v>209</v>
      </c>
    </row>
    <row r="16" spans="1:25" ht="15.6">
      <c r="A16" s="300">
        <v>708</v>
      </c>
      <c r="B16" s="301">
        <v>407200</v>
      </c>
      <c r="C16" s="302" t="s">
        <v>236</v>
      </c>
      <c r="D16" s="302" t="s">
        <v>237</v>
      </c>
      <c r="E16" s="302" t="s">
        <v>237</v>
      </c>
      <c r="F16" s="302" t="s">
        <v>238</v>
      </c>
      <c r="G16" s="302" t="s">
        <v>205</v>
      </c>
      <c r="H16" s="302" t="s">
        <v>215</v>
      </c>
      <c r="I16" s="303">
        <v>3511214.2304717707</v>
      </c>
      <c r="J16" s="304">
        <v>4</v>
      </c>
      <c r="K16" s="305">
        <v>1.5</v>
      </c>
      <c r="L16" s="304">
        <v>200</v>
      </c>
      <c r="M16" s="304">
        <v>4</v>
      </c>
      <c r="N16" s="306">
        <v>44348</v>
      </c>
      <c r="O16" s="307">
        <v>0.38372093023255816</v>
      </c>
      <c r="P16" s="304">
        <v>10</v>
      </c>
      <c r="Q16" s="304">
        <v>6</v>
      </c>
      <c r="R16" s="305">
        <v>1.5</v>
      </c>
      <c r="S16" s="307">
        <v>0.6</v>
      </c>
      <c r="T16" s="308">
        <v>196.25396825396822</v>
      </c>
      <c r="U16" s="309">
        <v>2</v>
      </c>
      <c r="V16" s="304">
        <v>230</v>
      </c>
      <c r="W16" s="304">
        <v>64.650000000000006</v>
      </c>
      <c r="X16" s="310" t="s">
        <v>208</v>
      </c>
      <c r="Y16" s="310" t="s">
        <v>209</v>
      </c>
    </row>
    <row r="17" spans="1:25" ht="15.6">
      <c r="A17" s="300">
        <v>741</v>
      </c>
      <c r="B17" s="301">
        <v>407124</v>
      </c>
      <c r="C17" s="302" t="s">
        <v>239</v>
      </c>
      <c r="D17" s="302" t="s">
        <v>203</v>
      </c>
      <c r="E17" s="302" t="s">
        <v>203</v>
      </c>
      <c r="F17" s="302" t="s">
        <v>240</v>
      </c>
      <c r="G17" s="302" t="s">
        <v>205</v>
      </c>
      <c r="H17" s="302" t="s">
        <v>215</v>
      </c>
      <c r="I17" s="303" t="s">
        <v>207</v>
      </c>
      <c r="J17" s="304">
        <v>3</v>
      </c>
      <c r="K17" s="305">
        <v>0.66666666666666663</v>
      </c>
      <c r="L17" s="304">
        <v>163.33333333333334</v>
      </c>
      <c r="M17" s="304">
        <v>0</v>
      </c>
      <c r="N17" s="306">
        <v>43831</v>
      </c>
      <c r="O17" s="307">
        <v>0.36046511627906974</v>
      </c>
      <c r="P17" s="304">
        <v>8</v>
      </c>
      <c r="Q17" s="304">
        <v>8</v>
      </c>
      <c r="R17" s="305">
        <v>0.42105263157894735</v>
      </c>
      <c r="S17" s="307">
        <v>1</v>
      </c>
      <c r="T17" s="308">
        <v>245</v>
      </c>
      <c r="U17" s="309">
        <v>0</v>
      </c>
      <c r="V17" s="304">
        <v>0</v>
      </c>
      <c r="W17" s="304" t="s">
        <v>207</v>
      </c>
      <c r="X17" s="310" t="s">
        <v>208</v>
      </c>
      <c r="Y17" s="310" t="s">
        <v>209</v>
      </c>
    </row>
    <row r="18" spans="1:25" ht="15.6">
      <c r="A18" s="300">
        <v>742</v>
      </c>
      <c r="B18" s="301">
        <v>407111</v>
      </c>
      <c r="C18" s="302" t="s">
        <v>241</v>
      </c>
      <c r="D18" s="302" t="s">
        <v>203</v>
      </c>
      <c r="E18" s="302" t="s">
        <v>203</v>
      </c>
      <c r="F18" s="302" t="s">
        <v>242</v>
      </c>
      <c r="G18" s="302" t="s">
        <v>205</v>
      </c>
      <c r="H18" s="302" t="s">
        <v>221</v>
      </c>
      <c r="I18" s="303" t="s">
        <v>207</v>
      </c>
      <c r="J18" s="304">
        <v>1</v>
      </c>
      <c r="K18" s="305">
        <v>1</v>
      </c>
      <c r="L18" s="304">
        <v>160</v>
      </c>
      <c r="M18" s="304">
        <v>0</v>
      </c>
      <c r="N18" s="306">
        <v>43800</v>
      </c>
      <c r="O18" s="307">
        <v>0.34883720930232553</v>
      </c>
      <c r="P18" s="304">
        <v>12</v>
      </c>
      <c r="Q18" s="304">
        <v>12</v>
      </c>
      <c r="R18" s="305">
        <v>0.66666666666666663</v>
      </c>
      <c r="S18" s="307">
        <v>1</v>
      </c>
      <c r="T18" s="308">
        <v>160</v>
      </c>
      <c r="U18" s="309">
        <v>0</v>
      </c>
      <c r="V18" s="304">
        <v>0</v>
      </c>
      <c r="W18" s="304" t="s">
        <v>207</v>
      </c>
      <c r="X18" s="310" t="s">
        <v>208</v>
      </c>
      <c r="Y18" s="310" t="s">
        <v>209</v>
      </c>
    </row>
    <row r="19" spans="1:25" ht="15.6">
      <c r="A19" s="300">
        <v>769</v>
      </c>
      <c r="B19" s="301">
        <v>407151</v>
      </c>
      <c r="C19" s="302" t="s">
        <v>243</v>
      </c>
      <c r="D19" s="302" t="s">
        <v>244</v>
      </c>
      <c r="E19" s="302" t="s">
        <v>244</v>
      </c>
      <c r="F19" s="302" t="s">
        <v>245</v>
      </c>
      <c r="G19" s="302" t="s">
        <v>205</v>
      </c>
      <c r="H19" s="302" t="s">
        <v>221</v>
      </c>
      <c r="I19" s="303" t="s">
        <v>207</v>
      </c>
      <c r="J19" s="304">
        <v>3</v>
      </c>
      <c r="K19" s="305">
        <v>0.66666666666666663</v>
      </c>
      <c r="L19" s="304">
        <v>135.01666666666668</v>
      </c>
      <c r="M19" s="304">
        <v>0</v>
      </c>
      <c r="N19" s="306">
        <v>43831</v>
      </c>
      <c r="O19" s="307">
        <v>0.33720930232558144</v>
      </c>
      <c r="P19" s="304">
        <v>9</v>
      </c>
      <c r="Q19" s="304">
        <v>9</v>
      </c>
      <c r="R19" s="305">
        <v>0.47368421052631576</v>
      </c>
      <c r="S19" s="307">
        <v>1</v>
      </c>
      <c r="T19" s="308">
        <v>218.55</v>
      </c>
      <c r="U19" s="309">
        <v>0</v>
      </c>
      <c r="V19" s="304">
        <v>0</v>
      </c>
      <c r="W19" s="304" t="s">
        <v>207</v>
      </c>
      <c r="X19" s="310" t="s">
        <v>208</v>
      </c>
      <c r="Y19" s="310" t="s">
        <v>209</v>
      </c>
    </row>
    <row r="20" spans="1:25" ht="15.6">
      <c r="A20" s="300">
        <v>772</v>
      </c>
      <c r="B20" s="301">
        <v>407171</v>
      </c>
      <c r="C20" s="302" t="s">
        <v>246</v>
      </c>
      <c r="D20" s="302" t="s">
        <v>247</v>
      </c>
      <c r="E20" s="302" t="s">
        <v>247</v>
      </c>
      <c r="F20" s="302" t="s">
        <v>248</v>
      </c>
      <c r="G20" s="302" t="s">
        <v>205</v>
      </c>
      <c r="H20" s="302" t="s">
        <v>221</v>
      </c>
      <c r="I20" s="303">
        <v>3264513.8521263455</v>
      </c>
      <c r="J20" s="304">
        <v>6</v>
      </c>
      <c r="K20" s="305">
        <v>0.83333333333333337</v>
      </c>
      <c r="L20" s="304">
        <v>132.58333333333334</v>
      </c>
      <c r="M20" s="304">
        <v>2</v>
      </c>
      <c r="N20" s="306">
        <v>44228</v>
      </c>
      <c r="O20" s="307">
        <v>0.32558139534883723</v>
      </c>
      <c r="P20" s="304">
        <v>9</v>
      </c>
      <c r="Q20" s="304">
        <v>7</v>
      </c>
      <c r="R20" s="305">
        <v>0.875</v>
      </c>
      <c r="S20" s="307">
        <v>0.77777777777777779</v>
      </c>
      <c r="T20" s="308">
        <v>177.34166666666667</v>
      </c>
      <c r="U20" s="309">
        <v>1</v>
      </c>
      <c r="V20" s="304">
        <v>185</v>
      </c>
      <c r="W20" s="304">
        <v>56.67</v>
      </c>
      <c r="X20" s="310" t="s">
        <v>208</v>
      </c>
      <c r="Y20" s="310" t="s">
        <v>209</v>
      </c>
    </row>
    <row r="21" spans="1:25" ht="15.6">
      <c r="A21" s="300">
        <v>793</v>
      </c>
      <c r="B21" s="301">
        <v>407201</v>
      </c>
      <c r="C21" s="302" t="s">
        <v>249</v>
      </c>
      <c r="D21" s="302" t="s">
        <v>250</v>
      </c>
      <c r="E21" s="302" t="s">
        <v>250</v>
      </c>
      <c r="F21" s="302" t="s">
        <v>251</v>
      </c>
      <c r="G21" s="302" t="s">
        <v>205</v>
      </c>
      <c r="H21" s="302" t="s">
        <v>215</v>
      </c>
      <c r="I21" s="303">
        <v>3638059.7014925373</v>
      </c>
      <c r="J21" s="304">
        <v>5</v>
      </c>
      <c r="K21" s="305">
        <v>0.6</v>
      </c>
      <c r="L21" s="304">
        <v>117</v>
      </c>
      <c r="M21" s="304">
        <v>5</v>
      </c>
      <c r="N21" s="306">
        <v>44317</v>
      </c>
      <c r="O21" s="307">
        <v>0.29069767441860461</v>
      </c>
      <c r="P21" s="304">
        <v>8</v>
      </c>
      <c r="Q21" s="304">
        <v>3</v>
      </c>
      <c r="R21" s="305">
        <v>0.6</v>
      </c>
      <c r="S21" s="307">
        <v>0.375</v>
      </c>
      <c r="T21" s="308">
        <v>195</v>
      </c>
      <c r="U21" s="309">
        <v>0</v>
      </c>
      <c r="V21" s="304">
        <v>0</v>
      </c>
      <c r="W21" s="304">
        <v>53.6</v>
      </c>
      <c r="X21" s="310" t="s">
        <v>208</v>
      </c>
      <c r="Y21" s="310" t="s">
        <v>209</v>
      </c>
    </row>
    <row r="22" spans="1:25" ht="15.6">
      <c r="A22" s="300">
        <v>799</v>
      </c>
      <c r="B22" s="301">
        <v>407125</v>
      </c>
      <c r="C22" s="302" t="s">
        <v>252</v>
      </c>
      <c r="D22" s="302" t="s">
        <v>203</v>
      </c>
      <c r="E22" s="302" t="s">
        <v>203</v>
      </c>
      <c r="F22" s="302" t="s">
        <v>253</v>
      </c>
      <c r="G22" s="302" t="s">
        <v>205</v>
      </c>
      <c r="H22" s="302" t="s">
        <v>215</v>
      </c>
      <c r="I22" s="303">
        <v>4283582.0895522386</v>
      </c>
      <c r="J22" s="304">
        <v>6</v>
      </c>
      <c r="K22" s="305">
        <v>0.5</v>
      </c>
      <c r="L22" s="304">
        <v>111.5</v>
      </c>
      <c r="M22" s="304">
        <v>1</v>
      </c>
      <c r="N22" s="306">
        <v>43831</v>
      </c>
      <c r="O22" s="307">
        <v>0.27906976744186052</v>
      </c>
      <c r="P22" s="304">
        <v>12</v>
      </c>
      <c r="Q22" s="304">
        <v>11</v>
      </c>
      <c r="R22" s="305">
        <v>0.52380952380952384</v>
      </c>
      <c r="S22" s="307">
        <v>0.91666666666666663</v>
      </c>
      <c r="T22" s="308">
        <v>265.66666666666663</v>
      </c>
      <c r="U22" s="309">
        <v>0</v>
      </c>
      <c r="V22" s="304">
        <v>0</v>
      </c>
      <c r="W22" s="304">
        <v>67</v>
      </c>
      <c r="X22" s="310" t="s">
        <v>208</v>
      </c>
      <c r="Y22" s="310" t="s">
        <v>209</v>
      </c>
    </row>
    <row r="23" spans="1:25" ht="15.6">
      <c r="A23" s="300">
        <v>812</v>
      </c>
      <c r="B23" s="301">
        <v>407179</v>
      </c>
      <c r="C23" s="302" t="s">
        <v>254</v>
      </c>
      <c r="D23" s="302" t="s">
        <v>203</v>
      </c>
      <c r="E23" s="302" t="s">
        <v>203</v>
      </c>
      <c r="F23" s="302" t="s">
        <v>255</v>
      </c>
      <c r="G23" s="302" t="s">
        <v>205</v>
      </c>
      <c r="H23" s="302" t="s">
        <v>215</v>
      </c>
      <c r="I23" s="303">
        <v>4076923.0769230765</v>
      </c>
      <c r="J23" s="304">
        <v>6</v>
      </c>
      <c r="K23" s="305">
        <v>0.33333333333333331</v>
      </c>
      <c r="L23" s="304">
        <v>88.333333333333329</v>
      </c>
      <c r="M23" s="304">
        <v>2</v>
      </c>
      <c r="N23" s="306">
        <v>44075</v>
      </c>
      <c r="O23" s="307">
        <v>0.26744186046511631</v>
      </c>
      <c r="P23" s="304">
        <v>8</v>
      </c>
      <c r="Q23" s="304">
        <v>6</v>
      </c>
      <c r="R23" s="305">
        <v>0.46153846153846156</v>
      </c>
      <c r="S23" s="307">
        <v>0.75</v>
      </c>
      <c r="T23" s="308">
        <v>265</v>
      </c>
      <c r="U23" s="309">
        <v>0</v>
      </c>
      <c r="V23" s="304">
        <v>0</v>
      </c>
      <c r="W23" s="304">
        <v>65</v>
      </c>
      <c r="X23" s="310" t="s">
        <v>208</v>
      </c>
      <c r="Y23" s="310" t="s">
        <v>209</v>
      </c>
    </row>
    <row r="24" spans="1:25" ht="15.6">
      <c r="A24" s="300">
        <v>852</v>
      </c>
      <c r="B24" s="301">
        <v>407096</v>
      </c>
      <c r="C24" s="302" t="s">
        <v>256</v>
      </c>
      <c r="D24" s="302" t="s">
        <v>257</v>
      </c>
      <c r="E24" s="302" t="s">
        <v>257</v>
      </c>
      <c r="F24" s="302" t="s">
        <v>258</v>
      </c>
      <c r="G24" s="302" t="s">
        <v>205</v>
      </c>
      <c r="H24" s="302" t="s">
        <v>215</v>
      </c>
      <c r="I24" s="303">
        <v>3567424.319641219</v>
      </c>
      <c r="J24" s="304">
        <v>6</v>
      </c>
      <c r="K24" s="305">
        <v>0.16666666666666666</v>
      </c>
      <c r="L24" s="304">
        <v>58.333333333333336</v>
      </c>
      <c r="M24" s="304">
        <v>1</v>
      </c>
      <c r="N24" s="306">
        <v>43739</v>
      </c>
      <c r="O24" s="307">
        <v>0.2441860465116279</v>
      </c>
      <c r="P24" s="304">
        <v>4</v>
      </c>
      <c r="Q24" s="304">
        <v>3</v>
      </c>
      <c r="R24" s="305">
        <v>0.125</v>
      </c>
      <c r="S24" s="307">
        <v>0.75</v>
      </c>
      <c r="T24" s="308">
        <v>349.16666666666669</v>
      </c>
      <c r="U24" s="309">
        <v>0</v>
      </c>
      <c r="V24" s="304">
        <v>0</v>
      </c>
      <c r="W24" s="304">
        <v>98.11</v>
      </c>
      <c r="X24" s="310" t="s">
        <v>208</v>
      </c>
      <c r="Y24" s="310" t="s">
        <v>209</v>
      </c>
    </row>
    <row r="25" spans="1:25" ht="15.6">
      <c r="A25" s="300">
        <v>914</v>
      </c>
      <c r="B25" s="301">
        <v>407102</v>
      </c>
      <c r="C25" s="302" t="s">
        <v>259</v>
      </c>
      <c r="D25" s="302" t="s">
        <v>260</v>
      </c>
      <c r="E25" s="302" t="s">
        <v>260</v>
      </c>
      <c r="F25" s="302" t="s">
        <v>261</v>
      </c>
      <c r="G25" s="302" t="s">
        <v>205</v>
      </c>
      <c r="H25" s="302" t="s">
        <v>215</v>
      </c>
      <c r="I25" s="303">
        <v>3435098.9877637299</v>
      </c>
      <c r="J25" s="304">
        <v>6</v>
      </c>
      <c r="K25" s="305">
        <v>0</v>
      </c>
      <c r="L25" s="304">
        <v>0</v>
      </c>
      <c r="M25" s="304">
        <v>10</v>
      </c>
      <c r="N25" s="306">
        <v>43770</v>
      </c>
      <c r="O25" s="307">
        <v>0.16279069767441856</v>
      </c>
      <c r="P25" s="304">
        <v>12</v>
      </c>
      <c r="Q25" s="304">
        <v>2</v>
      </c>
      <c r="R25" s="305">
        <v>8.6956521739130432E-2</v>
      </c>
      <c r="S25" s="307">
        <v>0.16666666666666666</v>
      </c>
      <c r="T25" s="308">
        <v>422.5</v>
      </c>
      <c r="U25" s="309">
        <v>0</v>
      </c>
      <c r="V25" s="304">
        <v>0</v>
      </c>
      <c r="W25" s="304">
        <v>122.995</v>
      </c>
      <c r="X25" s="310" t="s">
        <v>208</v>
      </c>
      <c r="Y25" s="310" t="s">
        <v>209</v>
      </c>
    </row>
    <row r="26" spans="1:25" ht="15.6">
      <c r="A26" s="300">
        <v>918</v>
      </c>
      <c r="B26" s="301">
        <v>407160</v>
      </c>
      <c r="C26" s="302" t="s">
        <v>262</v>
      </c>
      <c r="D26" s="302" t="s">
        <v>263</v>
      </c>
      <c r="E26" s="302" t="s">
        <v>263</v>
      </c>
      <c r="F26" s="302" t="s">
        <v>264</v>
      </c>
      <c r="G26" s="302" t="s">
        <v>205</v>
      </c>
      <c r="H26" s="302" t="s">
        <v>215</v>
      </c>
      <c r="I26" s="303">
        <v>4435154.9755301801</v>
      </c>
      <c r="J26" s="304">
        <v>6</v>
      </c>
      <c r="K26" s="305">
        <v>0</v>
      </c>
      <c r="L26" s="304">
        <v>0</v>
      </c>
      <c r="M26" s="304">
        <v>5</v>
      </c>
      <c r="N26" s="306">
        <v>44136</v>
      </c>
      <c r="O26" s="307">
        <v>0.15116279069767447</v>
      </c>
      <c r="P26" s="304">
        <v>8</v>
      </c>
      <c r="Q26" s="304">
        <v>3</v>
      </c>
      <c r="R26" s="305">
        <v>0.27272727272727271</v>
      </c>
      <c r="S26" s="307">
        <v>0.375</v>
      </c>
      <c r="T26" s="308">
        <v>217.5</v>
      </c>
      <c r="U26" s="309">
        <v>1</v>
      </c>
      <c r="V26" s="304">
        <v>217.5</v>
      </c>
      <c r="W26" s="304">
        <v>49.04</v>
      </c>
      <c r="X26" s="310" t="s">
        <v>208</v>
      </c>
      <c r="Y26" s="310" t="s">
        <v>209</v>
      </c>
    </row>
    <row r="27" spans="1:25" ht="15.6">
      <c r="A27" s="300">
        <v>940</v>
      </c>
      <c r="B27" s="301">
        <v>407095</v>
      </c>
      <c r="C27" s="302" t="s">
        <v>265</v>
      </c>
      <c r="D27" s="302" t="s">
        <v>203</v>
      </c>
      <c r="E27" s="302" t="s">
        <v>203</v>
      </c>
      <c r="F27" s="302" t="s">
        <v>266</v>
      </c>
      <c r="G27" s="302" t="s">
        <v>205</v>
      </c>
      <c r="H27" s="302" t="s">
        <v>215</v>
      </c>
      <c r="I27" s="303">
        <v>3601226.9938650308</v>
      </c>
      <c r="J27" s="304">
        <v>6</v>
      </c>
      <c r="K27" s="305">
        <v>0</v>
      </c>
      <c r="L27" s="304">
        <v>0</v>
      </c>
      <c r="M27" s="304">
        <v>5</v>
      </c>
      <c r="N27" s="306">
        <v>43709</v>
      </c>
      <c r="O27" s="307">
        <v>0.13953488372093026</v>
      </c>
      <c r="P27" s="304">
        <v>9</v>
      </c>
      <c r="Q27" s="304">
        <v>4</v>
      </c>
      <c r="R27" s="305">
        <v>0.16</v>
      </c>
      <c r="S27" s="307">
        <v>0.44444444444444442</v>
      </c>
      <c r="T27" s="308">
        <v>234.8</v>
      </c>
      <c r="U27" s="309">
        <v>0</v>
      </c>
      <c r="V27" s="304">
        <v>0</v>
      </c>
      <c r="W27" s="304">
        <v>65.2</v>
      </c>
      <c r="X27" s="310" t="s">
        <v>208</v>
      </c>
      <c r="Y27" s="310" t="s">
        <v>209</v>
      </c>
    </row>
    <row r="32" spans="1:25">
      <c r="B32" t="s">
        <v>267</v>
      </c>
      <c r="C32">
        <v>1250000000</v>
      </c>
      <c r="D32">
        <v>271</v>
      </c>
      <c r="E32" s="311">
        <f>C32/D32</f>
        <v>4612546.1254612543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Malla vial arterial(12p)NoVisN8</vt:lpstr>
      <vt:lpstr>Base (12p)NoVisN8</vt:lpstr>
      <vt:lpstr>Malla vial arterial (12p) Oct26</vt:lpstr>
      <vt:lpstr>Base (12p) Oct 26</vt:lpstr>
      <vt:lpstr>Malla vial arterial (12p) Nov8</vt:lpstr>
      <vt:lpstr>Base (12p) Nov 8</vt:lpstr>
      <vt:lpstr>FAC_MI Tunal 12P</vt:lpstr>
      <vt:lpstr>$ Mercado Sur oriente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Penagos</dc:creator>
  <cp:lastModifiedBy>Erika Borbón</cp:lastModifiedBy>
  <cp:lastPrinted>2021-03-31T22:56:47Z</cp:lastPrinted>
  <dcterms:created xsi:type="dcterms:W3CDTF">2018-08-28T21:44:30Z</dcterms:created>
  <dcterms:modified xsi:type="dcterms:W3CDTF">2021-11-09T22:53:27Z</dcterms:modified>
</cp:coreProperties>
</file>