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M:\DOCUMENTOS AÑO 2021\CONTRATACION 2021\PROCESO CONTRACTUALES\DIREC-MODOS ALTERNATIVOS\PROCESO DE PUERTAS\EVALUACION PROPUESTAS\EVALUACION DEFINITIVA\"/>
    </mc:Choice>
  </mc:AlternateContent>
  <xr:revisionPtr revIDLastSave="0" documentId="8_{C6EA03A2-2E41-4329-AE5A-C81B156298EC}" xr6:coauthVersionLast="47" xr6:coauthVersionMax="47" xr10:uidLastSave="{00000000-0000-0000-0000-000000000000}"/>
  <bookViews>
    <workbookView xWindow="-120" yWindow="-120" windowWidth="20640" windowHeight="11160" tabRatio="812" activeTab="10" xr2:uid="{00000000-000D-0000-FFFF-FFFF00000000}"/>
  </bookViews>
  <sheets>
    <sheet name="Cover" sheetId="1" r:id="rId1"/>
    <sheet name="Proponentes" sheetId="4" r:id="rId2"/>
    <sheet name="Experiencia" sheetId="75" r:id="rId3"/>
    <sheet name="Orden de Adjudicación" sheetId="2" r:id="rId4"/>
    <sheet name="Lote 1" sheetId="66" r:id="rId5"/>
    <sheet name="Lote 2" sheetId="69" r:id="rId6"/>
    <sheet name="Lote 3" sheetId="70" r:id="rId7"/>
    <sheet name="Cantidades" sheetId="19" r:id="rId8"/>
    <sheet name="Lote1Cal" sheetId="71" r:id="rId9"/>
    <sheet name="Lote2Cal" sheetId="73" r:id="rId10"/>
    <sheet name="Lote3Cal" sheetId="74" r:id="rId11"/>
    <sheet name="VPBajo" sheetId="72" r:id="rId12"/>
    <sheet name="AnálisisCapacidad" sheetId="64" r:id="rId13"/>
  </sheets>
  <calcPr calcId="191029" iterate="1" iterateCount="1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5" i="75" l="1"/>
  <c r="J5" i="64"/>
  <c r="T6" i="75"/>
  <c r="T5" i="75"/>
  <c r="Q6" i="75"/>
  <c r="Q5" i="75"/>
  <c r="N6" i="75"/>
  <c r="N5" i="75"/>
  <c r="P14" i="75"/>
  <c r="M14" i="75"/>
  <c r="O14" i="75"/>
  <c r="L14" i="75"/>
  <c r="N14" i="75"/>
  <c r="K14" i="75"/>
  <c r="J14" i="75"/>
  <c r="I14" i="75"/>
  <c r="H14" i="75"/>
  <c r="J6" i="64" l="1"/>
  <c r="O19" i="74" l="1"/>
  <c r="O18" i="74"/>
  <c r="O17" i="74"/>
  <c r="O16" i="74"/>
  <c r="O15" i="74"/>
  <c r="O14" i="74"/>
  <c r="O13" i="74"/>
  <c r="O12" i="74"/>
  <c r="O11" i="74"/>
  <c r="O10" i="74"/>
  <c r="O9" i="74"/>
  <c r="O8" i="74"/>
  <c r="O7" i="74"/>
  <c r="O19" i="73"/>
  <c r="O18" i="73"/>
  <c r="O17" i="73"/>
  <c r="O16" i="73"/>
  <c r="O15" i="73"/>
  <c r="O14" i="73"/>
  <c r="O13" i="73"/>
  <c r="O12" i="73"/>
  <c r="O11" i="73"/>
  <c r="O10" i="73"/>
  <c r="O9" i="73"/>
  <c r="O8" i="73"/>
  <c r="O7" i="73"/>
  <c r="O19" i="71"/>
  <c r="O18" i="71"/>
  <c r="O17" i="71"/>
  <c r="O16" i="71"/>
  <c r="O15" i="71"/>
  <c r="O14" i="71"/>
  <c r="O13" i="71"/>
  <c r="O12" i="71"/>
  <c r="O11" i="71"/>
  <c r="O10" i="71"/>
  <c r="O9" i="71"/>
  <c r="O8" i="71"/>
  <c r="O7" i="71"/>
  <c r="K19" i="74"/>
  <c r="K18" i="74"/>
  <c r="K17" i="74"/>
  <c r="K16" i="74"/>
  <c r="K15" i="74"/>
  <c r="K14" i="74"/>
  <c r="K13" i="74"/>
  <c r="K12" i="74"/>
  <c r="K11" i="74"/>
  <c r="K10" i="74"/>
  <c r="K9" i="74"/>
  <c r="K19" i="73"/>
  <c r="K18" i="73"/>
  <c r="K17" i="73"/>
  <c r="K16" i="73"/>
  <c r="K15" i="73"/>
  <c r="K14" i="73"/>
  <c r="K13" i="73"/>
  <c r="K12" i="73"/>
  <c r="K11" i="73"/>
  <c r="K10" i="73"/>
  <c r="K9" i="73"/>
  <c r="K19" i="71"/>
  <c r="K18" i="71"/>
  <c r="K17" i="71"/>
  <c r="K16" i="71"/>
  <c r="K15" i="71"/>
  <c r="K14" i="71"/>
  <c r="K13" i="71"/>
  <c r="K12" i="71"/>
  <c r="K11" i="71"/>
  <c r="K10" i="71"/>
  <c r="K9" i="71"/>
  <c r="D6" i="4" l="1"/>
  <c r="E6" i="4"/>
  <c r="F6" i="4"/>
  <c r="F5" i="4"/>
  <c r="E5" i="4"/>
  <c r="D5" i="4"/>
  <c r="J19" i="74" l="1"/>
  <c r="I19" i="74"/>
  <c r="N19" i="74" s="1"/>
  <c r="H19" i="74"/>
  <c r="G19" i="74"/>
  <c r="F19" i="74"/>
  <c r="E19" i="74"/>
  <c r="D19" i="74"/>
  <c r="C19" i="74"/>
  <c r="B19" i="74"/>
  <c r="J18" i="74"/>
  <c r="I18" i="74"/>
  <c r="N18" i="74" s="1"/>
  <c r="H18" i="74"/>
  <c r="G18" i="74"/>
  <c r="F18" i="74"/>
  <c r="M18" i="74" s="1"/>
  <c r="E18" i="74"/>
  <c r="D18" i="74"/>
  <c r="C18" i="74"/>
  <c r="L18" i="74" s="1"/>
  <c r="B18" i="74"/>
  <c r="J17" i="74"/>
  <c r="I17" i="74"/>
  <c r="H17" i="74"/>
  <c r="G17" i="74"/>
  <c r="F17" i="74"/>
  <c r="E17" i="74"/>
  <c r="D17" i="74"/>
  <c r="C17" i="74"/>
  <c r="B17" i="74"/>
  <c r="P16" i="74"/>
  <c r="Q16" i="74" s="1"/>
  <c r="R16" i="74" s="1"/>
  <c r="J16" i="74"/>
  <c r="I16" i="74"/>
  <c r="H16" i="74"/>
  <c r="G16" i="74"/>
  <c r="F16" i="74"/>
  <c r="E16" i="74"/>
  <c r="D16" i="74"/>
  <c r="C16" i="74"/>
  <c r="B16" i="74"/>
  <c r="J15" i="74"/>
  <c r="I15" i="74"/>
  <c r="N15" i="74" s="1"/>
  <c r="H15" i="74"/>
  <c r="G15" i="74"/>
  <c r="F15" i="74"/>
  <c r="E15" i="74"/>
  <c r="D15" i="74"/>
  <c r="L15" i="74" s="1"/>
  <c r="C15" i="74"/>
  <c r="B15" i="74"/>
  <c r="J14" i="74"/>
  <c r="I14" i="74"/>
  <c r="H14" i="74"/>
  <c r="G14" i="74"/>
  <c r="F14" i="74"/>
  <c r="E14" i="74"/>
  <c r="D14" i="74"/>
  <c r="C14" i="74"/>
  <c r="B14" i="74"/>
  <c r="J13" i="74"/>
  <c r="I13" i="74"/>
  <c r="H13" i="74"/>
  <c r="M13" i="74" s="1"/>
  <c r="G13" i="74"/>
  <c r="F13" i="74"/>
  <c r="E13" i="74"/>
  <c r="D13" i="74"/>
  <c r="C13" i="74"/>
  <c r="B13" i="74"/>
  <c r="J12" i="74"/>
  <c r="I12" i="74"/>
  <c r="H12" i="74"/>
  <c r="G12" i="74"/>
  <c r="F12" i="74"/>
  <c r="E12" i="74"/>
  <c r="D12" i="74"/>
  <c r="C12" i="74"/>
  <c r="B12" i="74"/>
  <c r="J11" i="74"/>
  <c r="I11" i="74"/>
  <c r="H11" i="74"/>
  <c r="G11" i="74"/>
  <c r="F11" i="74"/>
  <c r="E11" i="74"/>
  <c r="D11" i="74"/>
  <c r="C11" i="74"/>
  <c r="B11" i="74"/>
  <c r="J10" i="74"/>
  <c r="I10" i="74"/>
  <c r="H10" i="74"/>
  <c r="G10" i="74"/>
  <c r="F10" i="74"/>
  <c r="M10" i="74" s="1"/>
  <c r="E10" i="74"/>
  <c r="D10" i="74"/>
  <c r="C10" i="74"/>
  <c r="B10" i="74"/>
  <c r="J9" i="74"/>
  <c r="H9" i="74"/>
  <c r="G9" i="74"/>
  <c r="F9" i="74"/>
  <c r="E9" i="74"/>
  <c r="D9" i="74"/>
  <c r="C9" i="74"/>
  <c r="B9" i="74"/>
  <c r="J8" i="74"/>
  <c r="B8" i="74"/>
  <c r="J7" i="74"/>
  <c r="I7" i="74"/>
  <c r="N7" i="74" s="1"/>
  <c r="H7" i="74"/>
  <c r="G7" i="74"/>
  <c r="F7" i="74"/>
  <c r="E7" i="74"/>
  <c r="D7" i="74"/>
  <c r="L7" i="74" s="1"/>
  <c r="C7" i="74"/>
  <c r="B7" i="74"/>
  <c r="L19" i="74"/>
  <c r="M19" i="74"/>
  <c r="P18" i="74"/>
  <c r="M17" i="74"/>
  <c r="N17" i="74"/>
  <c r="L17" i="74"/>
  <c r="M16" i="74"/>
  <c r="L16" i="74"/>
  <c r="N16" i="74"/>
  <c r="P15" i="74"/>
  <c r="Q15" i="74" s="1"/>
  <c r="R15" i="74" s="1"/>
  <c r="M15" i="74"/>
  <c r="N14" i="74"/>
  <c r="M14" i="74"/>
  <c r="L14" i="74"/>
  <c r="P13" i="74"/>
  <c r="Q13" i="74" s="1"/>
  <c r="R13" i="74" s="1"/>
  <c r="N13" i="74"/>
  <c r="L13" i="74"/>
  <c r="P12" i="74"/>
  <c r="N12" i="74"/>
  <c r="M12" i="74"/>
  <c r="L12" i="74"/>
  <c r="N11" i="74"/>
  <c r="M11" i="74"/>
  <c r="L11" i="74"/>
  <c r="P10" i="74"/>
  <c r="N10" i="74"/>
  <c r="L10" i="74"/>
  <c r="M9" i="74"/>
  <c r="L9" i="74"/>
  <c r="M7" i="74"/>
  <c r="J19" i="73"/>
  <c r="I19" i="73"/>
  <c r="H19" i="73"/>
  <c r="G19" i="73"/>
  <c r="F19" i="73"/>
  <c r="E19" i="73"/>
  <c r="D19" i="73"/>
  <c r="C19" i="73"/>
  <c r="B19" i="73"/>
  <c r="J18" i="73"/>
  <c r="I18" i="73"/>
  <c r="H18" i="73"/>
  <c r="G18" i="73"/>
  <c r="F18" i="73"/>
  <c r="M18" i="73" s="1"/>
  <c r="E18" i="73"/>
  <c r="D18" i="73"/>
  <c r="C18" i="73"/>
  <c r="L18" i="73" s="1"/>
  <c r="B18" i="73"/>
  <c r="J17" i="73"/>
  <c r="I17" i="73"/>
  <c r="N17" i="73" s="1"/>
  <c r="H17" i="73"/>
  <c r="G17" i="73"/>
  <c r="F17" i="73"/>
  <c r="E17" i="73"/>
  <c r="D17" i="73"/>
  <c r="C17" i="73"/>
  <c r="B17" i="73"/>
  <c r="J16" i="73"/>
  <c r="I16" i="73"/>
  <c r="H16" i="73"/>
  <c r="G16" i="73"/>
  <c r="F16" i="73"/>
  <c r="E16" i="73"/>
  <c r="D16" i="73"/>
  <c r="C16" i="73"/>
  <c r="L16" i="73" s="1"/>
  <c r="B16" i="73"/>
  <c r="J15" i="73"/>
  <c r="I15" i="73"/>
  <c r="H15" i="73"/>
  <c r="G15" i="73"/>
  <c r="F15" i="73"/>
  <c r="E15" i="73"/>
  <c r="D15" i="73"/>
  <c r="C15" i="73"/>
  <c r="B15" i="73"/>
  <c r="J14" i="73"/>
  <c r="I14" i="73"/>
  <c r="H14" i="73"/>
  <c r="G14" i="73"/>
  <c r="M14" i="73" s="1"/>
  <c r="F14" i="73"/>
  <c r="E14" i="73"/>
  <c r="D14" i="73"/>
  <c r="L14" i="73" s="1"/>
  <c r="C14" i="73"/>
  <c r="B14" i="73"/>
  <c r="J13" i="73"/>
  <c r="I13" i="73"/>
  <c r="H13" i="73"/>
  <c r="M13" i="73" s="1"/>
  <c r="G13" i="73"/>
  <c r="F13" i="73"/>
  <c r="E13" i="73"/>
  <c r="D13" i="73"/>
  <c r="C13" i="73"/>
  <c r="B13" i="73"/>
  <c r="J12" i="73"/>
  <c r="I12" i="73"/>
  <c r="H12" i="73"/>
  <c r="G12" i="73"/>
  <c r="F12" i="73"/>
  <c r="E12" i="73"/>
  <c r="D12" i="73"/>
  <c r="C12" i="73"/>
  <c r="B12" i="73"/>
  <c r="J11" i="73"/>
  <c r="N11" i="73" s="1"/>
  <c r="I11" i="73"/>
  <c r="H11" i="73"/>
  <c r="G11" i="73"/>
  <c r="F11" i="73"/>
  <c r="E11" i="73"/>
  <c r="D11" i="73"/>
  <c r="C11" i="73"/>
  <c r="B11" i="73"/>
  <c r="J10" i="73"/>
  <c r="I10" i="73"/>
  <c r="N10" i="73" s="1"/>
  <c r="H10" i="73"/>
  <c r="G10" i="73"/>
  <c r="F10" i="73"/>
  <c r="E10" i="73"/>
  <c r="D10" i="73"/>
  <c r="C10" i="73"/>
  <c r="L10" i="73" s="1"/>
  <c r="B10" i="73"/>
  <c r="J9" i="73"/>
  <c r="B9" i="73"/>
  <c r="J8" i="73"/>
  <c r="B8" i="73"/>
  <c r="J7" i="73"/>
  <c r="I7" i="73"/>
  <c r="N7" i="73" s="1"/>
  <c r="H7" i="73"/>
  <c r="G7" i="73"/>
  <c r="F7" i="73"/>
  <c r="E7" i="73"/>
  <c r="L7" i="73" s="1"/>
  <c r="D7" i="73"/>
  <c r="C7" i="73"/>
  <c r="B7" i="73"/>
  <c r="N19" i="73"/>
  <c r="M19" i="73"/>
  <c r="L19" i="73"/>
  <c r="N18" i="73"/>
  <c r="M17" i="73"/>
  <c r="L17" i="73"/>
  <c r="M16" i="73"/>
  <c r="M15" i="73"/>
  <c r="N15" i="73"/>
  <c r="N14" i="73"/>
  <c r="L13" i="73"/>
  <c r="N12" i="73"/>
  <c r="M12" i="73"/>
  <c r="L12" i="73"/>
  <c r="L11" i="73"/>
  <c r="M11" i="73"/>
  <c r="M7" i="73"/>
  <c r="P14" i="71"/>
  <c r="Q14" i="71" s="1"/>
  <c r="R14" i="71" s="1"/>
  <c r="P12" i="71"/>
  <c r="Q12" i="71" s="1"/>
  <c r="R12" i="71" s="1"/>
  <c r="N16" i="73" l="1"/>
  <c r="L15" i="73"/>
  <c r="N13" i="73"/>
  <c r="M10" i="73"/>
  <c r="T3" i="72"/>
  <c r="T14" i="71"/>
  <c r="S5" i="72"/>
  <c r="T13" i="74"/>
  <c r="U5" i="72"/>
  <c r="T15" i="74"/>
  <c r="V5" i="72"/>
  <c r="T16" i="74"/>
  <c r="R3" i="72"/>
  <c r="T12" i="71"/>
  <c r="I8" i="74"/>
  <c r="N8" i="74" s="1"/>
  <c r="Q10" i="74"/>
  <c r="R10" i="74" s="1"/>
  <c r="T10" i="74" s="1"/>
  <c r="S13" i="74"/>
  <c r="V13" i="74" s="1"/>
  <c r="W13" i="74" s="1"/>
  <c r="S15" i="74"/>
  <c r="V15" i="74" s="1"/>
  <c r="W15" i="74" s="1"/>
  <c r="S16" i="74"/>
  <c r="V16" i="74" s="1"/>
  <c r="W16" i="74" s="1"/>
  <c r="P11" i="74"/>
  <c r="Q11" i="74" s="1"/>
  <c r="R11" i="74" s="1"/>
  <c r="Q18" i="74"/>
  <c r="R18" i="74" s="1"/>
  <c r="T18" i="74" s="1"/>
  <c r="P14" i="74"/>
  <c r="Q14" i="74" s="1"/>
  <c r="R14" i="74" s="1"/>
  <c r="Q12" i="74"/>
  <c r="R12" i="74" s="1"/>
  <c r="P19" i="74"/>
  <c r="Q19" i="74" s="1"/>
  <c r="R19" i="74" s="1"/>
  <c r="T19" i="74" s="1"/>
  <c r="P17" i="74"/>
  <c r="Q17" i="74" s="1"/>
  <c r="R17" i="74" s="1"/>
  <c r="T17" i="74" s="1"/>
  <c r="S12" i="71"/>
  <c r="V12" i="71" s="1"/>
  <c r="W12" i="71" s="1"/>
  <c r="S14" i="71"/>
  <c r="V14" i="71" s="1"/>
  <c r="W14" i="71" s="1"/>
  <c r="P13" i="71"/>
  <c r="Q13" i="71" s="1"/>
  <c r="R13" i="71" s="1"/>
  <c r="P11" i="71"/>
  <c r="Q11" i="71" s="1"/>
  <c r="R11" i="71" s="1"/>
  <c r="P19" i="71"/>
  <c r="Q19" i="71" s="1"/>
  <c r="R19" i="71" s="1"/>
  <c r="T19" i="71" s="1"/>
  <c r="P10" i="71"/>
  <c r="Q10" i="71" s="1"/>
  <c r="R10" i="71" s="1"/>
  <c r="T10" i="71" s="1"/>
  <c r="P18" i="71"/>
  <c r="Q18" i="71" s="1"/>
  <c r="R18" i="71" s="1"/>
  <c r="T18" i="71" s="1"/>
  <c r="P9" i="71"/>
  <c r="Q9" i="71" s="1"/>
  <c r="R9" i="71" s="1"/>
  <c r="P17" i="71"/>
  <c r="Q17" i="71" s="1"/>
  <c r="R17" i="71" s="1"/>
  <c r="T17" i="71" s="1"/>
  <c r="P16" i="71"/>
  <c r="Q16" i="71" s="1"/>
  <c r="R16" i="71" s="1"/>
  <c r="P15" i="71"/>
  <c r="Q15" i="71" s="1"/>
  <c r="R15" i="71" s="1"/>
  <c r="Q5" i="72" l="1"/>
  <c r="T11" i="74"/>
  <c r="V3" i="72"/>
  <c r="T16" i="71"/>
  <c r="Q3" i="72"/>
  <c r="T11" i="71"/>
  <c r="S3" i="72"/>
  <c r="T13" i="71"/>
  <c r="U3" i="72"/>
  <c r="T15" i="71"/>
  <c r="O3" i="72"/>
  <c r="T9" i="71"/>
  <c r="R5" i="72"/>
  <c r="T12" i="74"/>
  <c r="T5" i="72"/>
  <c r="T14" i="74"/>
  <c r="S10" i="74"/>
  <c r="V10" i="74" s="1"/>
  <c r="W10" i="74" s="1"/>
  <c r="AB10" i="74" s="1"/>
  <c r="AC10" i="74" s="1"/>
  <c r="P5" i="72"/>
  <c r="S14" i="74"/>
  <c r="V14" i="74" s="1"/>
  <c r="W14" i="74" s="1"/>
  <c r="S11" i="74"/>
  <c r="V11" i="74" s="1"/>
  <c r="W11" i="74" s="1"/>
  <c r="S17" i="74"/>
  <c r="V17" i="74" s="1"/>
  <c r="W17" i="74" s="1"/>
  <c r="S19" i="74"/>
  <c r="V19" i="74" s="1"/>
  <c r="W19" i="74" s="1"/>
  <c r="AB16" i="74"/>
  <c r="AC16" i="74" s="1"/>
  <c r="X16" i="74"/>
  <c r="S12" i="74"/>
  <c r="V12" i="74" s="1"/>
  <c r="W12" i="74" s="1"/>
  <c r="AB15" i="74"/>
  <c r="AC15" i="74" s="1"/>
  <c r="X15" i="74"/>
  <c r="S18" i="74"/>
  <c r="V18" i="74" s="1"/>
  <c r="W18" i="74" s="1"/>
  <c r="AB13" i="74"/>
  <c r="AC13" i="74" s="1"/>
  <c r="X13" i="74"/>
  <c r="S16" i="71"/>
  <c r="V16" i="71" s="1"/>
  <c r="W16" i="71" s="1"/>
  <c r="S15" i="71"/>
  <c r="V15" i="71" s="1"/>
  <c r="W15" i="71" s="1"/>
  <c r="S10" i="71"/>
  <c r="V10" i="71" s="1"/>
  <c r="W10" i="71" s="1"/>
  <c r="S17" i="71"/>
  <c r="V17" i="71" s="1"/>
  <c r="W17" i="71" s="1"/>
  <c r="S19" i="71"/>
  <c r="V19" i="71" s="1"/>
  <c r="W19" i="71" s="1"/>
  <c r="S11" i="71"/>
  <c r="V11" i="71" s="1"/>
  <c r="W11" i="71" s="1"/>
  <c r="S18" i="71"/>
  <c r="V18" i="71" s="1"/>
  <c r="W18" i="71" s="1"/>
  <c r="S13" i="71"/>
  <c r="V13" i="71" s="1"/>
  <c r="W13" i="71" s="1"/>
  <c r="AB14" i="71"/>
  <c r="AC14" i="71" s="1"/>
  <c r="P14" i="73" s="1"/>
  <c r="Q14" i="73" s="1"/>
  <c r="R14" i="73" s="1"/>
  <c r="X14" i="71"/>
  <c r="AB12" i="71"/>
  <c r="AC12" i="71" s="1"/>
  <c r="P12" i="73" s="1"/>
  <c r="Q12" i="73" s="1"/>
  <c r="R12" i="73" s="1"/>
  <c r="T12" i="73" s="1"/>
  <c r="X12" i="71"/>
  <c r="T4" i="72" l="1"/>
  <c r="T14" i="73"/>
  <c r="X10" i="74"/>
  <c r="R4" i="72"/>
  <c r="S12" i="73"/>
  <c r="V12" i="73" s="1"/>
  <c r="W12" i="73" s="1"/>
  <c r="S14" i="73"/>
  <c r="V14" i="73" s="1"/>
  <c r="W14" i="73" s="1"/>
  <c r="AB14" i="73" s="1"/>
  <c r="AC14" i="73" s="1"/>
  <c r="AB12" i="74"/>
  <c r="AC12" i="74" s="1"/>
  <c r="X12" i="74"/>
  <c r="AB19" i="74"/>
  <c r="AC19" i="74" s="1"/>
  <c r="X19" i="74"/>
  <c r="X17" i="74"/>
  <c r="AB17" i="74"/>
  <c r="AC17" i="74" s="1"/>
  <c r="AB18" i="74"/>
  <c r="AC18" i="74" s="1"/>
  <c r="X18" i="74"/>
  <c r="X11" i="74"/>
  <c r="AB11" i="74"/>
  <c r="AC11" i="74" s="1"/>
  <c r="AB14" i="74"/>
  <c r="AC14" i="74" s="1"/>
  <c r="X14" i="74"/>
  <c r="AB19" i="71"/>
  <c r="AC19" i="71" s="1"/>
  <c r="P19" i="73" s="1"/>
  <c r="Q19" i="73" s="1"/>
  <c r="R19" i="73" s="1"/>
  <c r="T19" i="73" s="1"/>
  <c r="X19" i="71"/>
  <c r="X10" i="71"/>
  <c r="AB10" i="71"/>
  <c r="AC10" i="71" s="1"/>
  <c r="P10" i="73" s="1"/>
  <c r="Q10" i="73" s="1"/>
  <c r="R10" i="73" s="1"/>
  <c r="T10" i="73" s="1"/>
  <c r="X17" i="71"/>
  <c r="AB17" i="71"/>
  <c r="AC17" i="71" s="1"/>
  <c r="P17" i="73" s="1"/>
  <c r="Q17" i="73" s="1"/>
  <c r="R17" i="73" s="1"/>
  <c r="T17" i="73" s="1"/>
  <c r="AB11" i="71"/>
  <c r="AC11" i="71" s="1"/>
  <c r="P11" i="73" s="1"/>
  <c r="Q11" i="73" s="1"/>
  <c r="R11" i="73" s="1"/>
  <c r="T11" i="73" s="1"/>
  <c r="X11" i="71"/>
  <c r="AB15" i="71"/>
  <c r="AC15" i="71" s="1"/>
  <c r="P15" i="73" s="1"/>
  <c r="Q15" i="73" s="1"/>
  <c r="R15" i="73" s="1"/>
  <c r="T15" i="73" s="1"/>
  <c r="X15" i="71"/>
  <c r="AB13" i="71"/>
  <c r="AC13" i="71" s="1"/>
  <c r="P13" i="73" s="1"/>
  <c r="Q13" i="73" s="1"/>
  <c r="R13" i="73" s="1"/>
  <c r="T13" i="73" s="1"/>
  <c r="X13" i="71"/>
  <c r="X18" i="71"/>
  <c r="AB18" i="71"/>
  <c r="AC18" i="71" s="1"/>
  <c r="P18" i="73" s="1"/>
  <c r="Q18" i="73" s="1"/>
  <c r="R18" i="73" s="1"/>
  <c r="T18" i="73" s="1"/>
  <c r="AB16" i="71"/>
  <c r="AC16" i="71" s="1"/>
  <c r="P16" i="73" s="1"/>
  <c r="Q16" i="73" s="1"/>
  <c r="R16" i="73" s="1"/>
  <c r="T16" i="73" s="1"/>
  <c r="X16" i="71"/>
  <c r="X14" i="73" l="1"/>
  <c r="S19" i="73"/>
  <c r="V19" i="73" s="1"/>
  <c r="W19" i="73" s="1"/>
  <c r="S4" i="72"/>
  <c r="S13" i="73"/>
  <c r="V13" i="73" s="1"/>
  <c r="W13" i="73" s="1"/>
  <c r="V4" i="72"/>
  <c r="S16" i="73"/>
  <c r="V16" i="73" s="1"/>
  <c r="W16" i="73" s="1"/>
  <c r="S11" i="73"/>
  <c r="V11" i="73" s="1"/>
  <c r="W11" i="73" s="1"/>
  <c r="Q4" i="72"/>
  <c r="S18" i="73"/>
  <c r="V18" i="73" s="1"/>
  <c r="W18" i="73" s="1"/>
  <c r="S17" i="73"/>
  <c r="V17" i="73" s="1"/>
  <c r="W17" i="73" s="1"/>
  <c r="AB12" i="73"/>
  <c r="AC12" i="73" s="1"/>
  <c r="X12" i="73"/>
  <c r="P4" i="72"/>
  <c r="S10" i="73"/>
  <c r="V10" i="73" s="1"/>
  <c r="W10" i="73" s="1"/>
  <c r="U4" i="72"/>
  <c r="S15" i="73"/>
  <c r="V15" i="73" s="1"/>
  <c r="W15" i="73" s="1"/>
  <c r="P3" i="72"/>
  <c r="AB13" i="73" l="1"/>
  <c r="AC13" i="73" s="1"/>
  <c r="X13" i="73"/>
  <c r="X17" i="73"/>
  <c r="AB17" i="73"/>
  <c r="AC17" i="73" s="1"/>
  <c r="X16" i="73"/>
  <c r="AB16" i="73"/>
  <c r="AC16" i="73" s="1"/>
  <c r="X18" i="73"/>
  <c r="AB18" i="73"/>
  <c r="AC18" i="73" s="1"/>
  <c r="X10" i="73"/>
  <c r="AB10" i="73"/>
  <c r="AC10" i="73" s="1"/>
  <c r="AB11" i="73"/>
  <c r="AC11" i="73" s="1"/>
  <c r="X11" i="73"/>
  <c r="AB15" i="73"/>
  <c r="AC15" i="73" s="1"/>
  <c r="X15" i="73"/>
  <c r="X19" i="73"/>
  <c r="AB19" i="73"/>
  <c r="AC19" i="73" s="1"/>
  <c r="H8" i="74"/>
  <c r="G8" i="74"/>
  <c r="F8" i="74"/>
  <c r="M8" i="74" s="1"/>
  <c r="E8" i="74"/>
  <c r="D8" i="74"/>
  <c r="C8" i="74"/>
  <c r="L8" i="74" s="1"/>
  <c r="P9" i="74" l="1"/>
  <c r="I9" i="74"/>
  <c r="N9" i="74" s="1"/>
  <c r="I8" i="73"/>
  <c r="N8" i="73" s="1"/>
  <c r="H9" i="73"/>
  <c r="H8" i="73"/>
  <c r="G9" i="73"/>
  <c r="G8" i="73"/>
  <c r="F9" i="73"/>
  <c r="F8" i="73"/>
  <c r="E9" i="73"/>
  <c r="E8" i="73"/>
  <c r="D9" i="73"/>
  <c r="D8" i="73"/>
  <c r="C9" i="73"/>
  <c r="C8" i="73"/>
  <c r="L8" i="73" s="1"/>
  <c r="J7" i="71"/>
  <c r="I7" i="71"/>
  <c r="H7" i="71"/>
  <c r="G7" i="71"/>
  <c r="F7" i="71"/>
  <c r="M7" i="71" s="1"/>
  <c r="E7" i="71"/>
  <c r="D7" i="71"/>
  <c r="C7" i="71"/>
  <c r="L7" i="71" s="1"/>
  <c r="M8" i="73" l="1"/>
  <c r="N7" i="71"/>
  <c r="Q9" i="74"/>
  <c r="R9" i="74" s="1"/>
  <c r="I9" i="73"/>
  <c r="N9" i="73" s="1"/>
  <c r="M9" i="73"/>
  <c r="L9" i="73"/>
  <c r="E9" i="71"/>
  <c r="J8" i="71"/>
  <c r="I8" i="71"/>
  <c r="N8" i="71" s="1"/>
  <c r="H8" i="71"/>
  <c r="G8" i="71"/>
  <c r="F8" i="71"/>
  <c r="D8" i="71"/>
  <c r="C8" i="71"/>
  <c r="B8" i="71"/>
  <c r="E8" i="71"/>
  <c r="B9" i="71"/>
  <c r="J9" i="71"/>
  <c r="B10" i="71"/>
  <c r="C10" i="71"/>
  <c r="D10" i="71"/>
  <c r="E10" i="71"/>
  <c r="F10" i="71"/>
  <c r="G10" i="71"/>
  <c r="H10" i="71"/>
  <c r="I10" i="71"/>
  <c r="J10" i="71"/>
  <c r="B11" i="71"/>
  <c r="C11" i="71"/>
  <c r="D11" i="71"/>
  <c r="E11" i="71"/>
  <c r="F11" i="71"/>
  <c r="M11" i="71" s="1"/>
  <c r="G11" i="71"/>
  <c r="H11" i="71"/>
  <c r="I11" i="71"/>
  <c r="N11" i="71" s="1"/>
  <c r="J11" i="71"/>
  <c r="B12" i="71"/>
  <c r="C12" i="71"/>
  <c r="D12" i="71"/>
  <c r="E12" i="71"/>
  <c r="F12" i="71"/>
  <c r="M12" i="71" s="1"/>
  <c r="G12" i="71"/>
  <c r="H12" i="71"/>
  <c r="I12" i="71"/>
  <c r="J12" i="71"/>
  <c r="B13" i="71"/>
  <c r="C13" i="71"/>
  <c r="L13" i="71" s="1"/>
  <c r="D13" i="71"/>
  <c r="E13" i="71"/>
  <c r="F13" i="71"/>
  <c r="G13" i="71"/>
  <c r="H13" i="71"/>
  <c r="I13" i="71"/>
  <c r="J13" i="71"/>
  <c r="B14" i="71"/>
  <c r="C14" i="71"/>
  <c r="D14" i="71"/>
  <c r="E14" i="71"/>
  <c r="F14" i="71"/>
  <c r="G14" i="71"/>
  <c r="H14" i="71"/>
  <c r="I14" i="71"/>
  <c r="J14" i="71"/>
  <c r="B15" i="71"/>
  <c r="C15" i="71"/>
  <c r="L15" i="71" s="1"/>
  <c r="D15" i="71"/>
  <c r="E15" i="71"/>
  <c r="F15" i="71"/>
  <c r="G15" i="71"/>
  <c r="H15" i="71"/>
  <c r="I15" i="71"/>
  <c r="N15" i="71" s="1"/>
  <c r="J15" i="71"/>
  <c r="B16" i="71"/>
  <c r="C16" i="71"/>
  <c r="D16" i="71"/>
  <c r="E16" i="71"/>
  <c r="F16" i="71"/>
  <c r="G16" i="71"/>
  <c r="H16" i="71"/>
  <c r="I16" i="71"/>
  <c r="N16" i="71" s="1"/>
  <c r="J16" i="71"/>
  <c r="B17" i="71"/>
  <c r="C17" i="71"/>
  <c r="L17" i="71" s="1"/>
  <c r="D17" i="71"/>
  <c r="E17" i="71"/>
  <c r="F17" i="71"/>
  <c r="G17" i="71"/>
  <c r="H17" i="71"/>
  <c r="I17" i="71"/>
  <c r="N17" i="71" s="1"/>
  <c r="J17" i="71"/>
  <c r="B18" i="71"/>
  <c r="C18" i="71"/>
  <c r="D18" i="71"/>
  <c r="E18" i="71"/>
  <c r="F18" i="71"/>
  <c r="G18" i="71"/>
  <c r="H18" i="71"/>
  <c r="I18" i="71"/>
  <c r="J18" i="71"/>
  <c r="B19" i="71"/>
  <c r="C19" i="71"/>
  <c r="D19" i="71"/>
  <c r="E19" i="71"/>
  <c r="F19" i="71"/>
  <c r="G19" i="71"/>
  <c r="H19" i="71"/>
  <c r="I19" i="71"/>
  <c r="J19" i="71"/>
  <c r="B7" i="71"/>
  <c r="L11" i="71" l="1"/>
  <c r="M16" i="71"/>
  <c r="L18" i="71"/>
  <c r="N19" i="71"/>
  <c r="M14" i="71"/>
  <c r="N14" i="71"/>
  <c r="N12" i="71"/>
  <c r="L16" i="71"/>
  <c r="N10" i="71"/>
  <c r="M18" i="71"/>
  <c r="M19" i="71"/>
  <c r="L14" i="71"/>
  <c r="L12" i="71"/>
  <c r="M10" i="71"/>
  <c r="N13" i="71"/>
  <c r="M17" i="71"/>
  <c r="L19" i="71"/>
  <c r="M15" i="71"/>
  <c r="L10" i="71"/>
  <c r="N18" i="71"/>
  <c r="M13" i="71"/>
  <c r="O5" i="72"/>
  <c r="T9" i="74"/>
  <c r="L8" i="71"/>
  <c r="M8" i="71"/>
  <c r="S9" i="74"/>
  <c r="V9" i="74" s="1"/>
  <c r="W9" i="74" s="1"/>
  <c r="X9" i="74" s="1"/>
  <c r="AB9" i="74" s="1"/>
  <c r="AC9" i="74" s="1"/>
  <c r="D9" i="71"/>
  <c r="C9" i="71"/>
  <c r="I9" i="71"/>
  <c r="N9" i="71" s="1"/>
  <c r="H9" i="71"/>
  <c r="G9" i="71"/>
  <c r="F9" i="71"/>
  <c r="M9" i="71" s="1"/>
  <c r="L9" i="71" l="1"/>
  <c r="S9" i="71"/>
  <c r="V9" i="71" s="1"/>
  <c r="W9" i="71" s="1"/>
  <c r="X9" i="71" l="1"/>
  <c r="AB9" i="71" s="1"/>
  <c r="AC9" i="71" s="1"/>
  <c r="P9" i="73" s="1"/>
  <c r="Q9" i="73" s="1"/>
  <c r="R9" i="73" s="1"/>
  <c r="T9" i="73" s="1"/>
  <c r="O4" i="72" l="1"/>
  <c r="S9" i="73"/>
  <c r="V9" i="73" s="1"/>
  <c r="W9" i="73" s="1"/>
  <c r="X9" i="73" s="1"/>
  <c r="AB9" i="73" s="1"/>
  <c r="AC9" i="73" s="1"/>
  <c r="C6" i="64"/>
  <c r="C5" i="64"/>
  <c r="B6" i="64"/>
  <c r="B5" i="64"/>
  <c r="D5" i="64" l="1"/>
  <c r="G5" i="64" s="1"/>
  <c r="P5" i="64" s="1"/>
  <c r="K7" i="71" s="1"/>
  <c r="D6" i="64"/>
  <c r="G6" i="64" s="1"/>
  <c r="P6" i="64" s="1"/>
  <c r="K8" i="71" s="1"/>
  <c r="P8" i="71" s="1"/>
  <c r="Q8" i="71" s="1"/>
  <c r="R8" i="71" s="1"/>
  <c r="N3" i="72" s="1"/>
  <c r="P7" i="71" l="1"/>
  <c r="Q7" i="71" s="1"/>
  <c r="R7" i="71" s="1"/>
  <c r="M3" i="72" s="1"/>
  <c r="J3" i="72" l="1"/>
  <c r="K3" i="72"/>
  <c r="I3" i="72"/>
  <c r="H3" i="72" s="1"/>
  <c r="S8" i="71" s="1"/>
  <c r="V8" i="71" s="1"/>
  <c r="W8" i="71" s="1"/>
  <c r="X8" i="71" s="1"/>
  <c r="AB8" i="71" s="1"/>
  <c r="S7" i="71" l="1"/>
  <c r="V7" i="71" s="1"/>
  <c r="W7" i="71" s="1"/>
  <c r="X7" i="71" s="1"/>
  <c r="AB7" i="71" s="1"/>
  <c r="AC8" i="71" s="1"/>
  <c r="T7" i="71"/>
  <c r="T8" i="71"/>
  <c r="H6" i="75" l="1"/>
  <c r="O6" i="75" s="1"/>
  <c r="J6" i="75"/>
  <c r="L6" i="75"/>
  <c r="AC7" i="71"/>
  <c r="E6" i="64"/>
  <c r="H6" i="64" s="1"/>
  <c r="N6" i="64"/>
  <c r="U6" i="75" l="1"/>
  <c r="R6" i="75"/>
  <c r="H5" i="75"/>
  <c r="L5" i="75"/>
  <c r="J5" i="75"/>
  <c r="R5" i="75" s="1"/>
  <c r="E5" i="64"/>
  <c r="H5" i="64" s="1"/>
  <c r="N5" i="64"/>
  <c r="O5" i="75" l="1"/>
  <c r="K6" i="64"/>
  <c r="Q6" i="64" s="1"/>
  <c r="K8" i="73" s="1"/>
  <c r="P8" i="73" s="1"/>
  <c r="Q8" i="73" s="1"/>
  <c r="R8" i="73" s="1"/>
  <c r="N4" i="72" s="1"/>
  <c r="U5" i="75"/>
  <c r="K5" i="64" l="1"/>
  <c r="Q5" i="64" s="1"/>
  <c r="K7" i="73" s="1"/>
  <c r="P7" i="73" s="1"/>
  <c r="Q7" i="73" s="1"/>
  <c r="R7" i="73" s="1"/>
  <c r="M4" i="72" s="1"/>
  <c r="I4" i="72" s="1"/>
  <c r="H4" i="72" s="1"/>
  <c r="T8" i="73" s="1"/>
  <c r="S8" i="73" l="1"/>
  <c r="V8" i="73" s="1"/>
  <c r="W8" i="73" s="1"/>
  <c r="X8" i="73" s="1"/>
  <c r="AB8" i="73" s="1"/>
  <c r="AC8" i="73" s="1"/>
  <c r="K4" i="72"/>
  <c r="J4" i="72"/>
  <c r="S7" i="73"/>
  <c r="V7" i="73" s="1"/>
  <c r="W7" i="73" s="1"/>
  <c r="X7" i="73" s="1"/>
  <c r="AB7" i="73" s="1"/>
  <c r="T7" i="73"/>
  <c r="AC7" i="73" l="1"/>
  <c r="M5" i="75" s="1"/>
  <c r="M6" i="75"/>
  <c r="V6" i="75" s="1"/>
  <c r="K6" i="75"/>
  <c r="S6" i="75" s="1"/>
  <c r="O6" i="64"/>
  <c r="I6" i="75"/>
  <c r="P6" i="75" s="1"/>
  <c r="F6" i="64"/>
  <c r="I6" i="64" s="1"/>
  <c r="F5" i="64" l="1"/>
  <c r="I5" i="64" s="1"/>
  <c r="K5" i="75"/>
  <c r="S5" i="75" s="1"/>
  <c r="I5" i="75"/>
  <c r="P5" i="75" s="1"/>
  <c r="O5" i="64"/>
  <c r="L6" i="64"/>
  <c r="R6" i="64" l="1"/>
  <c r="K8" i="74" s="1"/>
  <c r="P8" i="74" s="1"/>
  <c r="Q8" i="74" s="1"/>
  <c r="R8" i="74" s="1"/>
  <c r="N5" i="72" s="1"/>
  <c r="L5" i="64"/>
  <c r="R5" i="64" s="1"/>
  <c r="K7" i="74" s="1"/>
  <c r="P7" i="74" s="1"/>
  <c r="Q7" i="74" s="1"/>
  <c r="R7" i="74" s="1"/>
  <c r="M5" i="72" s="1"/>
  <c r="I5" i="72" l="1"/>
  <c r="H5" i="72" s="1"/>
  <c r="T8" i="74" s="1"/>
  <c r="J5" i="72"/>
  <c r="K5" i="72"/>
  <c r="S7" i="74"/>
  <c r="V7" i="74" s="1"/>
  <c r="W7" i="74" s="1"/>
  <c r="X7" i="74" s="1"/>
  <c r="AB7" i="74" s="1"/>
  <c r="T7" i="74"/>
  <c r="S8" i="74"/>
  <c r="V8" i="74" s="1"/>
  <c r="W8" i="74" s="1"/>
  <c r="X8" i="74" s="1"/>
  <c r="AB8" i="74" s="1"/>
  <c r="AC8" i="74" l="1"/>
  <c r="AC7" i="74"/>
</calcChain>
</file>

<file path=xl/sharedStrings.xml><?xml version="1.0" encoding="utf-8"?>
<sst xmlns="http://schemas.openxmlformats.org/spreadsheetml/2006/main" count="425" uniqueCount="95">
  <si>
    <t>Evaluación de propuestas y Adjudicación</t>
  </si>
  <si>
    <t>Orden de Adjudicación</t>
  </si>
  <si>
    <t>ID</t>
  </si>
  <si>
    <t>Proponente Provisión</t>
  </si>
  <si>
    <t>Proponentes de Provisión</t>
  </si>
  <si>
    <t>Listado de Proponentes</t>
  </si>
  <si>
    <t>Texto</t>
  </si>
  <si>
    <t xml:space="preserve">$ </t>
  </si>
  <si>
    <t>VPSistema</t>
  </si>
  <si>
    <t>Análisis de Capacidad</t>
  </si>
  <si>
    <t>Capacidad</t>
  </si>
  <si>
    <t>Mediana</t>
  </si>
  <si>
    <t>Cantidad</t>
  </si>
  <si>
    <t>Desviación Est.</t>
  </si>
  <si>
    <t>Verificación del Valor Presente Neto</t>
  </si>
  <si>
    <t>VP Referencia</t>
  </si>
  <si>
    <t>VP Bajo</t>
  </si>
  <si>
    <t>Dato 1</t>
  </si>
  <si>
    <t>Dato 2</t>
  </si>
  <si>
    <t>Dato 3</t>
  </si>
  <si>
    <t>Dato 4</t>
  </si>
  <si>
    <t>Dato 5</t>
  </si>
  <si>
    <t>Dato 6</t>
  </si>
  <si>
    <t>Dato 7</t>
  </si>
  <si>
    <t>Dato 8</t>
  </si>
  <si>
    <t>Listado de Propuestas Habilitadas</t>
  </si>
  <si>
    <t>Listado de Propuestas Definitivas</t>
  </si>
  <si>
    <t>Proponentes</t>
  </si>
  <si>
    <t>Lote 1</t>
  </si>
  <si>
    <t>Lote 2</t>
  </si>
  <si>
    <t>Valor mínimo a acreditar</t>
  </si>
  <si>
    <t>Lote 3</t>
  </si>
  <si>
    <t>FORMATO EVALUACIÓN ECONÓMICA</t>
  </si>
  <si>
    <t>Lote</t>
  </si>
  <si>
    <t>DESCUENTO</t>
  </si>
  <si>
    <t>Nombre de Proponente</t>
  </si>
  <si>
    <t>SIP2HL: Suministro e instalación de puerta automática de 2 hojas. IVA Incluido</t>
  </si>
  <si>
    <t>SIP4HL: Suministro e instalación de puerta automática de 4 hojas. IVA Incluido</t>
  </si>
  <si>
    <t>SITSBL: Suministro de solución ITS y Botón de emergencia por estación. IVA Incluido</t>
  </si>
  <si>
    <t>TMMP2HL: Tarifa mes mantenimiento puerta automática de 2 hojas. IVA Incluido</t>
  </si>
  <si>
    <t>TMMP4HL: Tarifa mes mantenimiento puerta automática de 4 hojas. IVA Incluido</t>
  </si>
  <si>
    <t>TMMITSL: Tarifa mes mantenimiento solución ITS por estación. IVA Incluido</t>
  </si>
  <si>
    <t>PEL: Pago unitario por entrada a través de las puertas instaladas en el sistema durante el Mes.</t>
  </si>
  <si>
    <t>OEL: Nivel base de evasión en porcentaje, ofertado por el contratista en su propuesta.</t>
  </si>
  <si>
    <t>Porcentaje</t>
  </si>
  <si>
    <t>CANTP2H</t>
  </si>
  <si>
    <t>CANTP4H</t>
  </si>
  <si>
    <t>CANTEstaciones</t>
  </si>
  <si>
    <t>NEMT</t>
  </si>
  <si>
    <t>VAL</t>
  </si>
  <si>
    <t>Total</t>
  </si>
  <si>
    <t>VPSum</t>
  </si>
  <si>
    <t>No</t>
  </si>
  <si>
    <t>VPMant</t>
  </si>
  <si>
    <t>gmant</t>
  </si>
  <si>
    <t>PPE</t>
  </si>
  <si>
    <t>gevasion</t>
  </si>
  <si>
    <t>Verificación PE y OE</t>
  </si>
  <si>
    <t>VPSistemaEST</t>
  </si>
  <si>
    <t>Verificar VPMant</t>
  </si>
  <si>
    <t>No.</t>
  </si>
  <si>
    <t>VP Reserva TMSA</t>
  </si>
  <si>
    <t>Dato 9</t>
  </si>
  <si>
    <t>Dato 10</t>
  </si>
  <si>
    <t>No Necesaria</t>
  </si>
  <si>
    <t>Resultado Aclaración</t>
  </si>
  <si>
    <t>Se requiere Aclaración</t>
  </si>
  <si>
    <t>Número</t>
  </si>
  <si>
    <t>Asignación de Puntaje Económico</t>
  </si>
  <si>
    <t>MVS</t>
  </si>
  <si>
    <t>IN</t>
  </si>
  <si>
    <t>DI</t>
  </si>
  <si>
    <t>Asignación de Puntaje Propuesta Definitiva</t>
  </si>
  <si>
    <t>Determinación del Orden de Elegibilidad Final</t>
  </si>
  <si>
    <t>Archivo de evaluación</t>
  </si>
  <si>
    <t>ASSA ABLOY</t>
  </si>
  <si>
    <t>CONSORC NAUTILUS</t>
  </si>
  <si>
    <t>Vr. Recursos líquidos garantizados</t>
  </si>
  <si>
    <t>Valor a acreditar</t>
  </si>
  <si>
    <t>Capacidad Financiera</t>
  </si>
  <si>
    <t>Experiencia</t>
  </si>
  <si>
    <t>Se ganó uno antes</t>
  </si>
  <si>
    <t>Capacidad remanente</t>
  </si>
  <si>
    <t>Resultado final</t>
  </si>
  <si>
    <t>PRESUPUESTO OFICIAL</t>
  </si>
  <si>
    <t>Satisfactoria</t>
  </si>
  <si>
    <t>Experiencia A</t>
  </si>
  <si>
    <t>Experiencia B</t>
  </si>
  <si>
    <t>VALOR TOTAL A ACREDITAR POR LOTE EXPERIENCIA TOTAL (50%)</t>
  </si>
  <si>
    <t>VALOR MÍNIMO A ACREDITAR POR LOTE EXPERIENCIA A (35%)</t>
  </si>
  <si>
    <t>VALOR MÍNIMO A ACREDITAR POR LOTE EXPERIENCIA B (5%)</t>
  </si>
  <si>
    <t>Requerimiento</t>
  </si>
  <si>
    <r>
      <t xml:space="preserve">Archivo soporte para la evaluación de propuestas y adjudicación del PROCESO DE SELECCIÓN
POR LICITACION PÚBLICA No. TMSA-LP-12-2021
Fecha: </t>
    </r>
    <r>
      <rPr>
        <sz val="28"/>
        <color rgb="FFFF0000"/>
        <rFont val="Calibri"/>
        <family val="2"/>
        <scheme val="minor"/>
      </rPr>
      <t xml:space="preserve">21/12/2021 </t>
    </r>
  </si>
  <si>
    <t>Proponente</t>
  </si>
  <si>
    <t>Cumplimiento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</si>
</sst>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-&quot;$&quot;* #,##0_-;\-&quot;$&quot;* #,##0_-;_-&quot;$&quot;* &quot;-&quot;??_-;_-@_-"/>
    <numFmt numFmtId="167" formatCode="_-* #,##0_-;\-* #,##0_-;_-* &quot;-&quot;??_-;_-@_-"/>
    <numFmt numFmtId="168" formatCode="0.0%"/>
    <numFmt numFmtId="169" formatCode="_-&quot;$&quot;\ * #,##0.00_-;\-&quot;$&quot;\ * #,##0.00_-;_-&quot;$&quot;\ * &quot;-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11"/>
      <name val="Calibri"/>
      <family val="2"/>
      <scheme val="minor"/>
    </font>
    <font>
      <sz val="24"/>
      <color theme="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4.9989318521683403E-2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/>
      <diagonal/>
    </border>
    <border>
      <left style="thin">
        <color indexed="64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/>
      <diagonal/>
    </border>
    <border>
      <left/>
      <right style="thin">
        <color theme="0" tint="-4.9989318521683403E-2"/>
      </right>
      <top/>
      <bottom style="thin">
        <color indexed="64"/>
      </bottom>
      <diagonal/>
    </border>
  </borders>
  <cellStyleXfs count="8">
    <xf numFmtId="0" fontId="0" fillId="0" borderId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6" fillId="0" borderId="0" xfId="0" applyFont="1" applyAlignme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6" fontId="0" fillId="0" borderId="1" xfId="4" applyNumberFormat="1" applyFont="1" applyBorder="1"/>
    <xf numFmtId="164" fontId="0" fillId="0" borderId="1" xfId="4" applyFont="1" applyBorder="1"/>
    <xf numFmtId="164" fontId="0" fillId="2" borderId="1" xfId="4" applyFont="1" applyFill="1" applyBorder="1"/>
    <xf numFmtId="0" fontId="0" fillId="0" borderId="0" xfId="0" applyProtection="1"/>
    <xf numFmtId="0" fontId="4" fillId="3" borderId="5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3" fillId="9" borderId="1" xfId="0" applyFont="1" applyFill="1" applyBorder="1" applyAlignment="1">
      <alignment horizontal="center"/>
    </xf>
    <xf numFmtId="0" fontId="0" fillId="0" borderId="0" xfId="0"/>
    <xf numFmtId="164" fontId="0" fillId="0" borderId="0" xfId="4" applyFont="1"/>
    <xf numFmtId="0" fontId="4" fillId="11" borderId="0" xfId="0" applyFont="1" applyFill="1"/>
    <xf numFmtId="0" fontId="0" fillId="12" borderId="0" xfId="0" applyFill="1"/>
    <xf numFmtId="0" fontId="0" fillId="0" borderId="0" xfId="0" applyFill="1"/>
    <xf numFmtId="167" fontId="0" fillId="0" borderId="0" xfId="3" applyNumberFormat="1" applyFont="1"/>
    <xf numFmtId="43" fontId="0" fillId="0" borderId="0" xfId="0" applyNumberFormat="1" applyProtection="1"/>
    <xf numFmtId="0" fontId="16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0" fontId="18" fillId="0" borderId="1" xfId="0" applyFont="1" applyBorder="1" applyAlignment="1">
      <alignment horizontal="center" vertical="center" wrapText="1"/>
    </xf>
    <xf numFmtId="167" fontId="18" fillId="0" borderId="1" xfId="3" applyNumberFormat="1" applyFont="1" applyBorder="1" applyAlignment="1">
      <alignment horizontal="center" vertical="center" wrapText="1"/>
    </xf>
    <xf numFmtId="167" fontId="17" fillId="7" borderId="1" xfId="3" applyNumberFormat="1" applyFont="1" applyFill="1" applyBorder="1" applyAlignment="1">
      <alignment horizontal="center" vertical="center" wrapText="1"/>
    </xf>
    <xf numFmtId="0" fontId="3" fillId="4" borderId="1" xfId="0" applyFont="1" applyFill="1" applyBorder="1"/>
    <xf numFmtId="0" fontId="16" fillId="7" borderId="1" xfId="0" applyFont="1" applyFill="1" applyBorder="1" applyAlignment="1">
      <alignment vertical="top" wrapText="1"/>
    </xf>
    <xf numFmtId="0" fontId="16" fillId="0" borderId="1" xfId="0" applyFont="1" applyBorder="1" applyAlignment="1">
      <alignment horizontal="center" vertical="center" wrapText="1"/>
    </xf>
    <xf numFmtId="6" fontId="14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4" fillId="0" borderId="3" xfId="0" applyFont="1" applyFill="1" applyBorder="1" applyAlignment="1"/>
    <xf numFmtId="0" fontId="4" fillId="3" borderId="5" xfId="0" applyFont="1" applyFill="1" applyBorder="1" applyAlignment="1" applyProtection="1">
      <alignment horizontal="center" vertical="center"/>
    </xf>
    <xf numFmtId="42" fontId="0" fillId="0" borderId="1" xfId="1" applyFont="1" applyBorder="1" applyProtection="1"/>
    <xf numFmtId="0" fontId="16" fillId="7" borderId="1" xfId="0" applyFont="1" applyFill="1" applyBorder="1" applyAlignment="1">
      <alignment horizontal="center" vertical="top" wrapText="1"/>
    </xf>
    <xf numFmtId="6" fontId="0" fillId="0" borderId="0" xfId="0" applyNumberFormat="1"/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0" fillId="16" borderId="1" xfId="0" applyFill="1" applyBorder="1"/>
    <xf numFmtId="0" fontId="4" fillId="3" borderId="17" xfId="0" applyFont="1" applyFill="1" applyBorder="1" applyAlignment="1" applyProtection="1">
      <alignment horizontal="center" vertical="center" wrapText="1"/>
    </xf>
    <xf numFmtId="0" fontId="0" fillId="2" borderId="1" xfId="0" applyFill="1" applyBorder="1" applyProtection="1"/>
    <xf numFmtId="166" fontId="0" fillId="2" borderId="1" xfId="4" applyNumberFormat="1" applyFont="1" applyFill="1" applyBorder="1" applyProtection="1"/>
    <xf numFmtId="0" fontId="3" fillId="17" borderId="1" xfId="0" applyFont="1" applyFill="1" applyBorder="1" applyAlignment="1" applyProtection="1">
      <alignment horizontal="center"/>
    </xf>
    <xf numFmtId="166" fontId="0" fillId="0" borderId="1" xfId="0" applyNumberFormat="1" applyFill="1" applyBorder="1" applyProtection="1"/>
    <xf numFmtId="6" fontId="0" fillId="0" borderId="1" xfId="0" applyNumberFormat="1" applyBorder="1" applyProtection="1"/>
    <xf numFmtId="166" fontId="0" fillId="0" borderId="0" xfId="4" applyNumberFormat="1" applyFont="1" applyProtection="1"/>
    <xf numFmtId="166" fontId="0" fillId="0" borderId="0" xfId="0" applyNumberFormat="1" applyProtection="1"/>
    <xf numFmtId="6" fontId="0" fillId="0" borderId="0" xfId="0" applyNumberFormat="1" applyProtection="1"/>
    <xf numFmtId="166" fontId="0" fillId="2" borderId="1" xfId="4" applyNumberFormat="1" applyFont="1" applyFill="1" applyBorder="1" applyAlignment="1" applyProtection="1">
      <alignment vertic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Continuous"/>
    </xf>
    <xf numFmtId="0" fontId="10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Continuous"/>
    </xf>
    <xf numFmtId="0" fontId="11" fillId="4" borderId="1" xfId="0" applyFont="1" applyFill="1" applyBorder="1" applyProtection="1"/>
    <xf numFmtId="0" fontId="8" fillId="0" borderId="0" xfId="0" applyFont="1" applyProtection="1"/>
    <xf numFmtId="0" fontId="11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42" fontId="0" fillId="2" borderId="1" xfId="1" applyFont="1" applyFill="1" applyBorder="1" applyAlignment="1" applyProtection="1">
      <alignment horizontal="center"/>
    </xf>
    <xf numFmtId="10" fontId="0" fillId="2" borderId="1" xfId="7" applyNumberFormat="1" applyFont="1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42" fontId="0" fillId="5" borderId="1" xfId="1" applyFont="1" applyFill="1" applyBorder="1" applyAlignment="1" applyProtection="1">
      <alignment horizontal="center"/>
    </xf>
    <xf numFmtId="10" fontId="0" fillId="5" borderId="1" xfId="7" applyNumberFormat="1" applyFont="1" applyFill="1" applyBorder="1" applyAlignment="1" applyProtection="1">
      <alignment horizontal="center"/>
    </xf>
    <xf numFmtId="168" fontId="0" fillId="2" borderId="1" xfId="7" applyNumberFormat="1" applyFont="1" applyFill="1" applyBorder="1" applyAlignment="1" applyProtection="1">
      <alignment horizontal="center"/>
    </xf>
    <xf numFmtId="168" fontId="0" fillId="5" borderId="1" xfId="7" applyNumberFormat="1" applyFont="1" applyFill="1" applyBorder="1" applyAlignment="1" applyProtection="1">
      <alignment horizont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0" fillId="10" borderId="1" xfId="0" applyFill="1" applyBorder="1" applyProtection="1"/>
    <xf numFmtId="169" fontId="0" fillId="13" borderId="1" xfId="0" applyNumberFormat="1" applyFill="1" applyBorder="1" applyProtection="1"/>
    <xf numFmtId="169" fontId="0" fillId="13" borderId="1" xfId="4" applyNumberFormat="1" applyFont="1" applyFill="1" applyBorder="1" applyProtection="1"/>
    <xf numFmtId="43" fontId="0" fillId="13" borderId="1" xfId="3" applyFont="1" applyFill="1" applyBorder="1" applyProtection="1"/>
    <xf numFmtId="167" fontId="0" fillId="2" borderId="1" xfId="3" applyNumberFormat="1" applyFont="1" applyFill="1" applyBorder="1" applyAlignment="1" applyProtection="1">
      <alignment horizontal="center"/>
    </xf>
    <xf numFmtId="43" fontId="0" fillId="0" borderId="1" xfId="3" applyNumberFormat="1" applyFont="1" applyBorder="1" applyProtection="1"/>
    <xf numFmtId="0" fontId="0" fillId="6" borderId="1" xfId="0" applyFill="1" applyBorder="1" applyProtection="1"/>
    <xf numFmtId="0" fontId="0" fillId="15" borderId="1" xfId="0" applyFill="1" applyBorder="1" applyProtection="1"/>
    <xf numFmtId="169" fontId="0" fillId="14" borderId="1" xfId="0" applyNumberFormat="1" applyFill="1" applyBorder="1" applyProtection="1"/>
    <xf numFmtId="169" fontId="0" fillId="14" borderId="1" xfId="4" applyNumberFormat="1" applyFont="1" applyFill="1" applyBorder="1" applyProtection="1"/>
    <xf numFmtId="43" fontId="0" fillId="14" borderId="1" xfId="3" applyFont="1" applyFill="1" applyBorder="1" applyProtection="1"/>
    <xf numFmtId="167" fontId="0" fillId="5" borderId="1" xfId="3" applyNumberFormat="1" applyFont="1" applyFill="1" applyBorder="1" applyAlignment="1" applyProtection="1">
      <alignment horizontal="center"/>
    </xf>
    <xf numFmtId="0" fontId="0" fillId="11" borderId="1" xfId="0" applyFill="1" applyBorder="1" applyProtection="1"/>
    <xf numFmtId="167" fontId="0" fillId="2" borderId="1" xfId="1" applyNumberFormat="1" applyFont="1" applyFill="1" applyBorder="1" applyAlignment="1" applyProtection="1">
      <alignment horizontal="center"/>
    </xf>
    <xf numFmtId="167" fontId="0" fillId="5" borderId="1" xfId="1" applyNumberFormat="1" applyFont="1" applyFill="1" applyBorder="1" applyAlignment="1" applyProtection="1">
      <alignment horizontal="center"/>
    </xf>
    <xf numFmtId="164" fontId="0" fillId="0" borderId="0" xfId="4" applyFont="1" applyProtection="1"/>
    <xf numFmtId="44" fontId="0" fillId="0" borderId="0" xfId="0" applyNumberFormat="1" applyProtection="1"/>
    <xf numFmtId="42" fontId="0" fillId="0" borderId="0" xfId="0" applyNumberFormat="1" applyProtection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3" borderId="7" xfId="0" applyFont="1" applyFill="1" applyBorder="1" applyAlignment="1" applyProtection="1">
      <alignment horizontal="center"/>
    </xf>
    <xf numFmtId="0" fontId="4" fillId="3" borderId="8" xfId="0" applyFont="1" applyFill="1" applyBorder="1" applyAlignment="1" applyProtection="1">
      <alignment horizontal="center"/>
    </xf>
    <xf numFmtId="0" fontId="4" fillId="3" borderId="9" xfId="0" applyFont="1" applyFill="1" applyBorder="1" applyAlignment="1" applyProtection="1">
      <alignment horizontal="center"/>
    </xf>
    <xf numFmtId="0" fontId="9" fillId="3" borderId="0" xfId="0" applyFont="1" applyFill="1" applyAlignment="1" applyProtection="1">
      <alignment horizontal="center"/>
    </xf>
    <xf numFmtId="0" fontId="4" fillId="3" borderId="10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/>
    </xf>
    <xf numFmtId="0" fontId="4" fillId="3" borderId="15" xfId="0" applyFont="1" applyFill="1" applyBorder="1" applyAlignment="1" applyProtection="1">
      <alignment horizontal="center"/>
    </xf>
    <xf numFmtId="0" fontId="4" fillId="3" borderId="16" xfId="0" applyFont="1" applyFill="1" applyBorder="1" applyAlignment="1" applyProtection="1">
      <alignment horizontal="center"/>
    </xf>
    <xf numFmtId="0" fontId="4" fillId="3" borderId="18" xfId="0" applyFont="1" applyFill="1" applyBorder="1" applyAlignment="1" applyProtection="1">
      <alignment horizontal="center" vertical="center"/>
    </xf>
    <xf numFmtId="0" fontId="4" fillId="3" borderId="19" xfId="0" applyFont="1" applyFill="1" applyBorder="1" applyAlignment="1" applyProtection="1">
      <alignment horizontal="center" vertical="center"/>
    </xf>
    <xf numFmtId="0" fontId="4" fillId="3" borderId="13" xfId="0" applyFont="1" applyFill="1" applyBorder="1" applyAlignment="1" applyProtection="1">
      <alignment horizontal="center"/>
    </xf>
    <xf numFmtId="0" fontId="4" fillId="3" borderId="12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Alignment="1" applyProtection="1">
      <alignment horizontal="center"/>
    </xf>
    <xf numFmtId="0" fontId="11" fillId="0" borderId="1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/>
    </xf>
    <xf numFmtId="0" fontId="11" fillId="4" borderId="1" xfId="0" applyFont="1" applyFill="1" applyBorder="1" applyAlignment="1" applyProtection="1">
      <alignment horizontal="center"/>
    </xf>
    <xf numFmtId="0" fontId="0" fillId="0" borderId="6" xfId="0" applyBorder="1" applyAlignment="1">
      <alignment horizontal="center"/>
    </xf>
    <xf numFmtId="0" fontId="9" fillId="3" borderId="0" xfId="0" applyFont="1" applyFill="1" applyAlignment="1">
      <alignment horizontal="center"/>
    </xf>
    <xf numFmtId="0" fontId="4" fillId="12" borderId="3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</cellXfs>
  <cellStyles count="8">
    <cellStyle name="Millares" xfId="3" builtinId="3"/>
    <cellStyle name="Millares [0] 2" xfId="5" xr:uid="{00000000-0005-0000-0000-000002000000}"/>
    <cellStyle name="Millares 2" xfId="2" xr:uid="{00000000-0005-0000-0000-000003000000}"/>
    <cellStyle name="Moneda" xfId="4" builtinId="4"/>
    <cellStyle name="Moneda [0]" xfId="1" builtinId="7"/>
    <cellStyle name="Normal" xfId="0" builtinId="0"/>
    <cellStyle name="Porcentaje" xfId="7" builtinId="5"/>
    <cellStyle name="Porcentual 2" xfId="6" xr:uid="{00000000-0005-0000-0000-000007000000}"/>
  </cellStyles>
  <dxfs count="0"/>
  <tableStyles count="0" defaultTableStyle="TableStyleMedium2" defaultPivotStyle="PivotStyleLight16"/>
  <colors>
    <mruColors>
      <color rgb="FF002060"/>
      <color rgb="FF5B9BD5"/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11206</xdr:colOff>
      <xdr:row>4</xdr:row>
      <xdr:rowOff>2061882</xdr:rowOff>
    </xdr:from>
    <xdr:to>
      <xdr:col>14</xdr:col>
      <xdr:colOff>266071</xdr:colOff>
      <xdr:row>4</xdr:row>
      <xdr:rowOff>3230240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3C35C7-5274-4832-963A-5725D3FE5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9206" y="3092823"/>
          <a:ext cx="4064865" cy="1168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5"/>
  <sheetViews>
    <sheetView zoomScale="85" zoomScaleNormal="85" workbookViewId="0">
      <selection activeCell="A2" sqref="A2:O2"/>
    </sheetView>
  </sheetViews>
  <sheetFormatPr baseColWidth="10" defaultRowHeight="15" x14ac:dyDescent="0.25"/>
  <cols>
    <col min="1" max="16384" width="11.42578125" style="15"/>
  </cols>
  <sheetData>
    <row r="2" spans="1:16" ht="36" x14ac:dyDescent="0.55000000000000004">
      <c r="A2" s="90" t="s">
        <v>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1"/>
    </row>
    <row r="5" spans="1:16" ht="273.75" customHeight="1" x14ac:dyDescent="0.25">
      <c r="A5" s="89" t="s">
        <v>92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</row>
  </sheetData>
  <sheetProtection algorithmName="SHA-512" hashValue="/G2H04tKmEgRDMPHCV+M3EP5QbEXaH/zJ2aQfTx53khcqjaRY8MznFsXTeUS4pHSuTbh9lAPRv3jJssMRPmCqQ==" saltValue="PoNR8/MFR+kpRYUiGyliEg==" spinCount="100000" sheet="1" objects="1" scenarios="1"/>
  <mergeCells count="2">
    <mergeCell ref="A5:O5"/>
    <mergeCell ref="A2:O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topLeftCell="A4" zoomScale="160" zoomScaleNormal="160" workbookViewId="0">
      <selection activeCell="B6" sqref="B6"/>
    </sheetView>
  </sheetViews>
  <sheetFormatPr baseColWidth="10" defaultColWidth="11.42578125" defaultRowHeight="15" x14ac:dyDescent="0.25"/>
  <cols>
    <col min="1" max="1" width="11.42578125" style="11"/>
    <col min="2" max="2" width="37.85546875" style="11" customWidth="1"/>
    <col min="3" max="3" width="31" style="11" customWidth="1"/>
    <col min="4" max="4" width="22.42578125" style="11" customWidth="1"/>
    <col min="5" max="5" width="19.7109375" style="11" bestFit="1" customWidth="1"/>
    <col min="6" max="6" width="20.28515625" style="11" bestFit="1" customWidth="1"/>
    <col min="7" max="7" width="18.28515625" style="11" customWidth="1"/>
    <col min="8" max="13" width="16.7109375" style="11" bestFit="1" customWidth="1"/>
    <col min="14" max="14" width="16.7109375" style="11" customWidth="1"/>
    <col min="15" max="18" width="16.7109375" style="11" bestFit="1" customWidth="1"/>
    <col min="19" max="19" width="16.85546875" style="11" customWidth="1"/>
    <col min="20" max="22" width="16.7109375" style="11" bestFit="1" customWidth="1"/>
    <col min="23" max="30" width="17" style="11" customWidth="1"/>
    <col min="31" max="34" width="14.85546875" style="11" customWidth="1"/>
    <col min="35" max="16384" width="11.42578125" style="11"/>
  </cols>
  <sheetData>
    <row r="1" spans="1:6" ht="31.5" x14ac:dyDescent="0.5">
      <c r="A1" s="94" t="s">
        <v>5</v>
      </c>
      <c r="B1" s="94"/>
      <c r="C1" s="94"/>
    </row>
    <row r="3" spans="1:6" x14ac:dyDescent="0.25">
      <c r="A3" s="91" t="s">
        <v>27</v>
      </c>
      <c r="B3" s="92"/>
      <c r="C3" s="92"/>
      <c r="D3" s="91" t="s">
        <v>30</v>
      </c>
      <c r="E3" s="92"/>
      <c r="F3" s="93"/>
    </row>
    <row r="4" spans="1:6" ht="76.5" customHeight="1" x14ac:dyDescent="0.25">
      <c r="A4" s="34" t="s">
        <v>2</v>
      </c>
      <c r="B4" s="34" t="s">
        <v>3</v>
      </c>
      <c r="C4" s="12" t="s">
        <v>77</v>
      </c>
      <c r="D4" s="12" t="s">
        <v>28</v>
      </c>
      <c r="E4" s="12" t="s">
        <v>29</v>
      </c>
      <c r="F4" s="12" t="s">
        <v>31</v>
      </c>
    </row>
    <row r="5" spans="1:6" x14ac:dyDescent="0.25">
      <c r="A5" s="13">
        <v>1</v>
      </c>
      <c r="B5" s="42" t="s">
        <v>75</v>
      </c>
      <c r="C5" s="43">
        <v>6668743200</v>
      </c>
      <c r="D5" s="35">
        <f>Cantidades!$D$19*8.4%</f>
        <v>1997188472.9160001</v>
      </c>
      <c r="E5" s="35">
        <f>Cantidades!$D$20*8.4%</f>
        <v>1765478108.4360001</v>
      </c>
      <c r="F5" s="35">
        <f>Cantidades!$D$21*8.4%</f>
        <v>1529333418.648</v>
      </c>
    </row>
    <row r="6" spans="1:6" x14ac:dyDescent="0.25">
      <c r="A6" s="13">
        <v>2</v>
      </c>
      <c r="B6" s="42" t="s">
        <v>76</v>
      </c>
      <c r="C6" s="43">
        <v>3788000000</v>
      </c>
      <c r="D6" s="35">
        <f>Cantidades!$D$19*8.4%</f>
        <v>1997188472.9160001</v>
      </c>
      <c r="E6" s="35">
        <f>Cantidades!$D$20*8.4%</f>
        <v>1765478108.4360001</v>
      </c>
      <c r="F6" s="35">
        <f>Cantidades!$D$21*8.4%</f>
        <v>1529333418.648</v>
      </c>
    </row>
    <row r="8" spans="1:6" x14ac:dyDescent="0.25">
      <c r="D8" s="21"/>
    </row>
  </sheetData>
  <sheetProtection algorithmName="SHA-512" hashValue="VGkGL4yHOZDc2WWWPXkfD8CNPTZ33CRkKAmrKVr848kfFNYfWgDuGHSCpJrcVRVMyZugXBfreenryddRm8nSxw==" saltValue="f3RAQIZg/OymH2gmg3PHhg==" spinCount="100000" sheet="1" objects="1" scenarios="1"/>
  <mergeCells count="3">
    <mergeCell ref="D3:F3"/>
    <mergeCell ref="A1:C1"/>
    <mergeCell ref="A3:C3"/>
  </mergeCells>
  <phoneticPr fontId="13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9916A-2FED-4E49-9E6A-897C42670E59}">
  <dimension ref="A2:V16"/>
  <sheetViews>
    <sheetView zoomScale="130" zoomScaleNormal="130" workbookViewId="0">
      <selection activeCell="D12" sqref="D12"/>
    </sheetView>
  </sheetViews>
  <sheetFormatPr baseColWidth="10" defaultRowHeight="15" x14ac:dyDescent="0.25"/>
  <cols>
    <col min="1" max="1" width="20.42578125" style="11" bestFit="1" customWidth="1"/>
    <col min="2" max="2" width="18.85546875" style="11" bestFit="1" customWidth="1"/>
    <col min="3" max="3" width="23" style="11" customWidth="1"/>
    <col min="4" max="4" width="11.42578125" style="11"/>
    <col min="5" max="5" width="18.85546875" style="11" bestFit="1" customWidth="1"/>
    <col min="6" max="6" width="11.42578125" style="11"/>
    <col min="7" max="7" width="19" style="11" bestFit="1" customWidth="1"/>
    <col min="8" max="9" width="17.140625" style="11" bestFit="1" customWidth="1"/>
    <col min="10" max="10" width="16.140625" style="11" bestFit="1" customWidth="1"/>
    <col min="11" max="11" width="15.140625" style="11" bestFit="1" customWidth="1"/>
    <col min="12" max="12" width="16.140625" style="11" bestFit="1" customWidth="1"/>
    <col min="13" max="15" width="15.140625" style="11" bestFit="1" customWidth="1"/>
    <col min="16" max="16" width="13.5703125" style="11" bestFit="1" customWidth="1"/>
    <col min="17" max="22" width="9.28515625" style="11" bestFit="1" customWidth="1"/>
    <col min="23" max="16384" width="11.42578125" style="11"/>
  </cols>
  <sheetData>
    <row r="2" spans="1:22" x14ac:dyDescent="0.25">
      <c r="G2" s="100" t="s">
        <v>93</v>
      </c>
      <c r="H2" s="91" t="s">
        <v>91</v>
      </c>
      <c r="I2" s="92"/>
      <c r="J2" s="92"/>
      <c r="K2" s="92"/>
      <c r="L2" s="92"/>
      <c r="M2" s="102"/>
      <c r="N2" s="97" t="s">
        <v>94</v>
      </c>
      <c r="O2" s="98"/>
      <c r="P2" s="98"/>
      <c r="Q2" s="98"/>
      <c r="R2" s="98"/>
      <c r="S2" s="98"/>
      <c r="T2" s="98"/>
      <c r="U2" s="98"/>
      <c r="V2" s="99"/>
    </row>
    <row r="3" spans="1:22" ht="38.25" customHeight="1" x14ac:dyDescent="0.25">
      <c r="G3" s="100"/>
      <c r="H3" s="105" t="s">
        <v>88</v>
      </c>
      <c r="I3" s="105"/>
      <c r="J3" s="105" t="s">
        <v>89</v>
      </c>
      <c r="K3" s="105"/>
      <c r="L3" s="105" t="s">
        <v>90</v>
      </c>
      <c r="M3" s="105"/>
      <c r="N3" s="95" t="s">
        <v>88</v>
      </c>
      <c r="O3" s="95"/>
      <c r="P3" s="95"/>
      <c r="Q3" s="95" t="s">
        <v>89</v>
      </c>
      <c r="R3" s="95"/>
      <c r="S3" s="95"/>
      <c r="T3" s="95" t="s">
        <v>90</v>
      </c>
      <c r="U3" s="95"/>
      <c r="V3" s="95"/>
    </row>
    <row r="4" spans="1:22" x14ac:dyDescent="0.25">
      <c r="G4" s="101"/>
      <c r="H4" s="41" t="s">
        <v>28</v>
      </c>
      <c r="I4" s="41" t="s">
        <v>29</v>
      </c>
      <c r="J4" s="41" t="s">
        <v>28</v>
      </c>
      <c r="K4" s="41" t="s">
        <v>29</v>
      </c>
      <c r="L4" s="41" t="s">
        <v>28</v>
      </c>
      <c r="M4" s="41" t="s">
        <v>29</v>
      </c>
      <c r="N4" s="41" t="s">
        <v>28</v>
      </c>
      <c r="O4" s="41" t="s">
        <v>29</v>
      </c>
      <c r="P4" s="41" t="s">
        <v>31</v>
      </c>
      <c r="Q4" s="41" t="s">
        <v>28</v>
      </c>
      <c r="R4" s="41" t="s">
        <v>29</v>
      </c>
      <c r="S4" s="41" t="s">
        <v>31</v>
      </c>
      <c r="T4" s="41" t="s">
        <v>28</v>
      </c>
      <c r="U4" s="41" t="s">
        <v>29</v>
      </c>
      <c r="V4" s="41" t="s">
        <v>31</v>
      </c>
    </row>
    <row r="5" spans="1:22" x14ac:dyDescent="0.25">
      <c r="A5" s="44" t="s">
        <v>93</v>
      </c>
      <c r="B5" s="44" t="s">
        <v>86</v>
      </c>
      <c r="C5" s="44" t="s">
        <v>87</v>
      </c>
      <c r="G5" s="13" t="s">
        <v>75</v>
      </c>
      <c r="H5" s="45">
        <f>IF(Lote1Cal!AC7=1,Cantidades!D19*50%,0)</f>
        <v>0</v>
      </c>
      <c r="I5" s="45">
        <f>IF(Lote2Cal!AC7=1,Cantidades!D20*50%,0)</f>
        <v>10508798264.5</v>
      </c>
      <c r="J5" s="45">
        <f>IF(Lote1Cal!AC7=1,Cantidades!D19*35%,0)</f>
        <v>0</v>
      </c>
      <c r="K5" s="46">
        <f>IF(Lote2Cal!AC7=1,Cantidades!D20*35%,0)</f>
        <v>7356158785.1499996</v>
      </c>
      <c r="L5" s="46">
        <f>IF(Lote1Cal!AC7=1,Cantidades!D19*5%,0)</f>
        <v>0</v>
      </c>
      <c r="M5" s="46">
        <f>IF(Lote2Cal!AC7=1,Cantidades!D20*5%,0)</f>
        <v>1050879826.45</v>
      </c>
      <c r="N5" s="45" t="str">
        <f>IF(SUM(B6:B8)+C6&gt;=H14,"Cumple","No Cumple")</f>
        <v>Cumple</v>
      </c>
      <c r="O5" s="45" t="str">
        <f>IF(SUM(B6:B8)+C6-H5&gt;=I14,"Cumple","No Cumple")</f>
        <v>Cumple</v>
      </c>
      <c r="P5" s="45" t="str">
        <f>IF(SUM(B6:B8)+C7-H5-I5&gt;=J14,"Cumple","No Cumple")</f>
        <v>Cumple</v>
      </c>
      <c r="Q5" s="45" t="str">
        <f>IF(SUM(B6:B8)&gt;=K14,"Cumple","No Cumple")</f>
        <v>Cumple</v>
      </c>
      <c r="R5" s="45" t="str">
        <f>IF(SUM(B6:B8)-J5&gt;=L14,"Cumple","No Cumple")</f>
        <v>Cumple</v>
      </c>
      <c r="S5" s="45" t="str">
        <f>IF(SUM(B6:B8)-J5-K5&gt;=M14,"Cumple","No Cumple")</f>
        <v>Cumple</v>
      </c>
      <c r="T5" s="45" t="str">
        <f>IF(C6&gt;=N14,"Cumple","No Cumple")</f>
        <v>Cumple</v>
      </c>
      <c r="U5" s="45" t="str">
        <f>IF(C6-L5&gt;=O14,"Cumple","No Cumple")</f>
        <v>Cumple</v>
      </c>
      <c r="V5" s="45" t="str">
        <f>IF(C7&gt;=P14,"Cumple","No Cumple")</f>
        <v>Cumple</v>
      </c>
    </row>
    <row r="6" spans="1:22" x14ac:dyDescent="0.25">
      <c r="A6" s="96" t="s">
        <v>75</v>
      </c>
      <c r="B6" s="43">
        <v>18356577640.400002</v>
      </c>
      <c r="C6" s="43">
        <v>1681756839.4000001</v>
      </c>
      <c r="E6" s="47"/>
      <c r="G6" s="13" t="s">
        <v>76</v>
      </c>
      <c r="H6" s="45">
        <f>IF(Lote1Cal!AC8=1,Cantidades!D19*50%,0)</f>
        <v>11888026624.5</v>
      </c>
      <c r="I6" s="45">
        <f>IF(Lote2Cal!AC8=1,Cantidades!D20*50%,0)</f>
        <v>0</v>
      </c>
      <c r="J6" s="46">
        <f>IF(Lote1Cal!AC8=1,Cantidades!D19*35%,0)</f>
        <v>8321618637.1499996</v>
      </c>
      <c r="K6" s="45">
        <f>IF(Lote2Cal!AC8=1,Cantidades!D20*35%,0)</f>
        <v>0</v>
      </c>
      <c r="L6" s="45">
        <f>IF(Lote1Cal!AC8=1,Cantidades!D19*5%,0)</f>
        <v>1188802662.45</v>
      </c>
      <c r="M6" s="45">
        <f>IF(Lote2Cal!AC8=1,Cantidades!D20*5%,0)</f>
        <v>0</v>
      </c>
      <c r="N6" s="45" t="str">
        <f>IF(SUM(B11:B14)+C11&gt;=H14,"Cumple","No Cumple")</f>
        <v>Cumple</v>
      </c>
      <c r="O6" s="45" t="str">
        <f>IF(SUM(B11:B16)+C11-H6&gt;=I14,"Cumple","No Cumple")</f>
        <v>No Cumple</v>
      </c>
      <c r="P6" s="45" t="str">
        <f>IF(SUM(B11:B16)+C11-H6-I6&gt;=J14,"Cumple","No Cumple")</f>
        <v>No Cumple</v>
      </c>
      <c r="Q6" s="45" t="str">
        <f>IF(SUM(B11:B14)&gt;=K14,"Cumple","No Cumple")</f>
        <v>Cumple</v>
      </c>
      <c r="R6" s="45" t="str">
        <f>IF(SUM(B11:B16)-J6&gt;=L14,"Cumple","No Cumple")</f>
        <v>Cumple</v>
      </c>
      <c r="S6" s="45" t="str">
        <f>IF(SUM(B11:B16)-J6-K6&gt;=M14,"Cumple","No Cumple")</f>
        <v>Cumple</v>
      </c>
      <c r="T6" s="45" t="str">
        <f>IF(C11&gt;=N14,"Cumple","No Cumple")</f>
        <v>Cumple</v>
      </c>
      <c r="U6" s="45" t="str">
        <f>IF(C11-L6&gt;=O14,"Cumple","No Cumple")</f>
        <v>Cumple</v>
      </c>
      <c r="V6" s="45" t="str">
        <f>IF(C11-L6-M6&gt;=P14,"Cumple","No Cumple")</f>
        <v>Cumple</v>
      </c>
    </row>
    <row r="7" spans="1:22" x14ac:dyDescent="0.25">
      <c r="A7" s="96"/>
      <c r="B7" s="43">
        <v>17085224762.700001</v>
      </c>
      <c r="C7" s="43">
        <v>1858124728.5</v>
      </c>
      <c r="E7" s="47"/>
    </row>
    <row r="8" spans="1:22" x14ac:dyDescent="0.25">
      <c r="A8" s="96"/>
      <c r="B8" s="43">
        <v>12872774821.6</v>
      </c>
      <c r="C8" s="42"/>
      <c r="E8" s="47"/>
      <c r="J8" s="48"/>
    </row>
    <row r="9" spans="1:22" x14ac:dyDescent="0.25">
      <c r="J9" s="49"/>
    </row>
    <row r="10" spans="1:22" x14ac:dyDescent="0.25">
      <c r="A10" s="44" t="s">
        <v>93</v>
      </c>
      <c r="B10" s="44" t="s">
        <v>86</v>
      </c>
      <c r="C10" s="44" t="s">
        <v>87</v>
      </c>
    </row>
    <row r="11" spans="1:22" x14ac:dyDescent="0.25">
      <c r="A11" s="96" t="s">
        <v>76</v>
      </c>
      <c r="B11" s="50">
        <v>8242470966.9828186</v>
      </c>
      <c r="C11" s="43">
        <v>2254237891.0409999</v>
      </c>
    </row>
    <row r="12" spans="1:22" ht="34.5" customHeight="1" x14ac:dyDescent="0.25">
      <c r="A12" s="96"/>
      <c r="B12" s="50">
        <v>2065381355.7000008</v>
      </c>
      <c r="C12" s="42"/>
      <c r="E12" s="49"/>
      <c r="H12" s="103" t="s">
        <v>88</v>
      </c>
      <c r="I12" s="104"/>
      <c r="J12" s="104"/>
      <c r="K12" s="103" t="s">
        <v>89</v>
      </c>
      <c r="L12" s="104"/>
      <c r="M12" s="104"/>
      <c r="N12" s="103" t="s">
        <v>90</v>
      </c>
      <c r="O12" s="104"/>
      <c r="P12" s="104"/>
    </row>
    <row r="13" spans="1:22" x14ac:dyDescent="0.25">
      <c r="A13" s="96"/>
      <c r="B13" s="50">
        <v>2226734813.7920566</v>
      </c>
      <c r="C13" s="42"/>
      <c r="H13" s="41" t="s">
        <v>28</v>
      </c>
      <c r="I13" s="41" t="s">
        <v>29</v>
      </c>
      <c r="J13" s="41" t="s">
        <v>31</v>
      </c>
      <c r="K13" s="41" t="s">
        <v>28</v>
      </c>
      <c r="L13" s="41" t="s">
        <v>29</v>
      </c>
      <c r="M13" s="41" t="s">
        <v>31</v>
      </c>
      <c r="N13" s="41" t="s">
        <v>28</v>
      </c>
      <c r="O13" s="41" t="s">
        <v>29</v>
      </c>
      <c r="P13" s="41" t="s">
        <v>31</v>
      </c>
    </row>
    <row r="14" spans="1:22" x14ac:dyDescent="0.25">
      <c r="A14" s="96"/>
      <c r="B14" s="50">
        <v>2732831243.3418903</v>
      </c>
      <c r="C14" s="42"/>
      <c r="H14" s="46">
        <f>Cantidades!D19*50%</f>
        <v>11888026624.5</v>
      </c>
      <c r="I14" s="46">
        <f>Cantidades!D20*50%</f>
        <v>10508798264.5</v>
      </c>
      <c r="J14" s="46">
        <f>Cantidades!D21*50%</f>
        <v>9103175111</v>
      </c>
      <c r="K14" s="46">
        <f>Cantidades!D19*35%</f>
        <v>8321618637.1499996</v>
      </c>
      <c r="L14" s="46">
        <f>Cantidades!D20*35%</f>
        <v>7356158785.1499996</v>
      </c>
      <c r="M14" s="46">
        <f>Cantidades!D21*35%</f>
        <v>6372222577.6999998</v>
      </c>
      <c r="N14" s="46">
        <f>Cantidades!D19*5%</f>
        <v>1188802662.45</v>
      </c>
      <c r="O14" s="46">
        <f>Cantidades!D20*5%</f>
        <v>1050879826.45</v>
      </c>
      <c r="P14" s="46">
        <f>Cantidades!D21*5%</f>
        <v>910317511.10000002</v>
      </c>
    </row>
    <row r="15" spans="1:22" x14ac:dyDescent="0.25">
      <c r="A15" s="96"/>
      <c r="B15" s="50">
        <v>964620030.5868001</v>
      </c>
      <c r="C15" s="42"/>
    </row>
    <row r="16" spans="1:22" x14ac:dyDescent="0.25">
      <c r="A16" s="96"/>
      <c r="B16" s="50">
        <v>893988130.35839999</v>
      </c>
      <c r="C16" s="42"/>
    </row>
  </sheetData>
  <sheetProtection algorithmName="SHA-512" hashValue="AMKUG1AtHXXPgESyP8tsova/ppvb37qZU/P8fGHgzf6fXCoO2VXbB00d02H/8P1PGmYZeFH7O7M8ZIsq/nQsmQ==" saltValue="J6le94H9eN1n2+ouhXrYQQ==" spinCount="100000" sheet="1" objects="1" scenarios="1"/>
  <mergeCells count="14">
    <mergeCell ref="Q3:S3"/>
    <mergeCell ref="T3:V3"/>
    <mergeCell ref="A6:A8"/>
    <mergeCell ref="A11:A16"/>
    <mergeCell ref="N2:V2"/>
    <mergeCell ref="G2:G4"/>
    <mergeCell ref="H2:M2"/>
    <mergeCell ref="H12:J12"/>
    <mergeCell ref="K12:M12"/>
    <mergeCell ref="N12:P12"/>
    <mergeCell ref="H3:I3"/>
    <mergeCell ref="J3:K3"/>
    <mergeCell ref="L3:M3"/>
    <mergeCell ref="N3:P3"/>
  </mergeCells>
  <phoneticPr fontId="1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"/>
  <sheetViews>
    <sheetView workbookViewId="0">
      <selection sqref="A1:XFD1048576"/>
    </sheetView>
  </sheetViews>
  <sheetFormatPr baseColWidth="10" defaultRowHeight="15" x14ac:dyDescent="0.25"/>
  <cols>
    <col min="1" max="1" width="12.140625" style="15" bestFit="1" customWidth="1"/>
    <col min="2" max="2" width="14.85546875" style="15" customWidth="1"/>
    <col min="3" max="3" width="21.5703125" style="15" customWidth="1"/>
    <col min="4" max="16384" width="11.42578125" style="15"/>
  </cols>
  <sheetData>
    <row r="1" spans="1:8" x14ac:dyDescent="0.25">
      <c r="A1" s="2"/>
      <c r="B1" s="106"/>
      <c r="C1" s="106"/>
      <c r="D1" s="106"/>
      <c r="E1" s="106"/>
      <c r="F1" s="106"/>
      <c r="G1" s="106"/>
      <c r="H1" s="106"/>
    </row>
    <row r="3" spans="1:8" ht="30" x14ac:dyDescent="0.25">
      <c r="B3" s="6" t="s">
        <v>1</v>
      </c>
      <c r="C3" s="6" t="s">
        <v>33</v>
      </c>
    </row>
    <row r="4" spans="1:8" ht="20.25" customHeight="1" x14ac:dyDescent="0.25">
      <c r="B4" s="3">
        <v>1</v>
      </c>
      <c r="C4" s="3" t="s">
        <v>28</v>
      </c>
    </row>
    <row r="5" spans="1:8" x14ac:dyDescent="0.25">
      <c r="B5" s="3">
        <v>2</v>
      </c>
      <c r="C5" s="3" t="s">
        <v>29</v>
      </c>
    </row>
    <row r="6" spans="1:8" x14ac:dyDescent="0.25">
      <c r="B6" s="3">
        <v>3</v>
      </c>
      <c r="C6" s="3" t="s">
        <v>31</v>
      </c>
    </row>
  </sheetData>
  <sheetProtection algorithmName="SHA-512" hashValue="0ZUq5rWISiSN6u1fdy111t+Uh0nbrCBCb0kVc9yZ4cwtsUTyBqZJRwJcRWuJRoxP7QPiwdzMYxoyeNfTQEIJzA==" saltValue="Mq/AkRcXBXcU6Dpt/JwoPg==" spinCount="100000" sheet="1" objects="1" scenarios="1"/>
  <mergeCells count="1">
    <mergeCell ref="B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333B0-6F36-492F-99E0-51DAF859B01C}">
  <dimension ref="A2:J22"/>
  <sheetViews>
    <sheetView topLeftCell="A7" zoomScale="115" zoomScaleNormal="115" workbookViewId="0">
      <selection activeCell="B18" sqref="B18"/>
    </sheetView>
  </sheetViews>
  <sheetFormatPr baseColWidth="10" defaultColWidth="11.42578125" defaultRowHeight="15" x14ac:dyDescent="0.25"/>
  <cols>
    <col min="1" max="1" width="19.42578125" style="11" customWidth="1"/>
    <col min="2" max="2" width="39" style="11" customWidth="1"/>
    <col min="3" max="4" width="25.85546875" style="11" customWidth="1"/>
    <col min="5" max="5" width="21.140625" style="11" customWidth="1"/>
    <col min="6" max="8" width="20.140625" style="11" customWidth="1"/>
    <col min="9" max="10" width="21" style="11" customWidth="1"/>
    <col min="11" max="16384" width="11.42578125" style="11"/>
  </cols>
  <sheetData>
    <row r="2" spans="1:10" x14ac:dyDescent="0.25">
      <c r="A2" s="107" t="s">
        <v>32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10" x14ac:dyDescent="0.25">
      <c r="A3" s="51"/>
      <c r="B3" s="52"/>
      <c r="C3" s="52"/>
      <c r="D3" s="52"/>
      <c r="E3" s="52"/>
      <c r="F3" s="52"/>
      <c r="G3" s="52"/>
      <c r="H3" s="52"/>
      <c r="I3" s="52"/>
      <c r="J3" s="52"/>
    </row>
    <row r="4" spans="1:10" s="51" customFormat="1" x14ac:dyDescent="0.25">
      <c r="A4" s="53">
        <v>1</v>
      </c>
      <c r="B4" s="53">
        <v>2</v>
      </c>
      <c r="C4" s="53">
        <v>3</v>
      </c>
      <c r="D4" s="53">
        <v>4</v>
      </c>
      <c r="E4" s="53">
        <v>5</v>
      </c>
      <c r="F4" s="53">
        <v>6</v>
      </c>
      <c r="G4" s="53">
        <v>7</v>
      </c>
      <c r="H4" s="53">
        <v>8</v>
      </c>
      <c r="I4" s="53">
        <v>9</v>
      </c>
      <c r="J4" s="53">
        <v>10</v>
      </c>
    </row>
    <row r="5" spans="1:10" x14ac:dyDescent="0.25">
      <c r="A5" s="53"/>
      <c r="B5" s="54"/>
      <c r="C5" s="54"/>
      <c r="D5" s="54"/>
      <c r="E5" s="54"/>
      <c r="F5" s="54"/>
      <c r="G5" s="54"/>
      <c r="H5" s="54"/>
      <c r="I5" s="54"/>
      <c r="J5" s="54"/>
    </row>
    <row r="6" spans="1:10" ht="15" customHeight="1" x14ac:dyDescent="0.25">
      <c r="A6" s="108" t="s">
        <v>33</v>
      </c>
      <c r="B6" s="108"/>
      <c r="C6" s="108"/>
      <c r="D6" s="108"/>
      <c r="E6" s="108"/>
      <c r="F6" s="108"/>
      <c r="G6" s="108"/>
      <c r="H6" s="108"/>
      <c r="I6" s="108"/>
      <c r="J6" s="108"/>
    </row>
    <row r="7" spans="1:10" s="56" customFormat="1" x14ac:dyDescent="0.25">
      <c r="A7" s="108"/>
      <c r="B7" s="55"/>
      <c r="C7" s="109"/>
      <c r="D7" s="109"/>
      <c r="E7" s="109"/>
      <c r="F7" s="110"/>
      <c r="G7" s="110"/>
      <c r="H7" s="110"/>
      <c r="I7" s="109" t="s">
        <v>34</v>
      </c>
      <c r="J7" s="109"/>
    </row>
    <row r="8" spans="1:10" ht="75" x14ac:dyDescent="0.25">
      <c r="A8" s="108"/>
      <c r="B8" s="57" t="s">
        <v>35</v>
      </c>
      <c r="C8" s="58" t="s">
        <v>36</v>
      </c>
      <c r="D8" s="58" t="s">
        <v>37</v>
      </c>
      <c r="E8" s="58" t="s">
        <v>38</v>
      </c>
      <c r="F8" s="59" t="s">
        <v>39</v>
      </c>
      <c r="G8" s="59" t="s">
        <v>40</v>
      </c>
      <c r="H8" s="59" t="s">
        <v>41</v>
      </c>
      <c r="I8" s="58" t="s">
        <v>42</v>
      </c>
      <c r="J8" s="58" t="s">
        <v>43</v>
      </c>
    </row>
    <row r="9" spans="1:10" ht="18.75" customHeight="1" x14ac:dyDescent="0.25">
      <c r="A9" s="60" t="s">
        <v>6</v>
      </c>
      <c r="B9" s="60" t="s">
        <v>6</v>
      </c>
      <c r="C9" s="60" t="s">
        <v>7</v>
      </c>
      <c r="D9" s="60" t="s">
        <v>7</v>
      </c>
      <c r="E9" s="60" t="s">
        <v>7</v>
      </c>
      <c r="F9" s="60" t="s">
        <v>7</v>
      </c>
      <c r="G9" s="60" t="s">
        <v>7</v>
      </c>
      <c r="H9" s="60" t="s">
        <v>7</v>
      </c>
      <c r="I9" s="60" t="s">
        <v>7</v>
      </c>
      <c r="J9" s="60" t="s">
        <v>44</v>
      </c>
    </row>
    <row r="10" spans="1:10" x14ac:dyDescent="0.25">
      <c r="A10" s="61">
        <v>1</v>
      </c>
      <c r="B10" s="62" t="s">
        <v>75</v>
      </c>
      <c r="C10" s="63">
        <v>32130000</v>
      </c>
      <c r="D10" s="63">
        <v>35003850</v>
      </c>
      <c r="E10" s="63">
        <v>5995220</v>
      </c>
      <c r="F10" s="63">
        <v>1400630</v>
      </c>
      <c r="G10" s="63">
        <v>1600550</v>
      </c>
      <c r="H10" s="63">
        <v>600950</v>
      </c>
      <c r="I10" s="63">
        <v>300</v>
      </c>
      <c r="J10" s="64">
        <v>4.82E-2</v>
      </c>
    </row>
    <row r="11" spans="1:10" x14ac:dyDescent="0.25">
      <c r="A11" s="61">
        <v>1</v>
      </c>
      <c r="B11" s="65" t="s">
        <v>76</v>
      </c>
      <c r="C11" s="66">
        <v>30730016</v>
      </c>
      <c r="D11" s="66">
        <v>44895024</v>
      </c>
      <c r="E11" s="66">
        <v>25000000</v>
      </c>
      <c r="F11" s="66">
        <v>1419816</v>
      </c>
      <c r="G11" s="66">
        <v>1530303</v>
      </c>
      <c r="H11" s="66">
        <v>6644737</v>
      </c>
      <c r="I11" s="66">
        <v>1909</v>
      </c>
      <c r="J11" s="67">
        <v>2.52E-2</v>
      </c>
    </row>
    <row r="12" spans="1:10" x14ac:dyDescent="0.25">
      <c r="A12" s="61">
        <v>1</v>
      </c>
      <c r="B12" s="62"/>
      <c r="C12" s="63"/>
      <c r="D12" s="63"/>
      <c r="E12" s="63"/>
      <c r="F12" s="63"/>
      <c r="G12" s="63"/>
      <c r="H12" s="63"/>
      <c r="I12" s="63"/>
      <c r="J12" s="68"/>
    </row>
    <row r="13" spans="1:10" x14ac:dyDescent="0.25">
      <c r="A13" s="61">
        <v>1</v>
      </c>
      <c r="B13" s="65"/>
      <c r="C13" s="66"/>
      <c r="D13" s="66"/>
      <c r="E13" s="66"/>
      <c r="F13" s="66"/>
      <c r="G13" s="66"/>
      <c r="H13" s="66"/>
      <c r="I13" s="66"/>
      <c r="J13" s="69"/>
    </row>
    <row r="14" spans="1:10" x14ac:dyDescent="0.25">
      <c r="A14" s="61">
        <v>1</v>
      </c>
      <c r="B14" s="62"/>
      <c r="C14" s="63"/>
      <c r="D14" s="63"/>
      <c r="E14" s="63"/>
      <c r="F14" s="63"/>
      <c r="G14" s="63"/>
      <c r="H14" s="63"/>
      <c r="I14" s="63"/>
      <c r="J14" s="68"/>
    </row>
    <row r="15" spans="1:10" x14ac:dyDescent="0.25">
      <c r="A15" s="61">
        <v>1</v>
      </c>
      <c r="B15" s="65"/>
      <c r="C15" s="66"/>
      <c r="D15" s="66"/>
      <c r="E15" s="66"/>
      <c r="F15" s="66"/>
      <c r="G15" s="66"/>
      <c r="H15" s="66"/>
      <c r="I15" s="66"/>
      <c r="J15" s="69"/>
    </row>
    <row r="16" spans="1:10" x14ac:dyDescent="0.25">
      <c r="A16" s="61">
        <v>1</v>
      </c>
      <c r="B16" s="62"/>
      <c r="C16" s="63"/>
      <c r="D16" s="63"/>
      <c r="E16" s="63"/>
      <c r="F16" s="63"/>
      <c r="G16" s="63"/>
      <c r="H16" s="63"/>
      <c r="I16" s="63"/>
      <c r="J16" s="68"/>
    </row>
    <row r="17" spans="1:10" x14ac:dyDescent="0.25">
      <c r="A17" s="61">
        <v>1</v>
      </c>
      <c r="B17" s="65"/>
      <c r="C17" s="66"/>
      <c r="D17" s="66"/>
      <c r="E17" s="66"/>
      <c r="F17" s="66"/>
      <c r="G17" s="66"/>
      <c r="H17" s="66"/>
      <c r="I17" s="66"/>
      <c r="J17" s="69"/>
    </row>
    <row r="18" spans="1:10" x14ac:dyDescent="0.25">
      <c r="A18" s="61">
        <v>1</v>
      </c>
      <c r="B18" s="62"/>
      <c r="C18" s="63"/>
      <c r="D18" s="63"/>
      <c r="E18" s="63"/>
      <c r="F18" s="63"/>
      <c r="G18" s="63"/>
      <c r="H18" s="63"/>
      <c r="I18" s="63"/>
      <c r="J18" s="68"/>
    </row>
    <row r="19" spans="1:10" x14ac:dyDescent="0.25">
      <c r="A19" s="61">
        <v>1</v>
      </c>
      <c r="B19" s="65"/>
      <c r="C19" s="66"/>
      <c r="D19" s="66"/>
      <c r="E19" s="66"/>
      <c r="F19" s="66"/>
      <c r="G19" s="66"/>
      <c r="H19" s="66"/>
      <c r="I19" s="66"/>
      <c r="J19" s="69"/>
    </row>
    <row r="20" spans="1:10" x14ac:dyDescent="0.25">
      <c r="A20" s="61">
        <v>1</v>
      </c>
      <c r="B20" s="62"/>
      <c r="C20" s="63"/>
      <c r="D20" s="63"/>
      <c r="E20" s="63"/>
      <c r="F20" s="63"/>
      <c r="G20" s="63"/>
      <c r="H20" s="63"/>
      <c r="I20" s="63"/>
      <c r="J20" s="68"/>
    </row>
    <row r="21" spans="1:10" x14ac:dyDescent="0.25">
      <c r="A21" s="61">
        <v>1</v>
      </c>
      <c r="B21" s="65"/>
      <c r="C21" s="66"/>
      <c r="D21" s="66"/>
      <c r="E21" s="66"/>
      <c r="F21" s="66"/>
      <c r="G21" s="66"/>
      <c r="H21" s="66"/>
      <c r="I21" s="66"/>
      <c r="J21" s="69"/>
    </row>
    <row r="22" spans="1:10" x14ac:dyDescent="0.25">
      <c r="A22" s="61">
        <v>1</v>
      </c>
      <c r="B22" s="62"/>
      <c r="C22" s="63"/>
      <c r="D22" s="63"/>
      <c r="E22" s="63"/>
      <c r="F22" s="63"/>
      <c r="G22" s="63"/>
      <c r="H22" s="63"/>
      <c r="I22" s="63"/>
      <c r="J22" s="68"/>
    </row>
  </sheetData>
  <sheetProtection algorithmName="SHA-512" hashValue="Zsm0rKIlXdXwsbyLQptJ/HpJw5hnDHyMyr4InmgN7X6Z188eerVIgZnUvs+Pn7/FyuzNH/CYOPFzNmy0KksOEg==" saltValue="kqwGCHhqeT5Xl1pa5KNWwQ==" spinCount="100000" sheet="1" objects="1" scenarios="1"/>
  <mergeCells count="6">
    <mergeCell ref="A2:J2"/>
    <mergeCell ref="A6:A8"/>
    <mergeCell ref="B6:J6"/>
    <mergeCell ref="C7:E7"/>
    <mergeCell ref="F7:H7"/>
    <mergeCell ref="I7:J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DFEC95-3097-48FE-8CB6-20A7C4D2A05E}">
          <x14:formula1>
            <xm:f>Proponentes!$B$5:$B$6</xm:f>
          </x14:formula1>
          <xm:sqref>B10:B22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32BC-AA26-4DDA-A25E-A9AB43A3924B}">
  <dimension ref="A2:J22"/>
  <sheetViews>
    <sheetView zoomScale="115" zoomScaleNormal="115" workbookViewId="0">
      <selection sqref="A1:XFD1048576"/>
    </sheetView>
  </sheetViews>
  <sheetFormatPr baseColWidth="10" defaultColWidth="11.42578125" defaultRowHeight="15" x14ac:dyDescent="0.25"/>
  <cols>
    <col min="1" max="1" width="19.42578125" style="11" customWidth="1"/>
    <col min="2" max="2" width="39" style="11" customWidth="1"/>
    <col min="3" max="4" width="25.85546875" style="11" customWidth="1"/>
    <col min="5" max="5" width="21.140625" style="11" customWidth="1"/>
    <col min="6" max="8" width="20.140625" style="11" customWidth="1"/>
    <col min="9" max="10" width="21" style="11" customWidth="1"/>
    <col min="11" max="16384" width="11.42578125" style="11"/>
  </cols>
  <sheetData>
    <row r="2" spans="1:10" x14ac:dyDescent="0.25">
      <c r="A2" s="107" t="s">
        <v>32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10" x14ac:dyDescent="0.25">
      <c r="A3" s="51"/>
      <c r="B3" s="52"/>
      <c r="C3" s="52"/>
      <c r="D3" s="52"/>
      <c r="E3" s="52"/>
      <c r="F3" s="52"/>
      <c r="G3" s="52"/>
      <c r="H3" s="52"/>
      <c r="I3" s="52"/>
      <c r="J3" s="52"/>
    </row>
    <row r="4" spans="1:10" s="51" customFormat="1" x14ac:dyDescent="0.25">
      <c r="A4" s="53">
        <v>1</v>
      </c>
      <c r="B4" s="53">
        <v>2</v>
      </c>
      <c r="C4" s="53">
        <v>5</v>
      </c>
      <c r="D4" s="53">
        <v>7</v>
      </c>
      <c r="E4" s="53">
        <v>9</v>
      </c>
      <c r="F4" s="53">
        <v>11</v>
      </c>
      <c r="G4" s="53">
        <v>13</v>
      </c>
      <c r="H4" s="53">
        <v>15</v>
      </c>
      <c r="I4" s="53">
        <v>16</v>
      </c>
      <c r="J4" s="53">
        <v>17</v>
      </c>
    </row>
    <row r="5" spans="1:10" x14ac:dyDescent="0.25">
      <c r="A5" s="53"/>
      <c r="B5" s="54"/>
      <c r="C5" s="54"/>
      <c r="D5" s="54"/>
      <c r="E5" s="54"/>
      <c r="F5" s="54"/>
      <c r="G5" s="54"/>
      <c r="H5" s="54"/>
      <c r="I5" s="54"/>
      <c r="J5" s="54"/>
    </row>
    <row r="6" spans="1:10" ht="15" customHeight="1" x14ac:dyDescent="0.25">
      <c r="A6" s="108" t="s">
        <v>33</v>
      </c>
      <c r="B6" s="108"/>
      <c r="C6" s="108"/>
      <c r="D6" s="108"/>
      <c r="E6" s="108"/>
      <c r="F6" s="108"/>
      <c r="G6" s="108"/>
      <c r="H6" s="108"/>
      <c r="I6" s="108"/>
      <c r="J6" s="108"/>
    </row>
    <row r="7" spans="1:10" s="56" customFormat="1" x14ac:dyDescent="0.25">
      <c r="A7" s="108"/>
      <c r="B7" s="55"/>
      <c r="C7" s="109"/>
      <c r="D7" s="109"/>
      <c r="E7" s="109"/>
      <c r="F7" s="110"/>
      <c r="G7" s="110"/>
      <c r="H7" s="110"/>
      <c r="I7" s="109" t="s">
        <v>34</v>
      </c>
      <c r="J7" s="109"/>
    </row>
    <row r="8" spans="1:10" ht="75" x14ac:dyDescent="0.25">
      <c r="A8" s="108"/>
      <c r="B8" s="57" t="s">
        <v>35</v>
      </c>
      <c r="C8" s="58" t="s">
        <v>36</v>
      </c>
      <c r="D8" s="58" t="s">
        <v>37</v>
      </c>
      <c r="E8" s="58" t="s">
        <v>38</v>
      </c>
      <c r="F8" s="59" t="s">
        <v>39</v>
      </c>
      <c r="G8" s="59" t="s">
        <v>40</v>
      </c>
      <c r="H8" s="59" t="s">
        <v>41</v>
      </c>
      <c r="I8" s="58" t="s">
        <v>42</v>
      </c>
      <c r="J8" s="58" t="s">
        <v>43</v>
      </c>
    </row>
    <row r="9" spans="1:10" ht="18.75" customHeight="1" x14ac:dyDescent="0.25">
      <c r="A9" s="60" t="s">
        <v>6</v>
      </c>
      <c r="B9" s="60" t="s">
        <v>6</v>
      </c>
      <c r="C9" s="60" t="s">
        <v>7</v>
      </c>
      <c r="D9" s="60" t="s">
        <v>7</v>
      </c>
      <c r="E9" s="60" t="s">
        <v>7</v>
      </c>
      <c r="F9" s="60" t="s">
        <v>7</v>
      </c>
      <c r="G9" s="60" t="s">
        <v>7</v>
      </c>
      <c r="H9" s="60" t="s">
        <v>7</v>
      </c>
      <c r="I9" s="60" t="s">
        <v>7</v>
      </c>
      <c r="J9" s="60" t="s">
        <v>44</v>
      </c>
    </row>
    <row r="10" spans="1:10" x14ac:dyDescent="0.25">
      <c r="A10" s="61">
        <v>2</v>
      </c>
      <c r="B10" s="62" t="s">
        <v>75</v>
      </c>
      <c r="C10" s="63">
        <v>32130000</v>
      </c>
      <c r="D10" s="63">
        <v>35003850</v>
      </c>
      <c r="E10" s="63">
        <v>5995220</v>
      </c>
      <c r="F10" s="63">
        <v>1400630</v>
      </c>
      <c r="G10" s="63">
        <v>1600550</v>
      </c>
      <c r="H10" s="63">
        <v>600950</v>
      </c>
      <c r="I10" s="63">
        <v>300</v>
      </c>
      <c r="J10" s="64">
        <v>4.82E-2</v>
      </c>
    </row>
    <row r="11" spans="1:10" x14ac:dyDescent="0.25">
      <c r="A11" s="61">
        <v>2</v>
      </c>
      <c r="B11" s="65" t="s">
        <v>76</v>
      </c>
      <c r="C11" s="66">
        <v>34320988</v>
      </c>
      <c r="D11" s="66">
        <v>50442649</v>
      </c>
      <c r="E11" s="66">
        <v>25000000</v>
      </c>
      <c r="F11" s="66">
        <v>1762831</v>
      </c>
      <c r="G11" s="66">
        <v>1582183</v>
      </c>
      <c r="H11" s="66">
        <v>5246185</v>
      </c>
      <c r="I11" s="66">
        <v>2767</v>
      </c>
      <c r="J11" s="67">
        <v>2.3099999999999999E-2</v>
      </c>
    </row>
    <row r="12" spans="1:10" x14ac:dyDescent="0.25">
      <c r="A12" s="61">
        <v>2</v>
      </c>
      <c r="B12" s="62"/>
      <c r="C12" s="63"/>
      <c r="D12" s="63"/>
      <c r="E12" s="63"/>
      <c r="F12" s="63"/>
      <c r="G12" s="63"/>
      <c r="H12" s="63"/>
      <c r="I12" s="63"/>
      <c r="J12" s="68"/>
    </row>
    <row r="13" spans="1:10" x14ac:dyDescent="0.25">
      <c r="A13" s="61">
        <v>2</v>
      </c>
      <c r="B13" s="65"/>
      <c r="C13" s="66"/>
      <c r="D13" s="66"/>
      <c r="E13" s="66"/>
      <c r="F13" s="66"/>
      <c r="G13" s="66"/>
      <c r="H13" s="66"/>
      <c r="I13" s="66"/>
      <c r="J13" s="69"/>
    </row>
    <row r="14" spans="1:10" x14ac:dyDescent="0.25">
      <c r="A14" s="61">
        <v>2</v>
      </c>
      <c r="B14" s="62"/>
      <c r="C14" s="63"/>
      <c r="D14" s="63"/>
      <c r="E14" s="63"/>
      <c r="F14" s="63"/>
      <c r="G14" s="63"/>
      <c r="H14" s="63"/>
      <c r="I14" s="63"/>
      <c r="J14" s="68"/>
    </row>
    <row r="15" spans="1:10" x14ac:dyDescent="0.25">
      <c r="A15" s="61">
        <v>2</v>
      </c>
      <c r="B15" s="65"/>
      <c r="C15" s="66"/>
      <c r="D15" s="66"/>
      <c r="E15" s="66"/>
      <c r="F15" s="66"/>
      <c r="G15" s="66"/>
      <c r="H15" s="66"/>
      <c r="I15" s="66"/>
      <c r="J15" s="69"/>
    </row>
    <row r="16" spans="1:10" x14ac:dyDescent="0.25">
      <c r="A16" s="61">
        <v>2</v>
      </c>
      <c r="B16" s="62"/>
      <c r="C16" s="63"/>
      <c r="D16" s="63"/>
      <c r="E16" s="63"/>
      <c r="F16" s="63"/>
      <c r="G16" s="63"/>
      <c r="H16" s="63"/>
      <c r="I16" s="63"/>
      <c r="J16" s="68"/>
    </row>
    <row r="17" spans="1:10" x14ac:dyDescent="0.25">
      <c r="A17" s="61">
        <v>2</v>
      </c>
      <c r="B17" s="65"/>
      <c r="C17" s="66"/>
      <c r="D17" s="66"/>
      <c r="E17" s="66"/>
      <c r="F17" s="66"/>
      <c r="G17" s="66"/>
      <c r="H17" s="66"/>
      <c r="I17" s="66"/>
      <c r="J17" s="69"/>
    </row>
    <row r="18" spans="1:10" x14ac:dyDescent="0.25">
      <c r="A18" s="61">
        <v>2</v>
      </c>
      <c r="B18" s="62"/>
      <c r="C18" s="63"/>
      <c r="D18" s="63"/>
      <c r="E18" s="63"/>
      <c r="F18" s="63"/>
      <c r="G18" s="63"/>
      <c r="H18" s="63"/>
      <c r="I18" s="63"/>
      <c r="J18" s="68"/>
    </row>
    <row r="19" spans="1:10" x14ac:dyDescent="0.25">
      <c r="A19" s="61">
        <v>2</v>
      </c>
      <c r="B19" s="65"/>
      <c r="C19" s="66"/>
      <c r="D19" s="66"/>
      <c r="E19" s="66"/>
      <c r="F19" s="66"/>
      <c r="G19" s="66"/>
      <c r="H19" s="66"/>
      <c r="I19" s="66"/>
      <c r="J19" s="69"/>
    </row>
    <row r="20" spans="1:10" x14ac:dyDescent="0.25">
      <c r="A20" s="61">
        <v>2</v>
      </c>
      <c r="B20" s="62"/>
      <c r="C20" s="63"/>
      <c r="D20" s="63"/>
      <c r="E20" s="63"/>
      <c r="F20" s="63"/>
      <c r="G20" s="63"/>
      <c r="H20" s="63"/>
      <c r="I20" s="63"/>
      <c r="J20" s="68"/>
    </row>
    <row r="21" spans="1:10" x14ac:dyDescent="0.25">
      <c r="A21" s="61">
        <v>2</v>
      </c>
      <c r="B21" s="65"/>
      <c r="C21" s="66"/>
      <c r="D21" s="66"/>
      <c r="E21" s="66"/>
      <c r="F21" s="66"/>
      <c r="G21" s="66"/>
      <c r="H21" s="66"/>
      <c r="I21" s="66"/>
      <c r="J21" s="69"/>
    </row>
    <row r="22" spans="1:10" x14ac:dyDescent="0.25">
      <c r="A22" s="61">
        <v>2</v>
      </c>
      <c r="B22" s="62"/>
      <c r="C22" s="63"/>
      <c r="D22" s="63"/>
      <c r="E22" s="63"/>
      <c r="F22" s="63"/>
      <c r="G22" s="63"/>
      <c r="H22" s="63"/>
      <c r="I22" s="63"/>
      <c r="J22" s="68"/>
    </row>
  </sheetData>
  <sheetProtection algorithmName="SHA-512" hashValue="u8b9B/1prQUwBX4fd+7MqWT4lV3uwqrlYuCL/33zEeDJghpoOBg1sz2B0ptpa+hTfmQ84MxNpYiwoqZccxkVGg==" saltValue="32qD2TKi49hYnfF1aUYxCg==" spinCount="100000" sheet="1" objects="1" scenarios="1"/>
  <mergeCells count="6">
    <mergeCell ref="A2:J2"/>
    <mergeCell ref="A6:A8"/>
    <mergeCell ref="B6:J6"/>
    <mergeCell ref="C7:E7"/>
    <mergeCell ref="F7:H7"/>
    <mergeCell ref="I7:J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CC6A78-3AF4-471B-A309-ABA7623ECF7E}">
          <x14:formula1>
            <xm:f>Proponentes!$B$5:$B$6</xm:f>
          </x14:formula1>
          <xm:sqref>B10:B22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C9C8A-8D09-4F05-A773-44A3D0672618}">
  <dimension ref="A2:J22"/>
  <sheetViews>
    <sheetView zoomScale="115" zoomScaleNormal="115" workbookViewId="0">
      <selection sqref="A1:XFD1048576"/>
    </sheetView>
  </sheetViews>
  <sheetFormatPr baseColWidth="10" defaultColWidth="11.42578125" defaultRowHeight="15" x14ac:dyDescent="0.25"/>
  <cols>
    <col min="1" max="1" width="19.42578125" style="11" customWidth="1"/>
    <col min="2" max="2" width="39" style="11" customWidth="1"/>
    <col min="3" max="4" width="25.85546875" style="11" customWidth="1"/>
    <col min="5" max="5" width="21.140625" style="11" customWidth="1"/>
    <col min="6" max="8" width="20.140625" style="11" customWidth="1"/>
    <col min="9" max="10" width="21" style="11" customWidth="1"/>
    <col min="11" max="16384" width="11.42578125" style="11"/>
  </cols>
  <sheetData>
    <row r="2" spans="1:10" x14ac:dyDescent="0.25">
      <c r="A2" s="107" t="s">
        <v>32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10" x14ac:dyDescent="0.25">
      <c r="A3" s="51"/>
      <c r="B3" s="52"/>
      <c r="C3" s="52"/>
      <c r="D3" s="52"/>
      <c r="E3" s="52"/>
      <c r="F3" s="52"/>
      <c r="G3" s="52"/>
      <c r="H3" s="52"/>
      <c r="I3" s="52"/>
      <c r="J3" s="52"/>
    </row>
    <row r="4" spans="1:10" s="51" customFormat="1" x14ac:dyDescent="0.25">
      <c r="A4" s="53">
        <v>1</v>
      </c>
      <c r="B4" s="53">
        <v>2</v>
      </c>
      <c r="C4" s="53">
        <v>5</v>
      </c>
      <c r="D4" s="53">
        <v>7</v>
      </c>
      <c r="E4" s="53">
        <v>9</v>
      </c>
      <c r="F4" s="53">
        <v>11</v>
      </c>
      <c r="G4" s="53">
        <v>13</v>
      </c>
      <c r="H4" s="53">
        <v>15</v>
      </c>
      <c r="I4" s="53">
        <v>16</v>
      </c>
      <c r="J4" s="53">
        <v>17</v>
      </c>
    </row>
    <row r="5" spans="1:10" x14ac:dyDescent="0.25">
      <c r="A5" s="53"/>
      <c r="B5" s="54"/>
      <c r="C5" s="54"/>
      <c r="D5" s="54"/>
      <c r="E5" s="54"/>
      <c r="F5" s="54"/>
      <c r="G5" s="54"/>
      <c r="H5" s="54"/>
      <c r="I5" s="54"/>
      <c r="J5" s="54"/>
    </row>
    <row r="6" spans="1:10" ht="15" customHeight="1" x14ac:dyDescent="0.25">
      <c r="A6" s="108" t="s">
        <v>33</v>
      </c>
      <c r="B6" s="108"/>
      <c r="C6" s="108"/>
      <c r="D6" s="108"/>
      <c r="E6" s="108"/>
      <c r="F6" s="108"/>
      <c r="G6" s="108"/>
      <c r="H6" s="108"/>
      <c r="I6" s="108"/>
      <c r="J6" s="108"/>
    </row>
    <row r="7" spans="1:10" s="56" customFormat="1" x14ac:dyDescent="0.25">
      <c r="A7" s="108"/>
      <c r="B7" s="55"/>
      <c r="C7" s="109"/>
      <c r="D7" s="109"/>
      <c r="E7" s="109"/>
      <c r="F7" s="110"/>
      <c r="G7" s="110"/>
      <c r="H7" s="110"/>
      <c r="I7" s="109" t="s">
        <v>34</v>
      </c>
      <c r="J7" s="109"/>
    </row>
    <row r="8" spans="1:10" ht="75" x14ac:dyDescent="0.25">
      <c r="A8" s="108"/>
      <c r="B8" s="57" t="s">
        <v>35</v>
      </c>
      <c r="C8" s="58" t="s">
        <v>36</v>
      </c>
      <c r="D8" s="58" t="s">
        <v>37</v>
      </c>
      <c r="E8" s="58" t="s">
        <v>38</v>
      </c>
      <c r="F8" s="59" t="s">
        <v>39</v>
      </c>
      <c r="G8" s="59" t="s">
        <v>40</v>
      </c>
      <c r="H8" s="59" t="s">
        <v>41</v>
      </c>
      <c r="I8" s="58" t="s">
        <v>42</v>
      </c>
      <c r="J8" s="58" t="s">
        <v>43</v>
      </c>
    </row>
    <row r="9" spans="1:10" ht="18.75" customHeight="1" x14ac:dyDescent="0.25">
      <c r="A9" s="60" t="s">
        <v>6</v>
      </c>
      <c r="B9" s="60" t="s">
        <v>6</v>
      </c>
      <c r="C9" s="60" t="s">
        <v>7</v>
      </c>
      <c r="D9" s="60" t="s">
        <v>7</v>
      </c>
      <c r="E9" s="60" t="s">
        <v>7</v>
      </c>
      <c r="F9" s="60" t="s">
        <v>7</v>
      </c>
      <c r="G9" s="60" t="s">
        <v>7</v>
      </c>
      <c r="H9" s="60" t="s">
        <v>7</v>
      </c>
      <c r="I9" s="60" t="s">
        <v>7</v>
      </c>
      <c r="J9" s="60" t="s">
        <v>44</v>
      </c>
    </row>
    <row r="10" spans="1:10" x14ac:dyDescent="0.25">
      <c r="A10" s="61">
        <v>3</v>
      </c>
      <c r="B10" s="62" t="s">
        <v>75</v>
      </c>
      <c r="C10" s="63">
        <v>32130000</v>
      </c>
      <c r="D10" s="63">
        <v>35003850</v>
      </c>
      <c r="E10" s="63">
        <v>5995220</v>
      </c>
      <c r="F10" s="63">
        <v>1400630</v>
      </c>
      <c r="G10" s="63">
        <v>1600550</v>
      </c>
      <c r="H10" s="63">
        <v>600950</v>
      </c>
      <c r="I10" s="63">
        <v>300</v>
      </c>
      <c r="J10" s="64">
        <v>4.82E-2</v>
      </c>
    </row>
    <row r="11" spans="1:10" x14ac:dyDescent="0.25">
      <c r="A11" s="61">
        <v>3</v>
      </c>
      <c r="B11" s="65" t="s">
        <v>76</v>
      </c>
      <c r="C11" s="66">
        <v>31841300</v>
      </c>
      <c r="D11" s="66">
        <v>46723117</v>
      </c>
      <c r="E11" s="66">
        <v>25000000</v>
      </c>
      <c r="F11" s="66">
        <v>1475432</v>
      </c>
      <c r="G11" s="66">
        <v>1586270</v>
      </c>
      <c r="H11" s="66">
        <v>6846006</v>
      </c>
      <c r="I11" s="66">
        <v>2897</v>
      </c>
      <c r="J11" s="67">
        <v>2.5100000000000001E-2</v>
      </c>
    </row>
    <row r="12" spans="1:10" x14ac:dyDescent="0.25">
      <c r="A12" s="61">
        <v>3</v>
      </c>
      <c r="B12" s="62"/>
      <c r="C12" s="63"/>
      <c r="D12" s="63"/>
      <c r="E12" s="63"/>
      <c r="F12" s="63"/>
      <c r="G12" s="63"/>
      <c r="H12" s="63"/>
      <c r="I12" s="63"/>
      <c r="J12" s="68"/>
    </row>
    <row r="13" spans="1:10" x14ac:dyDescent="0.25">
      <c r="A13" s="61">
        <v>3</v>
      </c>
      <c r="B13" s="65"/>
      <c r="C13" s="66"/>
      <c r="D13" s="66"/>
      <c r="E13" s="66"/>
      <c r="F13" s="66"/>
      <c r="G13" s="66"/>
      <c r="H13" s="66"/>
      <c r="I13" s="66"/>
      <c r="J13" s="69"/>
    </row>
    <row r="14" spans="1:10" x14ac:dyDescent="0.25">
      <c r="A14" s="61">
        <v>3</v>
      </c>
      <c r="B14" s="62"/>
      <c r="C14" s="63"/>
      <c r="D14" s="63"/>
      <c r="E14" s="63"/>
      <c r="F14" s="63"/>
      <c r="G14" s="63"/>
      <c r="H14" s="63"/>
      <c r="I14" s="63"/>
      <c r="J14" s="68"/>
    </row>
    <row r="15" spans="1:10" x14ac:dyDescent="0.25">
      <c r="A15" s="61">
        <v>3</v>
      </c>
      <c r="B15" s="65"/>
      <c r="C15" s="66"/>
      <c r="D15" s="66"/>
      <c r="E15" s="66"/>
      <c r="F15" s="66"/>
      <c r="G15" s="66"/>
      <c r="H15" s="66"/>
      <c r="I15" s="66"/>
      <c r="J15" s="69"/>
    </row>
    <row r="16" spans="1:10" x14ac:dyDescent="0.25">
      <c r="A16" s="61">
        <v>3</v>
      </c>
      <c r="B16" s="62"/>
      <c r="C16" s="63"/>
      <c r="D16" s="63"/>
      <c r="E16" s="63"/>
      <c r="F16" s="63"/>
      <c r="G16" s="63"/>
      <c r="H16" s="63"/>
      <c r="I16" s="63"/>
      <c r="J16" s="68"/>
    </row>
    <row r="17" spans="1:10" x14ac:dyDescent="0.25">
      <c r="A17" s="61">
        <v>3</v>
      </c>
      <c r="B17" s="65"/>
      <c r="C17" s="66"/>
      <c r="D17" s="66"/>
      <c r="E17" s="66"/>
      <c r="F17" s="66"/>
      <c r="G17" s="66"/>
      <c r="H17" s="66"/>
      <c r="I17" s="66"/>
      <c r="J17" s="69"/>
    </row>
    <row r="18" spans="1:10" x14ac:dyDescent="0.25">
      <c r="A18" s="61">
        <v>3</v>
      </c>
      <c r="B18" s="62"/>
      <c r="C18" s="63"/>
      <c r="D18" s="63"/>
      <c r="E18" s="63"/>
      <c r="F18" s="63"/>
      <c r="G18" s="63"/>
      <c r="H18" s="63"/>
      <c r="I18" s="63"/>
      <c r="J18" s="68"/>
    </row>
    <row r="19" spans="1:10" x14ac:dyDescent="0.25">
      <c r="A19" s="61">
        <v>3</v>
      </c>
      <c r="B19" s="65"/>
      <c r="C19" s="66"/>
      <c r="D19" s="66"/>
      <c r="E19" s="66"/>
      <c r="F19" s="66"/>
      <c r="G19" s="66"/>
      <c r="H19" s="66"/>
      <c r="I19" s="66"/>
      <c r="J19" s="69"/>
    </row>
    <row r="20" spans="1:10" x14ac:dyDescent="0.25">
      <c r="A20" s="61">
        <v>3</v>
      </c>
      <c r="B20" s="62"/>
      <c r="C20" s="63"/>
      <c r="D20" s="63"/>
      <c r="E20" s="63"/>
      <c r="F20" s="63"/>
      <c r="G20" s="63"/>
      <c r="H20" s="63"/>
      <c r="I20" s="63"/>
      <c r="J20" s="68"/>
    </row>
    <row r="21" spans="1:10" x14ac:dyDescent="0.25">
      <c r="A21" s="61">
        <v>3</v>
      </c>
      <c r="B21" s="65"/>
      <c r="C21" s="66"/>
      <c r="D21" s="66"/>
      <c r="E21" s="66"/>
      <c r="F21" s="66"/>
      <c r="G21" s="66"/>
      <c r="H21" s="66"/>
      <c r="I21" s="66"/>
      <c r="J21" s="69"/>
    </row>
    <row r="22" spans="1:10" x14ac:dyDescent="0.25">
      <c r="A22" s="61">
        <v>3</v>
      </c>
      <c r="B22" s="62"/>
      <c r="C22" s="63"/>
      <c r="D22" s="63"/>
      <c r="E22" s="63"/>
      <c r="F22" s="63"/>
      <c r="G22" s="63"/>
      <c r="H22" s="63"/>
      <c r="I22" s="63"/>
      <c r="J22" s="68"/>
    </row>
  </sheetData>
  <sheetProtection algorithmName="SHA-512" hashValue="o6XD8YrYBqOMYFxZY+04HOVvyvTE+ZAgb83+yvYEf0Tmtfq8uo8+V2ydUEyi9Jnr5oKjNVm4wQgehZFRNlypHg==" saltValue="Vjqd/QO3cOxt7w9FC35M2g==" spinCount="100000" sheet="1" objects="1" scenarios="1"/>
  <mergeCells count="6">
    <mergeCell ref="A2:J2"/>
    <mergeCell ref="A6:A8"/>
    <mergeCell ref="B6:J6"/>
    <mergeCell ref="C7:E7"/>
    <mergeCell ref="F7:H7"/>
    <mergeCell ref="I7:J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D63687A-0490-42C4-9F33-F1659F23C399}">
          <x14:formula1>
            <xm:f>Proponentes!$B$5:$B$6</xm:f>
          </x14:formula1>
          <xm:sqref>B10:B22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K22"/>
  <sheetViews>
    <sheetView workbookViewId="0">
      <selection activeCell="G18" sqref="G18"/>
    </sheetView>
  </sheetViews>
  <sheetFormatPr baseColWidth="10" defaultColWidth="11.42578125" defaultRowHeight="15" x14ac:dyDescent="0.25"/>
  <cols>
    <col min="1" max="3" width="11.42578125" style="15"/>
    <col min="4" max="4" width="19.5703125" style="15" customWidth="1"/>
    <col min="5" max="5" width="11" style="15" bestFit="1" customWidth="1"/>
    <col min="6" max="6" width="24.5703125" style="15" customWidth="1"/>
    <col min="7" max="7" width="12.42578125" style="15" bestFit="1" customWidth="1"/>
    <col min="8" max="8" width="14.140625" style="15" bestFit="1" customWidth="1"/>
    <col min="9" max="16384" width="11.42578125" style="15"/>
  </cols>
  <sheetData>
    <row r="2" spans="2:11" x14ac:dyDescent="0.25">
      <c r="B2" s="22" t="s">
        <v>52</v>
      </c>
      <c r="C2" s="22" t="s">
        <v>33</v>
      </c>
      <c r="D2" s="23" t="s">
        <v>45</v>
      </c>
      <c r="E2" s="23" t="s">
        <v>46</v>
      </c>
      <c r="F2" s="23" t="s">
        <v>47</v>
      </c>
      <c r="G2" s="23" t="s">
        <v>48</v>
      </c>
      <c r="H2" s="23" t="s">
        <v>49</v>
      </c>
    </row>
    <row r="3" spans="2:11" x14ac:dyDescent="0.25">
      <c r="B3" s="4">
        <v>1</v>
      </c>
      <c r="C3" s="24" t="s">
        <v>28</v>
      </c>
      <c r="D3" s="25">
        <v>156</v>
      </c>
      <c r="E3" s="25">
        <v>110</v>
      </c>
      <c r="F3" s="25">
        <v>8</v>
      </c>
      <c r="G3" s="26">
        <v>215735</v>
      </c>
      <c r="H3" s="26">
        <v>4178060</v>
      </c>
      <c r="J3" s="28" t="s">
        <v>54</v>
      </c>
      <c r="K3" s="4">
        <v>4.4600000000000001E-2</v>
      </c>
    </row>
    <row r="4" spans="2:11" x14ac:dyDescent="0.25">
      <c r="B4" s="4">
        <v>2</v>
      </c>
      <c r="C4" s="24" t="s">
        <v>29</v>
      </c>
      <c r="D4" s="25">
        <v>124</v>
      </c>
      <c r="E4" s="25">
        <v>105</v>
      </c>
      <c r="F4" s="25">
        <v>10</v>
      </c>
      <c r="G4" s="26">
        <v>119645</v>
      </c>
      <c r="H4" s="26">
        <v>2317117</v>
      </c>
      <c r="J4" s="28" t="s">
        <v>56</v>
      </c>
      <c r="K4" s="4">
        <v>6.0299999999999999E-2</v>
      </c>
    </row>
    <row r="5" spans="2:11" x14ac:dyDescent="0.25">
      <c r="B5" s="4">
        <v>3</v>
      </c>
      <c r="C5" s="24" t="s">
        <v>31</v>
      </c>
      <c r="D5" s="25">
        <v>116</v>
      </c>
      <c r="E5" s="25">
        <v>82</v>
      </c>
      <c r="F5" s="25">
        <v>6</v>
      </c>
      <c r="G5" s="26">
        <v>105412</v>
      </c>
      <c r="H5" s="26">
        <v>2041471</v>
      </c>
    </row>
    <row r="6" spans="2:11" x14ac:dyDescent="0.25">
      <c r="B6" s="23"/>
      <c r="C6" s="23" t="s">
        <v>50</v>
      </c>
      <c r="D6" s="23">
        <v>396</v>
      </c>
      <c r="E6" s="23">
        <v>297</v>
      </c>
      <c r="F6" s="23">
        <v>24</v>
      </c>
      <c r="G6" s="27">
        <v>440792</v>
      </c>
      <c r="H6" s="27">
        <v>8536648</v>
      </c>
    </row>
    <row r="11" spans="2:11" x14ac:dyDescent="0.25">
      <c r="B11" s="22" t="s">
        <v>52</v>
      </c>
      <c r="C11" s="22" t="s">
        <v>33</v>
      </c>
      <c r="D11" s="29" t="s">
        <v>58</v>
      </c>
    </row>
    <row r="12" spans="2:11" x14ac:dyDescent="0.25">
      <c r="B12" s="30">
        <v>1</v>
      </c>
      <c r="C12" s="30" t="s">
        <v>28</v>
      </c>
      <c r="D12" s="31">
        <v>22736895008</v>
      </c>
    </row>
    <row r="13" spans="2:11" x14ac:dyDescent="0.25">
      <c r="B13" s="30">
        <v>2</v>
      </c>
      <c r="C13" s="30" t="s">
        <v>29</v>
      </c>
      <c r="D13" s="31">
        <v>19839968841</v>
      </c>
    </row>
    <row r="14" spans="2:11" x14ac:dyDescent="0.25">
      <c r="B14" s="30">
        <v>3</v>
      </c>
      <c r="C14" s="30" t="s">
        <v>31</v>
      </c>
      <c r="D14" s="31">
        <v>16927578740</v>
      </c>
    </row>
    <row r="17" spans="2:4" x14ac:dyDescent="0.25">
      <c r="B17" s="111" t="s">
        <v>78</v>
      </c>
      <c r="C17" s="111"/>
      <c r="D17" s="111"/>
    </row>
    <row r="18" spans="2:4" ht="30" x14ac:dyDescent="0.25">
      <c r="B18" s="22" t="s">
        <v>52</v>
      </c>
      <c r="C18" s="22" t="s">
        <v>33</v>
      </c>
      <c r="D18" s="36" t="s">
        <v>84</v>
      </c>
    </row>
    <row r="19" spans="2:4" x14ac:dyDescent="0.25">
      <c r="B19" s="30">
        <v>1</v>
      </c>
      <c r="C19" s="30" t="s">
        <v>28</v>
      </c>
      <c r="D19" s="31">
        <v>23776053249</v>
      </c>
    </row>
    <row r="20" spans="2:4" x14ac:dyDescent="0.25">
      <c r="B20" s="30">
        <v>2</v>
      </c>
      <c r="C20" s="30" t="s">
        <v>29</v>
      </c>
      <c r="D20" s="31">
        <v>21017596529</v>
      </c>
    </row>
    <row r="21" spans="2:4" x14ac:dyDescent="0.25">
      <c r="B21" s="30">
        <v>3</v>
      </c>
      <c r="C21" s="30" t="s">
        <v>31</v>
      </c>
      <c r="D21" s="31">
        <v>18206350222</v>
      </c>
    </row>
    <row r="22" spans="2:4" x14ac:dyDescent="0.25">
      <c r="D22" s="37"/>
    </row>
  </sheetData>
  <sheetProtection algorithmName="SHA-512" hashValue="veA1q7JWEesM6pE/MFEAnmTMpps82NyHpiwMX0W34PVMs2X0XVBODI5gBpm9cDpaHGVoSUqaA7fp2BtHewutew==" saltValue="fAT+kyS+RGE+oDyzDBJ9fQ==" spinCount="100000" sheet="1" objects="1" scenarios="1"/>
  <mergeCells count="1">
    <mergeCell ref="B17:D1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85DE7-DF7A-4112-BCDB-8C7E0A22CA0A}">
  <dimension ref="A2:AC31"/>
  <sheetViews>
    <sheetView zoomScaleNormal="100" workbookViewId="0">
      <pane xSplit="2" ySplit="6" topLeftCell="O7" activePane="bottomRight" state="frozen"/>
      <selection pane="topRight" activeCell="C1" sqref="C1"/>
      <selection pane="bottomLeft" activeCell="A7" sqref="A7"/>
      <selection pane="bottomRight" activeCell="Z13" sqref="Z13"/>
    </sheetView>
  </sheetViews>
  <sheetFormatPr baseColWidth="10" defaultColWidth="11.42578125" defaultRowHeight="15" x14ac:dyDescent="0.25"/>
  <cols>
    <col min="1" max="1" width="19.42578125" style="11" customWidth="1"/>
    <col min="2" max="2" width="39" style="11" customWidth="1"/>
    <col min="3" max="4" width="25.85546875" style="11" customWidth="1"/>
    <col min="5" max="5" width="21.140625" style="11" customWidth="1"/>
    <col min="6" max="8" width="20.140625" style="11" customWidth="1"/>
    <col min="9" max="11" width="21" style="11" customWidth="1"/>
    <col min="12" max="13" width="19.5703125" style="11" bestFit="1" customWidth="1"/>
    <col min="14" max="14" width="18.28515625" style="11" bestFit="1" customWidth="1"/>
    <col min="15" max="15" width="11.42578125" style="11"/>
    <col min="16" max="16" width="19.28515625" style="11" bestFit="1" customWidth="1"/>
    <col min="17" max="17" width="12" style="11" bestFit="1" customWidth="1"/>
    <col min="18" max="18" width="17.85546875" style="11" bestFit="1" customWidth="1"/>
    <col min="19" max="19" width="11.42578125" style="11"/>
    <col min="20" max="20" width="11.85546875" style="11" bestFit="1" customWidth="1"/>
    <col min="21" max="21" width="16.5703125" style="11" customWidth="1"/>
    <col min="22" max="22" width="10.85546875" style="11" bestFit="1" customWidth="1"/>
    <col min="23" max="27" width="11.42578125" style="11"/>
    <col min="28" max="28" width="11.7109375" style="11" bestFit="1" customWidth="1"/>
    <col min="29" max="29" width="14.140625" style="11" customWidth="1"/>
    <col min="30" max="16384" width="11.42578125" style="11"/>
  </cols>
  <sheetData>
    <row r="2" spans="1:29" x14ac:dyDescent="0.25">
      <c r="A2" s="107" t="s">
        <v>74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</row>
    <row r="3" spans="1:29" x14ac:dyDescent="0.2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29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29" ht="75" x14ac:dyDescent="0.25">
      <c r="A5" s="57" t="s">
        <v>33</v>
      </c>
      <c r="B5" s="57" t="s">
        <v>35</v>
      </c>
      <c r="C5" s="58" t="s">
        <v>36</v>
      </c>
      <c r="D5" s="58" t="s">
        <v>37</v>
      </c>
      <c r="E5" s="58" t="s">
        <v>38</v>
      </c>
      <c r="F5" s="59" t="s">
        <v>39</v>
      </c>
      <c r="G5" s="59" t="s">
        <v>40</v>
      </c>
      <c r="H5" s="59" t="s">
        <v>41</v>
      </c>
      <c r="I5" s="58" t="s">
        <v>42</v>
      </c>
      <c r="J5" s="58" t="s">
        <v>43</v>
      </c>
      <c r="K5" s="58" t="s">
        <v>10</v>
      </c>
      <c r="L5" s="59" t="s">
        <v>51</v>
      </c>
      <c r="M5" s="59" t="s">
        <v>53</v>
      </c>
      <c r="N5" s="59" t="s">
        <v>55</v>
      </c>
      <c r="O5" s="59" t="s">
        <v>57</v>
      </c>
      <c r="P5" s="59" t="s">
        <v>8</v>
      </c>
      <c r="Q5" s="59" t="s">
        <v>59</v>
      </c>
      <c r="R5" s="59" t="s">
        <v>14</v>
      </c>
      <c r="S5" s="59" t="s">
        <v>16</v>
      </c>
      <c r="T5" s="59" t="s">
        <v>66</v>
      </c>
      <c r="U5" s="59" t="s">
        <v>65</v>
      </c>
      <c r="V5" s="59" t="s">
        <v>25</v>
      </c>
      <c r="W5" s="59" t="s">
        <v>26</v>
      </c>
      <c r="X5" s="59" t="s">
        <v>68</v>
      </c>
      <c r="Y5" s="59" t="s">
        <v>69</v>
      </c>
      <c r="Z5" s="59" t="s">
        <v>70</v>
      </c>
      <c r="AA5" s="59" t="s">
        <v>71</v>
      </c>
      <c r="AB5" s="59" t="s">
        <v>72</v>
      </c>
      <c r="AC5" s="59" t="s">
        <v>73</v>
      </c>
    </row>
    <row r="6" spans="1:29" ht="18.75" customHeight="1" x14ac:dyDescent="0.25">
      <c r="A6" s="60" t="s">
        <v>6</v>
      </c>
      <c r="B6" s="60" t="s">
        <v>6</v>
      </c>
      <c r="C6" s="60" t="s">
        <v>7</v>
      </c>
      <c r="D6" s="60" t="s">
        <v>7</v>
      </c>
      <c r="E6" s="60" t="s">
        <v>7</v>
      </c>
      <c r="F6" s="60" t="s">
        <v>7</v>
      </c>
      <c r="G6" s="60" t="s">
        <v>7</v>
      </c>
      <c r="H6" s="60" t="s">
        <v>7</v>
      </c>
      <c r="I6" s="60" t="s">
        <v>7</v>
      </c>
      <c r="J6" s="60" t="s">
        <v>44</v>
      </c>
      <c r="K6" s="70" t="s">
        <v>6</v>
      </c>
      <c r="L6" s="60" t="s">
        <v>7</v>
      </c>
      <c r="M6" s="60" t="s">
        <v>7</v>
      </c>
      <c r="N6" s="60" t="s">
        <v>7</v>
      </c>
      <c r="O6" s="70" t="s">
        <v>6</v>
      </c>
      <c r="P6" s="60" t="s">
        <v>7</v>
      </c>
      <c r="Q6" s="70" t="s">
        <v>6</v>
      </c>
      <c r="R6" s="70" t="s">
        <v>6</v>
      </c>
      <c r="S6" s="70" t="s">
        <v>6</v>
      </c>
      <c r="T6" s="70" t="s">
        <v>6</v>
      </c>
      <c r="U6" s="70" t="s">
        <v>6</v>
      </c>
      <c r="V6" s="70" t="s">
        <v>6</v>
      </c>
      <c r="W6" s="70" t="s">
        <v>6</v>
      </c>
      <c r="X6" s="70" t="s">
        <v>67</v>
      </c>
      <c r="Y6" s="70" t="s">
        <v>67</v>
      </c>
      <c r="Z6" s="70" t="s">
        <v>67</v>
      </c>
      <c r="AA6" s="70" t="s">
        <v>67</v>
      </c>
      <c r="AB6" s="70" t="s">
        <v>67</v>
      </c>
      <c r="AC6" s="70" t="s">
        <v>67</v>
      </c>
    </row>
    <row r="7" spans="1:29" x14ac:dyDescent="0.25">
      <c r="A7" s="61">
        <v>1</v>
      </c>
      <c r="B7" s="62" t="str">
        <f>'Lote 1'!B10</f>
        <v>ASSA ABLOY</v>
      </c>
      <c r="C7" s="63">
        <f>'Lote 1'!C10</f>
        <v>32130000</v>
      </c>
      <c r="D7" s="63">
        <f>'Lote 1'!D10</f>
        <v>35003850</v>
      </c>
      <c r="E7" s="63">
        <f>'Lote 1'!E10</f>
        <v>5995220</v>
      </c>
      <c r="F7" s="63">
        <f>'Lote 1'!F10</f>
        <v>1400630</v>
      </c>
      <c r="G7" s="63">
        <f>'Lote 1'!G10</f>
        <v>1600550</v>
      </c>
      <c r="H7" s="63">
        <f>'Lote 1'!H10</f>
        <v>600950</v>
      </c>
      <c r="I7" s="63">
        <f>'Lote 1'!I10</f>
        <v>300</v>
      </c>
      <c r="J7" s="64">
        <f>'Lote 1'!J10</f>
        <v>4.82E-2</v>
      </c>
      <c r="K7" s="71" t="str">
        <f>AnálisisCapacidad!P5</f>
        <v>Si tiene capacidad</v>
      </c>
      <c r="L7" s="72">
        <f>VLOOKUP(A7,Cantidades!$B$3:$H$5,3,0)*Lote1Cal!C7+VLOOKUP(A7,Cantidades!$B$3:$H$5,4,0)*D7+VLOOKUP(A7,Cantidades!$B$3:$H$5,5,0)*E7</f>
        <v>8910665260</v>
      </c>
      <c r="M7" s="73">
        <f>(VLOOKUP(A7,Cantidades!$B$3:$H$5,3,0)*Lote1Cal!F7+VLOOKUP(A7,Cantidades!$B$3:$H$5,4,0)*G7+VLOOKUP(A7,Cantidades!$B$3:$H$5,5,0)*H7)/Cantidades!$K$3</f>
        <v>8954403139.0134525</v>
      </c>
      <c r="N7" s="72">
        <f>(I7*(VLOOKUP(A7,Cantidades!$B$3:$H$5,6,0)-(VLOOKUP(A7,Cantidades!$B$3:$H$5,7,0)*J7)/(1-J7)))/Cantidades!$K$4</f>
        <v>20668254.650262065</v>
      </c>
      <c r="O7" s="71" t="str">
        <f>IF(AND('Lote 1'!I10&gt;=250,'Lote 1'!J10&lt;4.91),"Cumple","No Cumple")</f>
        <v>Cumple</v>
      </c>
      <c r="P7" s="72">
        <f>IF(AND(O7="Cumple",K7="Si tiene capacidad"),L7+M7-MIN(N7,VLOOKUP(A7,Cantidades!$B$12:$D$14,3,0)*15%),"No Cumple")</f>
        <v>17844400144.36319</v>
      </c>
      <c r="Q7" s="71" t="str">
        <f>IF(AND(O7="Cumple",P7&lt;&gt;"No Cumple"),IF(M7&gt;=(L7+M7)*50%,"Cumple","No Cumple"),"No Cumple")</f>
        <v>Cumple</v>
      </c>
      <c r="R7" s="71" t="str">
        <f>IF(Q7="Cumple",IF((L7+M7)&lt;=VLOOKUP(A7,Cantidades!$B$12:$D$14,3,0),"Cumple","No Cumple"),"No Cumple")</f>
        <v>Cumple</v>
      </c>
      <c r="S7" s="71" t="str">
        <f>IF(R7="No Cumple","Rechazada",IF((L7+M7)&lt;VLOOKUP(A7,VPBajo!$C$3:$H$5,6,0),IF(U7="No Satisfactoria","Rechazada","Cumple"),"Cumple"))</f>
        <v>Cumple</v>
      </c>
      <c r="T7" s="71" t="str">
        <f>IF(R7="No Cumple","Rechazada",IF((L7+M7)&lt;VLOOKUP(A7,VPBajo!$C$3:$H$5,6,0),"Si","No"))</f>
        <v>No</v>
      </c>
      <c r="U7" s="63" t="s">
        <v>64</v>
      </c>
      <c r="V7" s="71" t="str">
        <f>IF(S7="Cumple","Habilitada","Rechazada")</f>
        <v>Habilitada</v>
      </c>
      <c r="W7" s="71" t="str">
        <f>IF(V7="Habilitada","Definitiva","Rechazada")</f>
        <v>Definitiva</v>
      </c>
      <c r="X7" s="74">
        <f>IF(W7="Rechazada","Rechazada",(VLOOKUP(A7,Cantidades!$B$12:$D$14,3,0)-Lote1Cal!P7)/(VLOOKUP(A7,Cantidades!$B$12:$D$14,3,0)-MIN(Lote1Cal!$P$7:$P$19))*72)</f>
        <v>56.06865254270857</v>
      </c>
      <c r="Y7" s="75">
        <v>17</v>
      </c>
      <c r="Z7" s="75">
        <v>7</v>
      </c>
      <c r="AA7" s="75">
        <v>0</v>
      </c>
      <c r="AB7" s="76">
        <f>IF(W7="Definitiva",ROUND(SUM(X7:AA7),7),"Rechazada")</f>
        <v>80.068652499999999</v>
      </c>
      <c r="AC7" s="77">
        <f>IFERROR(_xlfn.RANK.EQ(AB7,$AB$7:$AB$19,0),"")</f>
        <v>2</v>
      </c>
    </row>
    <row r="8" spans="1:29" x14ac:dyDescent="0.25">
      <c r="A8" s="61">
        <v>1</v>
      </c>
      <c r="B8" s="65" t="str">
        <f>'Lote 1'!B11</f>
        <v>CONSORC NAUTILUS</v>
      </c>
      <c r="C8" s="66">
        <f>'Lote 1'!C11</f>
        <v>30730016</v>
      </c>
      <c r="D8" s="66">
        <f>'Lote 1'!D11</f>
        <v>44895024</v>
      </c>
      <c r="E8" s="66">
        <f>'Lote 1'!E11</f>
        <v>25000000</v>
      </c>
      <c r="F8" s="66">
        <f>'Lote 1'!F11</f>
        <v>1419816</v>
      </c>
      <c r="G8" s="66">
        <f>'Lote 1'!G11</f>
        <v>1530303</v>
      </c>
      <c r="H8" s="66">
        <f>'Lote 1'!H11</f>
        <v>6644737</v>
      </c>
      <c r="I8" s="66">
        <f>'Lote 1'!I11</f>
        <v>1909</v>
      </c>
      <c r="J8" s="67">
        <f>'Lote 1'!J11</f>
        <v>2.52E-2</v>
      </c>
      <c r="K8" s="78" t="str">
        <f>AnálisisCapacidad!P6</f>
        <v>Si tiene capacidad</v>
      </c>
      <c r="L8" s="79">
        <f>VLOOKUP(A8,Cantidades!$B$3:$H$5,3,0)*Lote1Cal!C8+VLOOKUP(A8,Cantidades!$B$3:$H$5,4,0)*D8+VLOOKUP(A8,Cantidades!$B$3:$H$5,5,0)*E8</f>
        <v>9932335136</v>
      </c>
      <c r="M8" s="80">
        <f>(VLOOKUP(A8,Cantidades!$B$3:$H$5,3,0)*Lote1Cal!F8+VLOOKUP(A8,Cantidades!$B$3:$H$5,4,0)*G8+VLOOKUP(A8,Cantidades!$B$3:$H$5,5,0)*H8)/Cantidades!$K$3</f>
        <v>9932343542.6008968</v>
      </c>
      <c r="N8" s="79">
        <f>(I8*(VLOOKUP(A8,Cantidades!$B$3:$H$5,6,0)-(VLOOKUP(A8,Cantidades!$B$3:$H$5,7,0)*J8)/(1-J8)))/Cantidades!$K$4</f>
        <v>3410432070.4982815</v>
      </c>
      <c r="O8" s="78" t="str">
        <f>IF(AND('Lote 1'!I11&gt;=250,'Lote 1'!J11&lt;4.91),"Cumple","No Cumple")</f>
        <v>Cumple</v>
      </c>
      <c r="P8" s="79">
        <f>IF(AND(O8="Cumple",K8="Si tiene capacidad"),L8+M8-MIN(N8,VLOOKUP(A8,Cantidades!$B$12:$D$14,3,0)*15%),"No Cumple")</f>
        <v>16454246608.102617</v>
      </c>
      <c r="Q8" s="78" t="str">
        <f t="shared" ref="Q8:Q19" si="0">IF(AND(O8="Cumple",P8&lt;&gt;"No Cumple"),IF(M8&gt;=(L8+M8)*50%,"Cumple","No Cumple"),"No Cumple")</f>
        <v>Cumple</v>
      </c>
      <c r="R8" s="78" t="str">
        <f>IF(Q8="Cumple",IF((L8+M8)&lt;=VLOOKUP(A8,Cantidades!$B$12:$D$14,3,0),"Cumple","No Cumple"),"No Cumple")</f>
        <v>Cumple</v>
      </c>
      <c r="S8" s="78" t="str">
        <f>IF(R8="No Cumple","Rechazada",IF((L8+M8)&lt;VLOOKUP(A8,VPBajo!$C$3:$H$5,6,0),IF(U8="No Satisfactoria","Rechazada","Cumple"),"Cumple"))</f>
        <v>Cumple</v>
      </c>
      <c r="T8" s="78" t="str">
        <f>IF(R8="No Cumple","Rechazada",IF((L8+M8)&lt;VLOOKUP(A8,VPBajo!$C$3:$H$5,6,0),"Si","No"))</f>
        <v>No</v>
      </c>
      <c r="U8" s="66" t="s">
        <v>64</v>
      </c>
      <c r="V8" s="78" t="str">
        <f t="shared" ref="V8:V19" si="1">IF(S8="Cumple","Habilitada","Rechazada")</f>
        <v>Habilitada</v>
      </c>
      <c r="W8" s="78" t="str">
        <f t="shared" ref="W8:W19" si="2">IF(V8="Habilitada","Definitiva","Rechazada")</f>
        <v>Definitiva</v>
      </c>
      <c r="X8" s="81">
        <f>IF(W8="Rechazada","Rechazada",(VLOOKUP(A8,Cantidades!$B$12:$D$14,3,0)-Lote1Cal!P8)/(VLOOKUP(A8,Cantidades!$B$12:$D$14,3,0)-MIN(Lote1Cal!$P$7:$P$19))*72)</f>
        <v>72</v>
      </c>
      <c r="Y8" s="82">
        <v>17</v>
      </c>
      <c r="Z8" s="82">
        <v>10</v>
      </c>
      <c r="AA8" s="82">
        <v>1</v>
      </c>
      <c r="AB8" s="76">
        <f t="shared" ref="AB8:AB19" si="3">IF(W8="Definitiva",ROUND(SUM(X8:AA8),7),"Rechazada")</f>
        <v>100</v>
      </c>
      <c r="AC8" s="83">
        <f t="shared" ref="AC8:AC19" si="4">IFERROR(_xlfn.RANK.EQ(AB8,$AB$7:$AB$19,0),"")</f>
        <v>1</v>
      </c>
    </row>
    <row r="9" spans="1:29" x14ac:dyDescent="0.25">
      <c r="A9" s="61">
        <v>1</v>
      </c>
      <c r="B9" s="62">
        <f>'Lote 1'!B12</f>
        <v>0</v>
      </c>
      <c r="C9" s="63">
        <f>'Lote 1'!C12</f>
        <v>0</v>
      </c>
      <c r="D9" s="63">
        <f>'Lote 1'!D12</f>
        <v>0</v>
      </c>
      <c r="E9" s="63">
        <f>'Lote 1'!E12</f>
        <v>0</v>
      </c>
      <c r="F9" s="63">
        <f>'Lote 1'!F12</f>
        <v>0</v>
      </c>
      <c r="G9" s="63">
        <f>'Lote 1'!G12</f>
        <v>0</v>
      </c>
      <c r="H9" s="63">
        <f>'Lote 1'!H12</f>
        <v>0</v>
      </c>
      <c r="I9" s="63">
        <f>'Lote 1'!I12</f>
        <v>0</v>
      </c>
      <c r="J9" s="68">
        <f>'Lote 1'!J12</f>
        <v>0</v>
      </c>
      <c r="K9" s="71">
        <f>AnálisisCapacidad!P7</f>
        <v>0</v>
      </c>
      <c r="L9" s="72">
        <f>VLOOKUP(A9,Cantidades!$B$3:$H$5,3,0)*Lote1Cal!C9+VLOOKUP(A9,Cantidades!$B$3:$H$5,4,0)*D9+VLOOKUP(A9,Cantidades!$B$3:$H$5,5,0)*E9</f>
        <v>0</v>
      </c>
      <c r="M9" s="73">
        <f>(VLOOKUP(A9,Cantidades!$B$3:$H$5,3,0)*Lote1Cal!F9+VLOOKUP(A9,Cantidades!$B$3:$H$5,4,0)*G9+VLOOKUP(A9,Cantidades!$B$3:$H$5,5,0)*H9)/Cantidades!$K$3</f>
        <v>0</v>
      </c>
      <c r="N9" s="72">
        <f>(I9*(VLOOKUP(A9,Cantidades!$B$3:$H$5,6,0)-(VLOOKUP(A9,Cantidades!$B$3:$H$5,7,0)*J9)/(1-J9)))/Cantidades!$K$4</f>
        <v>0</v>
      </c>
      <c r="O9" s="71" t="str">
        <f>IF(AND('Lote 1'!I12&gt;=250,'Lote 1'!J12&lt;4.91),"Cumple","No Cumple")</f>
        <v>No Cumple</v>
      </c>
      <c r="P9" s="72" t="str">
        <f>IF(AND(O9="Cumple",K9="Si tiene capacidad"),L9+M9-MIN(N9,VLOOKUP(A9,Cantidades!$B$12:$D$14,3,0)*15%),"No Cumple")</f>
        <v>No Cumple</v>
      </c>
      <c r="Q9" s="71" t="str">
        <f t="shared" si="0"/>
        <v>No Cumple</v>
      </c>
      <c r="R9" s="71" t="str">
        <f>IF(Q9="Cumple",IF((L9+M9)&lt;=VLOOKUP(A9,Cantidades!$B$12:$D$14,3,0),"Cumple","No Cumple"),"No Cumple")</f>
        <v>No Cumple</v>
      </c>
      <c r="S9" s="71" t="str">
        <f>IF(R9="No Cumple","Rechazada",IF((L9+M9)&lt;VLOOKUP(A9,VPBajo!$C$3:$H$5,6,0),IF(U9="No Satisfactoria","Rechazada","Cumple"),"Cumple"))</f>
        <v>Rechazada</v>
      </c>
      <c r="T9" s="71" t="str">
        <f>IF(R9="No Cumple","Rechazada",IF((L9+M9)&lt;VLOOKUP(A9,VPBajo!$C$3:$H$5,6,0),"Si","No"))</f>
        <v>Rechazada</v>
      </c>
      <c r="U9" s="63" t="s">
        <v>64</v>
      </c>
      <c r="V9" s="71" t="str">
        <f t="shared" si="1"/>
        <v>Rechazada</v>
      </c>
      <c r="W9" s="71" t="str">
        <f t="shared" si="2"/>
        <v>Rechazada</v>
      </c>
      <c r="X9" s="74" t="str">
        <f>IF(W9="Rechazada","Rechazada",(VLOOKUP(A9,Cantidades!$B$12:$D$14,3,0)-Lote1Cal!P9)/(VLOOKUP(A9,Cantidades!$B$12:$D$14,3,0)-MIN(Lote1Cal!$P$7:$P$19))*72)</f>
        <v>Rechazada</v>
      </c>
      <c r="Y9" s="84"/>
      <c r="Z9" s="84"/>
      <c r="AA9" s="84"/>
      <c r="AB9" s="76" t="str">
        <f t="shared" si="3"/>
        <v>Rechazada</v>
      </c>
      <c r="AC9" s="77" t="str">
        <f t="shared" si="4"/>
        <v/>
      </c>
    </row>
    <row r="10" spans="1:29" x14ac:dyDescent="0.25">
      <c r="A10" s="61">
        <v>1</v>
      </c>
      <c r="B10" s="65">
        <f>'Lote 1'!B13</f>
        <v>0</v>
      </c>
      <c r="C10" s="66">
        <f>'Lote 1'!C13</f>
        <v>0</v>
      </c>
      <c r="D10" s="66">
        <f>'Lote 1'!D13</f>
        <v>0</v>
      </c>
      <c r="E10" s="66">
        <f>'Lote 1'!E13</f>
        <v>0</v>
      </c>
      <c r="F10" s="66">
        <f>'Lote 1'!F13</f>
        <v>0</v>
      </c>
      <c r="G10" s="66">
        <f>'Lote 1'!G13</f>
        <v>0</v>
      </c>
      <c r="H10" s="66">
        <f>'Lote 1'!H13</f>
        <v>0</v>
      </c>
      <c r="I10" s="66">
        <f>'Lote 1'!I13</f>
        <v>0</v>
      </c>
      <c r="J10" s="69">
        <f>'Lote 1'!J13</f>
        <v>0</v>
      </c>
      <c r="K10" s="78">
        <f>AnálisisCapacidad!P8</f>
        <v>0</v>
      </c>
      <c r="L10" s="79">
        <f>VLOOKUP(A10,Cantidades!$B$3:$H$5,3,0)*Lote1Cal!C10+VLOOKUP(A10,Cantidades!$B$3:$H$5,4,0)*D10+VLOOKUP(A10,Cantidades!$B$3:$H$5,5,0)*E10</f>
        <v>0</v>
      </c>
      <c r="M10" s="80">
        <f>(VLOOKUP(A10,Cantidades!$B$3:$H$5,3,0)*Lote1Cal!F10+VLOOKUP(A10,Cantidades!$B$3:$H$5,4,0)*G10+VLOOKUP(A10,Cantidades!$B$3:$H$5,5,0)*H10)/Cantidades!$K$3</f>
        <v>0</v>
      </c>
      <c r="N10" s="79">
        <f>(I10*(VLOOKUP(A10,Cantidades!$B$3:$H$5,6,0)-(VLOOKUP(A10,Cantidades!$B$3:$H$5,7,0)*J10)/(1-J10)))/Cantidades!$K$4</f>
        <v>0</v>
      </c>
      <c r="O10" s="78" t="str">
        <f>IF(AND('Lote 1'!I13&gt;=250,'Lote 1'!J13&lt;4.91),"Cumple","No Cumple")</f>
        <v>No Cumple</v>
      </c>
      <c r="P10" s="79" t="str">
        <f>IF(AND(O10="Cumple",K10="Si tiene capacidad"),L10+M10-MIN(N10,VLOOKUP(A10,Cantidades!$B$12:$D$14,3,0)*15%),"No Cumple")</f>
        <v>No Cumple</v>
      </c>
      <c r="Q10" s="78" t="str">
        <f t="shared" si="0"/>
        <v>No Cumple</v>
      </c>
      <c r="R10" s="78" t="str">
        <f>IF(Q10="Cumple",IF((L10+M10)&lt;=VLOOKUP(A10,Cantidades!$B$12:$D$14,3,0),"Cumple","No Cumple"),"No Cumple")</f>
        <v>No Cumple</v>
      </c>
      <c r="S10" s="78" t="str">
        <f>IF(R10="No Cumple","Rechazada",IF((L10+M10)&lt;VLOOKUP(A10,VPBajo!$C$3:$H$5,6,0),IF(U10="No Satisfactoria","Rechazada","Cumple"),"Cumple"))</f>
        <v>Rechazada</v>
      </c>
      <c r="T10" s="78" t="str">
        <f>IF(R10="No Cumple","Rechazada",IF((L10+M10)&lt;VLOOKUP(A10,VPBajo!$C$3:$H$5,6,0),"Si","No"))</f>
        <v>Rechazada</v>
      </c>
      <c r="U10" s="66" t="s">
        <v>64</v>
      </c>
      <c r="V10" s="78" t="str">
        <f t="shared" si="1"/>
        <v>Rechazada</v>
      </c>
      <c r="W10" s="78" t="str">
        <f t="shared" si="2"/>
        <v>Rechazada</v>
      </c>
      <c r="X10" s="81" t="str">
        <f>IF(W10="Rechazada","Rechazada",(VLOOKUP(A10,Cantidades!$B$12:$D$14,3,0)-Lote1Cal!P10)/(VLOOKUP(A10,Cantidades!$B$12:$D$14,3,0)-MIN(Lote1Cal!$P$7:$P$19))*72)</f>
        <v>Rechazada</v>
      </c>
      <c r="Y10" s="85"/>
      <c r="Z10" s="85"/>
      <c r="AA10" s="85"/>
      <c r="AB10" s="76" t="str">
        <f t="shared" si="3"/>
        <v>Rechazada</v>
      </c>
      <c r="AC10" s="83" t="str">
        <f t="shared" si="4"/>
        <v/>
      </c>
    </row>
    <row r="11" spans="1:29" x14ac:dyDescent="0.25">
      <c r="A11" s="61">
        <v>1</v>
      </c>
      <c r="B11" s="62">
        <f>'Lote 1'!B14</f>
        <v>0</v>
      </c>
      <c r="C11" s="63">
        <f>'Lote 1'!C14</f>
        <v>0</v>
      </c>
      <c r="D11" s="63">
        <f>'Lote 1'!D14</f>
        <v>0</v>
      </c>
      <c r="E11" s="63">
        <f>'Lote 1'!E14</f>
        <v>0</v>
      </c>
      <c r="F11" s="63">
        <f>'Lote 1'!F14</f>
        <v>0</v>
      </c>
      <c r="G11" s="63">
        <f>'Lote 1'!G14</f>
        <v>0</v>
      </c>
      <c r="H11" s="63">
        <f>'Lote 1'!H14</f>
        <v>0</v>
      </c>
      <c r="I11" s="63">
        <f>'Lote 1'!I14</f>
        <v>0</v>
      </c>
      <c r="J11" s="68">
        <f>'Lote 1'!J14</f>
        <v>0</v>
      </c>
      <c r="K11" s="71">
        <f>AnálisisCapacidad!P9</f>
        <v>0</v>
      </c>
      <c r="L11" s="72">
        <f>VLOOKUP(A11,Cantidades!$B$3:$H$5,3,0)*Lote1Cal!C11+VLOOKUP(A11,Cantidades!$B$3:$H$5,4,0)*D11+VLOOKUP(A11,Cantidades!$B$3:$H$5,5,0)*E11</f>
        <v>0</v>
      </c>
      <c r="M11" s="73">
        <f>(VLOOKUP(A11,Cantidades!$B$3:$H$5,3,0)*Lote1Cal!F11+VLOOKUP(A11,Cantidades!$B$3:$H$5,4,0)*G11+VLOOKUP(A11,Cantidades!$B$3:$H$5,5,0)*H11)/Cantidades!$K$3</f>
        <v>0</v>
      </c>
      <c r="N11" s="72">
        <f>(I11*(VLOOKUP(A11,Cantidades!$B$3:$H$5,6,0)-(VLOOKUP(A11,Cantidades!$B$3:$H$5,7,0)*J11)/(1-J11)))/Cantidades!$K$4</f>
        <v>0</v>
      </c>
      <c r="O11" s="71" t="str">
        <f>IF(AND('Lote 1'!I14&gt;=250,'Lote 1'!J14&lt;4.91),"Cumple","No Cumple")</f>
        <v>No Cumple</v>
      </c>
      <c r="P11" s="72" t="str">
        <f>IF(AND(O11="Cumple",K11="Si tiene capacidad"),L11+M11-MIN(N11,VLOOKUP(A11,Cantidades!$B$12:$D$14,3,0)*15%),"No Cumple")</f>
        <v>No Cumple</v>
      </c>
      <c r="Q11" s="71" t="str">
        <f t="shared" si="0"/>
        <v>No Cumple</v>
      </c>
      <c r="R11" s="71" t="str">
        <f>IF(Q11="Cumple",IF((L11+M11)&lt;=VLOOKUP(A11,Cantidades!$B$12:$D$14,3,0),"Cumple","No Cumple"),"No Cumple")</f>
        <v>No Cumple</v>
      </c>
      <c r="S11" s="71" t="str">
        <f>IF(R11="No Cumple","Rechazada",IF((L11+M11)&lt;VLOOKUP(A11,VPBajo!$C$3:$H$5,6,0),IF(U11="No Satisfactoria","Rechazada","Cumple"),"Cumple"))</f>
        <v>Rechazada</v>
      </c>
      <c r="T11" s="71" t="str">
        <f>IF(R11="No Cumple","Rechazada",IF((L11+M11)&lt;VLOOKUP(A11,VPBajo!$C$3:$H$5,6,0),"Si","No"))</f>
        <v>Rechazada</v>
      </c>
      <c r="U11" s="63" t="s">
        <v>64</v>
      </c>
      <c r="V11" s="71" t="str">
        <f t="shared" si="1"/>
        <v>Rechazada</v>
      </c>
      <c r="W11" s="71" t="str">
        <f t="shared" si="2"/>
        <v>Rechazada</v>
      </c>
      <c r="X11" s="74" t="str">
        <f>IF(W11="Rechazada","Rechazada",(VLOOKUP(A11,Cantidades!$B$12:$D$14,3,0)-Lote1Cal!P11)/(VLOOKUP(A11,Cantidades!$B$12:$D$14,3,0)-MIN(Lote1Cal!$P$7:$P$19))*72)</f>
        <v>Rechazada</v>
      </c>
      <c r="Y11" s="84"/>
      <c r="Z11" s="84"/>
      <c r="AA11" s="84"/>
      <c r="AB11" s="76" t="str">
        <f t="shared" si="3"/>
        <v>Rechazada</v>
      </c>
      <c r="AC11" s="77" t="str">
        <f t="shared" si="4"/>
        <v/>
      </c>
    </row>
    <row r="12" spans="1:29" x14ac:dyDescent="0.25">
      <c r="A12" s="61">
        <v>1</v>
      </c>
      <c r="B12" s="65">
        <f>'Lote 1'!B15</f>
        <v>0</v>
      </c>
      <c r="C12" s="66">
        <f>'Lote 1'!C15</f>
        <v>0</v>
      </c>
      <c r="D12" s="66">
        <f>'Lote 1'!D15</f>
        <v>0</v>
      </c>
      <c r="E12" s="66">
        <f>'Lote 1'!E15</f>
        <v>0</v>
      </c>
      <c r="F12" s="66">
        <f>'Lote 1'!F15</f>
        <v>0</v>
      </c>
      <c r="G12" s="66">
        <f>'Lote 1'!G15</f>
        <v>0</v>
      </c>
      <c r="H12" s="66">
        <f>'Lote 1'!H15</f>
        <v>0</v>
      </c>
      <c r="I12" s="66">
        <f>'Lote 1'!I15</f>
        <v>0</v>
      </c>
      <c r="J12" s="69">
        <f>'Lote 1'!J15</f>
        <v>0</v>
      </c>
      <c r="K12" s="78">
        <f>AnálisisCapacidad!P10</f>
        <v>0</v>
      </c>
      <c r="L12" s="79">
        <f>VLOOKUP(A12,Cantidades!$B$3:$H$5,3,0)*Lote1Cal!C12+VLOOKUP(A12,Cantidades!$B$3:$H$5,4,0)*D12+VLOOKUP(A12,Cantidades!$B$3:$H$5,5,0)*E12</f>
        <v>0</v>
      </c>
      <c r="M12" s="80">
        <f>(VLOOKUP(A12,Cantidades!$B$3:$H$5,3,0)*Lote1Cal!F12+VLOOKUP(A12,Cantidades!$B$3:$H$5,4,0)*G12+VLOOKUP(A12,Cantidades!$B$3:$H$5,5,0)*H12)/Cantidades!$K$3</f>
        <v>0</v>
      </c>
      <c r="N12" s="79">
        <f>(I12*(VLOOKUP(A12,Cantidades!$B$3:$H$5,6,0)-(VLOOKUP(A12,Cantidades!$B$3:$H$5,7,0)*J12)/(1-J12)))/Cantidades!$K$4</f>
        <v>0</v>
      </c>
      <c r="O12" s="78" t="str">
        <f>IF(AND('Lote 1'!I15&gt;=250,'Lote 1'!J15&lt;4.91),"Cumple","No Cumple")</f>
        <v>No Cumple</v>
      </c>
      <c r="P12" s="79" t="str">
        <f>IF(AND(O12="Cumple",K12="Si tiene capacidad"),L12+M12-MIN(N12,VLOOKUP(A12,Cantidades!$B$12:$D$14,3,0)*15%),"No Cumple")</f>
        <v>No Cumple</v>
      </c>
      <c r="Q12" s="78" t="str">
        <f t="shared" si="0"/>
        <v>No Cumple</v>
      </c>
      <c r="R12" s="78" t="str">
        <f>IF(Q12="Cumple",IF((L12+M12)&lt;=VLOOKUP(A12,Cantidades!$B$12:$D$14,3,0),"Cumple","No Cumple"),"No Cumple")</f>
        <v>No Cumple</v>
      </c>
      <c r="S12" s="78" t="str">
        <f>IF(R12="No Cumple","Rechazada",IF((L12+M12)&lt;VLOOKUP(A12,VPBajo!$C$3:$H$5,6,0),IF(U12="No Satisfactoria","Rechazada","Cumple"),"Cumple"))</f>
        <v>Rechazada</v>
      </c>
      <c r="T12" s="78" t="str">
        <f>IF(R12="No Cumple","Rechazada",IF((L12+M12)&lt;VLOOKUP(A12,VPBajo!$C$3:$H$5,6,0),"Si","No"))</f>
        <v>Rechazada</v>
      </c>
      <c r="U12" s="66" t="s">
        <v>64</v>
      </c>
      <c r="V12" s="78" t="str">
        <f t="shared" si="1"/>
        <v>Rechazada</v>
      </c>
      <c r="W12" s="78" t="str">
        <f t="shared" si="2"/>
        <v>Rechazada</v>
      </c>
      <c r="X12" s="81" t="str">
        <f>IF(W12="Rechazada","Rechazada",(VLOOKUP(A12,Cantidades!$B$12:$D$14,3,0)-Lote1Cal!P12)/(VLOOKUP(A12,Cantidades!$B$12:$D$14,3,0)-MIN(Lote1Cal!$P$7:$P$19))*72)</f>
        <v>Rechazada</v>
      </c>
      <c r="Y12" s="85"/>
      <c r="Z12" s="85"/>
      <c r="AA12" s="85"/>
      <c r="AB12" s="76" t="str">
        <f t="shared" si="3"/>
        <v>Rechazada</v>
      </c>
      <c r="AC12" s="83" t="str">
        <f t="shared" si="4"/>
        <v/>
      </c>
    </row>
    <row r="13" spans="1:29" x14ac:dyDescent="0.25">
      <c r="A13" s="61">
        <v>1</v>
      </c>
      <c r="B13" s="62">
        <f>'Lote 1'!B16</f>
        <v>0</v>
      </c>
      <c r="C13" s="63">
        <f>'Lote 1'!C16</f>
        <v>0</v>
      </c>
      <c r="D13" s="63">
        <f>'Lote 1'!D16</f>
        <v>0</v>
      </c>
      <c r="E13" s="63">
        <f>'Lote 1'!E16</f>
        <v>0</v>
      </c>
      <c r="F13" s="63">
        <f>'Lote 1'!F16</f>
        <v>0</v>
      </c>
      <c r="G13" s="63">
        <f>'Lote 1'!G16</f>
        <v>0</v>
      </c>
      <c r="H13" s="63">
        <f>'Lote 1'!H16</f>
        <v>0</v>
      </c>
      <c r="I13" s="63">
        <f>'Lote 1'!I16</f>
        <v>0</v>
      </c>
      <c r="J13" s="68">
        <f>'Lote 1'!J16</f>
        <v>0</v>
      </c>
      <c r="K13" s="71">
        <f>AnálisisCapacidad!P11</f>
        <v>0</v>
      </c>
      <c r="L13" s="72">
        <f>VLOOKUP(A13,Cantidades!$B$3:$H$5,3,0)*Lote1Cal!C13+VLOOKUP(A13,Cantidades!$B$3:$H$5,4,0)*D13+VLOOKUP(A13,Cantidades!$B$3:$H$5,5,0)*E13</f>
        <v>0</v>
      </c>
      <c r="M13" s="73">
        <f>(VLOOKUP(A13,Cantidades!$B$3:$H$5,3,0)*Lote1Cal!F13+VLOOKUP(A13,Cantidades!$B$3:$H$5,4,0)*G13+VLOOKUP(A13,Cantidades!$B$3:$H$5,5,0)*H13)/Cantidades!$K$3</f>
        <v>0</v>
      </c>
      <c r="N13" s="72">
        <f>(I13*(VLOOKUP(A13,Cantidades!$B$3:$H$5,6,0)-(VLOOKUP(A13,Cantidades!$B$3:$H$5,7,0)*J13)/(1-J13)))/Cantidades!$K$4</f>
        <v>0</v>
      </c>
      <c r="O13" s="71" t="str">
        <f>IF(AND('Lote 1'!I16&gt;=250,'Lote 1'!J16&lt;4.91),"Cumple","No Cumple")</f>
        <v>No Cumple</v>
      </c>
      <c r="P13" s="72" t="str">
        <f>IF(AND(O13="Cumple",K13="Si tiene capacidad"),L13+M13-MIN(N13,VLOOKUP(A13,Cantidades!$B$12:$D$14,3,0)*15%),"No Cumple")</f>
        <v>No Cumple</v>
      </c>
      <c r="Q13" s="71" t="str">
        <f t="shared" si="0"/>
        <v>No Cumple</v>
      </c>
      <c r="R13" s="71" t="str">
        <f>IF(Q13="Cumple",IF((L13+M13)&lt;=VLOOKUP(A13,Cantidades!$B$12:$D$14,3,0),"Cumple","No Cumple"),"No Cumple")</f>
        <v>No Cumple</v>
      </c>
      <c r="S13" s="71" t="str">
        <f>IF(R13="No Cumple","Rechazada",IF((L13+M13)&lt;VLOOKUP(A13,VPBajo!$C$3:$H$5,6,0),IF(U13="No Satisfactoria","Rechazada","Cumple"),"Cumple"))</f>
        <v>Rechazada</v>
      </c>
      <c r="T13" s="71" t="str">
        <f>IF(R13="No Cumple","Rechazada",IF((L13+M13)&lt;VLOOKUP(A13,VPBajo!$C$3:$H$5,6,0),"Si","No"))</f>
        <v>Rechazada</v>
      </c>
      <c r="U13" s="63" t="s">
        <v>64</v>
      </c>
      <c r="V13" s="71" t="str">
        <f t="shared" si="1"/>
        <v>Rechazada</v>
      </c>
      <c r="W13" s="71" t="str">
        <f t="shared" si="2"/>
        <v>Rechazada</v>
      </c>
      <c r="X13" s="74" t="str">
        <f>IF(W13="Rechazada","Rechazada",(VLOOKUP(A13,Cantidades!$B$12:$D$14,3,0)-Lote1Cal!P13)/(VLOOKUP(A13,Cantidades!$B$12:$D$14,3,0)-MIN(Lote1Cal!$P$7:$P$19))*72)</f>
        <v>Rechazada</v>
      </c>
      <c r="Y13" s="84"/>
      <c r="Z13" s="84"/>
      <c r="AA13" s="84"/>
      <c r="AB13" s="76" t="str">
        <f t="shared" si="3"/>
        <v>Rechazada</v>
      </c>
      <c r="AC13" s="77" t="str">
        <f t="shared" si="4"/>
        <v/>
      </c>
    </row>
    <row r="14" spans="1:29" x14ac:dyDescent="0.25">
      <c r="A14" s="61">
        <v>1</v>
      </c>
      <c r="B14" s="65">
        <f>'Lote 1'!B17</f>
        <v>0</v>
      </c>
      <c r="C14" s="66">
        <f>'Lote 1'!C17</f>
        <v>0</v>
      </c>
      <c r="D14" s="66">
        <f>'Lote 1'!D17</f>
        <v>0</v>
      </c>
      <c r="E14" s="66">
        <f>'Lote 1'!E17</f>
        <v>0</v>
      </c>
      <c r="F14" s="66">
        <f>'Lote 1'!F17</f>
        <v>0</v>
      </c>
      <c r="G14" s="66">
        <f>'Lote 1'!G17</f>
        <v>0</v>
      </c>
      <c r="H14" s="66">
        <f>'Lote 1'!H17</f>
        <v>0</v>
      </c>
      <c r="I14" s="66">
        <f>'Lote 1'!I17</f>
        <v>0</v>
      </c>
      <c r="J14" s="69">
        <f>'Lote 1'!J17</f>
        <v>0</v>
      </c>
      <c r="K14" s="78">
        <f>AnálisisCapacidad!P12</f>
        <v>0</v>
      </c>
      <c r="L14" s="79">
        <f>VLOOKUP(A14,Cantidades!$B$3:$H$5,3,0)*Lote1Cal!C14+VLOOKUP(A14,Cantidades!$B$3:$H$5,4,0)*D14+VLOOKUP(A14,Cantidades!$B$3:$H$5,5,0)*E14</f>
        <v>0</v>
      </c>
      <c r="M14" s="80">
        <f>(VLOOKUP(A14,Cantidades!$B$3:$H$5,3,0)*Lote1Cal!F14+VLOOKUP(A14,Cantidades!$B$3:$H$5,4,0)*G14+VLOOKUP(A14,Cantidades!$B$3:$H$5,5,0)*H14)/Cantidades!$K$3</f>
        <v>0</v>
      </c>
      <c r="N14" s="79">
        <f>(I14*(VLOOKUP(A14,Cantidades!$B$3:$H$5,6,0)-(VLOOKUP(A14,Cantidades!$B$3:$H$5,7,0)*J14)/(1-J14)))/Cantidades!$K$4</f>
        <v>0</v>
      </c>
      <c r="O14" s="78" t="str">
        <f>IF(AND('Lote 1'!I17&gt;=250,'Lote 1'!J17&lt;4.91),"Cumple","No Cumple")</f>
        <v>No Cumple</v>
      </c>
      <c r="P14" s="79" t="str">
        <f>IF(AND(O14="Cumple",K14="Si tiene capacidad"),L14+M14-MIN(N14,VLOOKUP(A14,Cantidades!$B$12:$D$14,3,0)*15%),"No Cumple")</f>
        <v>No Cumple</v>
      </c>
      <c r="Q14" s="78" t="str">
        <f t="shared" si="0"/>
        <v>No Cumple</v>
      </c>
      <c r="R14" s="78" t="str">
        <f>IF(Q14="Cumple",IF((L14+M14)&lt;=VLOOKUP(A14,Cantidades!$B$12:$D$14,3,0),"Cumple","No Cumple"),"No Cumple")</f>
        <v>No Cumple</v>
      </c>
      <c r="S14" s="78" t="str">
        <f>IF(R14="No Cumple","Rechazada",IF((L14+M14)&lt;VLOOKUP(A14,VPBajo!$C$3:$H$5,6,0),IF(U14="No Satisfactoria","Rechazada","Cumple"),"Cumple"))</f>
        <v>Rechazada</v>
      </c>
      <c r="T14" s="78" t="str">
        <f>IF(R14="No Cumple","Rechazada",IF((L14+M14)&lt;VLOOKUP(A14,VPBajo!$C$3:$H$5,6,0),"Si","No"))</f>
        <v>Rechazada</v>
      </c>
      <c r="U14" s="66" t="s">
        <v>64</v>
      </c>
      <c r="V14" s="78" t="str">
        <f t="shared" si="1"/>
        <v>Rechazada</v>
      </c>
      <c r="W14" s="78" t="str">
        <f t="shared" si="2"/>
        <v>Rechazada</v>
      </c>
      <c r="X14" s="81" t="str">
        <f>IF(W14="Rechazada","Rechazada",(VLOOKUP(A14,Cantidades!$B$12:$D$14,3,0)-Lote1Cal!P14)/(VLOOKUP(A14,Cantidades!$B$12:$D$14,3,0)-MIN(Lote1Cal!$P$7:$P$19))*72)</f>
        <v>Rechazada</v>
      </c>
      <c r="Y14" s="85"/>
      <c r="Z14" s="85"/>
      <c r="AA14" s="85"/>
      <c r="AB14" s="76" t="str">
        <f t="shared" si="3"/>
        <v>Rechazada</v>
      </c>
      <c r="AC14" s="83" t="str">
        <f t="shared" si="4"/>
        <v/>
      </c>
    </row>
    <row r="15" spans="1:29" x14ac:dyDescent="0.25">
      <c r="A15" s="61">
        <v>1</v>
      </c>
      <c r="B15" s="62">
        <f>'Lote 1'!B18</f>
        <v>0</v>
      </c>
      <c r="C15" s="63">
        <f>'Lote 1'!C18</f>
        <v>0</v>
      </c>
      <c r="D15" s="63">
        <f>'Lote 1'!D18</f>
        <v>0</v>
      </c>
      <c r="E15" s="63">
        <f>'Lote 1'!E18</f>
        <v>0</v>
      </c>
      <c r="F15" s="63">
        <f>'Lote 1'!F18</f>
        <v>0</v>
      </c>
      <c r="G15" s="63">
        <f>'Lote 1'!G18</f>
        <v>0</v>
      </c>
      <c r="H15" s="63">
        <f>'Lote 1'!H18</f>
        <v>0</v>
      </c>
      <c r="I15" s="63">
        <f>'Lote 1'!I18</f>
        <v>0</v>
      </c>
      <c r="J15" s="68">
        <f>'Lote 1'!J18</f>
        <v>0</v>
      </c>
      <c r="K15" s="71">
        <f>AnálisisCapacidad!P13</f>
        <v>0</v>
      </c>
      <c r="L15" s="72">
        <f>VLOOKUP(A15,Cantidades!$B$3:$H$5,3,0)*Lote1Cal!C15+VLOOKUP(A15,Cantidades!$B$3:$H$5,4,0)*D15+VLOOKUP(A15,Cantidades!$B$3:$H$5,5,0)*E15</f>
        <v>0</v>
      </c>
      <c r="M15" s="73">
        <f>(VLOOKUP(A15,Cantidades!$B$3:$H$5,3,0)*Lote1Cal!F15+VLOOKUP(A15,Cantidades!$B$3:$H$5,4,0)*G15+VLOOKUP(A15,Cantidades!$B$3:$H$5,5,0)*H15)/Cantidades!$K$3</f>
        <v>0</v>
      </c>
      <c r="N15" s="72">
        <f>(I15*(VLOOKUP(A15,Cantidades!$B$3:$H$5,6,0)-(VLOOKUP(A15,Cantidades!$B$3:$H$5,7,0)*J15)/(1-J15)))/Cantidades!$K$4</f>
        <v>0</v>
      </c>
      <c r="O15" s="71" t="str">
        <f>IF(AND('Lote 1'!I18&gt;=250,'Lote 1'!J18&lt;4.91),"Cumple","No Cumple")</f>
        <v>No Cumple</v>
      </c>
      <c r="P15" s="72" t="str">
        <f>IF(AND(O15="Cumple",K15="Si tiene capacidad"),L15+M15-MIN(N15,VLOOKUP(A15,Cantidades!$B$12:$D$14,3,0)*15%),"No Cumple")</f>
        <v>No Cumple</v>
      </c>
      <c r="Q15" s="71" t="str">
        <f t="shared" si="0"/>
        <v>No Cumple</v>
      </c>
      <c r="R15" s="71" t="str">
        <f>IF(Q15="Cumple",IF((L15+M15)&lt;=VLOOKUP(A15,Cantidades!$B$12:$D$14,3,0),"Cumple","No Cumple"),"No Cumple")</f>
        <v>No Cumple</v>
      </c>
      <c r="S15" s="71" t="str">
        <f>IF(R15="No Cumple","Rechazada",IF((L15+M15)&lt;VLOOKUP(A15,VPBajo!$C$3:$H$5,6,0),IF(U15="No Satisfactoria","Rechazada","Cumple"),"Cumple"))</f>
        <v>Rechazada</v>
      </c>
      <c r="T15" s="71" t="str">
        <f>IF(R15="No Cumple","Rechazada",IF((L15+M15)&lt;VLOOKUP(A15,VPBajo!$C$3:$H$5,6,0),"Si","No"))</f>
        <v>Rechazada</v>
      </c>
      <c r="U15" s="63" t="s">
        <v>64</v>
      </c>
      <c r="V15" s="71" t="str">
        <f t="shared" si="1"/>
        <v>Rechazada</v>
      </c>
      <c r="W15" s="71" t="str">
        <f t="shared" si="2"/>
        <v>Rechazada</v>
      </c>
      <c r="X15" s="74" t="str">
        <f>IF(W15="Rechazada","Rechazada",(VLOOKUP(A15,Cantidades!$B$12:$D$14,3,0)-Lote1Cal!P15)/(VLOOKUP(A15,Cantidades!$B$12:$D$14,3,0)-MIN(Lote1Cal!$P$7:$P$19))*72)</f>
        <v>Rechazada</v>
      </c>
      <c r="Y15" s="84"/>
      <c r="Z15" s="84"/>
      <c r="AA15" s="84"/>
      <c r="AB15" s="76" t="str">
        <f t="shared" si="3"/>
        <v>Rechazada</v>
      </c>
      <c r="AC15" s="77" t="str">
        <f t="shared" si="4"/>
        <v/>
      </c>
    </row>
    <row r="16" spans="1:29" x14ac:dyDescent="0.25">
      <c r="A16" s="61">
        <v>1</v>
      </c>
      <c r="B16" s="65">
        <f>'Lote 1'!B19</f>
        <v>0</v>
      </c>
      <c r="C16" s="66">
        <f>'Lote 1'!C19</f>
        <v>0</v>
      </c>
      <c r="D16" s="66">
        <f>'Lote 1'!D19</f>
        <v>0</v>
      </c>
      <c r="E16" s="66">
        <f>'Lote 1'!E19</f>
        <v>0</v>
      </c>
      <c r="F16" s="66">
        <f>'Lote 1'!F19</f>
        <v>0</v>
      </c>
      <c r="G16" s="66">
        <f>'Lote 1'!G19</f>
        <v>0</v>
      </c>
      <c r="H16" s="66">
        <f>'Lote 1'!H19</f>
        <v>0</v>
      </c>
      <c r="I16" s="66">
        <f>'Lote 1'!I19</f>
        <v>0</v>
      </c>
      <c r="J16" s="69">
        <f>'Lote 1'!J19</f>
        <v>0</v>
      </c>
      <c r="K16" s="78">
        <f>AnálisisCapacidad!P14</f>
        <v>0</v>
      </c>
      <c r="L16" s="79">
        <f>VLOOKUP(A16,Cantidades!$B$3:$H$5,3,0)*Lote1Cal!C16+VLOOKUP(A16,Cantidades!$B$3:$H$5,4,0)*D16+VLOOKUP(A16,Cantidades!$B$3:$H$5,5,0)*E16</f>
        <v>0</v>
      </c>
      <c r="M16" s="80">
        <f>(VLOOKUP(A16,Cantidades!$B$3:$H$5,3,0)*Lote1Cal!F16+VLOOKUP(A16,Cantidades!$B$3:$H$5,4,0)*G16+VLOOKUP(A16,Cantidades!$B$3:$H$5,5,0)*H16)/Cantidades!$K$3</f>
        <v>0</v>
      </c>
      <c r="N16" s="79">
        <f>(I16*(VLOOKUP(A16,Cantidades!$B$3:$H$5,6,0)-(VLOOKUP(A16,Cantidades!$B$3:$H$5,7,0)*J16)/(1-J16)))/Cantidades!$K$4</f>
        <v>0</v>
      </c>
      <c r="O16" s="78" t="str">
        <f>IF(AND('Lote 1'!I19&gt;=250,'Lote 1'!J19&lt;4.91),"Cumple","No Cumple")</f>
        <v>No Cumple</v>
      </c>
      <c r="P16" s="79" t="str">
        <f>IF(AND(O16="Cumple",K16="Si tiene capacidad"),L16+M16-MIN(N16,VLOOKUP(A16,Cantidades!$B$12:$D$14,3,0)*15%),"No Cumple")</f>
        <v>No Cumple</v>
      </c>
      <c r="Q16" s="78" t="str">
        <f t="shared" si="0"/>
        <v>No Cumple</v>
      </c>
      <c r="R16" s="78" t="str">
        <f>IF(Q16="Cumple",IF((L16+M16)&lt;=VLOOKUP(A16,Cantidades!$B$12:$D$14,3,0),"Cumple","No Cumple"),"No Cumple")</f>
        <v>No Cumple</v>
      </c>
      <c r="S16" s="78" t="str">
        <f>IF(R16="No Cumple","Rechazada",IF((L16+M16)&lt;VLOOKUP(A16,VPBajo!$C$3:$H$5,6,0),IF(U16="No Satisfactoria","Rechazada","Cumple"),"Cumple"))</f>
        <v>Rechazada</v>
      </c>
      <c r="T16" s="78" t="str">
        <f>IF(R16="No Cumple","Rechazada",IF((L16+M16)&lt;VLOOKUP(A16,VPBajo!$C$3:$H$5,6,0),"Si","No"))</f>
        <v>Rechazada</v>
      </c>
      <c r="U16" s="66" t="s">
        <v>64</v>
      </c>
      <c r="V16" s="78" t="str">
        <f t="shared" si="1"/>
        <v>Rechazada</v>
      </c>
      <c r="W16" s="78" t="str">
        <f t="shared" si="2"/>
        <v>Rechazada</v>
      </c>
      <c r="X16" s="81" t="str">
        <f>IF(W16="Rechazada","Rechazada",(VLOOKUP(A16,Cantidades!$B$12:$D$14,3,0)-Lote1Cal!P16)/(VLOOKUP(A16,Cantidades!$B$12:$D$14,3,0)-MIN(Lote1Cal!$P$7:$P$19))*72)</f>
        <v>Rechazada</v>
      </c>
      <c r="Y16" s="85"/>
      <c r="Z16" s="85"/>
      <c r="AA16" s="85"/>
      <c r="AB16" s="76" t="str">
        <f t="shared" si="3"/>
        <v>Rechazada</v>
      </c>
      <c r="AC16" s="83" t="str">
        <f t="shared" si="4"/>
        <v/>
      </c>
    </row>
    <row r="17" spans="1:29" x14ac:dyDescent="0.25">
      <c r="A17" s="61">
        <v>1</v>
      </c>
      <c r="B17" s="62">
        <f>'Lote 1'!B20</f>
        <v>0</v>
      </c>
      <c r="C17" s="63">
        <f>'Lote 1'!C20</f>
        <v>0</v>
      </c>
      <c r="D17" s="63">
        <f>'Lote 1'!D20</f>
        <v>0</v>
      </c>
      <c r="E17" s="63">
        <f>'Lote 1'!E20</f>
        <v>0</v>
      </c>
      <c r="F17" s="63">
        <f>'Lote 1'!F20</f>
        <v>0</v>
      </c>
      <c r="G17" s="63">
        <f>'Lote 1'!G20</f>
        <v>0</v>
      </c>
      <c r="H17" s="63">
        <f>'Lote 1'!H20</f>
        <v>0</v>
      </c>
      <c r="I17" s="63">
        <f>'Lote 1'!I20</f>
        <v>0</v>
      </c>
      <c r="J17" s="68">
        <f>'Lote 1'!J20</f>
        <v>0</v>
      </c>
      <c r="K17" s="71">
        <f>AnálisisCapacidad!P15</f>
        <v>0</v>
      </c>
      <c r="L17" s="72">
        <f>VLOOKUP(A17,Cantidades!$B$3:$H$5,3,0)*Lote1Cal!C17+VLOOKUP(A17,Cantidades!$B$3:$H$5,4,0)*D17+VLOOKUP(A17,Cantidades!$B$3:$H$5,5,0)*E17</f>
        <v>0</v>
      </c>
      <c r="M17" s="73">
        <f>(VLOOKUP(A17,Cantidades!$B$3:$H$5,3,0)*Lote1Cal!F17+VLOOKUP(A17,Cantidades!$B$3:$H$5,4,0)*G17+VLOOKUP(A17,Cantidades!$B$3:$H$5,5,0)*H17)/Cantidades!$K$3</f>
        <v>0</v>
      </c>
      <c r="N17" s="72">
        <f>(I17*(VLOOKUP(A17,Cantidades!$B$3:$H$5,6,0)-(VLOOKUP(A17,Cantidades!$B$3:$H$5,7,0)*J17)/(1-J17)))/Cantidades!$K$4</f>
        <v>0</v>
      </c>
      <c r="O17" s="71" t="str">
        <f>IF(AND('Lote 1'!I20&gt;=250,'Lote 1'!J20&lt;4.91),"Cumple","No Cumple")</f>
        <v>No Cumple</v>
      </c>
      <c r="P17" s="72" t="str">
        <f>IF(AND(O17="Cumple",K17="Si tiene capacidad"),L17+M17-MIN(N17,VLOOKUP(A17,Cantidades!$B$12:$D$14,3,0)*15%),"No Cumple")</f>
        <v>No Cumple</v>
      </c>
      <c r="Q17" s="71" t="str">
        <f t="shared" si="0"/>
        <v>No Cumple</v>
      </c>
      <c r="R17" s="71" t="str">
        <f>IF(Q17="Cumple",IF((L17+M17)&lt;=VLOOKUP(A17,Cantidades!$B$12:$D$14,3,0),"Cumple","No Cumple"),"No Cumple")</f>
        <v>No Cumple</v>
      </c>
      <c r="S17" s="71" t="str">
        <f>IF(R17="No Cumple","Rechazada",IF((L17+M17)&lt;VLOOKUP(A17,VPBajo!$C$3:$H$5,6,0),IF(U17="No Satisfactoria","Rechazada","Cumple"),"Cumple"))</f>
        <v>Rechazada</v>
      </c>
      <c r="T17" s="71" t="str">
        <f>IF(R17="No Cumple","Rechazada",IF((L17+M17)&lt;VLOOKUP(A17,VPBajo!$C$3:$H$5,6,0),"Si","No"))</f>
        <v>Rechazada</v>
      </c>
      <c r="U17" s="63" t="s">
        <v>64</v>
      </c>
      <c r="V17" s="71" t="str">
        <f t="shared" si="1"/>
        <v>Rechazada</v>
      </c>
      <c r="W17" s="71" t="str">
        <f t="shared" si="2"/>
        <v>Rechazada</v>
      </c>
      <c r="X17" s="74" t="str">
        <f>IF(W17="Rechazada","Rechazada",(VLOOKUP(A17,Cantidades!$B$12:$D$14,3,0)-Lote1Cal!P17)/(VLOOKUP(A17,Cantidades!$B$12:$D$14,3,0)-MIN(Lote1Cal!$P$7:$P$19))*72)</f>
        <v>Rechazada</v>
      </c>
      <c r="Y17" s="84"/>
      <c r="Z17" s="84"/>
      <c r="AA17" s="84"/>
      <c r="AB17" s="76" t="str">
        <f t="shared" si="3"/>
        <v>Rechazada</v>
      </c>
      <c r="AC17" s="77" t="str">
        <f t="shared" si="4"/>
        <v/>
      </c>
    </row>
    <row r="18" spans="1:29" x14ac:dyDescent="0.25">
      <c r="A18" s="61">
        <v>1</v>
      </c>
      <c r="B18" s="65">
        <f>'Lote 1'!B21</f>
        <v>0</v>
      </c>
      <c r="C18" s="66">
        <f>'Lote 1'!C21</f>
        <v>0</v>
      </c>
      <c r="D18" s="66">
        <f>'Lote 1'!D21</f>
        <v>0</v>
      </c>
      <c r="E18" s="66">
        <f>'Lote 1'!E21</f>
        <v>0</v>
      </c>
      <c r="F18" s="66">
        <f>'Lote 1'!F21</f>
        <v>0</v>
      </c>
      <c r="G18" s="66">
        <f>'Lote 1'!G21</f>
        <v>0</v>
      </c>
      <c r="H18" s="66">
        <f>'Lote 1'!H21</f>
        <v>0</v>
      </c>
      <c r="I18" s="66">
        <f>'Lote 1'!I21</f>
        <v>0</v>
      </c>
      <c r="J18" s="69">
        <f>'Lote 1'!J21</f>
        <v>0</v>
      </c>
      <c r="K18" s="78">
        <f>AnálisisCapacidad!P16</f>
        <v>0</v>
      </c>
      <c r="L18" s="79">
        <f>VLOOKUP(A18,Cantidades!$B$3:$H$5,3,0)*Lote1Cal!C18+VLOOKUP(A18,Cantidades!$B$3:$H$5,4,0)*D18+VLOOKUP(A18,Cantidades!$B$3:$H$5,5,0)*E18</f>
        <v>0</v>
      </c>
      <c r="M18" s="80">
        <f>(VLOOKUP(A18,Cantidades!$B$3:$H$5,3,0)*Lote1Cal!F18+VLOOKUP(A18,Cantidades!$B$3:$H$5,4,0)*G18+VLOOKUP(A18,Cantidades!$B$3:$H$5,5,0)*H18)/Cantidades!$K$3</f>
        <v>0</v>
      </c>
      <c r="N18" s="79">
        <f>(I18*(VLOOKUP(A18,Cantidades!$B$3:$H$5,6,0)-(VLOOKUP(A18,Cantidades!$B$3:$H$5,7,0)*J18)/(1-J18)))/Cantidades!$K$4</f>
        <v>0</v>
      </c>
      <c r="O18" s="78" t="str">
        <f>IF(AND('Lote 1'!I21&gt;=250,'Lote 1'!J21&lt;4.91),"Cumple","No Cumple")</f>
        <v>No Cumple</v>
      </c>
      <c r="P18" s="79" t="str">
        <f>IF(AND(O18="Cumple",K18="Si tiene capacidad"),L18+M18-MIN(N18,VLOOKUP(A18,Cantidades!$B$12:$D$14,3,0)*15%),"No Cumple")</f>
        <v>No Cumple</v>
      </c>
      <c r="Q18" s="78" t="str">
        <f t="shared" si="0"/>
        <v>No Cumple</v>
      </c>
      <c r="R18" s="78" t="str">
        <f>IF(Q18="Cumple",IF((L18+M18)&lt;=VLOOKUP(A18,Cantidades!$B$12:$D$14,3,0),"Cumple","No Cumple"),"No Cumple")</f>
        <v>No Cumple</v>
      </c>
      <c r="S18" s="78" t="str">
        <f>IF(R18="No Cumple","Rechazada",IF((L18+M18)&lt;VLOOKUP(A18,VPBajo!$C$3:$H$5,6,0),IF(U18="No Satisfactoria","Rechazada","Cumple"),"Cumple"))</f>
        <v>Rechazada</v>
      </c>
      <c r="T18" s="78" t="str">
        <f>IF(R18="No Cumple","Rechazada",IF((L18+M18)&lt;VLOOKUP(A18,VPBajo!$C$3:$H$5,6,0),"Si","No"))</f>
        <v>Rechazada</v>
      </c>
      <c r="U18" s="66" t="s">
        <v>64</v>
      </c>
      <c r="V18" s="78" t="str">
        <f t="shared" si="1"/>
        <v>Rechazada</v>
      </c>
      <c r="W18" s="78" t="str">
        <f t="shared" si="2"/>
        <v>Rechazada</v>
      </c>
      <c r="X18" s="81" t="str">
        <f>IF(W18="Rechazada","Rechazada",(VLOOKUP(A18,Cantidades!$B$12:$D$14,3,0)-Lote1Cal!P18)/(VLOOKUP(A18,Cantidades!$B$12:$D$14,3,0)-MIN(Lote1Cal!$P$7:$P$19))*72)</f>
        <v>Rechazada</v>
      </c>
      <c r="Y18" s="85"/>
      <c r="Z18" s="85"/>
      <c r="AA18" s="85"/>
      <c r="AB18" s="76" t="str">
        <f t="shared" si="3"/>
        <v>Rechazada</v>
      </c>
      <c r="AC18" s="83" t="str">
        <f t="shared" si="4"/>
        <v/>
      </c>
    </row>
    <row r="19" spans="1:29" x14ac:dyDescent="0.25">
      <c r="A19" s="61">
        <v>1</v>
      </c>
      <c r="B19" s="62">
        <f>'Lote 1'!B22</f>
        <v>0</v>
      </c>
      <c r="C19" s="63">
        <f>'Lote 1'!C22</f>
        <v>0</v>
      </c>
      <c r="D19" s="63">
        <f>'Lote 1'!D22</f>
        <v>0</v>
      </c>
      <c r="E19" s="63">
        <f>'Lote 1'!E22</f>
        <v>0</v>
      </c>
      <c r="F19" s="63">
        <f>'Lote 1'!F22</f>
        <v>0</v>
      </c>
      <c r="G19" s="63">
        <f>'Lote 1'!G22</f>
        <v>0</v>
      </c>
      <c r="H19" s="63">
        <f>'Lote 1'!H22</f>
        <v>0</v>
      </c>
      <c r="I19" s="63">
        <f>'Lote 1'!I22</f>
        <v>0</v>
      </c>
      <c r="J19" s="68">
        <f>'Lote 1'!J22</f>
        <v>0</v>
      </c>
      <c r="K19" s="71">
        <f>AnálisisCapacidad!P17</f>
        <v>0</v>
      </c>
      <c r="L19" s="72">
        <f>VLOOKUP(A19,Cantidades!$B$3:$H$5,3,0)*Lote1Cal!C19+VLOOKUP(A19,Cantidades!$B$3:$H$5,4,0)*D19+VLOOKUP(A19,Cantidades!$B$3:$H$5,5,0)*E19</f>
        <v>0</v>
      </c>
      <c r="M19" s="73">
        <f>(VLOOKUP(A19,Cantidades!$B$3:$H$5,3,0)*Lote1Cal!F19+VLOOKUP(A19,Cantidades!$B$3:$H$5,4,0)*G19+VLOOKUP(A19,Cantidades!$B$3:$H$5,5,0)*H19)/Cantidades!$K$3</f>
        <v>0</v>
      </c>
      <c r="N19" s="72">
        <f>(I19*(VLOOKUP(A19,Cantidades!$B$3:$H$5,6,0)-(VLOOKUP(A19,Cantidades!$B$3:$H$5,7,0)*J19)/(1-J19)))/Cantidades!$K$4</f>
        <v>0</v>
      </c>
      <c r="O19" s="71" t="str">
        <f>IF(AND('Lote 1'!I22&gt;=250,'Lote 1'!J22&lt;4.91),"Cumple","No Cumple")</f>
        <v>No Cumple</v>
      </c>
      <c r="P19" s="72" t="str">
        <f>IF(AND(O19="Cumple",K19="Si tiene capacidad"),L19+M19-MIN(N19,VLOOKUP(A19,Cantidades!$B$12:$D$14,3,0)*15%),"No Cumple")</f>
        <v>No Cumple</v>
      </c>
      <c r="Q19" s="71" t="str">
        <f t="shared" si="0"/>
        <v>No Cumple</v>
      </c>
      <c r="R19" s="71" t="str">
        <f>IF(Q19="Cumple",IF((L19+M19)&lt;=VLOOKUP(A19,Cantidades!$B$12:$D$14,3,0),"Cumple","No Cumple"),"No Cumple")</f>
        <v>No Cumple</v>
      </c>
      <c r="S19" s="71" t="str">
        <f>IF(R19="No Cumple","Rechazada",IF((L19+M19)&lt;VLOOKUP(A19,VPBajo!$C$3:$H$5,6,0),IF(U19="No Satisfactoria","Rechazada","Cumple"),"Cumple"))</f>
        <v>Rechazada</v>
      </c>
      <c r="T19" s="71" t="str">
        <f>IF(R19="No Cumple","Rechazada",IF((L19+M19)&lt;VLOOKUP(A19,VPBajo!$C$3:$H$5,6,0),"Si","No"))</f>
        <v>Rechazada</v>
      </c>
      <c r="U19" s="63" t="s">
        <v>64</v>
      </c>
      <c r="V19" s="71" t="str">
        <f t="shared" si="1"/>
        <v>Rechazada</v>
      </c>
      <c r="W19" s="71" t="str">
        <f t="shared" si="2"/>
        <v>Rechazada</v>
      </c>
      <c r="X19" s="74" t="str">
        <f>IF(W19="Rechazada","Rechazada",(VLOOKUP(A19,Cantidades!$B$12:$D$14,3,0)-Lote1Cal!P19)/(VLOOKUP(A19,Cantidades!$B$12:$D$14,3,0)-MIN(Lote1Cal!$P$7:$P$19))*72)</f>
        <v>Rechazada</v>
      </c>
      <c r="Y19" s="84"/>
      <c r="Z19" s="84"/>
      <c r="AA19" s="84"/>
      <c r="AB19" s="76" t="str">
        <f t="shared" si="3"/>
        <v>Rechazada</v>
      </c>
      <c r="AC19" s="77" t="str">
        <f t="shared" si="4"/>
        <v/>
      </c>
    </row>
    <row r="23" spans="1:29" x14ac:dyDescent="0.25">
      <c r="P23" s="86"/>
    </row>
    <row r="25" spans="1:29" x14ac:dyDescent="0.25">
      <c r="L25" s="87"/>
      <c r="M25" s="87"/>
    </row>
    <row r="26" spans="1:29" x14ac:dyDescent="0.25">
      <c r="M26" s="87"/>
    </row>
    <row r="30" spans="1:29" x14ac:dyDescent="0.25">
      <c r="D30" s="88"/>
      <c r="E30" s="88"/>
      <c r="G30" s="88"/>
      <c r="H30" s="88"/>
    </row>
    <row r="31" spans="1:29" x14ac:dyDescent="0.25">
      <c r="D31" s="88"/>
      <c r="E31" s="88"/>
      <c r="G31" s="88"/>
      <c r="H31" s="88"/>
    </row>
  </sheetData>
  <sheetProtection algorithmName="SHA-512" hashValue="JBwCJbq6ZI4ocPVL+4NfxWk/TAAFoqFUVAdmNXEpAeeMZFyzQPn3paWTDwV1aloyaaT9ubPUXevxuSca65UlEw==" saltValue="57kzw3d6/SBN843EbMCxIg==" spinCount="100000" sheet="1" objects="1" scenarios="1"/>
  <mergeCells count="1">
    <mergeCell ref="A2:AC2"/>
  </mergeCells>
  <dataValidations disablePrompts="1" count="1">
    <dataValidation type="list" allowBlank="1" showInputMessage="1" showErrorMessage="1" sqref="U7:U19" xr:uid="{89575549-E088-4B5C-AF5E-FA3A9D0055F5}">
      <formula1>"Satisfactoria,No Satisfactoria, No Necesaria"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7B938-5D1F-4A44-83E6-A78917D86E0A}">
  <dimension ref="A2:AC31"/>
  <sheetViews>
    <sheetView workbookViewId="0">
      <pane xSplit="2" ySplit="6" topLeftCell="O7" activePane="bottomRight" state="frozen"/>
      <selection pane="topRight" activeCell="C1" sqref="C1"/>
      <selection pane="bottomLeft" activeCell="A7" sqref="A7"/>
      <selection pane="bottomRight" activeCell="R26" sqref="R26"/>
    </sheetView>
  </sheetViews>
  <sheetFormatPr baseColWidth="10" defaultColWidth="11.42578125" defaultRowHeight="15" x14ac:dyDescent="0.25"/>
  <cols>
    <col min="1" max="1" width="19.42578125" style="11" customWidth="1"/>
    <col min="2" max="2" width="39" style="11" customWidth="1"/>
    <col min="3" max="4" width="25.85546875" style="11" customWidth="1"/>
    <col min="5" max="5" width="21.140625" style="11" customWidth="1"/>
    <col min="6" max="8" width="20.140625" style="11" customWidth="1"/>
    <col min="9" max="11" width="21" style="11" customWidth="1"/>
    <col min="12" max="13" width="19.5703125" style="11" bestFit="1" customWidth="1"/>
    <col min="14" max="14" width="18.28515625" style="11" bestFit="1" customWidth="1"/>
    <col min="15" max="15" width="11.42578125" style="11"/>
    <col min="16" max="16" width="19.28515625" style="11" bestFit="1" customWidth="1"/>
    <col min="17" max="17" width="12" style="11" bestFit="1" customWidth="1"/>
    <col min="18" max="18" width="17.85546875" style="11" bestFit="1" customWidth="1"/>
    <col min="19" max="19" width="11.42578125" style="11"/>
    <col min="20" max="20" width="11.85546875" style="11" bestFit="1" customWidth="1"/>
    <col min="21" max="21" width="16.5703125" style="11" customWidth="1"/>
    <col min="22" max="22" width="10.85546875" style="11" bestFit="1" customWidth="1"/>
    <col min="23" max="28" width="11.42578125" style="11"/>
    <col min="29" max="29" width="14.140625" style="11" customWidth="1"/>
    <col min="30" max="16384" width="11.42578125" style="11"/>
  </cols>
  <sheetData>
    <row r="2" spans="1:29" x14ac:dyDescent="0.25">
      <c r="A2" s="107" t="s">
        <v>74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</row>
    <row r="3" spans="1:29" x14ac:dyDescent="0.2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29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29" ht="75" x14ac:dyDescent="0.25">
      <c r="A5" s="57" t="s">
        <v>33</v>
      </c>
      <c r="B5" s="57" t="s">
        <v>35</v>
      </c>
      <c r="C5" s="58" t="s">
        <v>36</v>
      </c>
      <c r="D5" s="58" t="s">
        <v>37</v>
      </c>
      <c r="E5" s="58" t="s">
        <v>38</v>
      </c>
      <c r="F5" s="59" t="s">
        <v>39</v>
      </c>
      <c r="G5" s="59" t="s">
        <v>40</v>
      </c>
      <c r="H5" s="59" t="s">
        <v>41</v>
      </c>
      <c r="I5" s="58" t="s">
        <v>42</v>
      </c>
      <c r="J5" s="58" t="s">
        <v>43</v>
      </c>
      <c r="K5" s="58" t="s">
        <v>10</v>
      </c>
      <c r="L5" s="59" t="s">
        <v>51</v>
      </c>
      <c r="M5" s="59" t="s">
        <v>53</v>
      </c>
      <c r="N5" s="59" t="s">
        <v>55</v>
      </c>
      <c r="O5" s="59" t="s">
        <v>57</v>
      </c>
      <c r="P5" s="59" t="s">
        <v>8</v>
      </c>
      <c r="Q5" s="59" t="s">
        <v>59</v>
      </c>
      <c r="R5" s="59" t="s">
        <v>14</v>
      </c>
      <c r="S5" s="59" t="s">
        <v>16</v>
      </c>
      <c r="T5" s="59" t="s">
        <v>66</v>
      </c>
      <c r="U5" s="59" t="s">
        <v>65</v>
      </c>
      <c r="V5" s="59" t="s">
        <v>25</v>
      </c>
      <c r="W5" s="59" t="s">
        <v>26</v>
      </c>
      <c r="X5" s="59" t="s">
        <v>68</v>
      </c>
      <c r="Y5" s="59" t="s">
        <v>69</v>
      </c>
      <c r="Z5" s="59" t="s">
        <v>70</v>
      </c>
      <c r="AA5" s="59" t="s">
        <v>71</v>
      </c>
      <c r="AB5" s="59" t="s">
        <v>72</v>
      </c>
      <c r="AC5" s="59" t="s">
        <v>73</v>
      </c>
    </row>
    <row r="6" spans="1:29" ht="18.75" customHeight="1" x14ac:dyDescent="0.25">
      <c r="A6" s="60" t="s">
        <v>6</v>
      </c>
      <c r="B6" s="60" t="s">
        <v>6</v>
      </c>
      <c r="C6" s="60" t="s">
        <v>7</v>
      </c>
      <c r="D6" s="60" t="s">
        <v>7</v>
      </c>
      <c r="E6" s="60" t="s">
        <v>7</v>
      </c>
      <c r="F6" s="60" t="s">
        <v>7</v>
      </c>
      <c r="G6" s="60" t="s">
        <v>7</v>
      </c>
      <c r="H6" s="60" t="s">
        <v>7</v>
      </c>
      <c r="I6" s="60" t="s">
        <v>7</v>
      </c>
      <c r="J6" s="60" t="s">
        <v>44</v>
      </c>
      <c r="K6" s="70" t="s">
        <v>6</v>
      </c>
      <c r="L6" s="60" t="s">
        <v>7</v>
      </c>
      <c r="M6" s="60" t="s">
        <v>7</v>
      </c>
      <c r="N6" s="60" t="s">
        <v>7</v>
      </c>
      <c r="O6" s="70" t="s">
        <v>6</v>
      </c>
      <c r="P6" s="60" t="s">
        <v>7</v>
      </c>
      <c r="Q6" s="70" t="s">
        <v>6</v>
      </c>
      <c r="R6" s="70" t="s">
        <v>6</v>
      </c>
      <c r="S6" s="70" t="s">
        <v>6</v>
      </c>
      <c r="T6" s="70" t="s">
        <v>6</v>
      </c>
      <c r="U6" s="70" t="s">
        <v>6</v>
      </c>
      <c r="V6" s="70" t="s">
        <v>6</v>
      </c>
      <c r="W6" s="70" t="s">
        <v>6</v>
      </c>
      <c r="X6" s="70" t="s">
        <v>67</v>
      </c>
      <c r="Y6" s="70" t="s">
        <v>67</v>
      </c>
      <c r="Z6" s="70" t="s">
        <v>67</v>
      </c>
      <c r="AA6" s="70" t="s">
        <v>67</v>
      </c>
      <c r="AB6" s="70" t="s">
        <v>67</v>
      </c>
      <c r="AC6" s="70" t="s">
        <v>67</v>
      </c>
    </row>
    <row r="7" spans="1:29" x14ac:dyDescent="0.25">
      <c r="A7" s="61">
        <v>2</v>
      </c>
      <c r="B7" s="62" t="str">
        <f>'Lote 2'!B10</f>
        <v>ASSA ABLOY</v>
      </c>
      <c r="C7" s="63">
        <f>'Lote 2'!C10</f>
        <v>32130000</v>
      </c>
      <c r="D7" s="63">
        <f>'Lote 2'!D10</f>
        <v>35003850</v>
      </c>
      <c r="E7" s="63">
        <f>'Lote 2'!E10</f>
        <v>5995220</v>
      </c>
      <c r="F7" s="63">
        <f>'Lote 2'!F10</f>
        <v>1400630</v>
      </c>
      <c r="G7" s="63">
        <f>'Lote 2'!G10</f>
        <v>1600550</v>
      </c>
      <c r="H7" s="63">
        <f>'Lote 2'!H10</f>
        <v>600950</v>
      </c>
      <c r="I7" s="63">
        <f>'Lote 2'!I10</f>
        <v>300</v>
      </c>
      <c r="J7" s="64">
        <f>'Lote 2'!J10</f>
        <v>4.82E-2</v>
      </c>
      <c r="K7" s="71" t="str">
        <f>AnálisisCapacidad!Q5</f>
        <v>Si tiene capacidad</v>
      </c>
      <c r="L7" s="72">
        <f>VLOOKUP(A7,Cantidades!$B$3:$H$5,3,0)*Lote2Cal!C7+VLOOKUP(A7,Cantidades!$B$3:$H$5,4,0)*D7+VLOOKUP(A7,Cantidades!$B$3:$H$5,5,0)*E7</f>
        <v>7719476450</v>
      </c>
      <c r="M7" s="73">
        <f>(VLOOKUP(A7,Cantidades!$B$3:$H$5,3,0)*Lote2Cal!F7+VLOOKUP(A7,Cantidades!$B$3:$H$5,4,0)*G7+VLOOKUP(A7,Cantidades!$B$3:$H$5,5,0)*H7)/Cantidades!$K$3</f>
        <v>7796981390.1345291</v>
      </c>
      <c r="N7" s="72">
        <f>(I7*(VLOOKUP(A7,Cantidades!$B$3:$H$5,6,0)-(VLOOKUP(A7,Cantidades!$B$3:$H$5,7,0)*J7)/(1-J7)))/Cantidades!$K$4</f>
        <v>11463336.814561395</v>
      </c>
      <c r="O7" s="71" t="str">
        <f>IF(AND('Lote 2'!I10&gt;=250,'Lote 2'!J10&lt;4.91),"Cumple","No Cumple")</f>
        <v>Cumple</v>
      </c>
      <c r="P7" s="72">
        <f>IF(AND(O7="Cumple",K7="Si tiene capacidad"),L7+M7-MIN(N7,VLOOKUP(A7,Cantidades!$B$12:$D$14,3,0)*15%),"No Cumple")</f>
        <v>15504994503.319967</v>
      </c>
      <c r="Q7" s="71" t="str">
        <f>IF(AND(O7="Cumple",P7&lt;&gt;"No Cumple"),IF(M7&gt;=(L7+M7)*50%,"Cumple","No Cumple"),"No Cumple")</f>
        <v>Cumple</v>
      </c>
      <c r="R7" s="71" t="str">
        <f>IF(Q7="Cumple",IF((L7+M7)&lt;=VLOOKUP(A7,Cantidades!$B$12:$D$14,3,0),"Cumple","No Cumple"),"No Cumple")</f>
        <v>Cumple</v>
      </c>
      <c r="S7" s="71" t="str">
        <f>IF(R7="No Cumple","Rechazada",IF((L7+M7)&lt;VLOOKUP(A7,VPBajo!$C$3:$H$5,6,0),IF(U7="No Satisfactoria","Rechazada","Cumple"),"Cumple"))</f>
        <v>Cumple</v>
      </c>
      <c r="T7" s="71" t="str">
        <f>IF(R7="No Cumple","Rechazada",IF((L7+M7)&lt;VLOOKUP(A7,VPBajo!$C$3:$H$5,6,0),"Si","No"))</f>
        <v>No</v>
      </c>
      <c r="U7" s="63" t="s">
        <v>64</v>
      </c>
      <c r="V7" s="71" t="str">
        <f>IF(S7="Cumple","Habilitada","Rechazada")</f>
        <v>Habilitada</v>
      </c>
      <c r="W7" s="71" t="str">
        <f>IF(V7="Habilitada","Definitiva","Rechazada")</f>
        <v>Definitiva</v>
      </c>
      <c r="X7" s="74">
        <f>IF(W7="Rechazada","Rechazada",(VLOOKUP(A7,Cantidades!$B$12:$D$14,3,0)-Lote2Cal!P7)/(VLOOKUP(A7,Cantidades!$B$12:$D$14,3,0)-MIN(Lote2Cal!$P$7:$P$19))*72)</f>
        <v>72</v>
      </c>
      <c r="Y7" s="75">
        <v>17</v>
      </c>
      <c r="Z7" s="75">
        <v>7</v>
      </c>
      <c r="AA7" s="75">
        <v>0</v>
      </c>
      <c r="AB7" s="76">
        <f>IF(W7="Definitiva",ROUND(SUM(X7:AA7),7),"Rechazada")</f>
        <v>96</v>
      </c>
      <c r="AC7" s="77">
        <f>IFERROR(_xlfn.RANK.EQ(AB7,$AB$7:$AB$19,0),"")</f>
        <v>1</v>
      </c>
    </row>
    <row r="8" spans="1:29" x14ac:dyDescent="0.25">
      <c r="A8" s="61">
        <v>2</v>
      </c>
      <c r="B8" s="65" t="str">
        <f>'Lote 2'!B11</f>
        <v>CONSORC NAUTILUS</v>
      </c>
      <c r="C8" s="66">
        <f>'Lote 2'!C11</f>
        <v>34320988</v>
      </c>
      <c r="D8" s="66">
        <f>'Lote 2'!D11</f>
        <v>50442649</v>
      </c>
      <c r="E8" s="66">
        <f>'Lote 2'!E11</f>
        <v>25000000</v>
      </c>
      <c r="F8" s="66">
        <f>'Lote 2'!F11</f>
        <v>1762831</v>
      </c>
      <c r="G8" s="66">
        <f>'Lote 2'!G11</f>
        <v>1582183</v>
      </c>
      <c r="H8" s="66">
        <f>'Lote 2'!H11</f>
        <v>5246185</v>
      </c>
      <c r="I8" s="66">
        <f>'Lote 2'!I11</f>
        <v>2767</v>
      </c>
      <c r="J8" s="67">
        <f>'Lote 2'!J11</f>
        <v>2.3099999999999999E-2</v>
      </c>
      <c r="K8" s="78" t="str">
        <f>AnálisisCapacidad!Q6</f>
        <v>No tiene capacidad</v>
      </c>
      <c r="L8" s="79">
        <f>VLOOKUP(A8,Cantidades!$B$3:$H$5,3,0)*Lote2Cal!C8+VLOOKUP(A8,Cantidades!$B$3:$H$5,4,0)*D8+VLOOKUP(A8,Cantidades!$B$3:$H$5,5,0)*E8</f>
        <v>9802280657</v>
      </c>
      <c r="M8" s="80">
        <f>(VLOOKUP(A8,Cantidades!$B$3:$H$5,3,0)*Lote2Cal!F8+VLOOKUP(A8,Cantidades!$B$3:$H$5,4,0)*G8+VLOOKUP(A8,Cantidades!$B$3:$H$5,5,0)*H8)/Cantidades!$K$3</f>
        <v>9802289439.4618835</v>
      </c>
      <c r="N8" s="79">
        <f>(I8*(VLOOKUP(A8,Cantidades!$B$3:$H$5,6,0)-(VLOOKUP(A8,Cantidades!$B$3:$H$5,7,0)*J8)/(1-J8)))/Cantidades!$K$4</f>
        <v>2975966934.2338705</v>
      </c>
      <c r="O8" s="78" t="str">
        <f>IF(AND('Lote 2'!I11&gt;=250,'Lote 2'!J11&lt;4.91),"Cumple","No Cumple")</f>
        <v>Cumple</v>
      </c>
      <c r="P8" s="79" t="str">
        <f>IF(AND(O8="Cumple",K8="Si tiene capacidad"),L8+M8-MIN(N8,VLOOKUP(A8,Cantidades!$B$12:$D$14,3,0)*15%),"No Cumple")</f>
        <v>No Cumple</v>
      </c>
      <c r="Q8" s="78" t="str">
        <f t="shared" ref="Q8:Q19" si="0">IF(AND(O8="Cumple",P8&lt;&gt;"No Cumple"),IF(M8&gt;=(L8+M8)*50%,"Cumple","No Cumple"),"No Cumple")</f>
        <v>No Cumple</v>
      </c>
      <c r="R8" s="78" t="str">
        <f>IF(Q8="Cumple",IF((L8+M8)&lt;=VLOOKUP(A8,Cantidades!$B$12:$D$14,3,0),"Cumple","No Cumple"),"No Cumple")</f>
        <v>No Cumple</v>
      </c>
      <c r="S8" s="78" t="str">
        <f>IF(R8="No Cumple","Rechazada",IF((L8+M8)&lt;VLOOKUP(A8,VPBajo!$C$3:$H$5,6,0),IF(U8="No Satisfactoria","Rechazada","Cumple"),"Cumple"))</f>
        <v>Rechazada</v>
      </c>
      <c r="T8" s="78" t="str">
        <f>IF(R8="No Cumple","Rechazada",IF((L8+M8)&lt;VLOOKUP(A8,VPBajo!$C$3:$H$5,6,0),"Si","No"))</f>
        <v>Rechazada</v>
      </c>
      <c r="U8" s="66" t="s">
        <v>64</v>
      </c>
      <c r="V8" s="78" t="str">
        <f t="shared" ref="V8:V19" si="1">IF(S8="Cumple","Habilitada","Rechazada")</f>
        <v>Rechazada</v>
      </c>
      <c r="W8" s="78" t="str">
        <f t="shared" ref="W8:W19" si="2">IF(V8="Habilitada","Definitiva","Rechazada")</f>
        <v>Rechazada</v>
      </c>
      <c r="X8" s="81" t="str">
        <f>IF(W8="Rechazada","Rechazada",(VLOOKUP(A8,Cantidades!$B$12:$D$14,3,0)-Lote2Cal!P8)/(VLOOKUP(A8,Cantidades!$B$12:$D$14,3,0)-MIN(Lote2Cal!$P$7:$P$19))*72)</f>
        <v>Rechazada</v>
      </c>
      <c r="Y8" s="82">
        <v>17</v>
      </c>
      <c r="Z8" s="82">
        <v>10</v>
      </c>
      <c r="AA8" s="82">
        <v>1</v>
      </c>
      <c r="AB8" s="76" t="str">
        <f t="shared" ref="AB8:AB19" si="3">IF(W8="Definitiva",ROUND(SUM(X8:AA8),7),"Rechazada")</f>
        <v>Rechazada</v>
      </c>
      <c r="AC8" s="83" t="str">
        <f t="shared" ref="AC8:AC19" si="4">IFERROR(_xlfn.RANK.EQ(AB8,$AB$7:$AB$19,0),"")</f>
        <v/>
      </c>
    </row>
    <row r="9" spans="1:29" x14ac:dyDescent="0.25">
      <c r="A9" s="61">
        <v>2</v>
      </c>
      <c r="B9" s="62">
        <f>'Lote 2'!B12</f>
        <v>0</v>
      </c>
      <c r="C9" s="63">
        <f>'Lote 2'!C12</f>
        <v>0</v>
      </c>
      <c r="D9" s="63">
        <f>'Lote 2'!D12</f>
        <v>0</v>
      </c>
      <c r="E9" s="63">
        <f>'Lote 2'!E12</f>
        <v>0</v>
      </c>
      <c r="F9" s="63">
        <f>'Lote 2'!F12</f>
        <v>0</v>
      </c>
      <c r="G9" s="63">
        <f>'Lote 2'!G12</f>
        <v>0</v>
      </c>
      <c r="H9" s="63">
        <f>'Lote 2'!H12</f>
        <v>0</v>
      </c>
      <c r="I9" s="63">
        <f>'Lote 2'!I12</f>
        <v>0</v>
      </c>
      <c r="J9" s="64">
        <f>'Lote 2'!J12</f>
        <v>0</v>
      </c>
      <c r="K9" s="71">
        <f>AnálisisCapacidad!Q7</f>
        <v>0</v>
      </c>
      <c r="L9" s="72">
        <f>VLOOKUP(A9,Cantidades!$B$3:$H$5,3,0)*Lote2Cal!C9+VLOOKUP(A9,Cantidades!$B$3:$H$5,4,0)*D9+VLOOKUP(A9,Cantidades!$B$3:$H$5,5,0)*E9</f>
        <v>0</v>
      </c>
      <c r="M9" s="73">
        <f>(VLOOKUP(A9,Cantidades!$B$3:$H$5,3,0)*Lote2Cal!F9+VLOOKUP(A9,Cantidades!$B$3:$H$5,4,0)*G9+VLOOKUP(A9,Cantidades!$B$3:$H$5,5,0)*H9)/Cantidades!$K$3</f>
        <v>0</v>
      </c>
      <c r="N9" s="72">
        <f>(I9*(VLOOKUP(A9,Cantidades!$B$3:$H$5,6,0)-(VLOOKUP(A9,Cantidades!$B$3:$H$5,7,0)*J9)/(1-J9)))/Cantidades!$K$4</f>
        <v>0</v>
      </c>
      <c r="O9" s="71" t="str">
        <f>IF(AND('Lote 2'!I12&gt;=250,'Lote 2'!J12&lt;4.91),"Cumple","No Cumple")</f>
        <v>No Cumple</v>
      </c>
      <c r="P9" s="72" t="str">
        <f>IF(AND(O9="Cumple",K9="Si tiene capacidad"),L9+M9-MIN(N9,VLOOKUP(A9,Cantidades!$B$12:$D$14,3,0)*15%),"No Cumple")</f>
        <v>No Cumple</v>
      </c>
      <c r="Q9" s="71" t="str">
        <f t="shared" si="0"/>
        <v>No Cumple</v>
      </c>
      <c r="R9" s="71" t="str">
        <f>IF(Q9="Cumple",IF((L9+M9)&lt;=VLOOKUP(A9,Cantidades!$B$12:$D$14,3,0),"Cumple","No Cumple"),"No Cumple")</f>
        <v>No Cumple</v>
      </c>
      <c r="S9" s="71" t="str">
        <f>IF(R9="No Cumple","Rechazada",IF((L9+M9)&lt;VLOOKUP(A9,VPBajo!$C$3:$H$5,6,0),IF(U9="No Satisfactoria","Rechazada","Cumple"),"Cumple"))</f>
        <v>Rechazada</v>
      </c>
      <c r="T9" s="71" t="str">
        <f>IF(R9="No Cumple","Rechazada",IF((L9+M9)&lt;VLOOKUP(A9,VPBajo!$C$3:$H$5,6,0),"Si","No"))</f>
        <v>Rechazada</v>
      </c>
      <c r="U9" s="63" t="s">
        <v>64</v>
      </c>
      <c r="V9" s="71" t="str">
        <f t="shared" si="1"/>
        <v>Rechazada</v>
      </c>
      <c r="W9" s="71" t="str">
        <f t="shared" si="2"/>
        <v>Rechazada</v>
      </c>
      <c r="X9" s="74" t="str">
        <f>IF(W9="Rechazada","Rechazada",(VLOOKUP(A9,Cantidades!$B$12:$D$14,3,0)-Lote2Cal!P9)/(VLOOKUP(A9,Cantidades!$B$12:$D$14,3,0)-MIN(Lote2Cal!$P$7:$P$19))*72)</f>
        <v>Rechazada</v>
      </c>
      <c r="Y9" s="84"/>
      <c r="Z9" s="84"/>
      <c r="AA9" s="84"/>
      <c r="AB9" s="76" t="str">
        <f t="shared" si="3"/>
        <v>Rechazada</v>
      </c>
      <c r="AC9" s="77" t="str">
        <f t="shared" si="4"/>
        <v/>
      </c>
    </row>
    <row r="10" spans="1:29" x14ac:dyDescent="0.25">
      <c r="A10" s="61">
        <v>2</v>
      </c>
      <c r="B10" s="65">
        <f>'Lote 2'!B13</f>
        <v>0</v>
      </c>
      <c r="C10" s="66">
        <f>'Lote 2'!C13</f>
        <v>0</v>
      </c>
      <c r="D10" s="66">
        <f>'Lote 2'!D13</f>
        <v>0</v>
      </c>
      <c r="E10" s="66">
        <f>'Lote 2'!E13</f>
        <v>0</v>
      </c>
      <c r="F10" s="66">
        <f>'Lote 2'!F13</f>
        <v>0</v>
      </c>
      <c r="G10" s="66">
        <f>'Lote 2'!G13</f>
        <v>0</v>
      </c>
      <c r="H10" s="66">
        <f>'Lote 2'!H13</f>
        <v>0</v>
      </c>
      <c r="I10" s="66">
        <f>'Lote 2'!I13</f>
        <v>0</v>
      </c>
      <c r="J10" s="67">
        <f>'Lote 2'!J13</f>
        <v>0</v>
      </c>
      <c r="K10" s="78">
        <f>AnálisisCapacidad!Q8</f>
        <v>0</v>
      </c>
      <c r="L10" s="79">
        <f>VLOOKUP(A10,Cantidades!$B$3:$H$5,3,0)*Lote2Cal!C10+VLOOKUP(A10,Cantidades!$B$3:$H$5,4,0)*D10+VLOOKUP(A10,Cantidades!$B$3:$H$5,5,0)*E10</f>
        <v>0</v>
      </c>
      <c r="M10" s="80">
        <f>(VLOOKUP(A10,Cantidades!$B$3:$H$5,3,0)*Lote2Cal!F10+VLOOKUP(A10,Cantidades!$B$3:$H$5,4,0)*G10+VLOOKUP(A10,Cantidades!$B$3:$H$5,5,0)*H10)/Cantidades!$K$3</f>
        <v>0</v>
      </c>
      <c r="N10" s="79">
        <f>(I10*(VLOOKUP(A10,Cantidades!$B$3:$H$5,6,0)-(VLOOKUP(A10,Cantidades!$B$3:$H$5,7,0)*J10)/(1-J10)))/Cantidades!$K$4</f>
        <v>0</v>
      </c>
      <c r="O10" s="78" t="str">
        <f>IF(AND('Lote 2'!I13&gt;=250,'Lote 2'!J13&lt;4.91),"Cumple","No Cumple")</f>
        <v>No Cumple</v>
      </c>
      <c r="P10" s="79" t="str">
        <f>IF(AND(O10="Cumple",K10="Si tiene capacidad"),L10+M10-MIN(N10,VLOOKUP(A10,Cantidades!$B$12:$D$14,3,0)*15%),"No Cumple")</f>
        <v>No Cumple</v>
      </c>
      <c r="Q10" s="78" t="str">
        <f t="shared" si="0"/>
        <v>No Cumple</v>
      </c>
      <c r="R10" s="78" t="str">
        <f>IF(Q10="Cumple",IF((L10+M10)&lt;=VLOOKUP(A10,Cantidades!$B$12:$D$14,3,0),"Cumple","No Cumple"),"No Cumple")</f>
        <v>No Cumple</v>
      </c>
      <c r="S10" s="78" t="str">
        <f>IF(R10="No Cumple","Rechazada",IF((L10+M10)&lt;VLOOKUP(A10,VPBajo!$C$3:$H$5,6,0),IF(U10="No Satisfactoria","Rechazada","Cumple"),"Cumple"))</f>
        <v>Rechazada</v>
      </c>
      <c r="T10" s="78" t="str">
        <f>IF(R10="No Cumple","Rechazada",IF((L10+M10)&lt;VLOOKUP(A10,VPBajo!$C$3:$H$5,6,0),"Si","No"))</f>
        <v>Rechazada</v>
      </c>
      <c r="U10" s="66" t="s">
        <v>64</v>
      </c>
      <c r="V10" s="78" t="str">
        <f t="shared" si="1"/>
        <v>Rechazada</v>
      </c>
      <c r="W10" s="78" t="str">
        <f t="shared" si="2"/>
        <v>Rechazada</v>
      </c>
      <c r="X10" s="81" t="str">
        <f>IF(W10="Rechazada","Rechazada",(VLOOKUP(A10,Cantidades!$B$12:$D$14,3,0)-Lote2Cal!P10)/(VLOOKUP(A10,Cantidades!$B$12:$D$14,3,0)-MIN(Lote2Cal!$P$7:$P$19))*72)</f>
        <v>Rechazada</v>
      </c>
      <c r="Y10" s="85"/>
      <c r="Z10" s="85"/>
      <c r="AA10" s="85"/>
      <c r="AB10" s="76" t="str">
        <f t="shared" si="3"/>
        <v>Rechazada</v>
      </c>
      <c r="AC10" s="83" t="str">
        <f t="shared" si="4"/>
        <v/>
      </c>
    </row>
    <row r="11" spans="1:29" x14ac:dyDescent="0.25">
      <c r="A11" s="61">
        <v>2</v>
      </c>
      <c r="B11" s="62">
        <f>'Lote 2'!B14</f>
        <v>0</v>
      </c>
      <c r="C11" s="63">
        <f>'Lote 2'!C14</f>
        <v>0</v>
      </c>
      <c r="D11" s="63">
        <f>'Lote 2'!D14</f>
        <v>0</v>
      </c>
      <c r="E11" s="63">
        <f>'Lote 2'!E14</f>
        <v>0</v>
      </c>
      <c r="F11" s="63">
        <f>'Lote 2'!F14</f>
        <v>0</v>
      </c>
      <c r="G11" s="63">
        <f>'Lote 2'!G14</f>
        <v>0</v>
      </c>
      <c r="H11" s="63">
        <f>'Lote 2'!H14</f>
        <v>0</v>
      </c>
      <c r="I11" s="63">
        <f>'Lote 2'!I14</f>
        <v>0</v>
      </c>
      <c r="J11" s="64">
        <f>'Lote 2'!J14</f>
        <v>0</v>
      </c>
      <c r="K11" s="71">
        <f>AnálisisCapacidad!Q9</f>
        <v>0</v>
      </c>
      <c r="L11" s="72">
        <f>VLOOKUP(A11,Cantidades!$B$3:$H$5,3,0)*Lote2Cal!C11+VLOOKUP(A11,Cantidades!$B$3:$H$5,4,0)*D11+VLOOKUP(A11,Cantidades!$B$3:$H$5,5,0)*E11</f>
        <v>0</v>
      </c>
      <c r="M11" s="73">
        <f>(VLOOKUP(A11,Cantidades!$B$3:$H$5,3,0)*Lote2Cal!F11+VLOOKUP(A11,Cantidades!$B$3:$H$5,4,0)*G11+VLOOKUP(A11,Cantidades!$B$3:$H$5,5,0)*H11)/Cantidades!$K$3</f>
        <v>0</v>
      </c>
      <c r="N11" s="72">
        <f>(I11*(VLOOKUP(A11,Cantidades!$B$3:$H$5,6,0)-(VLOOKUP(A11,Cantidades!$B$3:$H$5,7,0)*J11)/(1-J11)))/Cantidades!$K$4</f>
        <v>0</v>
      </c>
      <c r="O11" s="71" t="str">
        <f>IF(AND('Lote 2'!I14&gt;=250,'Lote 2'!J14&lt;4.91),"Cumple","No Cumple")</f>
        <v>No Cumple</v>
      </c>
      <c r="P11" s="72" t="str">
        <f>IF(AND(O11="Cumple",K11="Si tiene capacidad"),L11+M11-MIN(N11,VLOOKUP(A11,Cantidades!$B$12:$D$14,3,0)*15%),"No Cumple")</f>
        <v>No Cumple</v>
      </c>
      <c r="Q11" s="71" t="str">
        <f t="shared" si="0"/>
        <v>No Cumple</v>
      </c>
      <c r="R11" s="71" t="str">
        <f>IF(Q11="Cumple",IF((L11+M11)&lt;=VLOOKUP(A11,Cantidades!$B$12:$D$14,3,0),"Cumple","No Cumple"),"No Cumple")</f>
        <v>No Cumple</v>
      </c>
      <c r="S11" s="71" t="str">
        <f>IF(R11="No Cumple","Rechazada",IF((L11+M11)&lt;VLOOKUP(A11,VPBajo!$C$3:$H$5,6,0),IF(U11="No Satisfactoria","Rechazada","Cumple"),"Cumple"))</f>
        <v>Rechazada</v>
      </c>
      <c r="T11" s="71" t="str">
        <f>IF(R11="No Cumple","Rechazada",IF((L11+M11)&lt;VLOOKUP(A11,VPBajo!$C$3:$H$5,6,0),"Si","No"))</f>
        <v>Rechazada</v>
      </c>
      <c r="U11" s="63" t="s">
        <v>64</v>
      </c>
      <c r="V11" s="71" t="str">
        <f t="shared" si="1"/>
        <v>Rechazada</v>
      </c>
      <c r="W11" s="71" t="str">
        <f t="shared" si="2"/>
        <v>Rechazada</v>
      </c>
      <c r="X11" s="74" t="str">
        <f>IF(W11="Rechazada","Rechazada",(VLOOKUP(A11,Cantidades!$B$12:$D$14,3,0)-Lote2Cal!P11)/(VLOOKUP(A11,Cantidades!$B$12:$D$14,3,0)-MIN(Lote2Cal!$P$7:$P$19))*72)</f>
        <v>Rechazada</v>
      </c>
      <c r="Y11" s="84"/>
      <c r="Z11" s="84"/>
      <c r="AA11" s="84"/>
      <c r="AB11" s="76" t="str">
        <f t="shared" si="3"/>
        <v>Rechazada</v>
      </c>
      <c r="AC11" s="77" t="str">
        <f t="shared" si="4"/>
        <v/>
      </c>
    </row>
    <row r="12" spans="1:29" x14ac:dyDescent="0.25">
      <c r="A12" s="61">
        <v>2</v>
      </c>
      <c r="B12" s="65">
        <f>'Lote 2'!B15</f>
        <v>0</v>
      </c>
      <c r="C12" s="66">
        <f>'Lote 2'!C15</f>
        <v>0</v>
      </c>
      <c r="D12" s="66">
        <f>'Lote 2'!D15</f>
        <v>0</v>
      </c>
      <c r="E12" s="66">
        <f>'Lote 2'!E15</f>
        <v>0</v>
      </c>
      <c r="F12" s="66">
        <f>'Lote 2'!F15</f>
        <v>0</v>
      </c>
      <c r="G12" s="66">
        <f>'Lote 2'!G15</f>
        <v>0</v>
      </c>
      <c r="H12" s="66">
        <f>'Lote 2'!H15</f>
        <v>0</v>
      </c>
      <c r="I12" s="66">
        <f>'Lote 2'!I15</f>
        <v>0</v>
      </c>
      <c r="J12" s="67">
        <f>'Lote 2'!J15</f>
        <v>0</v>
      </c>
      <c r="K12" s="78">
        <f>AnálisisCapacidad!Q10</f>
        <v>0</v>
      </c>
      <c r="L12" s="79">
        <f>VLOOKUP(A12,Cantidades!$B$3:$H$5,3,0)*Lote2Cal!C12+VLOOKUP(A12,Cantidades!$B$3:$H$5,4,0)*D12+VLOOKUP(A12,Cantidades!$B$3:$H$5,5,0)*E12</f>
        <v>0</v>
      </c>
      <c r="M12" s="80">
        <f>(VLOOKUP(A12,Cantidades!$B$3:$H$5,3,0)*Lote2Cal!F12+VLOOKUP(A12,Cantidades!$B$3:$H$5,4,0)*G12+VLOOKUP(A12,Cantidades!$B$3:$H$5,5,0)*H12)/Cantidades!$K$3</f>
        <v>0</v>
      </c>
      <c r="N12" s="79">
        <f>(I12*(VLOOKUP(A12,Cantidades!$B$3:$H$5,6,0)-(VLOOKUP(A12,Cantidades!$B$3:$H$5,7,0)*J12)/(1-J12)))/Cantidades!$K$4</f>
        <v>0</v>
      </c>
      <c r="O12" s="78" t="str">
        <f>IF(AND('Lote 2'!I15&gt;=250,'Lote 2'!J15&lt;4.91),"Cumple","No Cumple")</f>
        <v>No Cumple</v>
      </c>
      <c r="P12" s="79" t="str">
        <f>IF(AND(O12="Cumple",K12="Si tiene capacidad"),L12+M12-MIN(N12,VLOOKUP(A12,Cantidades!$B$12:$D$14,3,0)*15%),"No Cumple")</f>
        <v>No Cumple</v>
      </c>
      <c r="Q12" s="78" t="str">
        <f t="shared" si="0"/>
        <v>No Cumple</v>
      </c>
      <c r="R12" s="78" t="str">
        <f>IF(Q12="Cumple",IF((L12+M12)&lt;=VLOOKUP(A12,Cantidades!$B$12:$D$14,3,0),"Cumple","No Cumple"),"No Cumple")</f>
        <v>No Cumple</v>
      </c>
      <c r="S12" s="78" t="str">
        <f>IF(R12="No Cumple","Rechazada",IF((L12+M12)&lt;VLOOKUP(A12,VPBajo!$C$3:$H$5,6,0),IF(U12="No Satisfactoria","Rechazada","Cumple"),"Cumple"))</f>
        <v>Rechazada</v>
      </c>
      <c r="T12" s="78" t="str">
        <f>IF(R12="No Cumple","Rechazada",IF((L12+M12)&lt;VLOOKUP(A12,VPBajo!$C$3:$H$5,6,0),"Si","No"))</f>
        <v>Rechazada</v>
      </c>
      <c r="U12" s="66" t="s">
        <v>64</v>
      </c>
      <c r="V12" s="78" t="str">
        <f t="shared" si="1"/>
        <v>Rechazada</v>
      </c>
      <c r="W12" s="78" t="str">
        <f t="shared" si="2"/>
        <v>Rechazada</v>
      </c>
      <c r="X12" s="81" t="str">
        <f>IF(W12="Rechazada","Rechazada",(VLOOKUP(A12,Cantidades!$B$12:$D$14,3,0)-Lote2Cal!P12)/(VLOOKUP(A12,Cantidades!$B$12:$D$14,3,0)-MIN(Lote2Cal!$P$7:$P$19))*72)</f>
        <v>Rechazada</v>
      </c>
      <c r="Y12" s="85"/>
      <c r="Z12" s="85"/>
      <c r="AA12" s="85"/>
      <c r="AB12" s="76" t="str">
        <f t="shared" si="3"/>
        <v>Rechazada</v>
      </c>
      <c r="AC12" s="83" t="str">
        <f t="shared" si="4"/>
        <v/>
      </c>
    </row>
    <row r="13" spans="1:29" x14ac:dyDescent="0.25">
      <c r="A13" s="61">
        <v>2</v>
      </c>
      <c r="B13" s="62">
        <f>'Lote 2'!B16</f>
        <v>0</v>
      </c>
      <c r="C13" s="63">
        <f>'Lote 2'!C16</f>
        <v>0</v>
      </c>
      <c r="D13" s="63">
        <f>'Lote 2'!D16</f>
        <v>0</v>
      </c>
      <c r="E13" s="63">
        <f>'Lote 2'!E16</f>
        <v>0</v>
      </c>
      <c r="F13" s="63">
        <f>'Lote 2'!F16</f>
        <v>0</v>
      </c>
      <c r="G13" s="63">
        <f>'Lote 2'!G16</f>
        <v>0</v>
      </c>
      <c r="H13" s="63">
        <f>'Lote 2'!H16</f>
        <v>0</v>
      </c>
      <c r="I13" s="63">
        <f>'Lote 2'!I16</f>
        <v>0</v>
      </c>
      <c r="J13" s="64">
        <f>'Lote 2'!J16</f>
        <v>0</v>
      </c>
      <c r="K13" s="71">
        <f>AnálisisCapacidad!Q11</f>
        <v>0</v>
      </c>
      <c r="L13" s="72">
        <f>VLOOKUP(A13,Cantidades!$B$3:$H$5,3,0)*Lote2Cal!C13+VLOOKUP(A13,Cantidades!$B$3:$H$5,4,0)*D13+VLOOKUP(A13,Cantidades!$B$3:$H$5,5,0)*E13</f>
        <v>0</v>
      </c>
      <c r="M13" s="73">
        <f>(VLOOKUP(A13,Cantidades!$B$3:$H$5,3,0)*Lote2Cal!F13+VLOOKUP(A13,Cantidades!$B$3:$H$5,4,0)*G13+VLOOKUP(A13,Cantidades!$B$3:$H$5,5,0)*H13)/Cantidades!$K$3</f>
        <v>0</v>
      </c>
      <c r="N13" s="72">
        <f>(I13*(VLOOKUP(A13,Cantidades!$B$3:$H$5,6,0)-(VLOOKUP(A13,Cantidades!$B$3:$H$5,7,0)*J13)/(1-J13)))/Cantidades!$K$4</f>
        <v>0</v>
      </c>
      <c r="O13" s="71" t="str">
        <f>IF(AND('Lote 2'!I16&gt;=250,'Lote 2'!J16&lt;4.91),"Cumple","No Cumple")</f>
        <v>No Cumple</v>
      </c>
      <c r="P13" s="72" t="str">
        <f>IF(AND(O13="Cumple",K13="Si tiene capacidad"),L13+M13-MIN(N13,VLOOKUP(A13,Cantidades!$B$12:$D$14,3,0)*15%),"No Cumple")</f>
        <v>No Cumple</v>
      </c>
      <c r="Q13" s="71" t="str">
        <f t="shared" si="0"/>
        <v>No Cumple</v>
      </c>
      <c r="R13" s="71" t="str">
        <f>IF(Q13="Cumple",IF((L13+M13)&lt;=VLOOKUP(A13,Cantidades!$B$12:$D$14,3,0),"Cumple","No Cumple"),"No Cumple")</f>
        <v>No Cumple</v>
      </c>
      <c r="S13" s="71" t="str">
        <f>IF(R13="No Cumple","Rechazada",IF((L13+M13)&lt;VLOOKUP(A13,VPBajo!$C$3:$H$5,6,0),IF(U13="No Satisfactoria","Rechazada","Cumple"),"Cumple"))</f>
        <v>Rechazada</v>
      </c>
      <c r="T13" s="71" t="str">
        <f>IF(R13="No Cumple","Rechazada",IF((L13+M13)&lt;VLOOKUP(A13,VPBajo!$C$3:$H$5,6,0),"Si","No"))</f>
        <v>Rechazada</v>
      </c>
      <c r="U13" s="63" t="s">
        <v>64</v>
      </c>
      <c r="V13" s="71" t="str">
        <f t="shared" si="1"/>
        <v>Rechazada</v>
      </c>
      <c r="W13" s="71" t="str">
        <f t="shared" si="2"/>
        <v>Rechazada</v>
      </c>
      <c r="X13" s="74" t="str">
        <f>IF(W13="Rechazada","Rechazada",(VLOOKUP(A13,Cantidades!$B$12:$D$14,3,0)-Lote2Cal!P13)/(VLOOKUP(A13,Cantidades!$B$12:$D$14,3,0)-MIN(Lote2Cal!$P$7:$P$19))*72)</f>
        <v>Rechazada</v>
      </c>
      <c r="Y13" s="84"/>
      <c r="Z13" s="84"/>
      <c r="AA13" s="84"/>
      <c r="AB13" s="76" t="str">
        <f t="shared" si="3"/>
        <v>Rechazada</v>
      </c>
      <c r="AC13" s="77" t="str">
        <f t="shared" si="4"/>
        <v/>
      </c>
    </row>
    <row r="14" spans="1:29" x14ac:dyDescent="0.25">
      <c r="A14" s="61">
        <v>2</v>
      </c>
      <c r="B14" s="65">
        <f>'Lote 2'!B17</f>
        <v>0</v>
      </c>
      <c r="C14" s="66">
        <f>'Lote 2'!C17</f>
        <v>0</v>
      </c>
      <c r="D14" s="66">
        <f>'Lote 2'!D17</f>
        <v>0</v>
      </c>
      <c r="E14" s="66">
        <f>'Lote 2'!E17</f>
        <v>0</v>
      </c>
      <c r="F14" s="66">
        <f>'Lote 2'!F17</f>
        <v>0</v>
      </c>
      <c r="G14" s="66">
        <f>'Lote 2'!G17</f>
        <v>0</v>
      </c>
      <c r="H14" s="66">
        <f>'Lote 2'!H17</f>
        <v>0</v>
      </c>
      <c r="I14" s="66">
        <f>'Lote 2'!I17</f>
        <v>0</v>
      </c>
      <c r="J14" s="67">
        <f>'Lote 2'!J17</f>
        <v>0</v>
      </c>
      <c r="K14" s="78">
        <f>AnálisisCapacidad!Q12</f>
        <v>0</v>
      </c>
      <c r="L14" s="79">
        <f>VLOOKUP(A14,Cantidades!$B$3:$H$5,3,0)*Lote2Cal!C14+VLOOKUP(A14,Cantidades!$B$3:$H$5,4,0)*D14+VLOOKUP(A14,Cantidades!$B$3:$H$5,5,0)*E14</f>
        <v>0</v>
      </c>
      <c r="M14" s="80">
        <f>(VLOOKUP(A14,Cantidades!$B$3:$H$5,3,0)*Lote2Cal!F14+VLOOKUP(A14,Cantidades!$B$3:$H$5,4,0)*G14+VLOOKUP(A14,Cantidades!$B$3:$H$5,5,0)*H14)/Cantidades!$K$3</f>
        <v>0</v>
      </c>
      <c r="N14" s="79">
        <f>(I14*(VLOOKUP(A14,Cantidades!$B$3:$H$5,6,0)-(VLOOKUP(A14,Cantidades!$B$3:$H$5,7,0)*J14)/(1-J14)))/Cantidades!$K$4</f>
        <v>0</v>
      </c>
      <c r="O14" s="78" t="str">
        <f>IF(AND('Lote 2'!I17&gt;=250,'Lote 2'!J17&lt;4.91),"Cumple","No Cumple")</f>
        <v>No Cumple</v>
      </c>
      <c r="P14" s="79" t="str">
        <f>IF(AND(O14="Cumple",K14="Si tiene capacidad"),L14+M14-MIN(N14,VLOOKUP(A14,Cantidades!$B$12:$D$14,3,0)*15%),"No Cumple")</f>
        <v>No Cumple</v>
      </c>
      <c r="Q14" s="78" t="str">
        <f t="shared" si="0"/>
        <v>No Cumple</v>
      </c>
      <c r="R14" s="78" t="str">
        <f>IF(Q14="Cumple",IF((L14+M14)&lt;=VLOOKUP(A14,Cantidades!$B$12:$D$14,3,0),"Cumple","No Cumple"),"No Cumple")</f>
        <v>No Cumple</v>
      </c>
      <c r="S14" s="78" t="str">
        <f>IF(R14="No Cumple","Rechazada",IF((L14+M14)&lt;VLOOKUP(A14,VPBajo!$C$3:$H$5,6,0),IF(U14="No Satisfactoria","Rechazada","Cumple"),"Cumple"))</f>
        <v>Rechazada</v>
      </c>
      <c r="T14" s="78" t="str">
        <f>IF(R14="No Cumple","Rechazada",IF((L14+M14)&lt;VLOOKUP(A14,VPBajo!$C$3:$H$5,6,0),"Si","No"))</f>
        <v>Rechazada</v>
      </c>
      <c r="U14" s="66" t="s">
        <v>64</v>
      </c>
      <c r="V14" s="78" t="str">
        <f t="shared" si="1"/>
        <v>Rechazada</v>
      </c>
      <c r="W14" s="78" t="str">
        <f t="shared" si="2"/>
        <v>Rechazada</v>
      </c>
      <c r="X14" s="81" t="str">
        <f>IF(W14="Rechazada","Rechazada",(VLOOKUP(A14,Cantidades!$B$12:$D$14,3,0)-Lote2Cal!P14)/(VLOOKUP(A14,Cantidades!$B$12:$D$14,3,0)-MIN(Lote2Cal!$P$7:$P$19))*72)</f>
        <v>Rechazada</v>
      </c>
      <c r="Y14" s="85"/>
      <c r="Z14" s="85"/>
      <c r="AA14" s="85"/>
      <c r="AB14" s="76" t="str">
        <f t="shared" si="3"/>
        <v>Rechazada</v>
      </c>
      <c r="AC14" s="83" t="str">
        <f t="shared" si="4"/>
        <v/>
      </c>
    </row>
    <row r="15" spans="1:29" x14ac:dyDescent="0.25">
      <c r="A15" s="61">
        <v>2</v>
      </c>
      <c r="B15" s="62">
        <f>'Lote 2'!B18</f>
        <v>0</v>
      </c>
      <c r="C15" s="63">
        <f>'Lote 2'!C18</f>
        <v>0</v>
      </c>
      <c r="D15" s="63">
        <f>'Lote 2'!D18</f>
        <v>0</v>
      </c>
      <c r="E15" s="63">
        <f>'Lote 2'!E18</f>
        <v>0</v>
      </c>
      <c r="F15" s="63">
        <f>'Lote 2'!F18</f>
        <v>0</v>
      </c>
      <c r="G15" s="63">
        <f>'Lote 2'!G18</f>
        <v>0</v>
      </c>
      <c r="H15" s="63">
        <f>'Lote 2'!H18</f>
        <v>0</v>
      </c>
      <c r="I15" s="63">
        <f>'Lote 2'!I18</f>
        <v>0</v>
      </c>
      <c r="J15" s="64">
        <f>'Lote 2'!J18</f>
        <v>0</v>
      </c>
      <c r="K15" s="71">
        <f>AnálisisCapacidad!Q13</f>
        <v>0</v>
      </c>
      <c r="L15" s="72">
        <f>VLOOKUP(A15,Cantidades!$B$3:$H$5,3,0)*Lote2Cal!C15+VLOOKUP(A15,Cantidades!$B$3:$H$5,4,0)*D15+VLOOKUP(A15,Cantidades!$B$3:$H$5,5,0)*E15</f>
        <v>0</v>
      </c>
      <c r="M15" s="73">
        <f>(VLOOKUP(A15,Cantidades!$B$3:$H$5,3,0)*Lote2Cal!F15+VLOOKUP(A15,Cantidades!$B$3:$H$5,4,0)*G15+VLOOKUP(A15,Cantidades!$B$3:$H$5,5,0)*H15)/Cantidades!$K$3</f>
        <v>0</v>
      </c>
      <c r="N15" s="72">
        <f>(I15*(VLOOKUP(A15,Cantidades!$B$3:$H$5,6,0)-(VLOOKUP(A15,Cantidades!$B$3:$H$5,7,0)*J15)/(1-J15)))/Cantidades!$K$4</f>
        <v>0</v>
      </c>
      <c r="O15" s="71" t="str">
        <f>IF(AND('Lote 2'!I18&gt;=250,'Lote 2'!J18&lt;4.91),"Cumple","No Cumple")</f>
        <v>No Cumple</v>
      </c>
      <c r="P15" s="72" t="str">
        <f>IF(AND(O15="Cumple",K15="Si tiene capacidad"),L15+M15-MIN(N15,VLOOKUP(A15,Cantidades!$B$12:$D$14,3,0)*15%),"No Cumple")</f>
        <v>No Cumple</v>
      </c>
      <c r="Q15" s="71" t="str">
        <f t="shared" si="0"/>
        <v>No Cumple</v>
      </c>
      <c r="R15" s="71" t="str">
        <f>IF(Q15="Cumple",IF((L15+M15)&lt;=VLOOKUP(A15,Cantidades!$B$12:$D$14,3,0),"Cumple","No Cumple"),"No Cumple")</f>
        <v>No Cumple</v>
      </c>
      <c r="S15" s="71" t="str">
        <f>IF(R15="No Cumple","Rechazada",IF((L15+M15)&lt;VLOOKUP(A15,VPBajo!$C$3:$H$5,6,0),IF(U15="No Satisfactoria","Rechazada","Cumple"),"Cumple"))</f>
        <v>Rechazada</v>
      </c>
      <c r="T15" s="71" t="str">
        <f>IF(R15="No Cumple","Rechazada",IF((L15+M15)&lt;VLOOKUP(A15,VPBajo!$C$3:$H$5,6,0),"Si","No"))</f>
        <v>Rechazada</v>
      </c>
      <c r="U15" s="63" t="s">
        <v>64</v>
      </c>
      <c r="V15" s="71" t="str">
        <f t="shared" si="1"/>
        <v>Rechazada</v>
      </c>
      <c r="W15" s="71" t="str">
        <f t="shared" si="2"/>
        <v>Rechazada</v>
      </c>
      <c r="X15" s="74" t="str">
        <f>IF(W15="Rechazada","Rechazada",(VLOOKUP(A15,Cantidades!$B$12:$D$14,3,0)-Lote2Cal!P15)/(VLOOKUP(A15,Cantidades!$B$12:$D$14,3,0)-MIN(Lote2Cal!$P$7:$P$19))*72)</f>
        <v>Rechazada</v>
      </c>
      <c r="Y15" s="84"/>
      <c r="Z15" s="84"/>
      <c r="AA15" s="84"/>
      <c r="AB15" s="76" t="str">
        <f t="shared" si="3"/>
        <v>Rechazada</v>
      </c>
      <c r="AC15" s="77" t="str">
        <f t="shared" si="4"/>
        <v/>
      </c>
    </row>
    <row r="16" spans="1:29" x14ac:dyDescent="0.25">
      <c r="A16" s="61">
        <v>2</v>
      </c>
      <c r="B16" s="65">
        <f>'Lote 2'!B19</f>
        <v>0</v>
      </c>
      <c r="C16" s="66">
        <f>'Lote 2'!C19</f>
        <v>0</v>
      </c>
      <c r="D16" s="66">
        <f>'Lote 2'!D19</f>
        <v>0</v>
      </c>
      <c r="E16" s="66">
        <f>'Lote 2'!E19</f>
        <v>0</v>
      </c>
      <c r="F16" s="66">
        <f>'Lote 2'!F19</f>
        <v>0</v>
      </c>
      <c r="G16" s="66">
        <f>'Lote 2'!G19</f>
        <v>0</v>
      </c>
      <c r="H16" s="66">
        <f>'Lote 2'!H19</f>
        <v>0</v>
      </c>
      <c r="I16" s="66">
        <f>'Lote 2'!I19</f>
        <v>0</v>
      </c>
      <c r="J16" s="67">
        <f>'Lote 2'!J19</f>
        <v>0</v>
      </c>
      <c r="K16" s="78">
        <f>AnálisisCapacidad!Q14</f>
        <v>0</v>
      </c>
      <c r="L16" s="79">
        <f>VLOOKUP(A16,Cantidades!$B$3:$H$5,3,0)*Lote2Cal!C16+VLOOKUP(A16,Cantidades!$B$3:$H$5,4,0)*D16+VLOOKUP(A16,Cantidades!$B$3:$H$5,5,0)*E16</f>
        <v>0</v>
      </c>
      <c r="M16" s="80">
        <f>(VLOOKUP(A16,Cantidades!$B$3:$H$5,3,0)*Lote2Cal!F16+VLOOKUP(A16,Cantidades!$B$3:$H$5,4,0)*G16+VLOOKUP(A16,Cantidades!$B$3:$H$5,5,0)*H16)/Cantidades!$K$3</f>
        <v>0</v>
      </c>
      <c r="N16" s="79">
        <f>(I16*(VLOOKUP(A16,Cantidades!$B$3:$H$5,6,0)-(VLOOKUP(A16,Cantidades!$B$3:$H$5,7,0)*J16)/(1-J16)))/Cantidades!$K$4</f>
        <v>0</v>
      </c>
      <c r="O16" s="78" t="str">
        <f>IF(AND('Lote 2'!I19&gt;=250,'Lote 2'!J19&lt;4.91),"Cumple","No Cumple")</f>
        <v>No Cumple</v>
      </c>
      <c r="P16" s="79" t="str">
        <f>IF(AND(O16="Cumple",K16="Si tiene capacidad"),L16+M16-MIN(N16,VLOOKUP(A16,Cantidades!$B$12:$D$14,3,0)*15%),"No Cumple")</f>
        <v>No Cumple</v>
      </c>
      <c r="Q16" s="78" t="str">
        <f t="shared" si="0"/>
        <v>No Cumple</v>
      </c>
      <c r="R16" s="78" t="str">
        <f>IF(Q16="Cumple",IF((L16+M16)&lt;=VLOOKUP(A16,Cantidades!$B$12:$D$14,3,0),"Cumple","No Cumple"),"No Cumple")</f>
        <v>No Cumple</v>
      </c>
      <c r="S16" s="78" t="str">
        <f>IF(R16="No Cumple","Rechazada",IF((L16+M16)&lt;VLOOKUP(A16,VPBajo!$C$3:$H$5,6,0),IF(U16="No Satisfactoria","Rechazada","Cumple"),"Cumple"))</f>
        <v>Rechazada</v>
      </c>
      <c r="T16" s="78" t="str">
        <f>IF(R16="No Cumple","Rechazada",IF((L16+M16)&lt;VLOOKUP(A16,VPBajo!$C$3:$H$5,6,0),"Si","No"))</f>
        <v>Rechazada</v>
      </c>
      <c r="U16" s="66" t="s">
        <v>64</v>
      </c>
      <c r="V16" s="78" t="str">
        <f t="shared" si="1"/>
        <v>Rechazada</v>
      </c>
      <c r="W16" s="78" t="str">
        <f t="shared" si="2"/>
        <v>Rechazada</v>
      </c>
      <c r="X16" s="81" t="str">
        <f>IF(W16="Rechazada","Rechazada",(VLOOKUP(A16,Cantidades!$B$12:$D$14,3,0)-Lote2Cal!P16)/(VLOOKUP(A16,Cantidades!$B$12:$D$14,3,0)-MIN(Lote2Cal!$P$7:$P$19))*72)</f>
        <v>Rechazada</v>
      </c>
      <c r="Y16" s="85"/>
      <c r="Z16" s="85"/>
      <c r="AA16" s="85"/>
      <c r="AB16" s="76" t="str">
        <f t="shared" si="3"/>
        <v>Rechazada</v>
      </c>
      <c r="AC16" s="83" t="str">
        <f t="shared" si="4"/>
        <v/>
      </c>
    </row>
    <row r="17" spans="1:29" x14ac:dyDescent="0.25">
      <c r="A17" s="61">
        <v>2</v>
      </c>
      <c r="B17" s="62">
        <f>'Lote 2'!B20</f>
        <v>0</v>
      </c>
      <c r="C17" s="63">
        <f>'Lote 2'!C20</f>
        <v>0</v>
      </c>
      <c r="D17" s="63">
        <f>'Lote 2'!D20</f>
        <v>0</v>
      </c>
      <c r="E17" s="63">
        <f>'Lote 2'!E20</f>
        <v>0</v>
      </c>
      <c r="F17" s="63">
        <f>'Lote 2'!F20</f>
        <v>0</v>
      </c>
      <c r="G17" s="63">
        <f>'Lote 2'!G20</f>
        <v>0</v>
      </c>
      <c r="H17" s="63">
        <f>'Lote 2'!H20</f>
        <v>0</v>
      </c>
      <c r="I17" s="63">
        <f>'Lote 2'!I20</f>
        <v>0</v>
      </c>
      <c r="J17" s="64">
        <f>'Lote 2'!J20</f>
        <v>0</v>
      </c>
      <c r="K17" s="71">
        <f>AnálisisCapacidad!Q15</f>
        <v>0</v>
      </c>
      <c r="L17" s="72">
        <f>VLOOKUP(A17,Cantidades!$B$3:$H$5,3,0)*Lote2Cal!C17+VLOOKUP(A17,Cantidades!$B$3:$H$5,4,0)*D17+VLOOKUP(A17,Cantidades!$B$3:$H$5,5,0)*E17</f>
        <v>0</v>
      </c>
      <c r="M17" s="73">
        <f>(VLOOKUP(A17,Cantidades!$B$3:$H$5,3,0)*Lote2Cal!F17+VLOOKUP(A17,Cantidades!$B$3:$H$5,4,0)*G17+VLOOKUP(A17,Cantidades!$B$3:$H$5,5,0)*H17)/Cantidades!$K$3</f>
        <v>0</v>
      </c>
      <c r="N17" s="72">
        <f>(I17*(VLOOKUP(A17,Cantidades!$B$3:$H$5,6,0)-(VLOOKUP(A17,Cantidades!$B$3:$H$5,7,0)*J17)/(1-J17)))/Cantidades!$K$4</f>
        <v>0</v>
      </c>
      <c r="O17" s="71" t="str">
        <f>IF(AND('Lote 2'!I20&gt;=250,'Lote 2'!J20&lt;4.91),"Cumple","No Cumple")</f>
        <v>No Cumple</v>
      </c>
      <c r="P17" s="72" t="str">
        <f>IF(AND(O17="Cumple",K17="Si tiene capacidad"),L17+M17-MIN(N17,VLOOKUP(A17,Cantidades!$B$12:$D$14,3,0)*15%),"No Cumple")</f>
        <v>No Cumple</v>
      </c>
      <c r="Q17" s="71" t="str">
        <f t="shared" si="0"/>
        <v>No Cumple</v>
      </c>
      <c r="R17" s="71" t="str">
        <f>IF(Q17="Cumple",IF((L17+M17)&lt;=VLOOKUP(A17,Cantidades!$B$12:$D$14,3,0),"Cumple","No Cumple"),"No Cumple")</f>
        <v>No Cumple</v>
      </c>
      <c r="S17" s="71" t="str">
        <f>IF(R17="No Cumple","Rechazada",IF((L17+M17)&lt;VLOOKUP(A17,VPBajo!$C$3:$H$5,6,0),IF(U17="No Satisfactoria","Rechazada","Cumple"),"Cumple"))</f>
        <v>Rechazada</v>
      </c>
      <c r="T17" s="71" t="str">
        <f>IF(R17="No Cumple","Rechazada",IF((L17+M17)&lt;VLOOKUP(A17,VPBajo!$C$3:$H$5,6,0),"Si","No"))</f>
        <v>Rechazada</v>
      </c>
      <c r="U17" s="63" t="s">
        <v>64</v>
      </c>
      <c r="V17" s="71" t="str">
        <f t="shared" si="1"/>
        <v>Rechazada</v>
      </c>
      <c r="W17" s="71" t="str">
        <f t="shared" si="2"/>
        <v>Rechazada</v>
      </c>
      <c r="X17" s="74" t="str">
        <f>IF(W17="Rechazada","Rechazada",(VLOOKUP(A17,Cantidades!$B$12:$D$14,3,0)-Lote2Cal!P17)/(VLOOKUP(A17,Cantidades!$B$12:$D$14,3,0)-MIN(Lote2Cal!$P$7:$P$19))*72)</f>
        <v>Rechazada</v>
      </c>
      <c r="Y17" s="84"/>
      <c r="Z17" s="84"/>
      <c r="AA17" s="84"/>
      <c r="AB17" s="76" t="str">
        <f t="shared" si="3"/>
        <v>Rechazada</v>
      </c>
      <c r="AC17" s="77" t="str">
        <f t="shared" si="4"/>
        <v/>
      </c>
    </row>
    <row r="18" spans="1:29" x14ac:dyDescent="0.25">
      <c r="A18" s="61">
        <v>2</v>
      </c>
      <c r="B18" s="65">
        <f>'Lote 2'!B21</f>
        <v>0</v>
      </c>
      <c r="C18" s="66">
        <f>'Lote 2'!C21</f>
        <v>0</v>
      </c>
      <c r="D18" s="66">
        <f>'Lote 2'!D21</f>
        <v>0</v>
      </c>
      <c r="E18" s="66">
        <f>'Lote 2'!E21</f>
        <v>0</v>
      </c>
      <c r="F18" s="66">
        <f>'Lote 2'!F21</f>
        <v>0</v>
      </c>
      <c r="G18" s="66">
        <f>'Lote 2'!G21</f>
        <v>0</v>
      </c>
      <c r="H18" s="66">
        <f>'Lote 2'!H21</f>
        <v>0</v>
      </c>
      <c r="I18" s="66">
        <f>'Lote 2'!I21</f>
        <v>0</v>
      </c>
      <c r="J18" s="67">
        <f>'Lote 2'!J21</f>
        <v>0</v>
      </c>
      <c r="K18" s="78">
        <f>AnálisisCapacidad!Q16</f>
        <v>0</v>
      </c>
      <c r="L18" s="79">
        <f>VLOOKUP(A18,Cantidades!$B$3:$H$5,3,0)*Lote2Cal!C18+VLOOKUP(A18,Cantidades!$B$3:$H$5,4,0)*D18+VLOOKUP(A18,Cantidades!$B$3:$H$5,5,0)*E18</f>
        <v>0</v>
      </c>
      <c r="M18" s="80">
        <f>(VLOOKUP(A18,Cantidades!$B$3:$H$5,3,0)*Lote2Cal!F18+VLOOKUP(A18,Cantidades!$B$3:$H$5,4,0)*G18+VLOOKUP(A18,Cantidades!$B$3:$H$5,5,0)*H18)/Cantidades!$K$3</f>
        <v>0</v>
      </c>
      <c r="N18" s="79">
        <f>(I18*(VLOOKUP(A18,Cantidades!$B$3:$H$5,6,0)-(VLOOKUP(A18,Cantidades!$B$3:$H$5,7,0)*J18)/(1-J18)))/Cantidades!$K$4</f>
        <v>0</v>
      </c>
      <c r="O18" s="78" t="str">
        <f>IF(AND('Lote 2'!I21&gt;=250,'Lote 2'!J21&lt;4.91),"Cumple","No Cumple")</f>
        <v>No Cumple</v>
      </c>
      <c r="P18" s="79" t="str">
        <f>IF(AND(O18="Cumple",K18="Si tiene capacidad"),L18+M18-MIN(N18,VLOOKUP(A18,Cantidades!$B$12:$D$14,3,0)*15%),"No Cumple")</f>
        <v>No Cumple</v>
      </c>
      <c r="Q18" s="78" t="str">
        <f t="shared" si="0"/>
        <v>No Cumple</v>
      </c>
      <c r="R18" s="78" t="str">
        <f>IF(Q18="Cumple",IF((L18+M18)&lt;=VLOOKUP(A18,Cantidades!$B$12:$D$14,3,0),"Cumple","No Cumple"),"No Cumple")</f>
        <v>No Cumple</v>
      </c>
      <c r="S18" s="78" t="str">
        <f>IF(R18="No Cumple","Rechazada",IF((L18+M18)&lt;VLOOKUP(A18,VPBajo!$C$3:$H$5,6,0),IF(U18="No Satisfactoria","Rechazada","Cumple"),"Cumple"))</f>
        <v>Rechazada</v>
      </c>
      <c r="T18" s="78" t="str">
        <f>IF(R18="No Cumple","Rechazada",IF((L18+M18)&lt;VLOOKUP(A18,VPBajo!$C$3:$H$5,6,0),"Si","No"))</f>
        <v>Rechazada</v>
      </c>
      <c r="U18" s="66" t="s">
        <v>64</v>
      </c>
      <c r="V18" s="78" t="str">
        <f t="shared" si="1"/>
        <v>Rechazada</v>
      </c>
      <c r="W18" s="78" t="str">
        <f t="shared" si="2"/>
        <v>Rechazada</v>
      </c>
      <c r="X18" s="81" t="str">
        <f>IF(W18="Rechazada","Rechazada",(VLOOKUP(A18,Cantidades!$B$12:$D$14,3,0)-Lote2Cal!P18)/(VLOOKUP(A18,Cantidades!$B$12:$D$14,3,0)-MIN(Lote2Cal!$P$7:$P$19))*72)</f>
        <v>Rechazada</v>
      </c>
      <c r="Y18" s="85"/>
      <c r="Z18" s="85"/>
      <c r="AA18" s="85"/>
      <c r="AB18" s="76" t="str">
        <f t="shared" si="3"/>
        <v>Rechazada</v>
      </c>
      <c r="AC18" s="83" t="str">
        <f t="shared" si="4"/>
        <v/>
      </c>
    </row>
    <row r="19" spans="1:29" x14ac:dyDescent="0.25">
      <c r="A19" s="61">
        <v>2</v>
      </c>
      <c r="B19" s="62">
        <f>'Lote 2'!B22</f>
        <v>0</v>
      </c>
      <c r="C19" s="63">
        <f>'Lote 2'!C22</f>
        <v>0</v>
      </c>
      <c r="D19" s="63">
        <f>'Lote 2'!D22</f>
        <v>0</v>
      </c>
      <c r="E19" s="63">
        <f>'Lote 2'!E22</f>
        <v>0</v>
      </c>
      <c r="F19" s="63">
        <f>'Lote 2'!F22</f>
        <v>0</v>
      </c>
      <c r="G19" s="63">
        <f>'Lote 2'!G22</f>
        <v>0</v>
      </c>
      <c r="H19" s="63">
        <f>'Lote 2'!H22</f>
        <v>0</v>
      </c>
      <c r="I19" s="63">
        <f>'Lote 2'!I22</f>
        <v>0</v>
      </c>
      <c r="J19" s="64">
        <f>'Lote 2'!J22</f>
        <v>0</v>
      </c>
      <c r="K19" s="71">
        <f>AnálisisCapacidad!Q17</f>
        <v>0</v>
      </c>
      <c r="L19" s="72">
        <f>VLOOKUP(A19,Cantidades!$B$3:$H$5,3,0)*Lote2Cal!C19+VLOOKUP(A19,Cantidades!$B$3:$H$5,4,0)*D19+VLOOKUP(A19,Cantidades!$B$3:$H$5,5,0)*E19</f>
        <v>0</v>
      </c>
      <c r="M19" s="73">
        <f>(VLOOKUP(A19,Cantidades!$B$3:$H$5,3,0)*Lote2Cal!F19+VLOOKUP(A19,Cantidades!$B$3:$H$5,4,0)*G19+VLOOKUP(A19,Cantidades!$B$3:$H$5,5,0)*H19)/Cantidades!$K$3</f>
        <v>0</v>
      </c>
      <c r="N19" s="72">
        <f>(I19*(VLOOKUP(A19,Cantidades!$B$3:$H$5,6,0)-(VLOOKUP(A19,Cantidades!$B$3:$H$5,7,0)*J19)/(1-J19)))/Cantidades!$K$4</f>
        <v>0</v>
      </c>
      <c r="O19" s="71" t="str">
        <f>IF(AND('Lote 2'!I22&gt;=250,'Lote 2'!J22&lt;4.91),"Cumple","No Cumple")</f>
        <v>No Cumple</v>
      </c>
      <c r="P19" s="72" t="str">
        <f>IF(AND(O19="Cumple",K19="Si tiene capacidad"),L19+M19-MIN(N19,VLOOKUP(A19,Cantidades!$B$12:$D$14,3,0)*15%),"No Cumple")</f>
        <v>No Cumple</v>
      </c>
      <c r="Q19" s="71" t="str">
        <f t="shared" si="0"/>
        <v>No Cumple</v>
      </c>
      <c r="R19" s="71" t="str">
        <f>IF(Q19="Cumple",IF((L19+M19)&lt;=VLOOKUP(A19,Cantidades!$B$12:$D$14,3,0),"Cumple","No Cumple"),"No Cumple")</f>
        <v>No Cumple</v>
      </c>
      <c r="S19" s="71" t="str">
        <f>IF(R19="No Cumple","Rechazada",IF((L19+M19)&lt;VLOOKUP(A19,VPBajo!$C$3:$H$5,6,0),IF(U19="No Satisfactoria","Rechazada","Cumple"),"Cumple"))</f>
        <v>Rechazada</v>
      </c>
      <c r="T19" s="71" t="str">
        <f>IF(R19="No Cumple","Rechazada",IF((L19+M19)&lt;VLOOKUP(A19,VPBajo!$C$3:$H$5,6,0),"Si","No"))</f>
        <v>Rechazada</v>
      </c>
      <c r="U19" s="63" t="s">
        <v>64</v>
      </c>
      <c r="V19" s="71" t="str">
        <f t="shared" si="1"/>
        <v>Rechazada</v>
      </c>
      <c r="W19" s="71" t="str">
        <f t="shared" si="2"/>
        <v>Rechazada</v>
      </c>
      <c r="X19" s="74" t="str">
        <f>IF(W19="Rechazada","Rechazada",(VLOOKUP(A19,Cantidades!$B$12:$D$14,3,0)-Lote2Cal!P19)/(VLOOKUP(A19,Cantidades!$B$12:$D$14,3,0)-MIN(Lote2Cal!$P$7:$P$19))*72)</f>
        <v>Rechazada</v>
      </c>
      <c r="Y19" s="84"/>
      <c r="Z19" s="84"/>
      <c r="AA19" s="84"/>
      <c r="AB19" s="76" t="str">
        <f t="shared" si="3"/>
        <v>Rechazada</v>
      </c>
      <c r="AC19" s="77" t="str">
        <f t="shared" si="4"/>
        <v/>
      </c>
    </row>
    <row r="22" spans="1:29" x14ac:dyDescent="0.25">
      <c r="M22" s="87"/>
    </row>
    <row r="23" spans="1:29" x14ac:dyDescent="0.25">
      <c r="M23" s="87"/>
      <c r="P23" s="86"/>
    </row>
    <row r="25" spans="1:29" x14ac:dyDescent="0.25">
      <c r="L25" s="87"/>
    </row>
    <row r="30" spans="1:29" x14ac:dyDescent="0.25">
      <c r="D30" s="88"/>
      <c r="E30" s="88"/>
      <c r="G30" s="88"/>
      <c r="H30" s="88"/>
    </row>
    <row r="31" spans="1:29" x14ac:dyDescent="0.25">
      <c r="D31" s="88"/>
      <c r="E31" s="88"/>
      <c r="G31" s="88"/>
      <c r="H31" s="88"/>
    </row>
  </sheetData>
  <sheetProtection algorithmName="SHA-512" hashValue="aReUdwiOUXE/bkb7LWCIZxUXsKvH+BaXXWr4iCIsTfWWDPMvhzT8h33Qf7b3zkAafZfCn76mvJTnFWN+40pnxw==" saltValue="9E3NdtVtzphAa5Me7wJtfg==" spinCount="100000" sheet="1" objects="1" scenarios="1"/>
  <mergeCells count="1">
    <mergeCell ref="A2:AC2"/>
  </mergeCells>
  <dataValidations count="1">
    <dataValidation type="list" allowBlank="1" showInputMessage="1" showErrorMessage="1" sqref="U7:U19" xr:uid="{0ABBB489-58B3-453B-AE03-EBFF3BDCDC22}">
      <formula1>"Satisfactoria,No Satisfactoria, No Necesaria"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D3EE3-45B8-4CA7-8B94-18B726BDBC09}">
  <dimension ref="A2:AC31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XFD1048576"/>
    </sheetView>
  </sheetViews>
  <sheetFormatPr baseColWidth="10" defaultColWidth="11.42578125" defaultRowHeight="15" x14ac:dyDescent="0.25"/>
  <cols>
    <col min="1" max="1" width="19.42578125" style="11" customWidth="1"/>
    <col min="2" max="2" width="39" style="11" customWidth="1"/>
    <col min="3" max="4" width="25.85546875" style="11" customWidth="1"/>
    <col min="5" max="5" width="21.140625" style="11" customWidth="1"/>
    <col min="6" max="8" width="20.140625" style="11" customWidth="1"/>
    <col min="9" max="11" width="21" style="11" customWidth="1"/>
    <col min="12" max="13" width="19.5703125" style="11" bestFit="1" customWidth="1"/>
    <col min="14" max="14" width="18.28515625" style="11" bestFit="1" customWidth="1"/>
    <col min="15" max="15" width="11.42578125" style="11"/>
    <col min="16" max="16" width="19.28515625" style="11" bestFit="1" customWidth="1"/>
    <col min="17" max="17" width="12" style="11" bestFit="1" customWidth="1"/>
    <col min="18" max="18" width="17.85546875" style="11" bestFit="1" customWidth="1"/>
    <col min="19" max="19" width="11.42578125" style="11"/>
    <col min="20" max="20" width="11.85546875" style="11" bestFit="1" customWidth="1"/>
    <col min="21" max="21" width="16.5703125" style="11" customWidth="1"/>
    <col min="22" max="22" width="10.85546875" style="11" bestFit="1" customWidth="1"/>
    <col min="23" max="28" width="11.42578125" style="11"/>
    <col min="29" max="29" width="14.140625" style="11" customWidth="1"/>
    <col min="30" max="16384" width="11.42578125" style="11"/>
  </cols>
  <sheetData>
    <row r="2" spans="1:29" x14ac:dyDescent="0.25">
      <c r="A2" s="107" t="s">
        <v>74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</row>
    <row r="3" spans="1:29" x14ac:dyDescent="0.2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29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29" ht="75" x14ac:dyDescent="0.25">
      <c r="A5" s="57" t="s">
        <v>33</v>
      </c>
      <c r="B5" s="57" t="s">
        <v>35</v>
      </c>
      <c r="C5" s="58" t="s">
        <v>36</v>
      </c>
      <c r="D5" s="58" t="s">
        <v>37</v>
      </c>
      <c r="E5" s="58" t="s">
        <v>38</v>
      </c>
      <c r="F5" s="59" t="s">
        <v>39</v>
      </c>
      <c r="G5" s="59" t="s">
        <v>40</v>
      </c>
      <c r="H5" s="59" t="s">
        <v>41</v>
      </c>
      <c r="I5" s="58" t="s">
        <v>42</v>
      </c>
      <c r="J5" s="58" t="s">
        <v>43</v>
      </c>
      <c r="K5" s="58" t="s">
        <v>10</v>
      </c>
      <c r="L5" s="59" t="s">
        <v>51</v>
      </c>
      <c r="M5" s="59" t="s">
        <v>53</v>
      </c>
      <c r="N5" s="59" t="s">
        <v>55</v>
      </c>
      <c r="O5" s="59" t="s">
        <v>57</v>
      </c>
      <c r="P5" s="59" t="s">
        <v>8</v>
      </c>
      <c r="Q5" s="59" t="s">
        <v>59</v>
      </c>
      <c r="R5" s="59" t="s">
        <v>14</v>
      </c>
      <c r="S5" s="59" t="s">
        <v>16</v>
      </c>
      <c r="T5" s="59" t="s">
        <v>66</v>
      </c>
      <c r="U5" s="59" t="s">
        <v>65</v>
      </c>
      <c r="V5" s="59" t="s">
        <v>25</v>
      </c>
      <c r="W5" s="59" t="s">
        <v>26</v>
      </c>
      <c r="X5" s="59" t="s">
        <v>68</v>
      </c>
      <c r="Y5" s="59" t="s">
        <v>69</v>
      </c>
      <c r="Z5" s="59" t="s">
        <v>70</v>
      </c>
      <c r="AA5" s="59" t="s">
        <v>71</v>
      </c>
      <c r="AB5" s="59" t="s">
        <v>72</v>
      </c>
      <c r="AC5" s="59" t="s">
        <v>73</v>
      </c>
    </row>
    <row r="6" spans="1:29" ht="18.75" customHeight="1" x14ac:dyDescent="0.25">
      <c r="A6" s="60" t="s">
        <v>6</v>
      </c>
      <c r="B6" s="60" t="s">
        <v>6</v>
      </c>
      <c r="C6" s="60" t="s">
        <v>7</v>
      </c>
      <c r="D6" s="60" t="s">
        <v>7</v>
      </c>
      <c r="E6" s="60" t="s">
        <v>7</v>
      </c>
      <c r="F6" s="60" t="s">
        <v>7</v>
      </c>
      <c r="G6" s="60" t="s">
        <v>7</v>
      </c>
      <c r="H6" s="60" t="s">
        <v>7</v>
      </c>
      <c r="I6" s="60" t="s">
        <v>7</v>
      </c>
      <c r="J6" s="60" t="s">
        <v>44</v>
      </c>
      <c r="K6" s="70" t="s">
        <v>6</v>
      </c>
      <c r="L6" s="60" t="s">
        <v>7</v>
      </c>
      <c r="M6" s="60" t="s">
        <v>7</v>
      </c>
      <c r="N6" s="60" t="s">
        <v>7</v>
      </c>
      <c r="O6" s="70" t="s">
        <v>6</v>
      </c>
      <c r="P6" s="60" t="s">
        <v>7</v>
      </c>
      <c r="Q6" s="70" t="s">
        <v>6</v>
      </c>
      <c r="R6" s="70" t="s">
        <v>6</v>
      </c>
      <c r="S6" s="70" t="s">
        <v>6</v>
      </c>
      <c r="T6" s="70" t="s">
        <v>6</v>
      </c>
      <c r="U6" s="70" t="s">
        <v>6</v>
      </c>
      <c r="V6" s="70" t="s">
        <v>6</v>
      </c>
      <c r="W6" s="70" t="s">
        <v>6</v>
      </c>
      <c r="X6" s="70" t="s">
        <v>67</v>
      </c>
      <c r="Y6" s="70" t="s">
        <v>67</v>
      </c>
      <c r="Z6" s="70" t="s">
        <v>67</v>
      </c>
      <c r="AA6" s="70" t="s">
        <v>67</v>
      </c>
      <c r="AB6" s="70" t="s">
        <v>67</v>
      </c>
      <c r="AC6" s="70" t="s">
        <v>67</v>
      </c>
    </row>
    <row r="7" spans="1:29" x14ac:dyDescent="0.25">
      <c r="A7" s="61">
        <v>3</v>
      </c>
      <c r="B7" s="62" t="str">
        <f>'Lote 3'!B10</f>
        <v>ASSA ABLOY</v>
      </c>
      <c r="C7" s="63">
        <f>'Lote 3'!C10</f>
        <v>32130000</v>
      </c>
      <c r="D7" s="63">
        <f>'Lote 3'!D10</f>
        <v>35003850</v>
      </c>
      <c r="E7" s="63">
        <f>'Lote 3'!E10</f>
        <v>5995220</v>
      </c>
      <c r="F7" s="63">
        <f>'Lote 3'!F10</f>
        <v>1400630</v>
      </c>
      <c r="G7" s="63">
        <f>'Lote 3'!G10</f>
        <v>1600550</v>
      </c>
      <c r="H7" s="63">
        <f>'Lote 3'!H10</f>
        <v>600950</v>
      </c>
      <c r="I7" s="63">
        <f>'Lote 3'!I10</f>
        <v>300</v>
      </c>
      <c r="J7" s="64">
        <f>'Lote 3'!J10</f>
        <v>4.82E-2</v>
      </c>
      <c r="K7" s="71" t="str">
        <f>AnálisisCapacidad!R5</f>
        <v>Si tiene capacidad</v>
      </c>
      <c r="L7" s="72">
        <f>VLOOKUP(A7,Cantidades!$B$3:$H$5,3,0)*Lote3Cal!C7+VLOOKUP(A7,Cantidades!$B$3:$H$5,4,0)*D7+VLOOKUP(A7,Cantidades!$B$3:$H$5,5,0)*E7</f>
        <v>6633367020</v>
      </c>
      <c r="M7" s="73">
        <f>(VLOOKUP(A7,Cantidades!$B$3:$H$5,3,0)*Lote3Cal!F7+VLOOKUP(A7,Cantidades!$B$3:$H$5,4,0)*G7+VLOOKUP(A7,Cantidades!$B$3:$H$5,5,0)*H7)/Cantidades!$K$3</f>
        <v>6666454708.5201788</v>
      </c>
      <c r="N7" s="72">
        <f>(I7*(VLOOKUP(A7,Cantidades!$B$3:$H$5,6,0)-(VLOOKUP(A7,Cantidades!$B$3:$H$5,7,0)*J7)/(1-J7)))/Cantidades!$K$4</f>
        <v>10099948.879264092</v>
      </c>
      <c r="O7" s="71" t="str">
        <f>IF(AND('Lote 3'!I10&gt;=250,'Lote 3'!J10&lt;4.91),"Cumple","No Cumple")</f>
        <v>Cumple</v>
      </c>
      <c r="P7" s="72">
        <f>IF(AND(O7="Cumple",K7="Si tiene capacidad"),L7+M7-MIN(N7,VLOOKUP(A7,Cantidades!$B$12:$D$14,3,0)*15%),"No Cumple")</f>
        <v>13289721779.640915</v>
      </c>
      <c r="Q7" s="71" t="str">
        <f>IF(AND(O7="Cumple",P7&lt;&gt;"No Cumple"),IF(M7&gt;=(L7+M7)*50%,"Cumple","No Cumple"),"No Cumple")</f>
        <v>Cumple</v>
      </c>
      <c r="R7" s="71" t="str">
        <f>IF(Q7="Cumple",IF((L7+M7)&lt;=VLOOKUP(A7,Cantidades!$B$12:$D$14,3,0),"Cumple","No Cumple"),"No Cumple")</f>
        <v>Cumple</v>
      </c>
      <c r="S7" s="71" t="str">
        <f>IF(R7="No Cumple","Rechazada",IF((L7+M7)&lt;VLOOKUP(A7,VPBajo!$C$3:$H$5,6,0),IF(U7="No Satisfactoria","Rechazada","Cumple"),"Cumple"))</f>
        <v>Cumple</v>
      </c>
      <c r="T7" s="71" t="str">
        <f>IF(R7="No Cumple","Rechazada",IF((L7+M7)&lt;VLOOKUP(A7,VPBajo!$C$3:$H$5,6,0),"Si","No"))</f>
        <v>No</v>
      </c>
      <c r="U7" s="63" t="s">
        <v>85</v>
      </c>
      <c r="V7" s="71" t="str">
        <f>IF(S7="Cumple","Habilitada","Rechazada")</f>
        <v>Habilitada</v>
      </c>
      <c r="W7" s="71" t="str">
        <f>IF(V7="Habilitada","Definitiva","Rechazada")</f>
        <v>Definitiva</v>
      </c>
      <c r="X7" s="74">
        <f>IF(W7="Rechazada","Rechazada",(VLOOKUP(A7,Cantidades!$B$12:$D$14,3,0)-Lote3Cal!P7)/(VLOOKUP(A7,Cantidades!$B$12:$D$14,3,0)-MIN(Lote3Cal!$P$7:$P$19))*72)</f>
        <v>72</v>
      </c>
      <c r="Y7" s="75">
        <v>17</v>
      </c>
      <c r="Z7" s="75">
        <v>7</v>
      </c>
      <c r="AA7" s="75">
        <v>0</v>
      </c>
      <c r="AB7" s="76">
        <f>IF(W7="Definitiva",ROUND(SUM(X7:AA7),7),"Rechazada")</f>
        <v>96</v>
      </c>
      <c r="AC7" s="77">
        <f>IFERROR(_xlfn.RANK.EQ(AB7,$AB$7:$AB$19,0),"")</f>
        <v>1</v>
      </c>
    </row>
    <row r="8" spans="1:29" x14ac:dyDescent="0.25">
      <c r="A8" s="61">
        <v>3</v>
      </c>
      <c r="B8" s="65" t="str">
        <f>'Lote 3'!B11</f>
        <v>CONSORC NAUTILUS</v>
      </c>
      <c r="C8" s="66">
        <f>'Lote 3'!C11</f>
        <v>31841300</v>
      </c>
      <c r="D8" s="66">
        <f>'Lote 3'!D11</f>
        <v>46723117</v>
      </c>
      <c r="E8" s="66">
        <f>'Lote 3'!E11</f>
        <v>25000000</v>
      </c>
      <c r="F8" s="66">
        <f>'Lote 3'!F11</f>
        <v>1475432</v>
      </c>
      <c r="G8" s="66">
        <f>'Lote 3'!G11</f>
        <v>1586270</v>
      </c>
      <c r="H8" s="66">
        <f>'Lote 3'!H11</f>
        <v>6846006</v>
      </c>
      <c r="I8" s="66">
        <f>'Lote 3'!I11</f>
        <v>2897</v>
      </c>
      <c r="J8" s="67">
        <f>'Lote 3'!J11</f>
        <v>2.5100000000000001E-2</v>
      </c>
      <c r="K8" s="78" t="str">
        <f>AnálisisCapacidad!R6</f>
        <v>No tiene capacidad</v>
      </c>
      <c r="L8" s="79">
        <f>VLOOKUP(A8,Cantidades!$B$3:$H$5,3,0)*Lote3Cal!C8+VLOOKUP(A8,Cantidades!$B$3:$H$5,4,0)*D8+VLOOKUP(A8,Cantidades!$B$3:$H$5,5,0)*E8</f>
        <v>7674886394</v>
      </c>
      <c r="M8" s="80">
        <f>(VLOOKUP(A8,Cantidades!$B$3:$H$5,3,0)*Lote3Cal!F8+VLOOKUP(A8,Cantidades!$B$3:$H$5,4,0)*G8+VLOOKUP(A8,Cantidades!$B$3:$H$5,5,0)*H8)/Cantidades!$K$3</f>
        <v>7674894349.7757845</v>
      </c>
      <c r="N8" s="79">
        <f>(I8*(VLOOKUP(A8,Cantidades!$B$3:$H$5,6,0)-(VLOOKUP(A8,Cantidades!$B$3:$H$5,7,0)*J8)/(1-J8)))/Cantidades!$K$4</f>
        <v>2539166082.2617855</v>
      </c>
      <c r="O8" s="78" t="str">
        <f>IF(AND('Lote 3'!I11&gt;=250,'Lote 3'!J11&lt;4.91),"Cumple","No Cumple")</f>
        <v>Cumple</v>
      </c>
      <c r="P8" s="79" t="str">
        <f>IF(AND(O8="Cumple",K8="Si tiene capacidad"),L8+M8-MIN(N8,VLOOKUP(A8,Cantidades!$B$12:$D$14,3,0)*15%),"No Cumple")</f>
        <v>No Cumple</v>
      </c>
      <c r="Q8" s="78" t="str">
        <f t="shared" ref="Q8:Q19" si="0">IF(AND(O8="Cumple",P8&lt;&gt;"No Cumple"),IF(M8&gt;=(L8+M8)*50%,"Cumple","No Cumple"),"No Cumple")</f>
        <v>No Cumple</v>
      </c>
      <c r="R8" s="78" t="str">
        <f>IF(Q8="Cumple",IF((L8+M8)&lt;=VLOOKUP(A8,Cantidades!$B$12:$D$14,3,0),"Cumple","No Cumple"),"No Cumple")</f>
        <v>No Cumple</v>
      </c>
      <c r="S8" s="78" t="str">
        <f>IF(R8="No Cumple","Rechazada",IF((L8+M8)&lt;VLOOKUP(A8,VPBajo!$C$3:$H$5,6,0),IF(U8="No Satisfactoria","Rechazada","Cumple"),"Cumple"))</f>
        <v>Rechazada</v>
      </c>
      <c r="T8" s="78" t="str">
        <f>IF(R8="No Cumple","Rechazada",IF((L8+M8)&lt;VLOOKUP(A8,VPBajo!$C$3:$H$5,6,0),"Si","No"))</f>
        <v>Rechazada</v>
      </c>
      <c r="U8" s="66" t="s">
        <v>64</v>
      </c>
      <c r="V8" s="78" t="str">
        <f t="shared" ref="V8:V19" si="1">IF(S8="Cumple","Habilitada","Rechazada")</f>
        <v>Rechazada</v>
      </c>
      <c r="W8" s="78" t="str">
        <f t="shared" ref="W8:W19" si="2">IF(V8="Habilitada","Definitiva","Rechazada")</f>
        <v>Rechazada</v>
      </c>
      <c r="X8" s="81" t="str">
        <f>IF(W8="Rechazada","Rechazada",(VLOOKUP(A8,Cantidades!$B$12:$D$14,3,0)-Lote3Cal!P8)/(VLOOKUP(A8,Cantidades!$B$12:$D$14,3,0)-MIN(Lote3Cal!$P$7:$P$19))*72)</f>
        <v>Rechazada</v>
      </c>
      <c r="Y8" s="82">
        <v>17</v>
      </c>
      <c r="Z8" s="82">
        <v>10</v>
      </c>
      <c r="AA8" s="82">
        <v>1</v>
      </c>
      <c r="AB8" s="76" t="str">
        <f t="shared" ref="AB8:AB19" si="3">IF(W8="Definitiva",ROUND(SUM(X8:AA8),7),"Rechazada")</f>
        <v>Rechazada</v>
      </c>
      <c r="AC8" s="83" t="str">
        <f t="shared" ref="AC8:AC19" si="4">IFERROR(_xlfn.RANK.EQ(AB8,$AB$7:$AB$19,0),"")</f>
        <v/>
      </c>
    </row>
    <row r="9" spans="1:29" x14ac:dyDescent="0.25">
      <c r="A9" s="61">
        <v>3</v>
      </c>
      <c r="B9" s="62">
        <f>'Lote 3'!B12</f>
        <v>0</v>
      </c>
      <c r="C9" s="63">
        <f>'Lote 3'!C12</f>
        <v>0</v>
      </c>
      <c r="D9" s="63">
        <f>'Lote 3'!D12</f>
        <v>0</v>
      </c>
      <c r="E9" s="63">
        <f>'Lote 3'!E12</f>
        <v>0</v>
      </c>
      <c r="F9" s="63">
        <f>'Lote 3'!F12</f>
        <v>0</v>
      </c>
      <c r="G9" s="63">
        <f>'Lote 3'!G12</f>
        <v>0</v>
      </c>
      <c r="H9" s="63">
        <f>'Lote 3'!H12</f>
        <v>0</v>
      </c>
      <c r="I9" s="63">
        <f>'Lote 3'!I12</f>
        <v>0</v>
      </c>
      <c r="J9" s="64">
        <f>'Lote 3'!J12</f>
        <v>0</v>
      </c>
      <c r="K9" s="71">
        <f>AnálisisCapacidad!R7</f>
        <v>0</v>
      </c>
      <c r="L9" s="72">
        <f>VLOOKUP(A9,Cantidades!$B$3:$H$5,3,0)*Lote3Cal!C9+VLOOKUP(A9,Cantidades!$B$3:$H$5,4,0)*D9+VLOOKUP(A9,Cantidades!$B$3:$H$5,5,0)*E9</f>
        <v>0</v>
      </c>
      <c r="M9" s="73">
        <f>(VLOOKUP(A9,Cantidades!$B$3:$H$5,3,0)*Lote3Cal!F9+VLOOKUP(A9,Cantidades!$B$3:$H$5,4,0)*G9+VLOOKUP(A9,Cantidades!$B$3:$H$5,5,0)*H9)/Cantidades!$K$3</f>
        <v>0</v>
      </c>
      <c r="N9" s="72">
        <f>(I9*(VLOOKUP(A9,Cantidades!$B$3:$H$5,6,0)-(VLOOKUP(A9,Cantidades!$B$3:$H$5,7,0)*J9)/(1-J9)))/Cantidades!$K$4</f>
        <v>0</v>
      </c>
      <c r="O9" s="71" t="str">
        <f>IF(AND('Lote 3'!I12&gt;=250,'Lote 3'!J12&lt;4.91),"Cumple","No Cumple")</f>
        <v>No Cumple</v>
      </c>
      <c r="P9" s="72" t="str">
        <f>IF(AND(O9="Cumple",K9="Si tiene capacidad"),L9+M9-MIN(N9,VLOOKUP(A9,Cantidades!$B$12:$D$14,3,0)*15%),"No Cumple")</f>
        <v>No Cumple</v>
      </c>
      <c r="Q9" s="71" t="str">
        <f t="shared" si="0"/>
        <v>No Cumple</v>
      </c>
      <c r="R9" s="71" t="str">
        <f>IF(Q9="Cumple",IF((L9+M9)&lt;=VLOOKUP(A9,Cantidades!$B$12:$D$14,3,0),"Cumple","No Cumple"),"No Cumple")</f>
        <v>No Cumple</v>
      </c>
      <c r="S9" s="71" t="str">
        <f>IF(R9="No Cumple","Rechazada",IF((L9+M9)&lt;VLOOKUP(A9,VPBajo!$C$3:$H$5,6,0),IF(U9="No Satisfactoria","Rechazada","Cumple"),"Cumple"))</f>
        <v>Rechazada</v>
      </c>
      <c r="T9" s="71" t="str">
        <f>IF(R9="No Cumple","Rechazada",IF((L9+M9)&lt;VLOOKUP(A9,VPBajo!$C$3:$H$5,6,0),"Si","No"))</f>
        <v>Rechazada</v>
      </c>
      <c r="U9" s="63" t="s">
        <v>64</v>
      </c>
      <c r="V9" s="71" t="str">
        <f t="shared" si="1"/>
        <v>Rechazada</v>
      </c>
      <c r="W9" s="71" t="str">
        <f t="shared" si="2"/>
        <v>Rechazada</v>
      </c>
      <c r="X9" s="74" t="str">
        <f>IF(W9="Rechazada","Rechazada",(VLOOKUP(A9,Cantidades!$B$12:$D$14,3,0)-Lote3Cal!P9)/(VLOOKUP(A9,Cantidades!$B$12:$D$14,3,0)-MIN(Lote3Cal!$P$7:$P$19))*72)</f>
        <v>Rechazada</v>
      </c>
      <c r="Y9" s="84"/>
      <c r="Z9" s="84"/>
      <c r="AA9" s="84"/>
      <c r="AB9" s="76" t="str">
        <f t="shared" si="3"/>
        <v>Rechazada</v>
      </c>
      <c r="AC9" s="77" t="str">
        <f t="shared" si="4"/>
        <v/>
      </c>
    </row>
    <row r="10" spans="1:29" x14ac:dyDescent="0.25">
      <c r="A10" s="61">
        <v>3</v>
      </c>
      <c r="B10" s="65">
        <f>'Lote 3'!B13</f>
        <v>0</v>
      </c>
      <c r="C10" s="66">
        <f>'Lote 3'!C13</f>
        <v>0</v>
      </c>
      <c r="D10" s="66">
        <f>'Lote 3'!D13</f>
        <v>0</v>
      </c>
      <c r="E10" s="66">
        <f>'Lote 3'!E13</f>
        <v>0</v>
      </c>
      <c r="F10" s="66">
        <f>'Lote 3'!F13</f>
        <v>0</v>
      </c>
      <c r="G10" s="66">
        <f>'Lote 3'!G13</f>
        <v>0</v>
      </c>
      <c r="H10" s="66">
        <f>'Lote 3'!H13</f>
        <v>0</v>
      </c>
      <c r="I10" s="66">
        <f>'Lote 3'!I13</f>
        <v>0</v>
      </c>
      <c r="J10" s="67">
        <f>'Lote 3'!J13</f>
        <v>0</v>
      </c>
      <c r="K10" s="78">
        <f>AnálisisCapacidad!R8</f>
        <v>0</v>
      </c>
      <c r="L10" s="79">
        <f>VLOOKUP(A10,Cantidades!$B$3:$H$5,3,0)*Lote3Cal!C10+VLOOKUP(A10,Cantidades!$B$3:$H$5,4,0)*D10+VLOOKUP(A10,Cantidades!$B$3:$H$5,5,0)*E10</f>
        <v>0</v>
      </c>
      <c r="M10" s="80">
        <f>(VLOOKUP(A10,Cantidades!$B$3:$H$5,3,0)*Lote3Cal!F10+VLOOKUP(A10,Cantidades!$B$3:$H$5,4,0)*G10+VLOOKUP(A10,Cantidades!$B$3:$H$5,5,0)*H10)/Cantidades!$K$3</f>
        <v>0</v>
      </c>
      <c r="N10" s="79">
        <f>(I10*(VLOOKUP(A10,Cantidades!$B$3:$H$5,6,0)-(VLOOKUP(A10,Cantidades!$B$3:$H$5,7,0)*J10)/(1-J10)))/Cantidades!$K$4</f>
        <v>0</v>
      </c>
      <c r="O10" s="78" t="str">
        <f>IF(AND('Lote 3'!I13&gt;=250,'Lote 3'!J13&lt;4.91),"Cumple","No Cumple")</f>
        <v>No Cumple</v>
      </c>
      <c r="P10" s="79" t="str">
        <f>IF(AND(O10="Cumple",K10="Si tiene capacidad"),L10+M10-MIN(N10,VLOOKUP(A10,Cantidades!$B$12:$D$14,3,0)*15%),"No Cumple")</f>
        <v>No Cumple</v>
      </c>
      <c r="Q10" s="78" t="str">
        <f t="shared" si="0"/>
        <v>No Cumple</v>
      </c>
      <c r="R10" s="78" t="str">
        <f>IF(Q10="Cumple",IF((L10+M10)&lt;=VLOOKUP(A10,Cantidades!$B$12:$D$14,3,0),"Cumple","No Cumple"),"No Cumple")</f>
        <v>No Cumple</v>
      </c>
      <c r="S10" s="78" t="str">
        <f>IF(R10="No Cumple","Rechazada",IF((L10+M10)&lt;VLOOKUP(A10,VPBajo!$C$3:$H$5,6,0),IF(U10="No Satisfactoria","Rechazada","Cumple"),"Cumple"))</f>
        <v>Rechazada</v>
      </c>
      <c r="T10" s="78" t="str">
        <f>IF(R10="No Cumple","Rechazada",IF((L10+M10)&lt;VLOOKUP(A10,VPBajo!$C$3:$H$5,6,0),"Si","No"))</f>
        <v>Rechazada</v>
      </c>
      <c r="U10" s="66" t="s">
        <v>64</v>
      </c>
      <c r="V10" s="78" t="str">
        <f t="shared" si="1"/>
        <v>Rechazada</v>
      </c>
      <c r="W10" s="78" t="str">
        <f t="shared" si="2"/>
        <v>Rechazada</v>
      </c>
      <c r="X10" s="81" t="str">
        <f>IF(W10="Rechazada","Rechazada",(VLOOKUP(A10,Cantidades!$B$12:$D$14,3,0)-Lote3Cal!P10)/(VLOOKUP(A10,Cantidades!$B$12:$D$14,3,0)-MIN(Lote3Cal!$P$7:$P$19))*72)</f>
        <v>Rechazada</v>
      </c>
      <c r="Y10" s="85"/>
      <c r="Z10" s="85"/>
      <c r="AA10" s="85"/>
      <c r="AB10" s="76" t="str">
        <f t="shared" si="3"/>
        <v>Rechazada</v>
      </c>
      <c r="AC10" s="83" t="str">
        <f t="shared" si="4"/>
        <v/>
      </c>
    </row>
    <row r="11" spans="1:29" x14ac:dyDescent="0.25">
      <c r="A11" s="61">
        <v>3</v>
      </c>
      <c r="B11" s="62">
        <f>'Lote 3'!B14</f>
        <v>0</v>
      </c>
      <c r="C11" s="63">
        <f>'Lote 3'!C14</f>
        <v>0</v>
      </c>
      <c r="D11" s="63">
        <f>'Lote 3'!D14</f>
        <v>0</v>
      </c>
      <c r="E11" s="63">
        <f>'Lote 3'!E14</f>
        <v>0</v>
      </c>
      <c r="F11" s="63">
        <f>'Lote 3'!F14</f>
        <v>0</v>
      </c>
      <c r="G11" s="63">
        <f>'Lote 3'!G14</f>
        <v>0</v>
      </c>
      <c r="H11" s="63">
        <f>'Lote 3'!H14</f>
        <v>0</v>
      </c>
      <c r="I11" s="63">
        <f>'Lote 3'!I14</f>
        <v>0</v>
      </c>
      <c r="J11" s="64">
        <f>'Lote 3'!J14</f>
        <v>0</v>
      </c>
      <c r="K11" s="71">
        <f>AnálisisCapacidad!R9</f>
        <v>0</v>
      </c>
      <c r="L11" s="72">
        <f>VLOOKUP(A11,Cantidades!$B$3:$H$5,3,0)*Lote3Cal!C11+VLOOKUP(A11,Cantidades!$B$3:$H$5,4,0)*D11+VLOOKUP(A11,Cantidades!$B$3:$H$5,5,0)*E11</f>
        <v>0</v>
      </c>
      <c r="M11" s="73">
        <f>(VLOOKUP(A11,Cantidades!$B$3:$H$5,3,0)*Lote3Cal!F11+VLOOKUP(A11,Cantidades!$B$3:$H$5,4,0)*G11+VLOOKUP(A11,Cantidades!$B$3:$H$5,5,0)*H11)/Cantidades!$K$3</f>
        <v>0</v>
      </c>
      <c r="N11" s="72">
        <f>(I11*(VLOOKUP(A11,Cantidades!$B$3:$H$5,6,0)-(VLOOKUP(A11,Cantidades!$B$3:$H$5,7,0)*J11)/(1-J11)))/Cantidades!$K$4</f>
        <v>0</v>
      </c>
      <c r="O11" s="71" t="str">
        <f>IF(AND('Lote 3'!I14&gt;=250,'Lote 3'!J14&lt;4.91),"Cumple","No Cumple")</f>
        <v>No Cumple</v>
      </c>
      <c r="P11" s="72" t="str">
        <f>IF(AND(O11="Cumple",K11="Si tiene capacidad"),L11+M11-MIN(N11,VLOOKUP(A11,Cantidades!$B$12:$D$14,3,0)*15%),"No Cumple")</f>
        <v>No Cumple</v>
      </c>
      <c r="Q11" s="71" t="str">
        <f t="shared" si="0"/>
        <v>No Cumple</v>
      </c>
      <c r="R11" s="71" t="str">
        <f>IF(Q11="Cumple",IF((L11+M11)&lt;=VLOOKUP(A11,Cantidades!$B$12:$D$14,3,0),"Cumple","No Cumple"),"No Cumple")</f>
        <v>No Cumple</v>
      </c>
      <c r="S11" s="71" t="str">
        <f>IF(R11="No Cumple","Rechazada",IF((L11+M11)&lt;VLOOKUP(A11,VPBajo!$C$3:$H$5,6,0),IF(U11="No Satisfactoria","Rechazada","Cumple"),"Cumple"))</f>
        <v>Rechazada</v>
      </c>
      <c r="T11" s="71" t="str">
        <f>IF(R11="No Cumple","Rechazada",IF((L11+M11)&lt;VLOOKUP(A11,VPBajo!$C$3:$H$5,6,0),"Si","No"))</f>
        <v>Rechazada</v>
      </c>
      <c r="U11" s="63" t="s">
        <v>64</v>
      </c>
      <c r="V11" s="71" t="str">
        <f t="shared" si="1"/>
        <v>Rechazada</v>
      </c>
      <c r="W11" s="71" t="str">
        <f t="shared" si="2"/>
        <v>Rechazada</v>
      </c>
      <c r="X11" s="74" t="str">
        <f>IF(W11="Rechazada","Rechazada",(VLOOKUP(A11,Cantidades!$B$12:$D$14,3,0)-Lote3Cal!P11)/(VLOOKUP(A11,Cantidades!$B$12:$D$14,3,0)-MIN(Lote3Cal!$P$7:$P$19))*72)</f>
        <v>Rechazada</v>
      </c>
      <c r="Y11" s="84"/>
      <c r="Z11" s="84"/>
      <c r="AA11" s="84"/>
      <c r="AB11" s="76" t="str">
        <f t="shared" si="3"/>
        <v>Rechazada</v>
      </c>
      <c r="AC11" s="77" t="str">
        <f t="shared" si="4"/>
        <v/>
      </c>
    </row>
    <row r="12" spans="1:29" x14ac:dyDescent="0.25">
      <c r="A12" s="61">
        <v>3</v>
      </c>
      <c r="B12" s="65">
        <f>'Lote 3'!B15</f>
        <v>0</v>
      </c>
      <c r="C12" s="66">
        <f>'Lote 3'!C15</f>
        <v>0</v>
      </c>
      <c r="D12" s="66">
        <f>'Lote 3'!D15</f>
        <v>0</v>
      </c>
      <c r="E12" s="66">
        <f>'Lote 3'!E15</f>
        <v>0</v>
      </c>
      <c r="F12" s="66">
        <f>'Lote 3'!F15</f>
        <v>0</v>
      </c>
      <c r="G12" s="66">
        <f>'Lote 3'!G15</f>
        <v>0</v>
      </c>
      <c r="H12" s="66">
        <f>'Lote 3'!H15</f>
        <v>0</v>
      </c>
      <c r="I12" s="66">
        <f>'Lote 3'!I15</f>
        <v>0</v>
      </c>
      <c r="J12" s="67">
        <f>'Lote 3'!J15</f>
        <v>0</v>
      </c>
      <c r="K12" s="78">
        <f>AnálisisCapacidad!R10</f>
        <v>0</v>
      </c>
      <c r="L12" s="79">
        <f>VLOOKUP(A12,Cantidades!$B$3:$H$5,3,0)*Lote3Cal!C12+VLOOKUP(A12,Cantidades!$B$3:$H$5,4,0)*D12+VLOOKUP(A12,Cantidades!$B$3:$H$5,5,0)*E12</f>
        <v>0</v>
      </c>
      <c r="M12" s="80">
        <f>(VLOOKUP(A12,Cantidades!$B$3:$H$5,3,0)*Lote3Cal!F12+VLOOKUP(A12,Cantidades!$B$3:$H$5,4,0)*G12+VLOOKUP(A12,Cantidades!$B$3:$H$5,5,0)*H12)/Cantidades!$K$3</f>
        <v>0</v>
      </c>
      <c r="N12" s="79">
        <f>(I12*(VLOOKUP(A12,Cantidades!$B$3:$H$5,6,0)-(VLOOKUP(A12,Cantidades!$B$3:$H$5,7,0)*J12)/(1-J12)))/Cantidades!$K$4</f>
        <v>0</v>
      </c>
      <c r="O12" s="78" t="str">
        <f>IF(AND('Lote 3'!I15&gt;=250,'Lote 3'!J15&lt;4.91),"Cumple","No Cumple")</f>
        <v>No Cumple</v>
      </c>
      <c r="P12" s="79" t="str">
        <f>IF(AND(O12="Cumple",K12="Si tiene capacidad"),L12+M12-MIN(N12,VLOOKUP(A12,Cantidades!$B$12:$D$14,3,0)*15%),"No Cumple")</f>
        <v>No Cumple</v>
      </c>
      <c r="Q12" s="78" t="str">
        <f t="shared" si="0"/>
        <v>No Cumple</v>
      </c>
      <c r="R12" s="78" t="str">
        <f>IF(Q12="Cumple",IF((L12+M12)&lt;=VLOOKUP(A12,Cantidades!$B$12:$D$14,3,0),"Cumple","No Cumple"),"No Cumple")</f>
        <v>No Cumple</v>
      </c>
      <c r="S12" s="78" t="str">
        <f>IF(R12="No Cumple","Rechazada",IF((L12+M12)&lt;VLOOKUP(A12,VPBajo!$C$3:$H$5,6,0),IF(U12="No Satisfactoria","Rechazada","Cumple"),"Cumple"))</f>
        <v>Rechazada</v>
      </c>
      <c r="T12" s="78" t="str">
        <f>IF(R12="No Cumple","Rechazada",IF((L12+M12)&lt;VLOOKUP(A12,VPBajo!$C$3:$H$5,6,0),"Si","No"))</f>
        <v>Rechazada</v>
      </c>
      <c r="U12" s="66" t="s">
        <v>64</v>
      </c>
      <c r="V12" s="78" t="str">
        <f t="shared" si="1"/>
        <v>Rechazada</v>
      </c>
      <c r="W12" s="78" t="str">
        <f t="shared" si="2"/>
        <v>Rechazada</v>
      </c>
      <c r="X12" s="81" t="str">
        <f>IF(W12="Rechazada","Rechazada",(VLOOKUP(A12,Cantidades!$B$12:$D$14,3,0)-Lote3Cal!P12)/(VLOOKUP(A12,Cantidades!$B$12:$D$14,3,0)-MIN(Lote3Cal!$P$7:$P$19))*72)</f>
        <v>Rechazada</v>
      </c>
      <c r="Y12" s="85"/>
      <c r="Z12" s="85"/>
      <c r="AA12" s="85"/>
      <c r="AB12" s="76" t="str">
        <f t="shared" si="3"/>
        <v>Rechazada</v>
      </c>
      <c r="AC12" s="83" t="str">
        <f t="shared" si="4"/>
        <v/>
      </c>
    </row>
    <row r="13" spans="1:29" x14ac:dyDescent="0.25">
      <c r="A13" s="61">
        <v>3</v>
      </c>
      <c r="B13" s="62">
        <f>'Lote 3'!B16</f>
        <v>0</v>
      </c>
      <c r="C13" s="63">
        <f>'Lote 3'!C16</f>
        <v>0</v>
      </c>
      <c r="D13" s="63">
        <f>'Lote 3'!D16</f>
        <v>0</v>
      </c>
      <c r="E13" s="63">
        <f>'Lote 3'!E16</f>
        <v>0</v>
      </c>
      <c r="F13" s="63">
        <f>'Lote 3'!F16</f>
        <v>0</v>
      </c>
      <c r="G13" s="63">
        <f>'Lote 3'!G16</f>
        <v>0</v>
      </c>
      <c r="H13" s="63">
        <f>'Lote 3'!H16</f>
        <v>0</v>
      </c>
      <c r="I13" s="63">
        <f>'Lote 3'!I16</f>
        <v>0</v>
      </c>
      <c r="J13" s="64">
        <f>'Lote 3'!J16</f>
        <v>0</v>
      </c>
      <c r="K13" s="71">
        <f>AnálisisCapacidad!R11</f>
        <v>0</v>
      </c>
      <c r="L13" s="72">
        <f>VLOOKUP(A13,Cantidades!$B$3:$H$5,3,0)*Lote3Cal!C13+VLOOKUP(A13,Cantidades!$B$3:$H$5,4,0)*D13+VLOOKUP(A13,Cantidades!$B$3:$H$5,5,0)*E13</f>
        <v>0</v>
      </c>
      <c r="M13" s="73">
        <f>(VLOOKUP(A13,Cantidades!$B$3:$H$5,3,0)*Lote3Cal!F13+VLOOKUP(A13,Cantidades!$B$3:$H$5,4,0)*G13+VLOOKUP(A13,Cantidades!$B$3:$H$5,5,0)*H13)/Cantidades!$K$3</f>
        <v>0</v>
      </c>
      <c r="N13" s="72">
        <f>(I13*(VLOOKUP(A13,Cantidades!$B$3:$H$5,6,0)-(VLOOKUP(A13,Cantidades!$B$3:$H$5,7,0)*J13)/(1-J13)))/Cantidades!$K$4</f>
        <v>0</v>
      </c>
      <c r="O13" s="71" t="str">
        <f>IF(AND('Lote 3'!I16&gt;=250,'Lote 3'!J16&lt;4.91),"Cumple","No Cumple")</f>
        <v>No Cumple</v>
      </c>
      <c r="P13" s="72" t="str">
        <f>IF(AND(O13="Cumple",K13="Si tiene capacidad"),L13+M13-MIN(N13,VLOOKUP(A13,Cantidades!$B$12:$D$14,3,0)*15%),"No Cumple")</f>
        <v>No Cumple</v>
      </c>
      <c r="Q13" s="71" t="str">
        <f t="shared" si="0"/>
        <v>No Cumple</v>
      </c>
      <c r="R13" s="71" t="str">
        <f>IF(Q13="Cumple",IF((L13+M13)&lt;=VLOOKUP(A13,Cantidades!$B$12:$D$14,3,0),"Cumple","No Cumple"),"No Cumple")</f>
        <v>No Cumple</v>
      </c>
      <c r="S13" s="71" t="str">
        <f>IF(R13="No Cumple","Rechazada",IF((L13+M13)&lt;VLOOKUP(A13,VPBajo!$C$3:$H$5,6,0),IF(U13="No Satisfactoria","Rechazada","Cumple"),"Cumple"))</f>
        <v>Rechazada</v>
      </c>
      <c r="T13" s="71" t="str">
        <f>IF(R13="No Cumple","Rechazada",IF((L13+M13)&lt;VLOOKUP(A13,VPBajo!$C$3:$H$5,6,0),"Si","No"))</f>
        <v>Rechazada</v>
      </c>
      <c r="U13" s="63" t="s">
        <v>64</v>
      </c>
      <c r="V13" s="71" t="str">
        <f t="shared" si="1"/>
        <v>Rechazada</v>
      </c>
      <c r="W13" s="71" t="str">
        <f t="shared" si="2"/>
        <v>Rechazada</v>
      </c>
      <c r="X13" s="74" t="str">
        <f>IF(W13="Rechazada","Rechazada",(VLOOKUP(A13,Cantidades!$B$12:$D$14,3,0)-Lote3Cal!P13)/(VLOOKUP(A13,Cantidades!$B$12:$D$14,3,0)-MIN(Lote3Cal!$P$7:$P$19))*72)</f>
        <v>Rechazada</v>
      </c>
      <c r="Y13" s="84"/>
      <c r="Z13" s="84"/>
      <c r="AA13" s="84"/>
      <c r="AB13" s="76" t="str">
        <f t="shared" si="3"/>
        <v>Rechazada</v>
      </c>
      <c r="AC13" s="77" t="str">
        <f t="shared" si="4"/>
        <v/>
      </c>
    </row>
    <row r="14" spans="1:29" x14ac:dyDescent="0.25">
      <c r="A14" s="61">
        <v>3</v>
      </c>
      <c r="B14" s="65">
        <f>'Lote 3'!B17</f>
        <v>0</v>
      </c>
      <c r="C14" s="66">
        <f>'Lote 3'!C17</f>
        <v>0</v>
      </c>
      <c r="D14" s="66">
        <f>'Lote 3'!D17</f>
        <v>0</v>
      </c>
      <c r="E14" s="66">
        <f>'Lote 3'!E17</f>
        <v>0</v>
      </c>
      <c r="F14" s="66">
        <f>'Lote 3'!F17</f>
        <v>0</v>
      </c>
      <c r="G14" s="66">
        <f>'Lote 3'!G17</f>
        <v>0</v>
      </c>
      <c r="H14" s="66">
        <f>'Lote 3'!H17</f>
        <v>0</v>
      </c>
      <c r="I14" s="66">
        <f>'Lote 3'!I17</f>
        <v>0</v>
      </c>
      <c r="J14" s="67">
        <f>'Lote 3'!J17</f>
        <v>0</v>
      </c>
      <c r="K14" s="78">
        <f>AnálisisCapacidad!R12</f>
        <v>0</v>
      </c>
      <c r="L14" s="79">
        <f>VLOOKUP(A14,Cantidades!$B$3:$H$5,3,0)*Lote3Cal!C14+VLOOKUP(A14,Cantidades!$B$3:$H$5,4,0)*D14+VLOOKUP(A14,Cantidades!$B$3:$H$5,5,0)*E14</f>
        <v>0</v>
      </c>
      <c r="M14" s="80">
        <f>(VLOOKUP(A14,Cantidades!$B$3:$H$5,3,0)*Lote3Cal!F14+VLOOKUP(A14,Cantidades!$B$3:$H$5,4,0)*G14+VLOOKUP(A14,Cantidades!$B$3:$H$5,5,0)*H14)/Cantidades!$K$3</f>
        <v>0</v>
      </c>
      <c r="N14" s="79">
        <f>(I14*(VLOOKUP(A14,Cantidades!$B$3:$H$5,6,0)-(VLOOKUP(A14,Cantidades!$B$3:$H$5,7,0)*J14)/(1-J14)))/Cantidades!$K$4</f>
        <v>0</v>
      </c>
      <c r="O14" s="78" t="str">
        <f>IF(AND('Lote 3'!I17&gt;=250,'Lote 3'!J17&lt;4.91),"Cumple","No Cumple")</f>
        <v>No Cumple</v>
      </c>
      <c r="P14" s="79" t="str">
        <f>IF(AND(O14="Cumple",K14="Si tiene capacidad"),L14+M14-MIN(N14,VLOOKUP(A14,Cantidades!$B$12:$D$14,3,0)*15%),"No Cumple")</f>
        <v>No Cumple</v>
      </c>
      <c r="Q14" s="78" t="str">
        <f t="shared" si="0"/>
        <v>No Cumple</v>
      </c>
      <c r="R14" s="78" t="str">
        <f>IF(Q14="Cumple",IF((L14+M14)&lt;=VLOOKUP(A14,Cantidades!$B$12:$D$14,3,0),"Cumple","No Cumple"),"No Cumple")</f>
        <v>No Cumple</v>
      </c>
      <c r="S14" s="78" t="str">
        <f>IF(R14="No Cumple","Rechazada",IF((L14+M14)&lt;VLOOKUP(A14,VPBajo!$C$3:$H$5,6,0),IF(U14="No Satisfactoria","Rechazada","Cumple"),"Cumple"))</f>
        <v>Rechazada</v>
      </c>
      <c r="T14" s="78" t="str">
        <f>IF(R14="No Cumple","Rechazada",IF((L14+M14)&lt;VLOOKUP(A14,VPBajo!$C$3:$H$5,6,0),"Si","No"))</f>
        <v>Rechazada</v>
      </c>
      <c r="U14" s="66" t="s">
        <v>64</v>
      </c>
      <c r="V14" s="78" t="str">
        <f t="shared" si="1"/>
        <v>Rechazada</v>
      </c>
      <c r="W14" s="78" t="str">
        <f t="shared" si="2"/>
        <v>Rechazada</v>
      </c>
      <c r="X14" s="81" t="str">
        <f>IF(W14="Rechazada","Rechazada",(VLOOKUP(A14,Cantidades!$B$12:$D$14,3,0)-Lote3Cal!P14)/(VLOOKUP(A14,Cantidades!$B$12:$D$14,3,0)-MIN(Lote3Cal!$P$7:$P$19))*72)</f>
        <v>Rechazada</v>
      </c>
      <c r="Y14" s="85"/>
      <c r="Z14" s="85"/>
      <c r="AA14" s="85"/>
      <c r="AB14" s="76" t="str">
        <f t="shared" si="3"/>
        <v>Rechazada</v>
      </c>
      <c r="AC14" s="83" t="str">
        <f t="shared" si="4"/>
        <v/>
      </c>
    </row>
    <row r="15" spans="1:29" x14ac:dyDescent="0.25">
      <c r="A15" s="61">
        <v>3</v>
      </c>
      <c r="B15" s="62">
        <f>'Lote 3'!B18</f>
        <v>0</v>
      </c>
      <c r="C15" s="63">
        <f>'Lote 3'!C18</f>
        <v>0</v>
      </c>
      <c r="D15" s="63">
        <f>'Lote 3'!D18</f>
        <v>0</v>
      </c>
      <c r="E15" s="63">
        <f>'Lote 3'!E18</f>
        <v>0</v>
      </c>
      <c r="F15" s="63">
        <f>'Lote 3'!F18</f>
        <v>0</v>
      </c>
      <c r="G15" s="63">
        <f>'Lote 3'!G18</f>
        <v>0</v>
      </c>
      <c r="H15" s="63">
        <f>'Lote 3'!H18</f>
        <v>0</v>
      </c>
      <c r="I15" s="63">
        <f>'Lote 3'!I18</f>
        <v>0</v>
      </c>
      <c r="J15" s="64">
        <f>'Lote 3'!J18</f>
        <v>0</v>
      </c>
      <c r="K15" s="71">
        <f>AnálisisCapacidad!R13</f>
        <v>0</v>
      </c>
      <c r="L15" s="72">
        <f>VLOOKUP(A15,Cantidades!$B$3:$H$5,3,0)*Lote3Cal!C15+VLOOKUP(A15,Cantidades!$B$3:$H$5,4,0)*D15+VLOOKUP(A15,Cantidades!$B$3:$H$5,5,0)*E15</f>
        <v>0</v>
      </c>
      <c r="M15" s="73">
        <f>(VLOOKUP(A15,Cantidades!$B$3:$H$5,3,0)*Lote3Cal!F15+VLOOKUP(A15,Cantidades!$B$3:$H$5,4,0)*G15+VLOOKUP(A15,Cantidades!$B$3:$H$5,5,0)*H15)/Cantidades!$K$3</f>
        <v>0</v>
      </c>
      <c r="N15" s="72">
        <f>(I15*(VLOOKUP(A15,Cantidades!$B$3:$H$5,6,0)-(VLOOKUP(A15,Cantidades!$B$3:$H$5,7,0)*J15)/(1-J15)))/Cantidades!$K$4</f>
        <v>0</v>
      </c>
      <c r="O15" s="71" t="str">
        <f>IF(AND('Lote 3'!I18&gt;=250,'Lote 3'!J18&lt;4.91),"Cumple","No Cumple")</f>
        <v>No Cumple</v>
      </c>
      <c r="P15" s="72" t="str">
        <f>IF(AND(O15="Cumple",K15="Si tiene capacidad"),L15+M15-MIN(N15,VLOOKUP(A15,Cantidades!$B$12:$D$14,3,0)*15%),"No Cumple")</f>
        <v>No Cumple</v>
      </c>
      <c r="Q15" s="71" t="str">
        <f t="shared" si="0"/>
        <v>No Cumple</v>
      </c>
      <c r="R15" s="71" t="str">
        <f>IF(Q15="Cumple",IF((L15+M15)&lt;=VLOOKUP(A15,Cantidades!$B$12:$D$14,3,0),"Cumple","No Cumple"),"No Cumple")</f>
        <v>No Cumple</v>
      </c>
      <c r="S15" s="71" t="str">
        <f>IF(R15="No Cumple","Rechazada",IF((L15+M15)&lt;VLOOKUP(A15,VPBajo!$C$3:$H$5,6,0),IF(U15="No Satisfactoria","Rechazada","Cumple"),"Cumple"))</f>
        <v>Rechazada</v>
      </c>
      <c r="T15" s="71" t="str">
        <f>IF(R15="No Cumple","Rechazada",IF((L15+M15)&lt;VLOOKUP(A15,VPBajo!$C$3:$H$5,6,0),"Si","No"))</f>
        <v>Rechazada</v>
      </c>
      <c r="U15" s="63" t="s">
        <v>64</v>
      </c>
      <c r="V15" s="71" t="str">
        <f t="shared" si="1"/>
        <v>Rechazada</v>
      </c>
      <c r="W15" s="71" t="str">
        <f t="shared" si="2"/>
        <v>Rechazada</v>
      </c>
      <c r="X15" s="74" t="str">
        <f>IF(W15="Rechazada","Rechazada",(VLOOKUP(A15,Cantidades!$B$12:$D$14,3,0)-Lote3Cal!P15)/(VLOOKUP(A15,Cantidades!$B$12:$D$14,3,0)-MIN(Lote3Cal!$P$7:$P$19))*72)</f>
        <v>Rechazada</v>
      </c>
      <c r="Y15" s="84"/>
      <c r="Z15" s="84"/>
      <c r="AA15" s="84"/>
      <c r="AB15" s="76" t="str">
        <f t="shared" si="3"/>
        <v>Rechazada</v>
      </c>
      <c r="AC15" s="77" t="str">
        <f t="shared" si="4"/>
        <v/>
      </c>
    </row>
    <row r="16" spans="1:29" x14ac:dyDescent="0.25">
      <c r="A16" s="61">
        <v>3</v>
      </c>
      <c r="B16" s="65">
        <f>'Lote 3'!B19</f>
        <v>0</v>
      </c>
      <c r="C16" s="66">
        <f>'Lote 3'!C19</f>
        <v>0</v>
      </c>
      <c r="D16" s="66">
        <f>'Lote 3'!D19</f>
        <v>0</v>
      </c>
      <c r="E16" s="66">
        <f>'Lote 3'!E19</f>
        <v>0</v>
      </c>
      <c r="F16" s="66">
        <f>'Lote 3'!F19</f>
        <v>0</v>
      </c>
      <c r="G16" s="66">
        <f>'Lote 3'!G19</f>
        <v>0</v>
      </c>
      <c r="H16" s="66">
        <f>'Lote 3'!H19</f>
        <v>0</v>
      </c>
      <c r="I16" s="66">
        <f>'Lote 3'!I19</f>
        <v>0</v>
      </c>
      <c r="J16" s="67">
        <f>'Lote 3'!J19</f>
        <v>0</v>
      </c>
      <c r="K16" s="78">
        <f>AnálisisCapacidad!R14</f>
        <v>0</v>
      </c>
      <c r="L16" s="79">
        <f>VLOOKUP(A16,Cantidades!$B$3:$H$5,3,0)*Lote3Cal!C16+VLOOKUP(A16,Cantidades!$B$3:$H$5,4,0)*D16+VLOOKUP(A16,Cantidades!$B$3:$H$5,5,0)*E16</f>
        <v>0</v>
      </c>
      <c r="M16" s="80">
        <f>(VLOOKUP(A16,Cantidades!$B$3:$H$5,3,0)*Lote3Cal!F16+VLOOKUP(A16,Cantidades!$B$3:$H$5,4,0)*G16+VLOOKUP(A16,Cantidades!$B$3:$H$5,5,0)*H16)/Cantidades!$K$3</f>
        <v>0</v>
      </c>
      <c r="N16" s="79">
        <f>(I16*(VLOOKUP(A16,Cantidades!$B$3:$H$5,6,0)-(VLOOKUP(A16,Cantidades!$B$3:$H$5,7,0)*J16)/(1-J16)))/Cantidades!$K$4</f>
        <v>0</v>
      </c>
      <c r="O16" s="78" t="str">
        <f>IF(AND('Lote 3'!I19&gt;=250,'Lote 3'!J19&lt;4.91),"Cumple","No Cumple")</f>
        <v>No Cumple</v>
      </c>
      <c r="P16" s="79" t="str">
        <f>IF(AND(O16="Cumple",K16="Si tiene capacidad"),L16+M16-MIN(N16,VLOOKUP(A16,Cantidades!$B$12:$D$14,3,0)*15%),"No Cumple")</f>
        <v>No Cumple</v>
      </c>
      <c r="Q16" s="78" t="str">
        <f t="shared" si="0"/>
        <v>No Cumple</v>
      </c>
      <c r="R16" s="78" t="str">
        <f>IF(Q16="Cumple",IF((L16+M16)&lt;=VLOOKUP(A16,Cantidades!$B$12:$D$14,3,0),"Cumple","No Cumple"),"No Cumple")</f>
        <v>No Cumple</v>
      </c>
      <c r="S16" s="78" t="str">
        <f>IF(R16="No Cumple","Rechazada",IF((L16+M16)&lt;VLOOKUP(A16,VPBajo!$C$3:$H$5,6,0),IF(U16="No Satisfactoria","Rechazada","Cumple"),"Cumple"))</f>
        <v>Rechazada</v>
      </c>
      <c r="T16" s="78" t="str">
        <f>IF(R16="No Cumple","Rechazada",IF((L16+M16)&lt;VLOOKUP(A16,VPBajo!$C$3:$H$5,6,0),"Si","No"))</f>
        <v>Rechazada</v>
      </c>
      <c r="U16" s="66" t="s">
        <v>64</v>
      </c>
      <c r="V16" s="78" t="str">
        <f t="shared" si="1"/>
        <v>Rechazada</v>
      </c>
      <c r="W16" s="78" t="str">
        <f t="shared" si="2"/>
        <v>Rechazada</v>
      </c>
      <c r="X16" s="81" t="str">
        <f>IF(W16="Rechazada","Rechazada",(VLOOKUP(A16,Cantidades!$B$12:$D$14,3,0)-Lote3Cal!P16)/(VLOOKUP(A16,Cantidades!$B$12:$D$14,3,0)-MIN(Lote3Cal!$P$7:$P$19))*72)</f>
        <v>Rechazada</v>
      </c>
      <c r="Y16" s="85"/>
      <c r="Z16" s="85"/>
      <c r="AA16" s="85"/>
      <c r="AB16" s="76" t="str">
        <f t="shared" si="3"/>
        <v>Rechazada</v>
      </c>
      <c r="AC16" s="83" t="str">
        <f t="shared" si="4"/>
        <v/>
      </c>
    </row>
    <row r="17" spans="1:29" x14ac:dyDescent="0.25">
      <c r="A17" s="61">
        <v>3</v>
      </c>
      <c r="B17" s="62">
        <f>'Lote 3'!B20</f>
        <v>0</v>
      </c>
      <c r="C17" s="63">
        <f>'Lote 3'!C20</f>
        <v>0</v>
      </c>
      <c r="D17" s="63">
        <f>'Lote 3'!D20</f>
        <v>0</v>
      </c>
      <c r="E17" s="63">
        <f>'Lote 3'!E20</f>
        <v>0</v>
      </c>
      <c r="F17" s="63">
        <f>'Lote 3'!F20</f>
        <v>0</v>
      </c>
      <c r="G17" s="63">
        <f>'Lote 3'!G20</f>
        <v>0</v>
      </c>
      <c r="H17" s="63">
        <f>'Lote 3'!H20</f>
        <v>0</v>
      </c>
      <c r="I17" s="63">
        <f>'Lote 3'!I20</f>
        <v>0</v>
      </c>
      <c r="J17" s="64">
        <f>'Lote 3'!J20</f>
        <v>0</v>
      </c>
      <c r="K17" s="71">
        <f>AnálisisCapacidad!R15</f>
        <v>0</v>
      </c>
      <c r="L17" s="72">
        <f>VLOOKUP(A17,Cantidades!$B$3:$H$5,3,0)*Lote3Cal!C17+VLOOKUP(A17,Cantidades!$B$3:$H$5,4,0)*D17+VLOOKUP(A17,Cantidades!$B$3:$H$5,5,0)*E17</f>
        <v>0</v>
      </c>
      <c r="M17" s="73">
        <f>(VLOOKUP(A17,Cantidades!$B$3:$H$5,3,0)*Lote3Cal!F17+VLOOKUP(A17,Cantidades!$B$3:$H$5,4,0)*G17+VLOOKUP(A17,Cantidades!$B$3:$H$5,5,0)*H17)/Cantidades!$K$3</f>
        <v>0</v>
      </c>
      <c r="N17" s="72">
        <f>(I17*(VLOOKUP(A17,Cantidades!$B$3:$H$5,6,0)-(VLOOKUP(A17,Cantidades!$B$3:$H$5,7,0)*J17)/(1-J17)))/Cantidades!$K$4</f>
        <v>0</v>
      </c>
      <c r="O17" s="71" t="str">
        <f>IF(AND('Lote 3'!I20&gt;=250,'Lote 3'!J20&lt;4.91),"Cumple","No Cumple")</f>
        <v>No Cumple</v>
      </c>
      <c r="P17" s="72" t="str">
        <f>IF(AND(O17="Cumple",K17="Si tiene capacidad"),L17+M17-MIN(N17,VLOOKUP(A17,Cantidades!$B$12:$D$14,3,0)*15%),"No Cumple")</f>
        <v>No Cumple</v>
      </c>
      <c r="Q17" s="71" t="str">
        <f t="shared" si="0"/>
        <v>No Cumple</v>
      </c>
      <c r="R17" s="71" t="str">
        <f>IF(Q17="Cumple",IF((L17+M17)&lt;=VLOOKUP(A17,Cantidades!$B$12:$D$14,3,0),"Cumple","No Cumple"),"No Cumple")</f>
        <v>No Cumple</v>
      </c>
      <c r="S17" s="71" t="str">
        <f>IF(R17="No Cumple","Rechazada",IF((L17+M17)&lt;VLOOKUP(A17,VPBajo!$C$3:$H$5,6,0),IF(U17="No Satisfactoria","Rechazada","Cumple"),"Cumple"))</f>
        <v>Rechazada</v>
      </c>
      <c r="T17" s="71" t="str">
        <f>IF(R17="No Cumple","Rechazada",IF((L17+M17)&lt;VLOOKUP(A17,VPBajo!$C$3:$H$5,6,0),"Si","No"))</f>
        <v>Rechazada</v>
      </c>
      <c r="U17" s="63" t="s">
        <v>64</v>
      </c>
      <c r="V17" s="71" t="str">
        <f t="shared" si="1"/>
        <v>Rechazada</v>
      </c>
      <c r="W17" s="71" t="str">
        <f t="shared" si="2"/>
        <v>Rechazada</v>
      </c>
      <c r="X17" s="74" t="str">
        <f>IF(W17="Rechazada","Rechazada",(VLOOKUP(A17,Cantidades!$B$12:$D$14,3,0)-Lote3Cal!P17)/(VLOOKUP(A17,Cantidades!$B$12:$D$14,3,0)-MIN(Lote3Cal!$P$7:$P$19))*72)</f>
        <v>Rechazada</v>
      </c>
      <c r="Y17" s="84"/>
      <c r="Z17" s="84"/>
      <c r="AA17" s="84"/>
      <c r="AB17" s="76" t="str">
        <f t="shared" si="3"/>
        <v>Rechazada</v>
      </c>
      <c r="AC17" s="77" t="str">
        <f t="shared" si="4"/>
        <v/>
      </c>
    </row>
    <row r="18" spans="1:29" x14ac:dyDescent="0.25">
      <c r="A18" s="61">
        <v>3</v>
      </c>
      <c r="B18" s="65">
        <f>'Lote 3'!B21</f>
        <v>0</v>
      </c>
      <c r="C18" s="66">
        <f>'Lote 3'!C21</f>
        <v>0</v>
      </c>
      <c r="D18" s="66">
        <f>'Lote 3'!D21</f>
        <v>0</v>
      </c>
      <c r="E18" s="66">
        <f>'Lote 3'!E21</f>
        <v>0</v>
      </c>
      <c r="F18" s="66">
        <f>'Lote 3'!F21</f>
        <v>0</v>
      </c>
      <c r="G18" s="66">
        <f>'Lote 3'!G21</f>
        <v>0</v>
      </c>
      <c r="H18" s="66">
        <f>'Lote 3'!H21</f>
        <v>0</v>
      </c>
      <c r="I18" s="66">
        <f>'Lote 3'!I21</f>
        <v>0</v>
      </c>
      <c r="J18" s="67">
        <f>'Lote 3'!J21</f>
        <v>0</v>
      </c>
      <c r="K18" s="78">
        <f>AnálisisCapacidad!R16</f>
        <v>0</v>
      </c>
      <c r="L18" s="79">
        <f>VLOOKUP(A18,Cantidades!$B$3:$H$5,3,0)*Lote3Cal!C18+VLOOKUP(A18,Cantidades!$B$3:$H$5,4,0)*D18+VLOOKUP(A18,Cantidades!$B$3:$H$5,5,0)*E18</f>
        <v>0</v>
      </c>
      <c r="M18" s="80">
        <f>(VLOOKUP(A18,Cantidades!$B$3:$H$5,3,0)*Lote3Cal!F18+VLOOKUP(A18,Cantidades!$B$3:$H$5,4,0)*G18+VLOOKUP(A18,Cantidades!$B$3:$H$5,5,0)*H18)/Cantidades!$K$3</f>
        <v>0</v>
      </c>
      <c r="N18" s="79">
        <f>(I18*(VLOOKUP(A18,Cantidades!$B$3:$H$5,6,0)-(VLOOKUP(A18,Cantidades!$B$3:$H$5,7,0)*J18)/(1-J18)))/Cantidades!$K$4</f>
        <v>0</v>
      </c>
      <c r="O18" s="78" t="str">
        <f>IF(AND('Lote 3'!I21&gt;=250,'Lote 3'!J21&lt;4.91),"Cumple","No Cumple")</f>
        <v>No Cumple</v>
      </c>
      <c r="P18" s="79" t="str">
        <f>IF(AND(O18="Cumple",K18="Si tiene capacidad"),L18+M18-MIN(N18,VLOOKUP(A18,Cantidades!$B$12:$D$14,3,0)*15%),"No Cumple")</f>
        <v>No Cumple</v>
      </c>
      <c r="Q18" s="78" t="str">
        <f t="shared" si="0"/>
        <v>No Cumple</v>
      </c>
      <c r="R18" s="78" t="str">
        <f>IF(Q18="Cumple",IF((L18+M18)&lt;=VLOOKUP(A18,Cantidades!$B$12:$D$14,3,0),"Cumple","No Cumple"),"No Cumple")</f>
        <v>No Cumple</v>
      </c>
      <c r="S18" s="78" t="str">
        <f>IF(R18="No Cumple","Rechazada",IF((L18+M18)&lt;VLOOKUP(A18,VPBajo!$C$3:$H$5,6,0),IF(U18="No Satisfactoria","Rechazada","Cumple"),"Cumple"))</f>
        <v>Rechazada</v>
      </c>
      <c r="T18" s="78" t="str">
        <f>IF(R18="No Cumple","Rechazada",IF((L18+M18)&lt;VLOOKUP(A18,VPBajo!$C$3:$H$5,6,0),"Si","No"))</f>
        <v>Rechazada</v>
      </c>
      <c r="U18" s="66" t="s">
        <v>64</v>
      </c>
      <c r="V18" s="78" t="str">
        <f t="shared" si="1"/>
        <v>Rechazada</v>
      </c>
      <c r="W18" s="78" t="str">
        <f t="shared" si="2"/>
        <v>Rechazada</v>
      </c>
      <c r="X18" s="81" t="str">
        <f>IF(W18="Rechazada","Rechazada",(VLOOKUP(A18,Cantidades!$B$12:$D$14,3,0)-Lote3Cal!P18)/(VLOOKUP(A18,Cantidades!$B$12:$D$14,3,0)-MIN(Lote3Cal!$P$7:$P$19))*72)</f>
        <v>Rechazada</v>
      </c>
      <c r="Y18" s="85"/>
      <c r="Z18" s="85"/>
      <c r="AA18" s="85"/>
      <c r="AB18" s="76" t="str">
        <f t="shared" si="3"/>
        <v>Rechazada</v>
      </c>
      <c r="AC18" s="83" t="str">
        <f t="shared" si="4"/>
        <v/>
      </c>
    </row>
    <row r="19" spans="1:29" x14ac:dyDescent="0.25">
      <c r="A19" s="61">
        <v>3</v>
      </c>
      <c r="B19" s="62">
        <f>'Lote 3'!B22</f>
        <v>0</v>
      </c>
      <c r="C19" s="63">
        <f>'Lote 3'!C22</f>
        <v>0</v>
      </c>
      <c r="D19" s="63">
        <f>'Lote 3'!D22</f>
        <v>0</v>
      </c>
      <c r="E19" s="63">
        <f>'Lote 3'!E22</f>
        <v>0</v>
      </c>
      <c r="F19" s="63">
        <f>'Lote 3'!F22</f>
        <v>0</v>
      </c>
      <c r="G19" s="63">
        <f>'Lote 3'!G22</f>
        <v>0</v>
      </c>
      <c r="H19" s="63">
        <f>'Lote 3'!H22</f>
        <v>0</v>
      </c>
      <c r="I19" s="63">
        <f>'Lote 3'!I22</f>
        <v>0</v>
      </c>
      <c r="J19" s="64">
        <f>'Lote 3'!J22</f>
        <v>0</v>
      </c>
      <c r="K19" s="71">
        <f>AnálisisCapacidad!R17</f>
        <v>0</v>
      </c>
      <c r="L19" s="72">
        <f>VLOOKUP(A19,Cantidades!$B$3:$H$5,3,0)*Lote3Cal!C19+VLOOKUP(A19,Cantidades!$B$3:$H$5,4,0)*D19+VLOOKUP(A19,Cantidades!$B$3:$H$5,5,0)*E19</f>
        <v>0</v>
      </c>
      <c r="M19" s="73">
        <f>(VLOOKUP(A19,Cantidades!$B$3:$H$5,3,0)*Lote3Cal!F19+VLOOKUP(A19,Cantidades!$B$3:$H$5,4,0)*G19+VLOOKUP(A19,Cantidades!$B$3:$H$5,5,0)*H19)/Cantidades!$K$3</f>
        <v>0</v>
      </c>
      <c r="N19" s="72">
        <f>(I19*(VLOOKUP(A19,Cantidades!$B$3:$H$5,6,0)-(VLOOKUP(A19,Cantidades!$B$3:$H$5,7,0)*J19)/(1-J19)))/Cantidades!$K$4</f>
        <v>0</v>
      </c>
      <c r="O19" s="71" t="str">
        <f>IF(AND('Lote 3'!I22&gt;=250,'Lote 3'!J22&lt;4.91),"Cumple","No Cumple")</f>
        <v>No Cumple</v>
      </c>
      <c r="P19" s="72" t="str">
        <f>IF(AND(O19="Cumple",K19="Si tiene capacidad"),L19+M19-MIN(N19,VLOOKUP(A19,Cantidades!$B$12:$D$14,3,0)*15%),"No Cumple")</f>
        <v>No Cumple</v>
      </c>
      <c r="Q19" s="71" t="str">
        <f t="shared" si="0"/>
        <v>No Cumple</v>
      </c>
      <c r="R19" s="71" t="str">
        <f>IF(Q19="Cumple",IF((L19+M19)&lt;=VLOOKUP(A19,Cantidades!$B$12:$D$14,3,0),"Cumple","No Cumple"),"No Cumple")</f>
        <v>No Cumple</v>
      </c>
      <c r="S19" s="71" t="str">
        <f>IF(R19="No Cumple","Rechazada",IF((L19+M19)&lt;VLOOKUP(A19,VPBajo!$C$3:$H$5,6,0),IF(U19="No Satisfactoria","Rechazada","Cumple"),"Cumple"))</f>
        <v>Rechazada</v>
      </c>
      <c r="T19" s="71" t="str">
        <f>IF(R19="No Cumple","Rechazada",IF((L19+M19)&lt;VLOOKUP(A19,VPBajo!$C$3:$H$5,6,0),"Si","No"))</f>
        <v>Rechazada</v>
      </c>
      <c r="U19" s="63" t="s">
        <v>64</v>
      </c>
      <c r="V19" s="71" t="str">
        <f t="shared" si="1"/>
        <v>Rechazada</v>
      </c>
      <c r="W19" s="71" t="str">
        <f t="shared" si="2"/>
        <v>Rechazada</v>
      </c>
      <c r="X19" s="74" t="str">
        <f>IF(W19="Rechazada","Rechazada",(VLOOKUP(A19,Cantidades!$B$12:$D$14,3,0)-Lote3Cal!P19)/(VLOOKUP(A19,Cantidades!$B$12:$D$14,3,0)-MIN(Lote3Cal!$P$7:$P$19))*72)</f>
        <v>Rechazada</v>
      </c>
      <c r="Y19" s="84"/>
      <c r="Z19" s="84"/>
      <c r="AA19" s="84"/>
      <c r="AB19" s="76" t="str">
        <f t="shared" si="3"/>
        <v>Rechazada</v>
      </c>
      <c r="AC19" s="77" t="str">
        <f t="shared" si="4"/>
        <v/>
      </c>
    </row>
    <row r="22" spans="1:29" x14ac:dyDescent="0.25">
      <c r="M22" s="87"/>
    </row>
    <row r="23" spans="1:29" x14ac:dyDescent="0.25">
      <c r="M23" s="87"/>
    </row>
    <row r="24" spans="1:29" x14ac:dyDescent="0.25">
      <c r="P24" s="86"/>
    </row>
    <row r="25" spans="1:29" x14ac:dyDescent="0.25">
      <c r="L25" s="87"/>
    </row>
    <row r="30" spans="1:29" x14ac:dyDescent="0.25">
      <c r="D30" s="88"/>
      <c r="E30" s="88"/>
      <c r="G30" s="88"/>
      <c r="H30" s="88"/>
    </row>
    <row r="31" spans="1:29" x14ac:dyDescent="0.25">
      <c r="D31" s="88"/>
      <c r="E31" s="88"/>
      <c r="G31" s="88"/>
      <c r="H31" s="88"/>
    </row>
  </sheetData>
  <sheetProtection algorithmName="SHA-512" hashValue="t6xwfZDW6BH0lgNFW/JcUMGQrbMrK1MZBMWH6FQpe8kE9kH/QNseZOKO2WlcXbKWGaQJpzSziZU8L6/IGFpCVg==" saltValue="5yhN5xObEx0fx7EO4roPhA==" spinCount="100000" sheet="1" objects="1" scenarios="1"/>
  <mergeCells count="1">
    <mergeCell ref="A2:AC2"/>
  </mergeCells>
  <dataValidations count="1">
    <dataValidation type="list" allowBlank="1" showInputMessage="1" showErrorMessage="1" sqref="U7:U19" xr:uid="{AED261FA-DFD6-43B3-A34D-2927EB3D5572}">
      <formula1>"Satisfactoria,No Satisfactoria, No Necesaria"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3880B-A586-420B-9D41-B0C01D4F4CFA}">
  <dimension ref="C2:V5"/>
  <sheetViews>
    <sheetView workbookViewId="0">
      <selection sqref="A1:XFD1048576"/>
    </sheetView>
  </sheetViews>
  <sheetFormatPr baseColWidth="10" defaultRowHeight="15" x14ac:dyDescent="0.25"/>
  <cols>
    <col min="1" max="4" width="11.42578125" style="15"/>
    <col min="5" max="5" width="18.85546875" style="15" bestFit="1" customWidth="1"/>
    <col min="6" max="7" width="11.42578125" style="15"/>
    <col min="8" max="8" width="18.85546875" style="15" bestFit="1" customWidth="1"/>
    <col min="9" max="9" width="11.42578125" style="15"/>
    <col min="10" max="10" width="18.85546875" style="15" bestFit="1" customWidth="1"/>
    <col min="11" max="11" width="17.85546875" style="15" bestFit="1" customWidth="1"/>
    <col min="12" max="12" width="11.42578125" style="15"/>
    <col min="13" max="22" width="18.5703125" style="15" customWidth="1"/>
    <col min="23" max="16384" width="11.42578125" style="15"/>
  </cols>
  <sheetData>
    <row r="2" spans="3:22" x14ac:dyDescent="0.25">
      <c r="C2" s="14" t="s">
        <v>60</v>
      </c>
      <c r="D2" s="14" t="s">
        <v>33</v>
      </c>
      <c r="E2" s="14" t="s">
        <v>61</v>
      </c>
      <c r="H2" s="14" t="s">
        <v>15</v>
      </c>
      <c r="I2" s="14" t="s">
        <v>12</v>
      </c>
      <c r="J2" s="14" t="s">
        <v>11</v>
      </c>
      <c r="K2" s="14" t="s">
        <v>13</v>
      </c>
      <c r="M2" s="17" t="s">
        <v>17</v>
      </c>
      <c r="N2" s="17" t="s">
        <v>18</v>
      </c>
      <c r="O2" s="17" t="s">
        <v>19</v>
      </c>
      <c r="P2" s="17" t="s">
        <v>20</v>
      </c>
      <c r="Q2" s="17" t="s">
        <v>21</v>
      </c>
      <c r="R2" s="17" t="s">
        <v>22</v>
      </c>
      <c r="S2" s="17" t="s">
        <v>23</v>
      </c>
      <c r="T2" s="17" t="s">
        <v>24</v>
      </c>
      <c r="U2" s="17" t="s">
        <v>62</v>
      </c>
      <c r="V2" s="17" t="s">
        <v>63</v>
      </c>
    </row>
    <row r="3" spans="3:22" x14ac:dyDescent="0.25">
      <c r="C3" s="4">
        <v>1</v>
      </c>
      <c r="D3" s="4" t="s">
        <v>28</v>
      </c>
      <c r="E3" s="9">
        <v>16020468833</v>
      </c>
      <c r="H3" s="16">
        <f>IFERROR(IF(I3&lt;4,E3,J3-1.66*K3),"")</f>
        <v>16020468833</v>
      </c>
      <c r="I3" s="15">
        <f>COUNT(M3:V3)</f>
        <v>2</v>
      </c>
      <c r="J3" s="32">
        <f>MEDIAN(M3:V3)</f>
        <v>18864873538.807175</v>
      </c>
      <c r="K3" s="16">
        <f>IFERROR(_xlfn.STDEV.S(M3:V3),"")</f>
        <v>1413937988.4266129</v>
      </c>
      <c r="M3" s="16">
        <f>IF(Lote1Cal!R7="Cumple",Lote1Cal!L7+Lote1Cal!M7,"")</f>
        <v>17865068399.013451</v>
      </c>
      <c r="N3" s="16">
        <f>IF(Lote1Cal!R8="Cumple",Lote1Cal!L8+Lote1Cal!M8,"")</f>
        <v>19864678678.600899</v>
      </c>
      <c r="O3" s="16" t="str">
        <f>IF(Lote1Cal!R9="Cumple",Lote1Cal!L9+Lote1Cal!M9,"")</f>
        <v/>
      </c>
      <c r="P3" s="16" t="str">
        <f>IF(Lote1Cal!R10="Cumple",Lote1Cal!L10+Lote1Cal!M10,"")</f>
        <v/>
      </c>
      <c r="Q3" s="16" t="str">
        <f>IF(Lote1Cal!R11="Cumple",Lote1Cal!L11+Lote1Cal!M11,"")</f>
        <v/>
      </c>
      <c r="R3" s="16" t="str">
        <f>IF(Lote1Cal!R12="Cumple",Lote1Cal!L12+Lote1Cal!M12,"")</f>
        <v/>
      </c>
      <c r="S3" s="16" t="str">
        <f>IF(Lote1Cal!R13="Cumple",Lote1Cal!L13+Lote1Cal!M13,"")</f>
        <v/>
      </c>
      <c r="T3" s="16" t="str">
        <f>IF(Lote1Cal!R14="Cumple",Lote1Cal!L14+Lote1Cal!M14,"")</f>
        <v/>
      </c>
      <c r="U3" s="16" t="str">
        <f>IF(Lote1Cal!R15="Cumple",Lote1Cal!L15+Lote1Cal!M15,"")</f>
        <v/>
      </c>
      <c r="V3" s="16" t="str">
        <f>IF(Lote1Cal!R16="Cumple",Lote1Cal!L16+Lote1Cal!M16,"")</f>
        <v/>
      </c>
    </row>
    <row r="4" spans="3:22" x14ac:dyDescent="0.25">
      <c r="C4" s="4">
        <v>2</v>
      </c>
      <c r="D4" s="4" t="s">
        <v>29</v>
      </c>
      <c r="E4" s="9">
        <v>13910450325</v>
      </c>
      <c r="H4" s="16">
        <f t="shared" ref="H4:H5" si="0">IFERROR(IF(I4&lt;4,E4,J4-1.66*K4),"")</f>
        <v>13910450325</v>
      </c>
      <c r="I4" s="15">
        <f t="shared" ref="I4:I5" si="1">COUNT(M4:V4)</f>
        <v>1</v>
      </c>
      <c r="J4" s="32">
        <f t="shared" ref="J4:J5" si="2">MEDIAN(M4:V4)</f>
        <v>15516457840.134529</v>
      </c>
      <c r="K4" s="16" t="str">
        <f t="shared" ref="K4:K5" si="3">IFERROR(_xlfn.STDEV.S(M4:V4),"")</f>
        <v/>
      </c>
      <c r="M4" s="16">
        <f>IF(Lote2Cal!R7="Cumple",Lote2Cal!L7+Lote2Cal!M7,"")</f>
        <v>15516457840.134529</v>
      </c>
      <c r="N4" s="16" t="str">
        <f>IF(Lote2Cal!R8="Cumple",Lote2Cal!L8+Lote2Cal!M8,"")</f>
        <v/>
      </c>
      <c r="O4" s="16" t="str">
        <f>IF(Lote2Cal!R9="Cumple",Lote2Cal!L9+Lote2Cal!M9,"")</f>
        <v/>
      </c>
      <c r="P4" s="16" t="str">
        <f>IF(Lote2Cal!R10="Cumple",Lote2Cal!L10+Lote2Cal!M10,"")</f>
        <v/>
      </c>
      <c r="Q4" s="16" t="str">
        <f>IF(Lote2Cal!R11="Cumple",Lote2Cal!L11+Lote2Cal!M11,"")</f>
        <v/>
      </c>
      <c r="R4" s="16" t="str">
        <f>IF(Lote2Cal!R12="Cumple",Lote2Cal!L12+Lote2Cal!M12,"")</f>
        <v/>
      </c>
      <c r="S4" s="16" t="str">
        <f>IF(Lote2Cal!R13="Cumple",Lote2Cal!L13+Lote2Cal!M13,"")</f>
        <v/>
      </c>
      <c r="T4" s="16" t="str">
        <f>IF(Lote2Cal!R14="Cumple",Lote2Cal!L14+Lote2Cal!M14,"")</f>
        <v/>
      </c>
      <c r="U4" s="16" t="str">
        <f>IF(Lote2Cal!R15="Cumple",Lote2Cal!L15+Lote2Cal!M15,"")</f>
        <v/>
      </c>
      <c r="V4" s="16" t="str">
        <f>IF(Lote2Cal!R16="Cumple",Lote2Cal!L16+Lote2Cal!M16,"")</f>
        <v/>
      </c>
    </row>
    <row r="5" spans="3:22" x14ac:dyDescent="0.25">
      <c r="C5" s="4">
        <v>3</v>
      </c>
      <c r="D5" s="4" t="s">
        <v>31</v>
      </c>
      <c r="E5" s="9">
        <v>11917340993</v>
      </c>
      <c r="H5" s="16">
        <f t="shared" si="0"/>
        <v>11917340993</v>
      </c>
      <c r="I5" s="15">
        <f t="shared" si="1"/>
        <v>1</v>
      </c>
      <c r="J5" s="32">
        <f t="shared" si="2"/>
        <v>13299821728.52018</v>
      </c>
      <c r="K5" s="16" t="str">
        <f t="shared" si="3"/>
        <v/>
      </c>
      <c r="M5" s="16">
        <f>IF(Lote3Cal!R7="Cumple",Lote3Cal!L7+Lote3Cal!M7,"")</f>
        <v>13299821728.52018</v>
      </c>
      <c r="N5" s="16" t="str">
        <f>IF(Lote3Cal!R8="Cumple",Lote3Cal!L8+Lote3Cal!M8,"")</f>
        <v/>
      </c>
      <c r="O5" s="16" t="str">
        <f>IF(Lote3Cal!R9="Cumple",Lote3Cal!L9+Lote3Cal!M9,"")</f>
        <v/>
      </c>
      <c r="P5" s="16" t="str">
        <f>IF(Lote3Cal!R10="Cumple",Lote3Cal!L10+Lote3Cal!M10,"")</f>
        <v/>
      </c>
      <c r="Q5" s="16" t="str">
        <f>IF(Lote3Cal!R11="Cumple",Lote3Cal!L11+Lote3Cal!M11,"")</f>
        <v/>
      </c>
      <c r="R5" s="16" t="str">
        <f>IF(Lote3Cal!R12="Cumple",Lote3Cal!L12+Lote3Cal!M12,"")</f>
        <v/>
      </c>
      <c r="S5" s="16" t="str">
        <f>IF(Lote3Cal!R13="Cumple",Lote3Cal!L13+Lote3Cal!M13,"")</f>
        <v/>
      </c>
      <c r="T5" s="16" t="str">
        <f>IF(Lote3Cal!R14="Cumple",Lote3Cal!L14+Lote3Cal!M14,"")</f>
        <v/>
      </c>
      <c r="U5" s="16" t="str">
        <f>IF(Lote3Cal!R15="Cumple",Lote3Cal!L15+Lote3Cal!M15,"")</f>
        <v/>
      </c>
      <c r="V5" s="16" t="str">
        <f>IF(Lote3Cal!R16="Cumple",Lote3Cal!L16+Lote3Cal!M16,"")</f>
        <v/>
      </c>
    </row>
  </sheetData>
  <sheetProtection algorithmName="SHA-512" hashValue="KEFIQcyMpZ9CD4XZFoqQAyOFIyPUV9SubrFJQ/hEonnCDFqvysW0QHCAUXhkBLn3B73nUEPhgtz6qHothK/dTQ==" saltValue="QoZSOecMN86x1J4hG78Oog==" spinCount="100000" sheet="1" objects="1" scenarios="1"/>
  <phoneticPr fontId="1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W9"/>
  <sheetViews>
    <sheetView zoomScale="85" zoomScaleNormal="85" workbookViewId="0">
      <selection activeCell="E30" sqref="E30"/>
    </sheetView>
  </sheetViews>
  <sheetFormatPr baseColWidth="10" defaultColWidth="11.42578125" defaultRowHeight="15" x14ac:dyDescent="0.25"/>
  <cols>
    <col min="1" max="1" width="11.42578125" style="15"/>
    <col min="2" max="2" width="37.85546875" style="15" customWidth="1"/>
    <col min="3" max="6" width="31" style="15" customWidth="1"/>
    <col min="7" max="7" width="22" style="15" bestFit="1" customWidth="1"/>
    <col min="8" max="8" width="22.42578125" style="15" bestFit="1" customWidth="1"/>
    <col min="9" max="10" width="22" style="15" bestFit="1" customWidth="1"/>
    <col min="11" max="36" width="20.140625" style="15" customWidth="1"/>
    <col min="37" max="37" width="24.85546875" style="15" customWidth="1"/>
    <col min="38" max="16384" width="11.42578125" style="15"/>
  </cols>
  <sheetData>
    <row r="1" spans="1:49" ht="31.5" x14ac:dyDescent="0.5">
      <c r="A1" s="112" t="s">
        <v>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</row>
    <row r="3" spans="1:49" x14ac:dyDescent="0.25">
      <c r="A3" s="116" t="s">
        <v>4</v>
      </c>
      <c r="B3" s="117"/>
      <c r="C3" s="117"/>
      <c r="D3" s="116" t="s">
        <v>82</v>
      </c>
      <c r="E3" s="117"/>
      <c r="F3" s="118"/>
      <c r="G3" s="114" t="s">
        <v>79</v>
      </c>
      <c r="H3" s="114"/>
      <c r="I3" s="114"/>
      <c r="J3" s="115" t="s">
        <v>80</v>
      </c>
      <c r="K3" s="114"/>
      <c r="L3" s="114"/>
      <c r="M3" s="115" t="s">
        <v>81</v>
      </c>
      <c r="N3" s="114"/>
      <c r="O3" s="114"/>
      <c r="P3" s="115" t="s">
        <v>83</v>
      </c>
      <c r="Q3" s="114"/>
      <c r="R3" s="114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19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8"/>
      <c r="AS3" s="18"/>
      <c r="AT3" s="18"/>
      <c r="AU3" s="18"/>
      <c r="AV3" s="18"/>
      <c r="AW3" s="18"/>
    </row>
    <row r="4" spans="1:49" ht="51" customHeight="1" x14ac:dyDescent="0.25">
      <c r="A4" s="38" t="s">
        <v>2</v>
      </c>
      <c r="B4" s="38" t="s">
        <v>3</v>
      </c>
      <c r="C4" s="12" t="s">
        <v>77</v>
      </c>
      <c r="D4" s="39" t="s">
        <v>28</v>
      </c>
      <c r="E4" s="39" t="s">
        <v>29</v>
      </c>
      <c r="F4" s="39" t="s">
        <v>31</v>
      </c>
      <c r="G4" s="7" t="s">
        <v>28</v>
      </c>
      <c r="H4" s="7" t="s">
        <v>29</v>
      </c>
      <c r="I4" s="7" t="s">
        <v>31</v>
      </c>
      <c r="J4" s="7" t="s">
        <v>28</v>
      </c>
      <c r="K4" s="7" t="s">
        <v>29</v>
      </c>
      <c r="L4" s="7" t="s">
        <v>31</v>
      </c>
      <c r="M4" s="7" t="s">
        <v>28</v>
      </c>
      <c r="N4" s="7" t="s">
        <v>29</v>
      </c>
      <c r="O4" s="7" t="s">
        <v>31</v>
      </c>
      <c r="P4" s="7" t="s">
        <v>28</v>
      </c>
      <c r="Q4" s="7" t="s">
        <v>29</v>
      </c>
      <c r="R4" s="7" t="s">
        <v>31</v>
      </c>
    </row>
    <row r="5" spans="1:49" x14ac:dyDescent="0.25">
      <c r="A5" s="4">
        <v>1</v>
      </c>
      <c r="B5" s="5" t="str">
        <f>Proponentes!B5</f>
        <v>ASSA ABLOY</v>
      </c>
      <c r="C5" s="10">
        <f>Proponentes!C5</f>
        <v>6668743200</v>
      </c>
      <c r="D5" s="10">
        <f>C5</f>
        <v>6668743200</v>
      </c>
      <c r="E5" s="10">
        <f>D5-IF(Lote1Cal!AC7=1,Proponentes!D5,0)</f>
        <v>6668743200</v>
      </c>
      <c r="F5" s="10">
        <f>E5-IF(Lote2Cal!AC7=1,Proponentes!E5,0)</f>
        <v>4903265091.5640001</v>
      </c>
      <c r="G5" s="8" t="str">
        <f>IF(D5&gt;=Proponentes!D5,"Si tiene capacidad","No tiene capacidad")</f>
        <v>Si tiene capacidad</v>
      </c>
      <c r="H5" s="8" t="str">
        <f>IF(E5&gt;=Proponentes!E5,"Si tiene capacidad","No tiene capacidad")</f>
        <v>Si tiene capacidad</v>
      </c>
      <c r="I5" s="8" t="str">
        <f>IF(F5&gt;=Proponentes!F5,"Si tiene capacidad","No tiene capacidad")</f>
        <v>Si tiene capacidad</v>
      </c>
      <c r="J5" s="40" t="str">
        <f>IF(AND(Experiencia!N5=Experiencia!Q5,Experiencia!Q5=Experiencia!T5,Experiencia!T5="Cumple"),"Si tiene capacidad","No tiene capacidad")</f>
        <v>Si tiene capacidad</v>
      </c>
      <c r="K5" s="40" t="str">
        <f>IF(AND(Experiencia!O5=Experiencia!R5,Experiencia!R5=Experiencia!T5,Experiencia!T5="Cumple"),"Si tiene capacidad","No tiene capacidad")</f>
        <v>Si tiene capacidad</v>
      </c>
      <c r="L5" s="40" t="str">
        <f>IF(AND(Experiencia!P5=Experiencia!S5,Experiencia!S5=Experiencia!V5,Experiencia!V5="Cumple"),"Si tiene capacidad","No tiene capacidad")</f>
        <v>Si tiene capacidad</v>
      </c>
      <c r="M5" s="4" t="s">
        <v>52</v>
      </c>
      <c r="N5" s="4" t="str">
        <f>IF(Lote1Cal!AC7=1,"Si","No")</f>
        <v>No</v>
      </c>
      <c r="O5" s="4" t="str">
        <f>IF(OR(Lote2Cal!AC7=1,Lote1Cal!AC7=1),"Si","No")</f>
        <v>Si</v>
      </c>
      <c r="P5" s="4" t="str">
        <f>IF(AND(G5="Si tiene capacidad",J5="Si tiene capacidad"),"Si tiene capacidad","No tiene capacidad")</f>
        <v>Si tiene capacidad</v>
      </c>
      <c r="Q5" s="4" t="str">
        <f>IF(N5="No",IF(AND(H5="Si tiene capacidad",K5="Si tiene capacidad"),"Si tiene capacidad","No tiene capacidad"),"No tiene capacidad")</f>
        <v>Si tiene capacidad</v>
      </c>
      <c r="R5" s="4" t="str">
        <f>IF(O5="No",IF(AND(I5="Si tiene capacidad",L5="Si tiene capacidad"),"Si tiene capacidad","No tiene capacidad"),IF(AND($O$5="Si",$O$6="Si",I5="Si tiene capacidad",L5="Si tiene capacidad"),"Si tiene capacidad","No tiene capacidad"))</f>
        <v>Si tiene capacidad</v>
      </c>
    </row>
    <row r="6" spans="1:49" x14ac:dyDescent="0.25">
      <c r="A6" s="4">
        <v>2</v>
      </c>
      <c r="B6" s="5" t="str">
        <f>Proponentes!B6</f>
        <v>CONSORC NAUTILUS</v>
      </c>
      <c r="C6" s="10">
        <f>Proponentes!C6</f>
        <v>3788000000</v>
      </c>
      <c r="D6" s="10">
        <f>C6</f>
        <v>3788000000</v>
      </c>
      <c r="E6" s="10">
        <f>D6-IF(Lote1Cal!AC8=1,Proponentes!D6,0)</f>
        <v>1790811527.0839999</v>
      </c>
      <c r="F6" s="10">
        <f>E6-IF(Lote2Cal!AC8=1,Proponentes!E6,0)</f>
        <v>1790811527.0839999</v>
      </c>
      <c r="G6" s="8" t="str">
        <f>IF(D6&gt;=Proponentes!D6,"Si tiene capacidad","No tiene capacidad")</f>
        <v>Si tiene capacidad</v>
      </c>
      <c r="H6" s="8" t="str">
        <f>IF(E6&gt;=Proponentes!E6,"Si tiene capacidad","No tiene capacidad")</f>
        <v>Si tiene capacidad</v>
      </c>
      <c r="I6" s="8" t="str">
        <f>IF(F6&gt;=Proponentes!F6,"Si tiene capacidad","No tiene capacidad")</f>
        <v>Si tiene capacidad</v>
      </c>
      <c r="J6" s="40" t="str">
        <f>IF(AND(Experiencia!N6=Experiencia!Q6,Experiencia!Q6=Experiencia!T6,Experiencia!T6="Cumple"),"Si tiene capacidad","No tiene capacidad")</f>
        <v>Si tiene capacidad</v>
      </c>
      <c r="K6" s="40" t="str">
        <f>IF(AND(Experiencia!O6=Experiencia!R6,Experiencia!R6=Experiencia!T6,Experiencia!T6="Cumple"),"Si tiene capacidad","No tiene capacidad")</f>
        <v>No tiene capacidad</v>
      </c>
      <c r="L6" s="40" t="str">
        <f>IF(AND(Experiencia!P6=Experiencia!S6,Experiencia!S6=Experiencia!V6,Experiencia!V6="Cumple"),"Si tiene capacidad","No tiene capacidad")</f>
        <v>No tiene capacidad</v>
      </c>
      <c r="M6" s="4" t="s">
        <v>52</v>
      </c>
      <c r="N6" s="4" t="str">
        <f>IF(Lote1Cal!AC8=1,"Si","No")</f>
        <v>Si</v>
      </c>
      <c r="O6" s="4" t="str">
        <f>IF(OR(Lote2Cal!AC8=1,Lote1Cal!AC8=1),"Si","No")</f>
        <v>Si</v>
      </c>
      <c r="P6" s="4" t="str">
        <f>IF(AND(G6="Si tiene capacidad",J6="Si tiene capacidad"),"Si tiene capacidad","No tiene capacidad")</f>
        <v>Si tiene capacidad</v>
      </c>
      <c r="Q6" s="4" t="str">
        <f>IF(N6="No",IF(AND(H6="Si tiene capacidad",K6="Si tiene capacidad"),"Si tiene capacidad","No tiene capacidad"),"No tiene capacidad")</f>
        <v>No tiene capacidad</v>
      </c>
      <c r="R6" s="4" t="str">
        <f>IF(O6="No",IF(AND(I6="Si tiene capacidad",L6="Si tiene capacidad"),"Si tiene capacidad","No tiene capacidad"),IF(AND($O$5="Si",$O$6="Si",I6="Si tiene capacidad",L6="Si tiene capacidad"),"Si tiene capacidad","No tiene capacidad"))</f>
        <v>No tiene capacidad</v>
      </c>
    </row>
    <row r="9" spans="1:49" x14ac:dyDescent="0.25">
      <c r="N9" s="20"/>
    </row>
  </sheetData>
  <sheetProtection algorithmName="SHA-512" hashValue="i+GjTF0AhRBRA8DImdhOS/HOzAendxHIVxZqMMjOuEk8FCBwbMPxBLNEHUM/opbb/M7ukvv8Kcp006o2Q4azxg==" saltValue="atUYL/8WJ0sV9f4YCveqsg==" spinCount="100000" sheet="1" objects="1" scenarios="1"/>
  <mergeCells count="8">
    <mergeCell ref="A1:R1"/>
    <mergeCell ref="AE3:AQ3"/>
    <mergeCell ref="G3:I3"/>
    <mergeCell ref="J3:L3"/>
    <mergeCell ref="M3:O3"/>
    <mergeCell ref="D3:F3"/>
    <mergeCell ref="P3:R3"/>
    <mergeCell ref="A3:C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4E680DC2C89E409BFED8D8CFB0D410" ma:contentTypeVersion="12" ma:contentTypeDescription="Crear nuevo documento." ma:contentTypeScope="" ma:versionID="c388d296138b057082c0b2002d674b42">
  <xsd:schema xmlns:xsd="http://www.w3.org/2001/XMLSchema" xmlns:xs="http://www.w3.org/2001/XMLSchema" xmlns:p="http://schemas.microsoft.com/office/2006/metadata/properties" xmlns:ns3="ef708750-1721-4523-8a43-ae2fbe55309a" xmlns:ns4="7c4deeca-e6bf-465f-8d30-12a7497e001a" targetNamespace="http://schemas.microsoft.com/office/2006/metadata/properties" ma:root="true" ma:fieldsID="145136ba1ac8a6a8c65ec1036ec3da23" ns3:_="" ns4:_="">
    <xsd:import namespace="ef708750-1721-4523-8a43-ae2fbe55309a"/>
    <xsd:import namespace="7c4deeca-e6bf-465f-8d30-12a7497e001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708750-1721-4523-8a43-ae2fbe553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4deeca-e6bf-465f-8d30-12a7497e001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7C5B6E-6520-4FDB-938F-64902D402BF3}">
  <ds:schemaRefs>
    <ds:schemaRef ds:uri="7c4deeca-e6bf-465f-8d30-12a7497e001a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ef708750-1721-4523-8a43-ae2fbe55309a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358D6C82-64B6-4BB3-8390-9A5480239C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708750-1721-4523-8a43-ae2fbe55309a"/>
    <ds:schemaRef ds:uri="7c4deeca-e6bf-465f-8d30-12a7497e00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18C4BF-FD2E-4333-9525-0457BFA2F3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Cover</vt:lpstr>
      <vt:lpstr>Proponentes</vt:lpstr>
      <vt:lpstr>Experiencia</vt:lpstr>
      <vt:lpstr>Orden de Adjudicación</vt:lpstr>
      <vt:lpstr>Lote 1</vt:lpstr>
      <vt:lpstr>Lote 2</vt:lpstr>
      <vt:lpstr>Lote 3</vt:lpstr>
      <vt:lpstr>Cantidades</vt:lpstr>
      <vt:lpstr>Lote1Cal</vt:lpstr>
      <vt:lpstr>Lote2Cal</vt:lpstr>
      <vt:lpstr>Lote3Cal</vt:lpstr>
      <vt:lpstr>VPBajo</vt:lpstr>
      <vt:lpstr>AnálisisCapacidad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Felipe Valdez Laguado</dc:creator>
  <cp:lastModifiedBy>Usuario</cp:lastModifiedBy>
  <cp:lastPrinted>2019-07-26T21:17:54Z</cp:lastPrinted>
  <dcterms:created xsi:type="dcterms:W3CDTF">2019-07-02T18:37:55Z</dcterms:created>
  <dcterms:modified xsi:type="dcterms:W3CDTF">2021-12-20T22:00:38Z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0x0101007A4E680DC2C89E409BFED8D8CFB0D410</vt:lpwstr>
  </property>
</Properties>
</file>