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NBB\MINIMAS\PAPELERÍA\Definitivos\"/>
    </mc:Choice>
  </mc:AlternateContent>
  <xr:revisionPtr revIDLastSave="0" documentId="8_{EDDA67A4-CA2A-4724-A3B2-B63653E911E6}" xr6:coauthVersionLast="40" xr6:coauthVersionMax="40" xr10:uidLastSave="{00000000-0000-0000-0000-000000000000}"/>
  <bookViews>
    <workbookView xWindow="0" yWindow="0" windowWidth="20490" windowHeight="8130" tabRatio="721" firstSheet="3" activeTab="3" xr2:uid="{00000000-000D-0000-FFFF-FFFF00000000}"/>
  </bookViews>
  <sheets>
    <sheet name="1" sheetId="9" state="hidden" r:id="rId1"/>
    <sheet name="1 final" sheetId="10" state="hidden" r:id="rId2"/>
    <sheet name="INICAL" sheetId="12" state="hidden" r:id="rId3"/>
    <sheet name="FINAL" sheetId="13" r:id="rId4"/>
  </sheets>
  <definedNames>
    <definedName name="_xlnm._FilterDatabase" localSheetId="0" hidden="1">'1'!$A$5:$P$8</definedName>
    <definedName name="_xlnm._FilterDatabase" localSheetId="1" hidden="1">'1 final'!$A$4:$T$51</definedName>
    <definedName name="_xlnm._FilterDatabase" localSheetId="3" hidden="1">FINAL!$A$4:$T$49</definedName>
    <definedName name="_xlnm._FilterDatabase" localSheetId="2" hidden="1">INICAL!$A$4:$V$49</definedName>
    <definedName name="_xlnm.Print_Area" localSheetId="0">'1'!$A$3:$P$8</definedName>
    <definedName name="_xlnm.Print_Area" localSheetId="1">'1 final'!$A$3:$R$7</definedName>
    <definedName name="_xlnm.Print_Area" localSheetId="3">FINAL!$A$1:$U$52</definedName>
    <definedName name="_xlnm.Print_Area" localSheetId="2">INICAL!$A$3:$T$7</definedName>
    <definedName name="_xlnm.Print_Titles" localSheetId="0">'1'!$4:$4</definedName>
    <definedName name="_xlnm.Print_Titles" localSheetId="1">'1 final'!$4:$4</definedName>
    <definedName name="_xlnm.Print_Titles" localSheetId="3">FINAL!$4:$4</definedName>
    <definedName name="_xlnm.Print_Titles" localSheetId="2">INICAL!$4:$4</definedName>
  </definedNames>
  <calcPr calcId="181029"/>
</workbook>
</file>

<file path=xl/calcChain.xml><?xml version="1.0" encoding="utf-8"?>
<calcChain xmlns="http://schemas.openxmlformats.org/spreadsheetml/2006/main">
  <c r="J49" i="13" l="1"/>
  <c r="I49" i="13"/>
  <c r="K49" i="13" s="1"/>
  <c r="J48" i="13"/>
  <c r="I48" i="13"/>
  <c r="K48" i="13" s="1"/>
  <c r="J47" i="13"/>
  <c r="I47" i="13"/>
  <c r="H46" i="13"/>
  <c r="I45" i="13"/>
  <c r="H45" i="13"/>
  <c r="J45" i="13" s="1"/>
  <c r="J44" i="13"/>
  <c r="I44" i="13"/>
  <c r="K44" i="13" s="1"/>
  <c r="J43" i="13"/>
  <c r="I43" i="13"/>
  <c r="J42" i="13"/>
  <c r="I42" i="13"/>
  <c r="K42" i="13" s="1"/>
  <c r="J41" i="13"/>
  <c r="I41" i="13"/>
  <c r="J40" i="13"/>
  <c r="I40" i="13"/>
  <c r="J39" i="13"/>
  <c r="L39" i="13" s="1"/>
  <c r="I39" i="13"/>
  <c r="J38" i="13"/>
  <c r="I38" i="13"/>
  <c r="I37" i="13"/>
  <c r="E37" i="13"/>
  <c r="J36" i="13"/>
  <c r="L36" i="13" s="1"/>
  <c r="I36" i="13"/>
  <c r="J35" i="13"/>
  <c r="I35" i="13"/>
  <c r="J34" i="13"/>
  <c r="L34" i="13" s="1"/>
  <c r="I34" i="13"/>
  <c r="J33" i="13"/>
  <c r="I33" i="13"/>
  <c r="H32" i="13"/>
  <c r="F32" i="13"/>
  <c r="E32" i="13"/>
  <c r="H31" i="13"/>
  <c r="F31" i="13"/>
  <c r="E31" i="13"/>
  <c r="J30" i="13"/>
  <c r="I30" i="13"/>
  <c r="J29" i="13"/>
  <c r="I29" i="13"/>
  <c r="J28" i="13"/>
  <c r="I28" i="13"/>
  <c r="J27" i="13"/>
  <c r="I27" i="13"/>
  <c r="J26" i="13"/>
  <c r="L26" i="13" s="1"/>
  <c r="I26" i="13"/>
  <c r="J25" i="13"/>
  <c r="L25" i="13" s="1"/>
  <c r="I25" i="13"/>
  <c r="J24" i="13"/>
  <c r="L24" i="13" s="1"/>
  <c r="I24" i="13"/>
  <c r="J23" i="13"/>
  <c r="L23" i="13" s="1"/>
  <c r="I23" i="13"/>
  <c r="J22" i="13"/>
  <c r="L22" i="13" s="1"/>
  <c r="I22" i="13"/>
  <c r="J21" i="13"/>
  <c r="I21" i="13"/>
  <c r="K21" i="13" s="1"/>
  <c r="J20" i="13"/>
  <c r="I20" i="13"/>
  <c r="J19" i="13"/>
  <c r="I19" i="13"/>
  <c r="J18" i="13"/>
  <c r="L18" i="13" s="1"/>
  <c r="I18" i="13"/>
  <c r="J17" i="13"/>
  <c r="I17" i="13"/>
  <c r="K17" i="13" s="1"/>
  <c r="J16" i="13"/>
  <c r="I16" i="13"/>
  <c r="J15" i="13"/>
  <c r="I15" i="13"/>
  <c r="J14" i="13"/>
  <c r="L14" i="13" s="1"/>
  <c r="I14" i="13"/>
  <c r="J13" i="13"/>
  <c r="I13" i="13"/>
  <c r="K13" i="13" s="1"/>
  <c r="J12" i="13"/>
  <c r="I12" i="13"/>
  <c r="J11" i="13"/>
  <c r="I11" i="13"/>
  <c r="J10" i="13"/>
  <c r="L10" i="13" s="1"/>
  <c r="I10" i="13"/>
  <c r="J9" i="13"/>
  <c r="I9" i="13"/>
  <c r="K9" i="13" s="1"/>
  <c r="J8" i="13"/>
  <c r="I8" i="13"/>
  <c r="J7" i="13"/>
  <c r="I7" i="13"/>
  <c r="J6" i="13"/>
  <c r="L6" i="13" s="1"/>
  <c r="I6" i="13"/>
  <c r="J5" i="13"/>
  <c r="I5" i="13"/>
  <c r="K5" i="13" s="1"/>
  <c r="Q4" i="13"/>
  <c r="P4" i="13"/>
  <c r="O4" i="13"/>
  <c r="N4" i="13"/>
  <c r="M4" i="13"/>
  <c r="L5" i="13" l="1"/>
  <c r="P5" i="13" s="1"/>
  <c r="L9" i="13"/>
  <c r="L13" i="13"/>
  <c r="O13" i="13" s="1"/>
  <c r="L17" i="13"/>
  <c r="L21" i="13"/>
  <c r="O21" i="13" s="1"/>
  <c r="L42" i="13"/>
  <c r="P42" i="13" s="1"/>
  <c r="L44" i="13"/>
  <c r="Q44" i="13" s="1"/>
  <c r="L48" i="13"/>
  <c r="P48" i="13" s="1"/>
  <c r="K7" i="13"/>
  <c r="O7" i="13" s="1"/>
  <c r="L7" i="13"/>
  <c r="L8" i="13"/>
  <c r="K11" i="13"/>
  <c r="L11" i="13"/>
  <c r="O11" i="13" s="1"/>
  <c r="L12" i="13"/>
  <c r="K15" i="13"/>
  <c r="O15" i="13" s="1"/>
  <c r="L15" i="13"/>
  <c r="L16" i="13"/>
  <c r="K19" i="13"/>
  <c r="L19" i="13"/>
  <c r="O19" i="13" s="1"/>
  <c r="L20" i="13"/>
  <c r="K22" i="13"/>
  <c r="O22" i="13" s="1"/>
  <c r="K23" i="13"/>
  <c r="K24" i="13"/>
  <c r="O24" i="13" s="1"/>
  <c r="K25" i="13"/>
  <c r="K26" i="13"/>
  <c r="O26" i="13" s="1"/>
  <c r="L27" i="13"/>
  <c r="L28" i="13"/>
  <c r="L29" i="13"/>
  <c r="L30" i="13"/>
  <c r="I31" i="13"/>
  <c r="L33" i="13"/>
  <c r="K35" i="13"/>
  <c r="L35" i="13"/>
  <c r="O35" i="13" s="1"/>
  <c r="K38" i="13"/>
  <c r="L38" i="13"/>
  <c r="O38" i="13" s="1"/>
  <c r="K40" i="13"/>
  <c r="L40" i="13"/>
  <c r="Q40" i="13" s="1"/>
  <c r="L41" i="13"/>
  <c r="L43" i="13"/>
  <c r="L47" i="13"/>
  <c r="Q7" i="13"/>
  <c r="Q9" i="13"/>
  <c r="O9" i="13"/>
  <c r="M9" i="13"/>
  <c r="P9" i="13"/>
  <c r="Q11" i="13"/>
  <c r="Q13" i="13"/>
  <c r="M13" i="13"/>
  <c r="Q17" i="13"/>
  <c r="O17" i="13"/>
  <c r="M17" i="13"/>
  <c r="P17" i="13"/>
  <c r="Q19" i="13"/>
  <c r="M19" i="13"/>
  <c r="Q21" i="13"/>
  <c r="M21" i="13"/>
  <c r="Q22" i="13"/>
  <c r="N22" i="13"/>
  <c r="Q23" i="13"/>
  <c r="O23" i="13"/>
  <c r="M23" i="13"/>
  <c r="P23" i="13"/>
  <c r="N23" i="13"/>
  <c r="N24" i="13"/>
  <c r="Q25" i="13"/>
  <c r="O25" i="13"/>
  <c r="M25" i="13"/>
  <c r="P25" i="13"/>
  <c r="N25" i="13"/>
  <c r="P26" i="13"/>
  <c r="M26" i="13"/>
  <c r="N26" i="13"/>
  <c r="O5" i="13"/>
  <c r="N5" i="13"/>
  <c r="K6" i="13"/>
  <c r="N7" i="13"/>
  <c r="K8" i="13"/>
  <c r="N9" i="13"/>
  <c r="K10" i="13"/>
  <c r="N11" i="13"/>
  <c r="K12" i="13"/>
  <c r="N13" i="13"/>
  <c r="K14" i="13"/>
  <c r="K16" i="13"/>
  <c r="N17" i="13"/>
  <c r="K18" i="13"/>
  <c r="N19" i="13"/>
  <c r="K20" i="13"/>
  <c r="N21" i="13"/>
  <c r="K27" i="13"/>
  <c r="K29" i="13"/>
  <c r="I32" i="13"/>
  <c r="K33" i="13"/>
  <c r="N40" i="13"/>
  <c r="L45" i="13"/>
  <c r="K45" i="13"/>
  <c r="K28" i="13"/>
  <c r="K30" i="13"/>
  <c r="J31" i="13"/>
  <c r="K31" i="13" s="1"/>
  <c r="Q35" i="13"/>
  <c r="M35" i="13"/>
  <c r="Q38" i="13"/>
  <c r="M38" i="13"/>
  <c r="P40" i="13"/>
  <c r="Q42" i="13"/>
  <c r="O42" i="13"/>
  <c r="M42" i="13"/>
  <c r="N42" i="13"/>
  <c r="I46" i="13"/>
  <c r="J46" i="13"/>
  <c r="Q48" i="13"/>
  <c r="O48" i="13"/>
  <c r="M48" i="13"/>
  <c r="N48" i="13"/>
  <c r="J32" i="13"/>
  <c r="K34" i="13"/>
  <c r="K36" i="13"/>
  <c r="K39" i="13"/>
  <c r="K41" i="13"/>
  <c r="K43" i="13"/>
  <c r="K47" i="13"/>
  <c r="L49" i="13"/>
  <c r="O49" i="13" s="1"/>
  <c r="J37" i="13"/>
  <c r="K37" i="13" s="1"/>
  <c r="I43" i="10"/>
  <c r="L43" i="10" s="1"/>
  <c r="J43" i="10"/>
  <c r="Q4" i="12"/>
  <c r="P4" i="12"/>
  <c r="J49" i="12"/>
  <c r="I49" i="12"/>
  <c r="J48" i="12"/>
  <c r="I48" i="12"/>
  <c r="J47" i="12"/>
  <c r="I47" i="12"/>
  <c r="H46" i="12"/>
  <c r="J46" i="12" s="1"/>
  <c r="H45" i="12"/>
  <c r="J44" i="12"/>
  <c r="I44" i="12"/>
  <c r="J43" i="12"/>
  <c r="I43" i="12"/>
  <c r="J42" i="12"/>
  <c r="I42" i="12"/>
  <c r="J41" i="12"/>
  <c r="I41" i="12"/>
  <c r="J40" i="12"/>
  <c r="I40" i="12"/>
  <c r="J39" i="12"/>
  <c r="I39" i="12"/>
  <c r="J38" i="12"/>
  <c r="I38" i="12"/>
  <c r="S37" i="12"/>
  <c r="J37" i="12"/>
  <c r="E37" i="12"/>
  <c r="I37" i="12" s="1"/>
  <c r="J36" i="12"/>
  <c r="I36" i="12"/>
  <c r="J35" i="12"/>
  <c r="I35" i="12"/>
  <c r="J34" i="12"/>
  <c r="I34" i="12"/>
  <c r="J33" i="12"/>
  <c r="I33" i="12"/>
  <c r="H32" i="12"/>
  <c r="F32" i="12"/>
  <c r="E32" i="12"/>
  <c r="H31" i="12"/>
  <c r="F31" i="12"/>
  <c r="J31" i="12" s="1"/>
  <c r="E31" i="12"/>
  <c r="J30" i="12"/>
  <c r="I30" i="12"/>
  <c r="J29" i="12"/>
  <c r="I29" i="12"/>
  <c r="J28" i="12"/>
  <c r="I28" i="12"/>
  <c r="J27" i="12"/>
  <c r="I27" i="12"/>
  <c r="J26" i="12"/>
  <c r="I26" i="12"/>
  <c r="J25" i="12"/>
  <c r="I25" i="12"/>
  <c r="J24" i="12"/>
  <c r="I24" i="12"/>
  <c r="J23" i="12"/>
  <c r="I23" i="12"/>
  <c r="J22" i="12"/>
  <c r="I22" i="12"/>
  <c r="J21" i="12"/>
  <c r="I21" i="12"/>
  <c r="J20" i="12"/>
  <c r="I20" i="12"/>
  <c r="J19" i="12"/>
  <c r="I19" i="12"/>
  <c r="J18" i="12"/>
  <c r="I18" i="12"/>
  <c r="J17" i="12"/>
  <c r="I17" i="12"/>
  <c r="J16" i="12"/>
  <c r="I16" i="12"/>
  <c r="J15" i="12"/>
  <c r="I15" i="12"/>
  <c r="J14" i="12"/>
  <c r="I14" i="12"/>
  <c r="J13" i="12"/>
  <c r="I13" i="12"/>
  <c r="J12" i="12"/>
  <c r="I12" i="12"/>
  <c r="J11" i="12"/>
  <c r="I11" i="12"/>
  <c r="J10" i="12"/>
  <c r="I10" i="12"/>
  <c r="J9" i="12"/>
  <c r="I9" i="12"/>
  <c r="J8" i="12"/>
  <c r="I8" i="12"/>
  <c r="J7" i="12"/>
  <c r="I7" i="12"/>
  <c r="J6" i="12"/>
  <c r="I6" i="12"/>
  <c r="J5" i="12"/>
  <c r="I5" i="12"/>
  <c r="O4" i="12"/>
  <c r="N4" i="12"/>
  <c r="M4" i="12"/>
  <c r="O40" i="13" l="1"/>
  <c r="M24" i="13"/>
  <c r="M22" i="13"/>
  <c r="Q24" i="13"/>
  <c r="M15" i="13"/>
  <c r="N15" i="13"/>
  <c r="Q15" i="13"/>
  <c r="M7" i="13"/>
  <c r="K43" i="10"/>
  <c r="N43" i="10" s="1"/>
  <c r="N44" i="13"/>
  <c r="O44" i="13"/>
  <c r="M11" i="13"/>
  <c r="M49" i="13"/>
  <c r="R48" i="13"/>
  <c r="N49" i="13"/>
  <c r="Q49" i="13"/>
  <c r="P44" i="13"/>
  <c r="R42" i="13"/>
  <c r="U42" i="13" s="1"/>
  <c r="N38" i="13"/>
  <c r="N35" i="13"/>
  <c r="M44" i="13"/>
  <c r="M40" i="13"/>
  <c r="M5" i="13"/>
  <c r="R5" i="13" s="1"/>
  <c r="Q5" i="13"/>
  <c r="Q26" i="13"/>
  <c r="R26" i="13" s="1"/>
  <c r="P24" i="13"/>
  <c r="P22" i="13"/>
  <c r="P21" i="13"/>
  <c r="P19" i="13"/>
  <c r="P15" i="13"/>
  <c r="P13" i="13"/>
  <c r="R13" i="13" s="1"/>
  <c r="P11" i="13"/>
  <c r="R11" i="13" s="1"/>
  <c r="P7" i="13"/>
  <c r="R7" i="13" s="1"/>
  <c r="P38" i="13"/>
  <c r="R38" i="13" s="1"/>
  <c r="P35" i="13"/>
  <c r="Q43" i="13"/>
  <c r="O43" i="13"/>
  <c r="M43" i="13"/>
  <c r="P43" i="13"/>
  <c r="N43" i="13"/>
  <c r="Q39" i="13"/>
  <c r="O39" i="13"/>
  <c r="M39" i="13"/>
  <c r="P39" i="13"/>
  <c r="N39" i="13"/>
  <c r="Q36" i="13"/>
  <c r="O36" i="13"/>
  <c r="M36" i="13"/>
  <c r="P36" i="13"/>
  <c r="N36" i="13"/>
  <c r="U48" i="13"/>
  <c r="K46" i="13"/>
  <c r="L46" i="13"/>
  <c r="P30" i="13"/>
  <c r="N30" i="13"/>
  <c r="O30" i="13"/>
  <c r="Q30" i="13"/>
  <c r="M30" i="13"/>
  <c r="L31" i="13"/>
  <c r="M31" i="13" s="1"/>
  <c r="P45" i="13"/>
  <c r="N45" i="13"/>
  <c r="O45" i="13"/>
  <c r="M45" i="13"/>
  <c r="Q45" i="13"/>
  <c r="L32" i="13"/>
  <c r="K32" i="13"/>
  <c r="P29" i="13"/>
  <c r="N29" i="13"/>
  <c r="Q29" i="13"/>
  <c r="M29" i="13"/>
  <c r="O29" i="13"/>
  <c r="R25" i="13"/>
  <c r="R23" i="13"/>
  <c r="P49" i="13"/>
  <c r="Q47" i="13"/>
  <c r="O47" i="13"/>
  <c r="M47" i="13"/>
  <c r="P47" i="13"/>
  <c r="N47" i="13"/>
  <c r="Q41" i="13"/>
  <c r="O41" i="13"/>
  <c r="M41" i="13"/>
  <c r="P41" i="13"/>
  <c r="N41" i="13"/>
  <c r="L37" i="13"/>
  <c r="Q37" i="13" s="1"/>
  <c r="Q34" i="13"/>
  <c r="O34" i="13"/>
  <c r="M34" i="13"/>
  <c r="P34" i="13"/>
  <c r="N34" i="13"/>
  <c r="R35" i="13"/>
  <c r="P28" i="13"/>
  <c r="N28" i="13"/>
  <c r="O28" i="13"/>
  <c r="Q28" i="13"/>
  <c r="M28" i="13"/>
  <c r="R44" i="13"/>
  <c r="P33" i="13"/>
  <c r="N33" i="13"/>
  <c r="Q33" i="13"/>
  <c r="M33" i="13"/>
  <c r="O33" i="13"/>
  <c r="P27" i="13"/>
  <c r="N27" i="13"/>
  <c r="Q27" i="13"/>
  <c r="M27" i="13"/>
  <c r="O27" i="13"/>
  <c r="Q20" i="13"/>
  <c r="O20" i="13"/>
  <c r="M20" i="13"/>
  <c r="P20" i="13"/>
  <c r="N20" i="13"/>
  <c r="Q18" i="13"/>
  <c r="O18" i="13"/>
  <c r="M18" i="13"/>
  <c r="P18" i="13"/>
  <c r="N18" i="13"/>
  <c r="Q16" i="13"/>
  <c r="O16" i="13"/>
  <c r="M16" i="13"/>
  <c r="P16" i="13"/>
  <c r="N16" i="13"/>
  <c r="Q14" i="13"/>
  <c r="O14" i="13"/>
  <c r="M14" i="13"/>
  <c r="P14" i="13"/>
  <c r="N14" i="13"/>
  <c r="Q12" i="13"/>
  <c r="O12" i="13"/>
  <c r="M12" i="13"/>
  <c r="P12" i="13"/>
  <c r="N12" i="13"/>
  <c r="Q10" i="13"/>
  <c r="O10" i="13"/>
  <c r="M10" i="13"/>
  <c r="P10" i="13"/>
  <c r="N10" i="13"/>
  <c r="Q8" i="13"/>
  <c r="O8" i="13"/>
  <c r="M8" i="13"/>
  <c r="P8" i="13"/>
  <c r="N8" i="13"/>
  <c r="Q6" i="13"/>
  <c r="O6" i="13"/>
  <c r="M6" i="13"/>
  <c r="P6" i="13"/>
  <c r="N6" i="13"/>
  <c r="R24" i="13"/>
  <c r="R22" i="13"/>
  <c r="R21" i="13"/>
  <c r="R19" i="13"/>
  <c r="R17" i="13"/>
  <c r="R9" i="13"/>
  <c r="L18" i="12"/>
  <c r="K19" i="12"/>
  <c r="L20" i="12"/>
  <c r="K21" i="12"/>
  <c r="L22" i="12"/>
  <c r="L5" i="12"/>
  <c r="K6" i="12"/>
  <c r="L7" i="12"/>
  <c r="K9" i="12"/>
  <c r="O9" i="12" s="1"/>
  <c r="L11" i="12"/>
  <c r="K13" i="12"/>
  <c r="L14" i="12"/>
  <c r="K15" i="12"/>
  <c r="L16" i="12"/>
  <c r="K17" i="12"/>
  <c r="K22" i="12"/>
  <c r="K38" i="12"/>
  <c r="L8" i="12"/>
  <c r="J45" i="12"/>
  <c r="M43" i="10"/>
  <c r="P43" i="10" s="1"/>
  <c r="R43" i="10" s="1"/>
  <c r="K23" i="12"/>
  <c r="L24" i="12"/>
  <c r="K25" i="12"/>
  <c r="L26" i="12"/>
  <c r="K27" i="12"/>
  <c r="L28" i="12"/>
  <c r="L29" i="12"/>
  <c r="K30" i="12"/>
  <c r="L33" i="12"/>
  <c r="L35" i="12"/>
  <c r="K36" i="12"/>
  <c r="L40" i="12"/>
  <c r="L42" i="12"/>
  <c r="L44" i="12"/>
  <c r="L23" i="12"/>
  <c r="O23" i="12" s="1"/>
  <c r="L25" i="12"/>
  <c r="L27" i="12"/>
  <c r="I31" i="12"/>
  <c r="L31" i="12" s="1"/>
  <c r="I32" i="12"/>
  <c r="L34" i="12"/>
  <c r="L39" i="12"/>
  <c r="L41" i="12"/>
  <c r="K42" i="12"/>
  <c r="K43" i="12"/>
  <c r="K44" i="12"/>
  <c r="K47" i="12"/>
  <c r="L48" i="12"/>
  <c r="K49" i="12"/>
  <c r="L6" i="12"/>
  <c r="L9" i="12"/>
  <c r="M9" i="12" s="1"/>
  <c r="L12" i="12"/>
  <c r="L13" i="12"/>
  <c r="L15" i="12"/>
  <c r="L17" i="12"/>
  <c r="P17" i="12" s="1"/>
  <c r="L19" i="12"/>
  <c r="O19" i="12" s="1"/>
  <c r="L21" i="12"/>
  <c r="L30" i="12"/>
  <c r="L36" i="12"/>
  <c r="M36" i="12" s="1"/>
  <c r="L38" i="12"/>
  <c r="K5" i="12"/>
  <c r="K7" i="12"/>
  <c r="K8" i="12"/>
  <c r="K12" i="12"/>
  <c r="L10" i="12"/>
  <c r="K10" i="12"/>
  <c r="K11" i="12"/>
  <c r="O27" i="12"/>
  <c r="N27" i="12"/>
  <c r="K14" i="12"/>
  <c r="K16" i="12"/>
  <c r="K18" i="12"/>
  <c r="K20" i="12"/>
  <c r="K24" i="12"/>
  <c r="K26" i="12"/>
  <c r="K28" i="12"/>
  <c r="K29" i="12"/>
  <c r="K35" i="12"/>
  <c r="K41" i="12"/>
  <c r="J32" i="12"/>
  <c r="K33" i="12"/>
  <c r="K34" i="12"/>
  <c r="K37" i="12"/>
  <c r="L37" i="12"/>
  <c r="K39" i="12"/>
  <c r="K40" i="12"/>
  <c r="L43" i="12"/>
  <c r="I45" i="12"/>
  <c r="I46" i="12"/>
  <c r="L47" i="12"/>
  <c r="K48" i="12"/>
  <c r="L49" i="12"/>
  <c r="J51" i="10"/>
  <c r="I51" i="10"/>
  <c r="J50" i="10"/>
  <c r="I50" i="10"/>
  <c r="J49" i="10"/>
  <c r="I49" i="10"/>
  <c r="J46" i="10"/>
  <c r="I46" i="10"/>
  <c r="J45" i="10"/>
  <c r="I45" i="10"/>
  <c r="J44" i="10"/>
  <c r="I44" i="10"/>
  <c r="J42" i="10"/>
  <c r="I42" i="10"/>
  <c r="J41" i="10"/>
  <c r="I41" i="10"/>
  <c r="J40" i="10"/>
  <c r="I40" i="10"/>
  <c r="J39" i="10"/>
  <c r="I39" i="10"/>
  <c r="J37" i="10"/>
  <c r="I37" i="10"/>
  <c r="J36" i="10"/>
  <c r="I36" i="10"/>
  <c r="J35" i="10"/>
  <c r="I35" i="10"/>
  <c r="J34" i="10"/>
  <c r="I34" i="10"/>
  <c r="J31" i="10"/>
  <c r="I31" i="10"/>
  <c r="J30" i="10"/>
  <c r="I30" i="10"/>
  <c r="J29" i="10"/>
  <c r="I29" i="10"/>
  <c r="J28" i="10"/>
  <c r="I28" i="10"/>
  <c r="J27" i="10"/>
  <c r="I27" i="10"/>
  <c r="J26" i="10"/>
  <c r="I26" i="10"/>
  <c r="J25" i="10"/>
  <c r="I25" i="10"/>
  <c r="J24" i="10"/>
  <c r="I24" i="10"/>
  <c r="J23" i="10"/>
  <c r="I23" i="10"/>
  <c r="J22" i="10"/>
  <c r="I22" i="10"/>
  <c r="J21" i="10"/>
  <c r="I21" i="10"/>
  <c r="J20" i="10"/>
  <c r="I20" i="10"/>
  <c r="J19" i="10"/>
  <c r="I19" i="10"/>
  <c r="J18" i="10"/>
  <c r="I18" i="10"/>
  <c r="J17" i="10"/>
  <c r="I17" i="10"/>
  <c r="J16" i="10"/>
  <c r="I16" i="10"/>
  <c r="J15" i="10"/>
  <c r="I15" i="10"/>
  <c r="J14" i="10"/>
  <c r="I14" i="10"/>
  <c r="J13" i="10"/>
  <c r="I13" i="10"/>
  <c r="J12" i="10"/>
  <c r="I12" i="10"/>
  <c r="J11" i="10"/>
  <c r="I11" i="10"/>
  <c r="J10" i="10"/>
  <c r="I10" i="10"/>
  <c r="J9" i="10"/>
  <c r="I9" i="10"/>
  <c r="J8" i="10"/>
  <c r="I8" i="10"/>
  <c r="J7" i="10"/>
  <c r="I7" i="10"/>
  <c r="J6" i="10"/>
  <c r="I6" i="10"/>
  <c r="J5" i="10"/>
  <c r="I5" i="10"/>
  <c r="R15" i="13" l="1"/>
  <c r="R40" i="13"/>
  <c r="U40" i="13" s="1"/>
  <c r="N23" i="12"/>
  <c r="P31" i="13"/>
  <c r="P21" i="12"/>
  <c r="P13" i="12"/>
  <c r="O43" i="10"/>
  <c r="R49" i="13"/>
  <c r="R30" i="13"/>
  <c r="R33" i="13"/>
  <c r="R28" i="13"/>
  <c r="O31" i="13"/>
  <c r="U7" i="13"/>
  <c r="U11" i="13"/>
  <c r="U15" i="13"/>
  <c r="U19" i="13"/>
  <c r="U22" i="13"/>
  <c r="U26" i="13"/>
  <c r="R6" i="13"/>
  <c r="R10" i="13"/>
  <c r="R14" i="13"/>
  <c r="R18" i="13"/>
  <c r="U33" i="13"/>
  <c r="U28" i="13"/>
  <c r="U38" i="13"/>
  <c r="R47" i="13"/>
  <c r="U23" i="13"/>
  <c r="U30" i="13"/>
  <c r="O46" i="13"/>
  <c r="M46" i="13"/>
  <c r="N46" i="13"/>
  <c r="P46" i="13"/>
  <c r="Q46" i="13"/>
  <c r="R39" i="13"/>
  <c r="U49" i="13"/>
  <c r="M37" i="13"/>
  <c r="P37" i="13"/>
  <c r="U9" i="13"/>
  <c r="U13" i="13"/>
  <c r="U17" i="13"/>
  <c r="U21" i="13"/>
  <c r="U24" i="13"/>
  <c r="U5" i="13"/>
  <c r="R8" i="13"/>
  <c r="R12" i="13"/>
  <c r="R16" i="13"/>
  <c r="R20" i="13"/>
  <c r="R27" i="13"/>
  <c r="U44" i="13"/>
  <c r="U35" i="13"/>
  <c r="R34" i="13"/>
  <c r="R41" i="13"/>
  <c r="U25" i="13"/>
  <c r="R29" i="13"/>
  <c r="P32" i="13"/>
  <c r="Q32" i="13"/>
  <c r="M32" i="13"/>
  <c r="O32" i="13"/>
  <c r="N32" i="13"/>
  <c r="N37" i="13"/>
  <c r="R45" i="13"/>
  <c r="R36" i="13"/>
  <c r="R43" i="13"/>
  <c r="O37" i="13"/>
  <c r="N31" i="13"/>
  <c r="Q31" i="13"/>
  <c r="N13" i="12"/>
  <c r="K31" i="12"/>
  <c r="P31" i="12" s="1"/>
  <c r="O21" i="12"/>
  <c r="M49" i="12"/>
  <c r="O47" i="12"/>
  <c r="N44" i="12"/>
  <c r="N36" i="12"/>
  <c r="N21" i="12"/>
  <c r="M17" i="12"/>
  <c r="O13" i="12"/>
  <c r="O17" i="12"/>
  <c r="M13" i="12"/>
  <c r="N9" i="12"/>
  <c r="O43" i="12"/>
  <c r="M21" i="12"/>
  <c r="N17" i="12"/>
  <c r="M38" i="12"/>
  <c r="M30" i="12"/>
  <c r="O15" i="12"/>
  <c r="Q21" i="12"/>
  <c r="Q13" i="12"/>
  <c r="Q17" i="12"/>
  <c r="Q9" i="12"/>
  <c r="P22" i="12"/>
  <c r="N22" i="12"/>
  <c r="Q22" i="12"/>
  <c r="O22" i="12"/>
  <c r="M22" i="12"/>
  <c r="Q48" i="12"/>
  <c r="P48" i="12"/>
  <c r="Q39" i="12"/>
  <c r="P39" i="12"/>
  <c r="Q33" i="12"/>
  <c r="P33" i="12"/>
  <c r="Q41" i="12"/>
  <c r="P41" i="12"/>
  <c r="Q35" i="12"/>
  <c r="P35" i="12"/>
  <c r="Q29" i="12"/>
  <c r="P29" i="12"/>
  <c r="Q26" i="12"/>
  <c r="P26" i="12"/>
  <c r="Q20" i="12"/>
  <c r="P20" i="12"/>
  <c r="Q16" i="12"/>
  <c r="P16" i="12"/>
  <c r="Q10" i="12"/>
  <c r="P10" i="12"/>
  <c r="Q8" i="12"/>
  <c r="P8" i="12"/>
  <c r="Q5" i="12"/>
  <c r="P5" i="12"/>
  <c r="O6" i="12"/>
  <c r="P6" i="12"/>
  <c r="O44" i="12"/>
  <c r="Q44" i="12"/>
  <c r="P44" i="12"/>
  <c r="N42" i="12"/>
  <c r="Q42" i="12"/>
  <c r="P42" i="12"/>
  <c r="Q36" i="12"/>
  <c r="P36" i="12"/>
  <c r="Q27" i="12"/>
  <c r="P27" i="12"/>
  <c r="Q25" i="12"/>
  <c r="P25" i="12"/>
  <c r="Q23" i="12"/>
  <c r="P23" i="12"/>
  <c r="P38" i="12"/>
  <c r="Q19" i="12"/>
  <c r="Q15" i="12"/>
  <c r="Q31" i="12"/>
  <c r="Q40" i="12"/>
  <c r="P40" i="12"/>
  <c r="N38" i="12"/>
  <c r="Q37" i="12"/>
  <c r="P37" i="12"/>
  <c r="Q34" i="12"/>
  <c r="P34" i="12"/>
  <c r="K32" i="12"/>
  <c r="M44" i="12"/>
  <c r="O42" i="12"/>
  <c r="O38" i="12"/>
  <c r="O36" i="12"/>
  <c r="Q28" i="12"/>
  <c r="P28" i="12"/>
  <c r="Q24" i="12"/>
  <c r="P24" i="12"/>
  <c r="Q18" i="12"/>
  <c r="P18" i="12"/>
  <c r="Q14" i="12"/>
  <c r="P14" i="12"/>
  <c r="M27" i="12"/>
  <c r="M25" i="12"/>
  <c r="M23" i="12"/>
  <c r="Q11" i="12"/>
  <c r="P11" i="12"/>
  <c r="M19" i="12"/>
  <c r="M15" i="12"/>
  <c r="Q12" i="12"/>
  <c r="P12" i="12"/>
  <c r="Q7" i="12"/>
  <c r="P7" i="12"/>
  <c r="M6" i="12"/>
  <c r="Q49" i="12"/>
  <c r="P49" i="12"/>
  <c r="Q47" i="12"/>
  <c r="P47" i="12"/>
  <c r="Q43" i="12"/>
  <c r="P43" i="12"/>
  <c r="O25" i="12"/>
  <c r="O30" i="12"/>
  <c r="Q30" i="12"/>
  <c r="P30" i="12"/>
  <c r="Q38" i="12"/>
  <c r="P19" i="12"/>
  <c r="P15" i="12"/>
  <c r="P9" i="12"/>
  <c r="Q6" i="12"/>
  <c r="N30" i="12"/>
  <c r="M42" i="12"/>
  <c r="N25" i="12"/>
  <c r="N19" i="12"/>
  <c r="N15" i="12"/>
  <c r="N6" i="12"/>
  <c r="N48" i="12"/>
  <c r="O48" i="12"/>
  <c r="M48" i="12"/>
  <c r="L46" i="12"/>
  <c r="K46" i="12"/>
  <c r="O40" i="12"/>
  <c r="M40" i="12"/>
  <c r="N40" i="12"/>
  <c r="O37" i="12"/>
  <c r="M37" i="12"/>
  <c r="N37" i="12"/>
  <c r="O34" i="12"/>
  <c r="M34" i="12"/>
  <c r="N34" i="12"/>
  <c r="M31" i="12"/>
  <c r="N31" i="12"/>
  <c r="N49" i="12"/>
  <c r="O49" i="12"/>
  <c r="M47" i="12"/>
  <c r="M43" i="12"/>
  <c r="N41" i="12"/>
  <c r="M41" i="12"/>
  <c r="O41" i="12"/>
  <c r="L32" i="12"/>
  <c r="O31" i="12"/>
  <c r="O28" i="12"/>
  <c r="M28" i="12"/>
  <c r="N28" i="12"/>
  <c r="N24" i="12"/>
  <c r="O24" i="12"/>
  <c r="M24" i="12"/>
  <c r="N18" i="12"/>
  <c r="O18" i="12"/>
  <c r="M18" i="12"/>
  <c r="N14" i="12"/>
  <c r="O14" i="12"/>
  <c r="M14" i="12"/>
  <c r="O11" i="12"/>
  <c r="M11" i="12"/>
  <c r="N11" i="12"/>
  <c r="N12" i="12"/>
  <c r="M12" i="12"/>
  <c r="O12" i="12"/>
  <c r="N5" i="12"/>
  <c r="O5" i="12"/>
  <c r="M5" i="12"/>
  <c r="L45" i="12"/>
  <c r="K45" i="12"/>
  <c r="N39" i="12"/>
  <c r="O39" i="12"/>
  <c r="M39" i="12"/>
  <c r="N33" i="12"/>
  <c r="O33" i="12"/>
  <c r="M33" i="12"/>
  <c r="N47" i="12"/>
  <c r="N43" i="12"/>
  <c r="N35" i="12"/>
  <c r="M35" i="12"/>
  <c r="O35" i="12"/>
  <c r="N29" i="12"/>
  <c r="M29" i="12"/>
  <c r="O29" i="12"/>
  <c r="N26" i="12"/>
  <c r="O26" i="12"/>
  <c r="M26" i="12"/>
  <c r="N20" i="12"/>
  <c r="O20" i="12"/>
  <c r="M20" i="12"/>
  <c r="N16" i="12"/>
  <c r="O16" i="12"/>
  <c r="M16" i="12"/>
  <c r="N10" i="12"/>
  <c r="O10" i="12"/>
  <c r="M10" i="12"/>
  <c r="N8" i="12"/>
  <c r="O8" i="12"/>
  <c r="M8" i="12"/>
  <c r="N7" i="12"/>
  <c r="O7" i="12"/>
  <c r="M7" i="12"/>
  <c r="Q38" i="10"/>
  <c r="H33" i="10"/>
  <c r="H32" i="10"/>
  <c r="F33" i="10"/>
  <c r="F32" i="10"/>
  <c r="E33" i="10"/>
  <c r="E32" i="10"/>
  <c r="R23" i="10"/>
  <c r="Q13" i="10"/>
  <c r="Q10" i="10"/>
  <c r="R31" i="13" l="1"/>
  <c r="U31" i="13" s="1"/>
  <c r="U36" i="13"/>
  <c r="U29" i="13"/>
  <c r="U34" i="13"/>
  <c r="U20" i="13"/>
  <c r="U12" i="13"/>
  <c r="U39" i="13"/>
  <c r="R46" i="13"/>
  <c r="U47" i="13"/>
  <c r="U14" i="13"/>
  <c r="U6" i="13"/>
  <c r="U43" i="13"/>
  <c r="U45" i="13"/>
  <c r="R32" i="13"/>
  <c r="U41" i="13"/>
  <c r="U27" i="13"/>
  <c r="U16" i="13"/>
  <c r="U8" i="13"/>
  <c r="R37" i="13"/>
  <c r="U18" i="13"/>
  <c r="U10" i="13"/>
  <c r="R30" i="12"/>
  <c r="T30" i="12" s="1"/>
  <c r="R9" i="12"/>
  <c r="T9" i="12" s="1"/>
  <c r="R36" i="12"/>
  <c r="T36" i="12" s="1"/>
  <c r="R17" i="12"/>
  <c r="R21" i="12"/>
  <c r="T21" i="12" s="1"/>
  <c r="M32" i="12"/>
  <c r="R13" i="12"/>
  <c r="T13" i="12" s="1"/>
  <c r="R7" i="12"/>
  <c r="W7" i="12" s="1"/>
  <c r="R10" i="12"/>
  <c r="W10" i="12" s="1"/>
  <c r="R20" i="12"/>
  <c r="W20" i="12" s="1"/>
  <c r="R33" i="12"/>
  <c r="W33" i="12" s="1"/>
  <c r="R5" i="12"/>
  <c r="W5" i="12" s="1"/>
  <c r="R12" i="12"/>
  <c r="W12" i="12" s="1"/>
  <c r="R11" i="12"/>
  <c r="W11" i="12" s="1"/>
  <c r="R14" i="12"/>
  <c r="W14" i="12" s="1"/>
  <c r="R24" i="12"/>
  <c r="W24" i="12" s="1"/>
  <c r="R28" i="12"/>
  <c r="W28" i="12" s="1"/>
  <c r="R49" i="12"/>
  <c r="W49" i="12" s="1"/>
  <c r="R34" i="12"/>
  <c r="W34" i="12" s="1"/>
  <c r="R40" i="12"/>
  <c r="W40" i="12" s="1"/>
  <c r="R48" i="12"/>
  <c r="W48" i="12" s="1"/>
  <c r="R27" i="12"/>
  <c r="W13" i="12"/>
  <c r="W9" i="12"/>
  <c r="W36" i="12"/>
  <c r="W17" i="12"/>
  <c r="T17" i="12"/>
  <c r="W21" i="12"/>
  <c r="R47" i="12"/>
  <c r="W47" i="12" s="1"/>
  <c r="R31" i="12"/>
  <c r="W31" i="12" s="1"/>
  <c r="R42" i="12"/>
  <c r="W42" i="12" s="1"/>
  <c r="R15" i="12"/>
  <c r="W15" i="12" s="1"/>
  <c r="R23" i="12"/>
  <c r="W23" i="12" s="1"/>
  <c r="R44" i="12"/>
  <c r="W44" i="12" s="1"/>
  <c r="R38" i="12"/>
  <c r="W38" i="12" s="1"/>
  <c r="R8" i="12"/>
  <c r="W8" i="12" s="1"/>
  <c r="R16" i="12"/>
  <c r="W16" i="12" s="1"/>
  <c r="R26" i="12"/>
  <c r="W26" i="12" s="1"/>
  <c r="R29" i="12"/>
  <c r="W29" i="12" s="1"/>
  <c r="R35" i="12"/>
  <c r="W35" i="12" s="1"/>
  <c r="R39" i="12"/>
  <c r="W39" i="12" s="1"/>
  <c r="R18" i="12"/>
  <c r="W18" i="12" s="1"/>
  <c r="R41" i="12"/>
  <c r="W41" i="12" s="1"/>
  <c r="R43" i="12"/>
  <c r="W43" i="12" s="1"/>
  <c r="R37" i="12"/>
  <c r="W37" i="12" s="1"/>
  <c r="R6" i="12"/>
  <c r="W6" i="12" s="1"/>
  <c r="R19" i="12"/>
  <c r="W19" i="12" s="1"/>
  <c r="R25" i="12"/>
  <c r="W25" i="12" s="1"/>
  <c r="R22" i="12"/>
  <c r="P45" i="12"/>
  <c r="Q45" i="12"/>
  <c r="P46" i="12"/>
  <c r="Q46" i="12"/>
  <c r="T41" i="12"/>
  <c r="P32" i="12"/>
  <c r="Q32" i="12"/>
  <c r="J33" i="10"/>
  <c r="I33" i="10"/>
  <c r="J32" i="10"/>
  <c r="I32" i="10"/>
  <c r="T34" i="12"/>
  <c r="T33" i="12"/>
  <c r="T16" i="12"/>
  <c r="T39" i="12"/>
  <c r="T5" i="12"/>
  <c r="T12" i="12"/>
  <c r="T11" i="12"/>
  <c r="T14" i="12"/>
  <c r="T24" i="12"/>
  <c r="O32" i="12"/>
  <c r="N45" i="12"/>
  <c r="O45" i="12"/>
  <c r="M45" i="12"/>
  <c r="T47" i="12"/>
  <c r="N46" i="12"/>
  <c r="O46" i="12"/>
  <c r="M46" i="12"/>
  <c r="N32" i="12"/>
  <c r="E38" i="10"/>
  <c r="H47" i="10"/>
  <c r="H48" i="10"/>
  <c r="O4" i="10"/>
  <c r="N4" i="10"/>
  <c r="M4" i="10"/>
  <c r="W30" i="12" l="1"/>
  <c r="T28" i="12"/>
  <c r="U37" i="13"/>
  <c r="U46" i="13"/>
  <c r="U32" i="13"/>
  <c r="R46" i="12"/>
  <c r="W46" i="12" s="1"/>
  <c r="T37" i="12"/>
  <c r="T29" i="12"/>
  <c r="T10" i="12"/>
  <c r="T48" i="12"/>
  <c r="T6" i="12"/>
  <c r="T25" i="12"/>
  <c r="T7" i="12"/>
  <c r="T20" i="12"/>
  <c r="T40" i="12"/>
  <c r="T49" i="12"/>
  <c r="T43" i="12"/>
  <c r="T35" i="12"/>
  <c r="T26" i="12"/>
  <c r="T8" i="12"/>
  <c r="W27" i="12"/>
  <c r="T27" i="12"/>
  <c r="R32" i="12"/>
  <c r="W32" i="12" s="1"/>
  <c r="T31" i="12"/>
  <c r="T18" i="12"/>
  <c r="W22" i="12"/>
  <c r="T22" i="12"/>
  <c r="T19" i="12"/>
  <c r="R45" i="12"/>
  <c r="W45" i="12" s="1"/>
  <c r="T38" i="12"/>
  <c r="T44" i="12"/>
  <c r="T23" i="12"/>
  <c r="T15" i="12"/>
  <c r="T42" i="12"/>
  <c r="J47" i="10"/>
  <c r="L47" i="10" s="1"/>
  <c r="I47" i="10"/>
  <c r="J48" i="10"/>
  <c r="I48" i="10"/>
  <c r="L48" i="10" s="1"/>
  <c r="J38" i="10"/>
  <c r="K38" i="10" s="1"/>
  <c r="I38" i="10"/>
  <c r="L40" i="10"/>
  <c r="L30" i="10"/>
  <c r="L41" i="10"/>
  <c r="L42" i="10"/>
  <c r="L44" i="10"/>
  <c r="L45" i="10"/>
  <c r="L46" i="10"/>
  <c r="L49" i="10"/>
  <c r="L50" i="10"/>
  <c r="L51" i="10"/>
  <c r="L5" i="10"/>
  <c r="K6" i="10"/>
  <c r="L34" i="10"/>
  <c r="L35" i="10"/>
  <c r="L36" i="10"/>
  <c r="L37" i="10"/>
  <c r="L6" i="10"/>
  <c r="L7" i="10"/>
  <c r="L17" i="10"/>
  <c r="L18" i="10"/>
  <c r="L8" i="10"/>
  <c r="L9" i="10"/>
  <c r="L10" i="10"/>
  <c r="L11" i="10"/>
  <c r="L12" i="10"/>
  <c r="L13" i="10"/>
  <c r="L14" i="10"/>
  <c r="L15" i="10"/>
  <c r="L16" i="10"/>
  <c r="L19" i="10"/>
  <c r="L20" i="10"/>
  <c r="L21" i="10"/>
  <c r="L22" i="10"/>
  <c r="L24" i="10"/>
  <c r="L25" i="10"/>
  <c r="L26" i="10"/>
  <c r="L27" i="10"/>
  <c r="L28" i="10"/>
  <c r="L29" i="10"/>
  <c r="L31" i="10"/>
  <c r="L32" i="10"/>
  <c r="L33" i="10"/>
  <c r="L39" i="10"/>
  <c r="K5" i="10"/>
  <c r="K7" i="10"/>
  <c r="K17" i="10"/>
  <c r="K18" i="10"/>
  <c r="K8" i="10"/>
  <c r="K9" i="10"/>
  <c r="K10" i="10"/>
  <c r="K11" i="10"/>
  <c r="K12" i="10"/>
  <c r="K13" i="10"/>
  <c r="K14" i="10"/>
  <c r="K15" i="10"/>
  <c r="K16" i="10"/>
  <c r="K19" i="10"/>
  <c r="K20" i="10"/>
  <c r="K21" i="10"/>
  <c r="K22" i="10"/>
  <c r="K24" i="10"/>
  <c r="K25" i="10"/>
  <c r="K26" i="10"/>
  <c r="K27" i="10"/>
  <c r="K28" i="10"/>
  <c r="K29" i="10"/>
  <c r="K31" i="10"/>
  <c r="K32" i="10"/>
  <c r="K33" i="10"/>
  <c r="K39" i="10"/>
  <c r="K34" i="10"/>
  <c r="K35" i="10"/>
  <c r="K36" i="10"/>
  <c r="K37" i="10"/>
  <c r="K40" i="10"/>
  <c r="K30" i="10"/>
  <c r="K41" i="10"/>
  <c r="K42" i="10"/>
  <c r="K44" i="10"/>
  <c r="K45" i="10"/>
  <c r="K46" i="10"/>
  <c r="K48" i="10"/>
  <c r="K49" i="10"/>
  <c r="K50" i="10"/>
  <c r="K51" i="10"/>
  <c r="T32" i="12" l="1"/>
  <c r="L38" i="10"/>
  <c r="T46" i="12"/>
  <c r="U50" i="13"/>
  <c r="T45" i="12"/>
  <c r="W50" i="12"/>
  <c r="K47" i="10"/>
  <c r="O47" i="10" s="1"/>
  <c r="O6" i="10"/>
  <c r="N6" i="10"/>
  <c r="M6" i="10"/>
  <c r="N51" i="10"/>
  <c r="O51" i="10"/>
  <c r="M51" i="10"/>
  <c r="N49" i="10"/>
  <c r="O49" i="10"/>
  <c r="M49" i="10"/>
  <c r="N48" i="10"/>
  <c r="O48" i="10"/>
  <c r="M48" i="10"/>
  <c r="N46" i="10"/>
  <c r="O46" i="10"/>
  <c r="M46" i="10"/>
  <c r="N44" i="10"/>
  <c r="O44" i="10"/>
  <c r="M44" i="10"/>
  <c r="N42" i="10"/>
  <c r="O42" i="10"/>
  <c r="M42" i="10"/>
  <c r="N30" i="10"/>
  <c r="O30" i="10"/>
  <c r="M30" i="10"/>
  <c r="N40" i="10"/>
  <c r="O40" i="10"/>
  <c r="M40" i="10"/>
  <c r="O37" i="10"/>
  <c r="M37" i="10"/>
  <c r="N37" i="10"/>
  <c r="O35" i="10"/>
  <c r="M35" i="10"/>
  <c r="N35" i="10"/>
  <c r="N39" i="10"/>
  <c r="M39" i="10"/>
  <c r="O39" i="10"/>
  <c r="N32" i="10"/>
  <c r="M32" i="10"/>
  <c r="O32" i="10"/>
  <c r="N29" i="10"/>
  <c r="M29" i="10"/>
  <c r="O29" i="10"/>
  <c r="N27" i="10"/>
  <c r="M27" i="10"/>
  <c r="O27" i="10"/>
  <c r="N25" i="10"/>
  <c r="M25" i="10"/>
  <c r="O25" i="10"/>
  <c r="N22" i="10"/>
  <c r="M22" i="10"/>
  <c r="O22" i="10"/>
  <c r="N20" i="10"/>
  <c r="M20" i="10"/>
  <c r="O20" i="10"/>
  <c r="N15" i="10"/>
  <c r="M15" i="10"/>
  <c r="O15" i="10"/>
  <c r="N13" i="10"/>
  <c r="M13" i="10"/>
  <c r="O13" i="10"/>
  <c r="N11" i="10"/>
  <c r="M11" i="10"/>
  <c r="O11" i="10"/>
  <c r="N9" i="10"/>
  <c r="M9" i="10"/>
  <c r="O9" i="10"/>
  <c r="N18" i="10"/>
  <c r="M18" i="10"/>
  <c r="O18" i="10"/>
  <c r="N5" i="10"/>
  <c r="O5" i="10"/>
  <c r="M5" i="10"/>
  <c r="N50" i="10"/>
  <c r="O50" i="10"/>
  <c r="M50" i="10"/>
  <c r="N45" i="10"/>
  <c r="O45" i="10"/>
  <c r="M45" i="10"/>
  <c r="N41" i="10"/>
  <c r="O41" i="10"/>
  <c r="M41" i="10"/>
  <c r="O38" i="10"/>
  <c r="M38" i="10"/>
  <c r="N38" i="10"/>
  <c r="O36" i="10"/>
  <c r="M36" i="10"/>
  <c r="N36" i="10"/>
  <c r="O34" i="10"/>
  <c r="M34" i="10"/>
  <c r="N34" i="10"/>
  <c r="O33" i="10"/>
  <c r="M33" i="10"/>
  <c r="N33" i="10"/>
  <c r="N31" i="10"/>
  <c r="M31" i="10"/>
  <c r="O31" i="10"/>
  <c r="N28" i="10"/>
  <c r="M28" i="10"/>
  <c r="O28" i="10"/>
  <c r="N26" i="10"/>
  <c r="M26" i="10"/>
  <c r="O26" i="10"/>
  <c r="N24" i="10"/>
  <c r="M24" i="10"/>
  <c r="O24" i="10"/>
  <c r="N21" i="10"/>
  <c r="M21" i="10"/>
  <c r="O21" i="10"/>
  <c r="N19" i="10"/>
  <c r="M19" i="10"/>
  <c r="O19" i="10"/>
  <c r="N16" i="10"/>
  <c r="M16" i="10"/>
  <c r="O16" i="10"/>
  <c r="N14" i="10"/>
  <c r="M14" i="10"/>
  <c r="O14" i="10"/>
  <c r="N12" i="10"/>
  <c r="M12" i="10"/>
  <c r="O12" i="10"/>
  <c r="N10" i="10"/>
  <c r="M10" i="10"/>
  <c r="O10" i="10"/>
  <c r="N8" i="10"/>
  <c r="M8" i="10"/>
  <c r="O8" i="10"/>
  <c r="N17" i="10"/>
  <c r="M17" i="10"/>
  <c r="O17" i="10"/>
  <c r="N7" i="10"/>
  <c r="M7" i="10"/>
  <c r="O7" i="10"/>
  <c r="N47" i="10" l="1"/>
  <c r="P47" i="10" s="1"/>
  <c r="R47" i="10" s="1"/>
  <c r="M47" i="10"/>
  <c r="P6" i="10"/>
  <c r="R6" i="10" s="1"/>
  <c r="P17" i="10"/>
  <c r="R17" i="10" s="1"/>
  <c r="P10" i="10"/>
  <c r="R10" i="10" s="1"/>
  <c r="P14" i="10"/>
  <c r="R14" i="10" s="1"/>
  <c r="P19" i="10"/>
  <c r="R19" i="10" s="1"/>
  <c r="P24" i="10"/>
  <c r="R24" i="10" s="1"/>
  <c r="P28" i="10"/>
  <c r="R28" i="10" s="1"/>
  <c r="P33" i="10"/>
  <c r="R33" i="10" s="1"/>
  <c r="P36" i="10"/>
  <c r="R36" i="10" s="1"/>
  <c r="P41" i="10"/>
  <c r="R41" i="10" s="1"/>
  <c r="P45" i="10"/>
  <c r="R45" i="10" s="1"/>
  <c r="P5" i="10"/>
  <c r="R5" i="10" s="1"/>
  <c r="P9" i="10"/>
  <c r="R9" i="10" s="1"/>
  <c r="P13" i="10"/>
  <c r="R13" i="10" s="1"/>
  <c r="P22" i="10"/>
  <c r="R22" i="10" s="1"/>
  <c r="P27" i="10"/>
  <c r="R27" i="10" s="1"/>
  <c r="P32" i="10"/>
  <c r="R32" i="10" s="1"/>
  <c r="P35" i="10"/>
  <c r="R35" i="10" s="1"/>
  <c r="P30" i="10"/>
  <c r="R30" i="10" s="1"/>
  <c r="P44" i="10"/>
  <c r="R44" i="10" s="1"/>
  <c r="P48" i="10"/>
  <c r="R48" i="10" s="1"/>
  <c r="P51" i="10"/>
  <c r="R51" i="10" s="1"/>
  <c r="P7" i="10"/>
  <c r="R7" i="10" s="1"/>
  <c r="P8" i="10"/>
  <c r="R8" i="10" s="1"/>
  <c r="P12" i="10"/>
  <c r="R12" i="10" s="1"/>
  <c r="P16" i="10"/>
  <c r="R16" i="10" s="1"/>
  <c r="P21" i="10"/>
  <c r="R21" i="10" s="1"/>
  <c r="P26" i="10"/>
  <c r="R26" i="10" s="1"/>
  <c r="P31" i="10"/>
  <c r="R31" i="10" s="1"/>
  <c r="P34" i="10"/>
  <c r="R34" i="10" s="1"/>
  <c r="P38" i="10"/>
  <c r="R38" i="10" s="1"/>
  <c r="P50" i="10"/>
  <c r="R50" i="10" s="1"/>
  <c r="P18" i="10"/>
  <c r="R18" i="10" s="1"/>
  <c r="P11" i="10"/>
  <c r="R11" i="10" s="1"/>
  <c r="P15" i="10"/>
  <c r="R15" i="10" s="1"/>
  <c r="P20" i="10"/>
  <c r="R20" i="10" s="1"/>
  <c r="P25" i="10"/>
  <c r="R25" i="10" s="1"/>
  <c r="P29" i="10"/>
  <c r="R29" i="10" s="1"/>
  <c r="P39" i="10"/>
  <c r="R39" i="10" s="1"/>
  <c r="P37" i="10"/>
  <c r="R37" i="10" s="1"/>
  <c r="P40" i="10"/>
  <c r="R40" i="10" s="1"/>
  <c r="P42" i="10"/>
  <c r="R42" i="10" s="1"/>
  <c r="P46" i="10"/>
  <c r="R46" i="10" s="1"/>
  <c r="P49" i="10"/>
  <c r="R49" i="10" s="1"/>
  <c r="M4" i="9" l="1"/>
  <c r="L4" i="9"/>
  <c r="K4" i="9"/>
  <c r="H17" i="9"/>
  <c r="G17" i="9"/>
  <c r="H18" i="9"/>
  <c r="G18" i="9"/>
  <c r="H55" i="9"/>
  <c r="G55" i="9"/>
  <c r="H6" i="9"/>
  <c r="J6" i="9" s="1"/>
  <c r="G6" i="9"/>
  <c r="H59" i="9"/>
  <c r="G59" i="9"/>
  <c r="H43" i="9"/>
  <c r="G43" i="9"/>
  <c r="H14" i="9"/>
  <c r="G14" i="9"/>
  <c r="H13" i="9"/>
  <c r="J13" i="9" s="1"/>
  <c r="G13" i="9"/>
  <c r="H15" i="9"/>
  <c r="G15" i="9"/>
  <c r="H12" i="9"/>
  <c r="G12" i="9"/>
  <c r="H11" i="9"/>
  <c r="G11" i="9"/>
  <c r="H10" i="9"/>
  <c r="J10" i="9" s="1"/>
  <c r="G10" i="9"/>
  <c r="H56" i="9"/>
  <c r="G56" i="9"/>
  <c r="H51" i="9"/>
  <c r="G51" i="9"/>
  <c r="H16" i="9"/>
  <c r="G16" i="9"/>
  <c r="H19" i="9"/>
  <c r="J19" i="9" s="1"/>
  <c r="G19" i="9"/>
  <c r="H47" i="9"/>
  <c r="G47" i="9"/>
  <c r="H39" i="9"/>
  <c r="G39" i="9"/>
  <c r="H41" i="9"/>
  <c r="G41" i="9"/>
  <c r="H40" i="9"/>
  <c r="J40" i="9" s="1"/>
  <c r="G40" i="9"/>
  <c r="H50" i="9"/>
  <c r="G50" i="9"/>
  <c r="H54" i="9"/>
  <c r="G54" i="9"/>
  <c r="H53" i="9"/>
  <c r="G53" i="9"/>
  <c r="H52" i="9"/>
  <c r="J52" i="9" s="1"/>
  <c r="G52" i="9"/>
  <c r="H45" i="9"/>
  <c r="G45" i="9"/>
  <c r="H42" i="9"/>
  <c r="G42" i="9"/>
  <c r="H49" i="9"/>
  <c r="G49" i="9"/>
  <c r="H48" i="9"/>
  <c r="J48" i="9" s="1"/>
  <c r="G48" i="9"/>
  <c r="H38" i="9"/>
  <c r="G38" i="9"/>
  <c r="H37" i="9"/>
  <c r="G37" i="9"/>
  <c r="H28" i="9"/>
  <c r="G28" i="9"/>
  <c r="H29" i="9"/>
  <c r="J29" i="9" s="1"/>
  <c r="G29" i="9"/>
  <c r="H5" i="9"/>
  <c r="G5" i="9"/>
  <c r="H36" i="9"/>
  <c r="G36" i="9"/>
  <c r="H33" i="9"/>
  <c r="G33" i="9"/>
  <c r="H31" i="9"/>
  <c r="J31" i="9" s="1"/>
  <c r="G31" i="9"/>
  <c r="H27" i="9"/>
  <c r="G27" i="9"/>
  <c r="H30" i="9"/>
  <c r="G30" i="9"/>
  <c r="H26" i="9"/>
  <c r="G26" i="9"/>
  <c r="H25" i="9"/>
  <c r="J25" i="9" s="1"/>
  <c r="G25" i="9"/>
  <c r="H24" i="9"/>
  <c r="G24" i="9"/>
  <c r="H23" i="9"/>
  <c r="G23" i="9"/>
  <c r="H22" i="9"/>
  <c r="G22" i="9"/>
  <c r="H32" i="9"/>
  <c r="J32" i="9" s="1"/>
  <c r="G32" i="9"/>
  <c r="H34" i="9"/>
  <c r="G34" i="9"/>
  <c r="H21" i="9"/>
  <c r="G21" i="9"/>
  <c r="H35" i="9"/>
  <c r="G35" i="9"/>
  <c r="H9" i="9"/>
  <c r="J9" i="9" s="1"/>
  <c r="G9" i="9"/>
  <c r="H8" i="9"/>
  <c r="G8" i="9"/>
  <c r="H7" i="9"/>
  <c r="G7" i="9"/>
  <c r="H58" i="9"/>
  <c r="G58" i="9"/>
  <c r="H57" i="9"/>
  <c r="J57" i="9" s="1"/>
  <c r="G57" i="9"/>
  <c r="H46" i="9"/>
  <c r="G46" i="9"/>
  <c r="H20" i="9"/>
  <c r="G20" i="9"/>
  <c r="J28" i="9" l="1"/>
  <c r="J49" i="9"/>
  <c r="J53" i="9"/>
  <c r="J41" i="9"/>
  <c r="J16" i="9"/>
  <c r="J11" i="9"/>
  <c r="J14" i="9"/>
  <c r="J55" i="9"/>
  <c r="J37" i="9"/>
  <c r="J42" i="9"/>
  <c r="J54" i="9"/>
  <c r="J39" i="9"/>
  <c r="J51" i="9"/>
  <c r="J12" i="9"/>
  <c r="J43" i="9"/>
  <c r="J18" i="9"/>
  <c r="J38" i="9"/>
  <c r="J45" i="9"/>
  <c r="J50" i="9"/>
  <c r="J47" i="9"/>
  <c r="J56" i="9"/>
  <c r="J15" i="9"/>
  <c r="J59" i="9"/>
  <c r="J17" i="9"/>
  <c r="I46" i="9"/>
  <c r="L46" i="9" s="1"/>
  <c r="I8" i="9"/>
  <c r="I34" i="9"/>
  <c r="I24" i="9"/>
  <c r="I27" i="9"/>
  <c r="K27" i="9" s="1"/>
  <c r="I5" i="9"/>
  <c r="J46" i="9"/>
  <c r="M46" i="9" s="1"/>
  <c r="J34" i="9"/>
  <c r="K34" i="9" s="1"/>
  <c r="J27" i="9"/>
  <c r="L27" i="9"/>
  <c r="J8" i="9"/>
  <c r="K8" i="9" s="1"/>
  <c r="J24" i="9"/>
  <c r="K24" i="9" s="1"/>
  <c r="J5" i="9"/>
  <c r="M5" i="9" s="1"/>
  <c r="J20" i="9"/>
  <c r="I58" i="9"/>
  <c r="J58" i="9"/>
  <c r="J7" i="9"/>
  <c r="I35" i="9"/>
  <c r="J35" i="9"/>
  <c r="J21" i="9"/>
  <c r="I22" i="9"/>
  <c r="J22" i="9"/>
  <c r="J23" i="9"/>
  <c r="I26" i="9"/>
  <c r="J26" i="9"/>
  <c r="J30" i="9"/>
  <c r="I33" i="9"/>
  <c r="J33" i="9"/>
  <c r="J36" i="9"/>
  <c r="I28" i="9"/>
  <c r="I37" i="9"/>
  <c r="I38" i="9"/>
  <c r="I48" i="9"/>
  <c r="I49" i="9"/>
  <c r="I42" i="9"/>
  <c r="I45" i="9"/>
  <c r="I52" i="9"/>
  <c r="I53" i="9"/>
  <c r="I54" i="9"/>
  <c r="I50" i="9"/>
  <c r="I40" i="9"/>
  <c r="I41" i="9"/>
  <c r="I39" i="9"/>
  <c r="I47" i="9"/>
  <c r="I19" i="9"/>
  <c r="I16" i="9"/>
  <c r="I51" i="9"/>
  <c r="I56" i="9"/>
  <c r="I10" i="9"/>
  <c r="I11" i="9"/>
  <c r="I12" i="9"/>
  <c r="I15" i="9"/>
  <c r="I13" i="9"/>
  <c r="I14" i="9"/>
  <c r="I43" i="9"/>
  <c r="I59" i="9"/>
  <c r="I6" i="9"/>
  <c r="I55" i="9"/>
  <c r="I18" i="9"/>
  <c r="I17" i="9"/>
  <c r="I20" i="9"/>
  <c r="I57" i="9"/>
  <c r="I7" i="9"/>
  <c r="I9" i="9"/>
  <c r="I21" i="9"/>
  <c r="I32" i="9"/>
  <c r="I23" i="9"/>
  <c r="I25" i="9"/>
  <c r="I30" i="9"/>
  <c r="I31" i="9"/>
  <c r="I36" i="9"/>
  <c r="I29" i="9"/>
  <c r="G44" i="9"/>
  <c r="H44" i="9"/>
  <c r="K5" i="9" l="1"/>
  <c r="M27" i="9"/>
  <c r="N27" i="9" s="1"/>
  <c r="P27" i="9" s="1"/>
  <c r="L8" i="9"/>
  <c r="N8" i="9" s="1"/>
  <c r="P8" i="9" s="1"/>
  <c r="L5" i="9"/>
  <c r="M8" i="9"/>
  <c r="K46" i="9"/>
  <c r="N46" i="9" s="1"/>
  <c r="P46" i="9" s="1"/>
  <c r="L36" i="9"/>
  <c r="M36" i="9"/>
  <c r="K36" i="9"/>
  <c r="N36" i="9" s="1"/>
  <c r="P36" i="9" s="1"/>
  <c r="L30" i="9"/>
  <c r="M30" i="9"/>
  <c r="K30" i="9"/>
  <c r="L23" i="9"/>
  <c r="M23" i="9"/>
  <c r="K23" i="9"/>
  <c r="L21" i="9"/>
  <c r="M21" i="9"/>
  <c r="K21" i="9"/>
  <c r="L7" i="9"/>
  <c r="M7" i="9"/>
  <c r="K7" i="9"/>
  <c r="L20" i="9"/>
  <c r="M20" i="9"/>
  <c r="K20" i="9"/>
  <c r="L18" i="9"/>
  <c r="M18" i="9"/>
  <c r="K18" i="9"/>
  <c r="N18" i="9" s="1"/>
  <c r="P18" i="9" s="1"/>
  <c r="L6" i="9"/>
  <c r="K6" i="9"/>
  <c r="M6" i="9"/>
  <c r="L43" i="9"/>
  <c r="M43" i="9"/>
  <c r="K43" i="9"/>
  <c r="N43" i="9" s="1"/>
  <c r="P43" i="9" s="1"/>
  <c r="L13" i="9"/>
  <c r="K13" i="9"/>
  <c r="M13" i="9"/>
  <c r="L12" i="9"/>
  <c r="M12" i="9"/>
  <c r="K12" i="9"/>
  <c r="L10" i="9"/>
  <c r="K10" i="9"/>
  <c r="N10" i="9" s="1"/>
  <c r="P10" i="9" s="1"/>
  <c r="M10" i="9"/>
  <c r="L51" i="9"/>
  <c r="M51" i="9"/>
  <c r="K51" i="9"/>
  <c r="L19" i="9"/>
  <c r="K19" i="9"/>
  <c r="M19" i="9"/>
  <c r="L39" i="9"/>
  <c r="M39" i="9"/>
  <c r="K39" i="9"/>
  <c r="N39" i="9" s="1"/>
  <c r="P39" i="9" s="1"/>
  <c r="L40" i="9"/>
  <c r="K40" i="9"/>
  <c r="M40" i="9"/>
  <c r="L54" i="9"/>
  <c r="M54" i="9"/>
  <c r="K54" i="9"/>
  <c r="N54" i="9" s="1"/>
  <c r="P54" i="9" s="1"/>
  <c r="L52" i="9"/>
  <c r="K52" i="9"/>
  <c r="M52" i="9"/>
  <c r="L42" i="9"/>
  <c r="M42" i="9"/>
  <c r="K42" i="9"/>
  <c r="L48" i="9"/>
  <c r="K48" i="9"/>
  <c r="N48" i="9" s="1"/>
  <c r="P48" i="9" s="1"/>
  <c r="M48" i="9"/>
  <c r="L37" i="9"/>
  <c r="M37" i="9"/>
  <c r="K37" i="9"/>
  <c r="M33" i="9"/>
  <c r="K33" i="9"/>
  <c r="N33" i="9" s="1"/>
  <c r="P33" i="9" s="1"/>
  <c r="L33" i="9"/>
  <c r="M22" i="9"/>
  <c r="K22" i="9"/>
  <c r="L22" i="9"/>
  <c r="M58" i="9"/>
  <c r="K58" i="9"/>
  <c r="L58" i="9"/>
  <c r="M24" i="9"/>
  <c r="M34" i="9"/>
  <c r="L29" i="9"/>
  <c r="K29" i="9"/>
  <c r="M29" i="9"/>
  <c r="L31" i="9"/>
  <c r="K31" i="9"/>
  <c r="M31" i="9"/>
  <c r="L25" i="9"/>
  <c r="K25" i="9"/>
  <c r="M25" i="9"/>
  <c r="L32" i="9"/>
  <c r="K32" i="9"/>
  <c r="M32" i="9"/>
  <c r="L9" i="9"/>
  <c r="K9" i="9"/>
  <c r="M9" i="9"/>
  <c r="L57" i="9"/>
  <c r="K57" i="9"/>
  <c r="N57" i="9" s="1"/>
  <c r="P57" i="9" s="1"/>
  <c r="M57" i="9"/>
  <c r="M17" i="9"/>
  <c r="K17" i="9"/>
  <c r="L17" i="9"/>
  <c r="M55" i="9"/>
  <c r="K55" i="9"/>
  <c r="N55" i="9" s="1"/>
  <c r="P55" i="9" s="1"/>
  <c r="L55" i="9"/>
  <c r="M59" i="9"/>
  <c r="K59" i="9"/>
  <c r="L59" i="9"/>
  <c r="M14" i="9"/>
  <c r="K14" i="9"/>
  <c r="L14" i="9"/>
  <c r="M15" i="9"/>
  <c r="K15" i="9"/>
  <c r="L15" i="9"/>
  <c r="M11" i="9"/>
  <c r="K11" i="9"/>
  <c r="L11" i="9"/>
  <c r="M56" i="9"/>
  <c r="K56" i="9"/>
  <c r="L56" i="9"/>
  <c r="M16" i="9"/>
  <c r="K16" i="9"/>
  <c r="N16" i="9" s="1"/>
  <c r="P16" i="9" s="1"/>
  <c r="L16" i="9"/>
  <c r="M47" i="9"/>
  <c r="K47" i="9"/>
  <c r="L47" i="9"/>
  <c r="M41" i="9"/>
  <c r="K41" i="9"/>
  <c r="N41" i="9" s="1"/>
  <c r="P41" i="9" s="1"/>
  <c r="L41" i="9"/>
  <c r="M50" i="9"/>
  <c r="K50" i="9"/>
  <c r="L50" i="9"/>
  <c r="M53" i="9"/>
  <c r="K53" i="9"/>
  <c r="L53" i="9"/>
  <c r="M45" i="9"/>
  <c r="K45" i="9"/>
  <c r="L45" i="9"/>
  <c r="M49" i="9"/>
  <c r="K49" i="9"/>
  <c r="L49" i="9"/>
  <c r="M38" i="9"/>
  <c r="K38" i="9"/>
  <c r="L38" i="9"/>
  <c r="M28" i="9"/>
  <c r="K28" i="9"/>
  <c r="N28" i="9" s="1"/>
  <c r="P28" i="9" s="1"/>
  <c r="L28" i="9"/>
  <c r="M26" i="9"/>
  <c r="K26" i="9"/>
  <c r="L26" i="9"/>
  <c r="M35" i="9"/>
  <c r="K35" i="9"/>
  <c r="N35" i="9" s="1"/>
  <c r="P35" i="9" s="1"/>
  <c r="L35" i="9"/>
  <c r="L24" i="9"/>
  <c r="N24" i="9" s="1"/>
  <c r="P24" i="9" s="1"/>
  <c r="L34" i="9"/>
  <c r="N34" i="9" s="1"/>
  <c r="P34" i="9" s="1"/>
  <c r="J44" i="9"/>
  <c r="I44" i="9"/>
  <c r="N53" i="9" l="1"/>
  <c r="P53" i="9" s="1"/>
  <c r="N14" i="9"/>
  <c r="P14" i="9" s="1"/>
  <c r="N31" i="9"/>
  <c r="P31" i="9" s="1"/>
  <c r="N58" i="9"/>
  <c r="P58" i="9" s="1"/>
  <c r="N37" i="9"/>
  <c r="P37" i="9" s="1"/>
  <c r="N40" i="9"/>
  <c r="P40" i="9" s="1"/>
  <c r="N51" i="9"/>
  <c r="P51" i="9" s="1"/>
  <c r="N6" i="9"/>
  <c r="P6" i="9" s="1"/>
  <c r="N7" i="9"/>
  <c r="P7" i="9" s="1"/>
  <c r="N49" i="9"/>
  <c r="P49" i="9" s="1"/>
  <c r="N11" i="9"/>
  <c r="P11" i="9" s="1"/>
  <c r="N32" i="9"/>
  <c r="P32" i="9" s="1"/>
  <c r="N52" i="9"/>
  <c r="P52" i="9" s="1"/>
  <c r="N13" i="9"/>
  <c r="P13" i="9" s="1"/>
  <c r="N42" i="9"/>
  <c r="P42" i="9" s="1"/>
  <c r="N19" i="9"/>
  <c r="P19" i="9" s="1"/>
  <c r="N12" i="9"/>
  <c r="P12" i="9" s="1"/>
  <c r="N23" i="9"/>
  <c r="P23" i="9" s="1"/>
  <c r="N5" i="9"/>
  <c r="P5" i="9" s="1"/>
  <c r="L44" i="9"/>
  <c r="N26" i="9"/>
  <c r="P26" i="9" s="1"/>
  <c r="N38" i="9"/>
  <c r="P38" i="9" s="1"/>
  <c r="N45" i="9"/>
  <c r="P45" i="9" s="1"/>
  <c r="N50" i="9"/>
  <c r="P50" i="9" s="1"/>
  <c r="N47" i="9"/>
  <c r="P47" i="9" s="1"/>
  <c r="N56" i="9"/>
  <c r="P56" i="9" s="1"/>
  <c r="N15" i="9"/>
  <c r="P15" i="9" s="1"/>
  <c r="N59" i="9"/>
  <c r="P59" i="9" s="1"/>
  <c r="N17" i="9"/>
  <c r="P17" i="9" s="1"/>
  <c r="N9" i="9"/>
  <c r="P9" i="9" s="1"/>
  <c r="N25" i="9"/>
  <c r="P25" i="9" s="1"/>
  <c r="N29" i="9"/>
  <c r="P29" i="9" s="1"/>
  <c r="N22" i="9"/>
  <c r="P22" i="9" s="1"/>
  <c r="N20" i="9"/>
  <c r="P20" i="9" s="1"/>
  <c r="N21" i="9"/>
  <c r="P21" i="9" s="1"/>
  <c r="N30" i="9"/>
  <c r="P30" i="9" s="1"/>
  <c r="K44" i="9" l="1"/>
  <c r="M44" i="9" l="1"/>
  <c r="N44" i="9" s="1"/>
  <c r="P44" i="9" s="1"/>
  <c r="A45" i="9"/>
  <c r="A46" i="9"/>
  <c r="A47" i="9"/>
  <c r="A48" i="9"/>
  <c r="A49" i="9"/>
  <c r="A50" i="9" s="1"/>
  <c r="A51" i="9" s="1"/>
  <c r="A52" i="9" s="1"/>
  <c r="A53" i="9" s="1"/>
  <c r="A54" i="9" s="1"/>
  <c r="A55" i="9" s="1"/>
  <c r="A56" i="9" s="1"/>
  <c r="A57" i="9" s="1"/>
  <c r="A58" i="9" s="1"/>
  <c r="A59" i="9" s="1"/>
  <c r="A7" i="9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35" i="9" s="1"/>
  <c r="A36" i="9" s="1"/>
  <c r="A37" i="9" s="1"/>
  <c r="A38" i="9" s="1"/>
  <c r="A39" i="9" s="1"/>
  <c r="A40" i="9" s="1"/>
  <c r="A41" i="9" s="1"/>
  <c r="A42" i="9" s="1"/>
  <c r="A43" i="9" s="1"/>
</calcChain>
</file>

<file path=xl/sharedStrings.xml><?xml version="1.0" encoding="utf-8"?>
<sst xmlns="http://schemas.openxmlformats.org/spreadsheetml/2006/main" count="463" uniqueCount="123">
  <si>
    <t>COTIZACIONES</t>
  </si>
  <si>
    <t xml:space="preserve">PROCESO FORMULA </t>
  </si>
  <si>
    <t>RECHAZO POR DESVIACIÓN</t>
  </si>
  <si>
    <t>PROMEDIO</t>
  </si>
  <si>
    <t>DESVIACION</t>
  </si>
  <si>
    <t>TECHO O TUNEL ALTO</t>
  </si>
  <si>
    <t>PISO TUNEL BAJO</t>
  </si>
  <si>
    <t>DESCRIPCIÓN DEL  MANTENIMIENTO</t>
  </si>
  <si>
    <t>ITEM</t>
  </si>
  <si>
    <t>PRECIO DE REFERENCIA DEL PROCESO</t>
  </si>
  <si>
    <t>Cartelera en vidrio para marcador borrable 1,50 m x 1 m</t>
  </si>
  <si>
    <t>Tarjetero PVC 96 tarjetas negro ELBA Economic dimensiones: 85x58mm</t>
  </si>
  <si>
    <t>Madeja de lana (diferentes colores)</t>
  </si>
  <si>
    <t>Libro De Actas 200 Folios</t>
  </si>
  <si>
    <t>Fichas bibliográficas diferentes colores   7.5 x 12.5 cm</t>
  </si>
  <si>
    <t>Rollo de papel kraft 45 cm x 5 kilos ( 180 mts)</t>
  </si>
  <si>
    <t>Rollo de papel periódico  45 cm x 5 kilos ( 180 mts)</t>
  </si>
  <si>
    <t>Sobre De Felpa Para Cd</t>
  </si>
  <si>
    <t>Papel fotográfico tamaño carta en mate</t>
  </si>
  <si>
    <t>carpeta transparente en acetato con barra lateral</t>
  </si>
  <si>
    <t xml:space="preserve">Carpeta de cartón Yute con divisiones internas </t>
  </si>
  <si>
    <t>sobres chuspa con banda de caucho o cordón, elaboradas en cartón yute</t>
  </si>
  <si>
    <t>Carpeta Tipo 4 Aletas En Cartulina Blanca Tipo Propalcote</t>
  </si>
  <si>
    <t>Carpeta gancho legajador tamaño oficio</t>
  </si>
  <si>
    <t>Unidad</t>
  </si>
  <si>
    <t>Caja x 100</t>
  </si>
  <si>
    <t>Paquete X 50</t>
  </si>
  <si>
    <t>paquete de 50</t>
  </si>
  <si>
    <t>UNIDAD DE MEDIDA</t>
  </si>
  <si>
    <t>Mini Block</t>
  </si>
  <si>
    <t>Madeja</t>
  </si>
  <si>
    <t>Rollo</t>
  </si>
  <si>
    <t>Clip Estándar Pequeño</t>
  </si>
  <si>
    <t>Regla plastica 30 centimetros</t>
  </si>
  <si>
    <t xml:space="preserve">Tijera Para Oficina 8 Pg </t>
  </si>
  <si>
    <t>paquete x 20</t>
  </si>
  <si>
    <t xml:space="preserve"> Caja X 10 Resmas</t>
  </si>
  <si>
    <t xml:space="preserve">Sobre De Manila Carta </t>
  </si>
  <si>
    <t xml:space="preserve">Paquete X 100 </t>
  </si>
  <si>
    <t>Paquete X 150</t>
  </si>
  <si>
    <t>Resma</t>
  </si>
  <si>
    <t>Rollo x 100 Mts</t>
  </si>
  <si>
    <t>Caja x 50 Unidades</t>
  </si>
  <si>
    <t>Caja x 25 Unidades</t>
  </si>
  <si>
    <t>Block x 50 Hojas</t>
  </si>
  <si>
    <t>Paquete X 100</t>
  </si>
  <si>
    <t>AXSA TEXCHNOLOGY
901.075.981-0</t>
  </si>
  <si>
    <t>GRAN PAPELERA BOLIVAR SAS</t>
  </si>
  <si>
    <t>Torre X 25</t>
  </si>
  <si>
    <t>Cd-Rw</t>
  </si>
  <si>
    <t>Caja por 1000</t>
  </si>
  <si>
    <t xml:space="preserve">Sobre De Manila Extra Oficio </t>
  </si>
  <si>
    <t>Caja por 200</t>
  </si>
  <si>
    <t>Notas Autoadhesivas Estándar/ Taco/ Bloque/ Cubo De Minimo 100 Hojas de 7,6 X 7,6 3M</t>
  </si>
  <si>
    <t>Banderitas Adhesivas Colores Primarios 683-5CF .47x1.7in con 5 blocks, 20 banderitas cada block 3M</t>
  </si>
  <si>
    <t>Fechador Automático METALICO</t>
  </si>
  <si>
    <t>Papel Bond 75G Carta Caja X 10 Resmas</t>
  </si>
  <si>
    <t>Papel Bond 75G Oficio Caja X 10 Resmas</t>
  </si>
  <si>
    <t>Sellos de goma (diseño por definir) AUTOMATICO</t>
  </si>
  <si>
    <t>Papel propalcote 115G tamaño carta Resma</t>
  </si>
  <si>
    <t>Papel propalcote 115G tamaño oficio Resma</t>
  </si>
  <si>
    <t>sobre bolsa polidex SB 34 tamaño oficio vertical</t>
  </si>
  <si>
    <t>Protectores de hojas en polipropileno, tamaño carta, 200 protectores por caja</t>
  </si>
  <si>
    <t>Block de papel iris x 50 hojas</t>
  </si>
  <si>
    <t>Sobre De Manila Oficio Paquete X 100</t>
  </si>
  <si>
    <t>PAPELIST SAS
901.089.740-3</t>
  </si>
  <si>
    <t xml:space="preserve">Revistero de cartón 30 cm </t>
  </si>
  <si>
    <t xml:space="preserve">Bolígrafo Azul BIC </t>
  </si>
  <si>
    <t xml:space="preserve">Bolígrafo Negro BIC </t>
  </si>
  <si>
    <t xml:space="preserve">Bolígrafo Rojo BIC </t>
  </si>
  <si>
    <t xml:space="preserve">Mini Block de Notas Blanco Cuadriculado </t>
  </si>
  <si>
    <t xml:space="preserve">Sobre De Manila Carta Paquete X 100 </t>
  </si>
  <si>
    <t xml:space="preserve">Sobre De Manila Extra Oficio Paquete X 50 </t>
  </si>
  <si>
    <t xml:space="preserve">Memoria Usb 32gb </t>
  </si>
  <si>
    <t>Cinta Adhesiva De Empaque En Rollo 48 X 40 MTRS</t>
  </si>
  <si>
    <t>Cinta Adhesiva Para Enmascarar 48 Mm X 40 MTRS</t>
  </si>
  <si>
    <t>Cinta Adhesiva Transparente 12 X 20 MTRS</t>
  </si>
  <si>
    <t xml:space="preserve">Cosedora De Oficina 20 Hojas </t>
  </si>
  <si>
    <t xml:space="preserve">Ganchos para cosedora semi Industrial 120 hojas </t>
  </si>
  <si>
    <t xml:space="preserve">Marcador Borrable Desechable diferentes colores </t>
  </si>
  <si>
    <t xml:space="preserve">Pegante En Barra 20 GRS </t>
  </si>
  <si>
    <t xml:space="preserve">Resaltador Desechable </t>
  </si>
  <si>
    <t xml:space="preserve">Caja de clips mariposa  tamaño 40 mm </t>
  </si>
  <si>
    <t xml:space="preserve">Caja de clips mariposa  tamaño 60 mm </t>
  </si>
  <si>
    <t xml:space="preserve">caja de gancho Lotero 1/2¨ </t>
  </si>
  <si>
    <t xml:space="preserve">caja de gancho Lotero 3/4¨ </t>
  </si>
  <si>
    <t xml:space="preserve">caja de gancho Lotero 11/4¨ </t>
  </si>
  <si>
    <t xml:space="preserve">caja de gancho Lotero 15/8¨ </t>
  </si>
  <si>
    <t xml:space="preserve">Tajalapiz electrico </t>
  </si>
  <si>
    <t>Dvd-R</t>
  </si>
  <si>
    <t>COMPARATIVO</t>
  </si>
  <si>
    <t>VALOR PROMEDIO DE LAS COTIZACIONES CON DESVIACION</t>
  </si>
  <si>
    <t>ESTRUCTURA DE COSTOS ANTERIOR</t>
  </si>
  <si>
    <t>Naylon transparente por 100 metros</t>
  </si>
  <si>
    <t>DESCRIPCIÓN</t>
  </si>
  <si>
    <t xml:space="preserve">Clips mariposa tamaño 40 mm </t>
  </si>
  <si>
    <t xml:space="preserve">Clips mariposa tamaño 60 mm </t>
  </si>
  <si>
    <t xml:space="preserve">Sobre De Manila Oficio </t>
  </si>
  <si>
    <t>Sobre Para Cd</t>
  </si>
  <si>
    <t>Cinta Adhesiva para Enmascarar 48 Mm X 40 MTRS</t>
  </si>
  <si>
    <t>Banderitas Adhesivas de 11.9 mm x 43.2 mm - 5 colores 1/2"</t>
  </si>
  <si>
    <t>Cinta Adhesiva de Empaque 48 X 40 MTRS</t>
  </si>
  <si>
    <t>Sobre plastico transparente vertical con cordon tamaño carta</t>
  </si>
  <si>
    <t>Fechador Manual Automático (con almohadilla recargable)</t>
  </si>
  <si>
    <t>Paquete x 30 Hojas</t>
  </si>
  <si>
    <t>Tijera Para Oficina 8 "</t>
  </si>
  <si>
    <t xml:space="preserve">Sellos automatico con placa de texto. (diseño por definir) </t>
  </si>
  <si>
    <t>Carpeta plastica transparente con bisel tamaño carta</t>
  </si>
  <si>
    <t>Tapas de yute Oficio. 600 Gr refuerzo en Tela</t>
  </si>
  <si>
    <t>Juego x 2</t>
  </si>
  <si>
    <t>Tarjetero PVC 96 tarjetas negro dimensiones: 85x58mm</t>
  </si>
  <si>
    <t>Gancho para cosedora estandar 26/6</t>
  </si>
  <si>
    <t>Caja por 5000</t>
  </si>
  <si>
    <t>Paquete x 5 colores</t>
  </si>
  <si>
    <t>OFI.COM.CO</t>
  </si>
  <si>
    <t>INSTITUCIONAL STAR SERVICE</t>
  </si>
  <si>
    <t>ESTRUCTURA AMP</t>
  </si>
  <si>
    <t xml:space="preserve">Bolígrafo Negro  </t>
  </si>
  <si>
    <t>FINAL</t>
  </si>
  <si>
    <t>CANTIDAD PROYECTADA</t>
  </si>
  <si>
    <t>TOTAL</t>
  </si>
  <si>
    <t>Nylon transparente por 100 metros</t>
  </si>
  <si>
    <t>ESTRUCTURA DE COSTOS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</si>
</sst>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* #,##0_);_(* \(#,##0\);_(* &quot;-&quot;_);_(@_)"/>
    <numFmt numFmtId="165" formatCode="_(* #,##0.00_);_(* \(#,##0.00\);_(* &quot;-&quot;??_);_(@_)"/>
    <numFmt numFmtId="166" formatCode="_-* #,##0\ _€_-;\-* #,##0\ _€_-;_-* &quot;-&quot;\ _€_-;_-@_-"/>
    <numFmt numFmtId="167" formatCode="[$$-240A]\ #,##0.00"/>
    <numFmt numFmtId="168" formatCode="_ * #,##0_ ;_ * \-#,##0_ ;_ * &quot;-&quot;_ ;_ @_ "/>
    <numFmt numFmtId="169" formatCode="_ * #,##0.00_ ;_ * \-#,##0.00_ ;_ * &quot;-&quot;??_ ;_ @_ "/>
    <numFmt numFmtId="170" formatCode="_ &quot;$&quot;\ * #,##0.00_ ;_ &quot;$&quot;\ * \-#,##0.00_ ;_ &quot;$&quot;\ * &quot;-&quot;??_ ;_ @_ "/>
    <numFmt numFmtId="171" formatCode="_(* #,##0_);_(* \(#,##0\);_(* &quot;-&quot;??_);_(@_)"/>
  </numFmts>
  <fonts count="17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7030A0"/>
      <name val="Arial"/>
      <family val="2"/>
    </font>
    <font>
      <b/>
      <sz val="12"/>
      <color rgb="FF000000"/>
      <name val="Arial Narrow"/>
      <family val="2"/>
    </font>
    <font>
      <sz val="12"/>
      <color rgb="FF000000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b/>
      <sz val="10"/>
      <name val="Arial Narrow"/>
      <family val="2"/>
    </font>
    <font>
      <sz val="10"/>
      <color rgb="FF7030A0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b/>
      <sz val="9"/>
      <color rgb="FF000000"/>
      <name val="Arial Narrow"/>
      <family val="2"/>
    </font>
    <font>
      <sz val="16"/>
      <name val="Arial Narrow"/>
      <family val="2"/>
    </font>
    <font>
      <b/>
      <sz val="16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2">
    <xf numFmtId="0" fontId="0" fillId="0" borderId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9" fontId="1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2" fillId="0" borderId="0"/>
    <xf numFmtId="0" fontId="2" fillId="0" borderId="0"/>
    <xf numFmtId="0" fontId="4" fillId="0" borderId="0"/>
    <xf numFmtId="0" fontId="1" fillId="0" borderId="0"/>
  </cellStyleXfs>
  <cellXfs count="218">
    <xf numFmtId="0" fontId="0" fillId="0" borderId="0" xfId="0"/>
    <xf numFmtId="0" fontId="1" fillId="0" borderId="0" xfId="0" applyFont="1" applyFill="1" applyBorder="1" applyAlignment="1">
      <alignment horizontal="left" vertical="center" wrapText="1"/>
    </xf>
    <xf numFmtId="164" fontId="1" fillId="0" borderId="0" xfId="2" applyFont="1" applyFill="1" applyBorder="1" applyAlignment="1">
      <alignment horizontal="left" vertical="center" wrapText="1"/>
    </xf>
    <xf numFmtId="164" fontId="1" fillId="0" borderId="1" xfId="2" applyFont="1" applyFill="1" applyBorder="1" applyAlignment="1">
      <alignment horizontal="left" vertical="center" wrapText="1"/>
    </xf>
    <xf numFmtId="164" fontId="5" fillId="0" borderId="1" xfId="2" applyFont="1" applyFill="1" applyBorder="1" applyAlignment="1">
      <alignment horizontal="left" vertical="center" wrapText="1"/>
    </xf>
    <xf numFmtId="171" fontId="1" fillId="0" borderId="0" xfId="1" applyNumberFormat="1" applyFont="1" applyFill="1" applyBorder="1" applyAlignment="1">
      <alignment horizontal="left" vertical="center" wrapText="1"/>
    </xf>
    <xf numFmtId="164" fontId="3" fillId="0" borderId="4" xfId="2" applyFont="1" applyFill="1" applyBorder="1" applyAlignment="1">
      <alignment horizontal="center" vertical="center" wrapText="1"/>
    </xf>
    <xf numFmtId="171" fontId="1" fillId="0" borderId="1" xfId="1" applyNumberFormat="1" applyFont="1" applyFill="1" applyBorder="1" applyAlignment="1">
      <alignment horizontal="left" vertical="center" wrapText="1"/>
    </xf>
    <xf numFmtId="171" fontId="1" fillId="0" borderId="1" xfId="1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171" fontId="1" fillId="0" borderId="17" xfId="1" applyNumberFormat="1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center" vertical="center" wrapText="1"/>
    </xf>
    <xf numFmtId="167" fontId="3" fillId="0" borderId="20" xfId="0" applyNumberFormat="1" applyFont="1" applyFill="1" applyBorder="1" applyAlignment="1">
      <alignment horizontal="center" vertical="center" wrapText="1"/>
    </xf>
    <xf numFmtId="171" fontId="1" fillId="0" borderId="0" xfId="1" applyNumberFormat="1" applyFont="1" applyFill="1" applyBorder="1" applyAlignment="1">
      <alignment vertical="center" wrapText="1"/>
    </xf>
    <xf numFmtId="171" fontId="7" fillId="0" borderId="1" xfId="1" applyNumberFormat="1" applyFont="1" applyFill="1" applyBorder="1" applyAlignment="1">
      <alignment vertical="center" wrapText="1"/>
    </xf>
    <xf numFmtId="171" fontId="1" fillId="0" borderId="1" xfId="1" applyNumberFormat="1" applyFont="1" applyFill="1" applyBorder="1" applyAlignment="1">
      <alignment vertical="center" wrapText="1"/>
    </xf>
    <xf numFmtId="171" fontId="1" fillId="0" borderId="17" xfId="1" applyNumberFormat="1" applyFont="1" applyFill="1" applyBorder="1" applyAlignment="1">
      <alignment vertical="center" wrapText="1"/>
    </xf>
    <xf numFmtId="171" fontId="1" fillId="0" borderId="22" xfId="1" applyNumberFormat="1" applyFont="1" applyFill="1" applyBorder="1" applyAlignment="1">
      <alignment horizontal="left" vertical="center" wrapText="1"/>
    </xf>
    <xf numFmtId="171" fontId="1" fillId="0" borderId="22" xfId="1" applyNumberFormat="1" applyFont="1" applyFill="1" applyBorder="1" applyAlignment="1">
      <alignment horizontal="center" vertical="center" wrapText="1"/>
    </xf>
    <xf numFmtId="171" fontId="3" fillId="0" borderId="19" xfId="1" applyNumberFormat="1" applyFont="1" applyFill="1" applyBorder="1" applyAlignment="1">
      <alignment horizontal="center" vertical="center" wrapText="1"/>
    </xf>
    <xf numFmtId="171" fontId="3" fillId="0" borderId="20" xfId="1" applyNumberFormat="1" applyFont="1" applyFill="1" applyBorder="1" applyAlignment="1">
      <alignment horizontal="center" vertical="center" wrapText="1"/>
    </xf>
    <xf numFmtId="171" fontId="3" fillId="0" borderId="21" xfId="1" applyNumberFormat="1" applyFont="1" applyFill="1" applyBorder="1" applyAlignment="1">
      <alignment horizontal="center" vertical="center" wrapText="1"/>
    </xf>
    <xf numFmtId="171" fontId="6" fillId="0" borderId="20" xfId="1" applyNumberFormat="1" applyFont="1" applyFill="1" applyBorder="1" applyAlignment="1">
      <alignment horizontal="center" vertical="center" wrapText="1"/>
    </xf>
    <xf numFmtId="171" fontId="6" fillId="0" borderId="21" xfId="1" applyNumberFormat="1" applyFont="1" applyFill="1" applyBorder="1" applyAlignment="1">
      <alignment horizontal="center" vertical="center" wrapText="1"/>
    </xf>
    <xf numFmtId="167" fontId="3" fillId="0" borderId="23" xfId="0" applyNumberFormat="1" applyFont="1" applyFill="1" applyBorder="1" applyAlignment="1">
      <alignment horizontal="center" vertical="center" wrapText="1"/>
    </xf>
    <xf numFmtId="171" fontId="6" fillId="0" borderId="19" xfId="1" applyNumberFormat="1" applyFont="1" applyFill="1" applyBorder="1" applyAlignment="1">
      <alignment horizontal="center" vertical="center" wrapText="1"/>
    </xf>
    <xf numFmtId="171" fontId="7" fillId="0" borderId="2" xfId="1" applyNumberFormat="1" applyFont="1" applyFill="1" applyBorder="1" applyAlignment="1">
      <alignment vertical="center" wrapText="1"/>
    </xf>
    <xf numFmtId="171" fontId="7" fillId="0" borderId="12" xfId="1" applyNumberFormat="1" applyFont="1" applyFill="1" applyBorder="1" applyAlignment="1">
      <alignment horizontal="center" vertical="center" wrapText="1"/>
    </xf>
    <xf numFmtId="171" fontId="1" fillId="0" borderId="2" xfId="1" applyNumberFormat="1" applyFont="1" applyFill="1" applyBorder="1" applyAlignment="1">
      <alignment vertical="center" wrapText="1"/>
    </xf>
    <xf numFmtId="171" fontId="1" fillId="0" borderId="12" xfId="1" applyNumberFormat="1" applyFont="1" applyFill="1" applyBorder="1" applyAlignment="1">
      <alignment horizontal="left" vertical="center" wrapText="1"/>
    </xf>
    <xf numFmtId="171" fontId="1" fillId="0" borderId="16" xfId="1" applyNumberFormat="1" applyFont="1" applyFill="1" applyBorder="1" applyAlignment="1">
      <alignment vertical="center" wrapText="1"/>
    </xf>
    <xf numFmtId="171" fontId="1" fillId="0" borderId="18" xfId="1" applyNumberFormat="1" applyFont="1" applyFill="1" applyBorder="1" applyAlignment="1">
      <alignment horizontal="left" vertical="center" wrapText="1"/>
    </xf>
    <xf numFmtId="0" fontId="1" fillId="0" borderId="15" xfId="0" applyFont="1" applyFill="1" applyBorder="1" applyAlignment="1" applyProtection="1">
      <alignment horizontal="center" vertical="center" wrapText="1"/>
      <protection hidden="1"/>
    </xf>
    <xf numFmtId="0" fontId="1" fillId="0" borderId="12" xfId="0" applyFont="1" applyFill="1" applyBorder="1" applyAlignment="1" applyProtection="1">
      <alignment horizontal="center" vertical="center" wrapText="1"/>
      <protection hidden="1"/>
    </xf>
    <xf numFmtId="0" fontId="1" fillId="2" borderId="12" xfId="0" applyFont="1" applyFill="1" applyBorder="1" applyAlignment="1" applyProtection="1">
      <alignment horizontal="center" vertical="center" wrapText="1"/>
      <protection hidden="1"/>
    </xf>
    <xf numFmtId="0" fontId="1" fillId="0" borderId="18" xfId="0" applyFont="1" applyFill="1" applyBorder="1" applyAlignment="1" applyProtection="1">
      <alignment horizontal="center" vertical="center" wrapText="1"/>
      <protection hidden="1"/>
    </xf>
    <xf numFmtId="171" fontId="1" fillId="0" borderId="28" xfId="1" applyNumberFormat="1" applyFont="1" applyFill="1" applyBorder="1" applyAlignment="1">
      <alignment horizontal="center" vertical="center" wrapText="1"/>
    </xf>
    <xf numFmtId="171" fontId="1" fillId="0" borderId="29" xfId="1" applyNumberFormat="1" applyFont="1" applyFill="1" applyBorder="1" applyAlignment="1">
      <alignment horizontal="center" vertical="center" wrapText="1"/>
    </xf>
    <xf numFmtId="171" fontId="1" fillId="0" borderId="2" xfId="1" applyNumberFormat="1" applyFont="1" applyFill="1" applyBorder="1" applyAlignment="1">
      <alignment horizontal="center" vertical="center" wrapText="1"/>
    </xf>
    <xf numFmtId="171" fontId="1" fillId="0" borderId="12" xfId="1" applyNumberFormat="1" applyFont="1" applyFill="1" applyBorder="1" applyAlignment="1">
      <alignment horizontal="center" vertical="center" wrapText="1"/>
    </xf>
    <xf numFmtId="171" fontId="1" fillId="0" borderId="16" xfId="1" applyNumberFormat="1" applyFont="1" applyFill="1" applyBorder="1" applyAlignment="1">
      <alignment horizontal="center" vertical="center" wrapText="1"/>
    </xf>
    <xf numFmtId="171" fontId="1" fillId="0" borderId="17" xfId="1" applyNumberFormat="1" applyFont="1" applyFill="1" applyBorder="1" applyAlignment="1">
      <alignment horizontal="center" vertical="center" wrapText="1"/>
    </xf>
    <xf numFmtId="171" fontId="1" fillId="0" borderId="18" xfId="1" applyNumberFormat="1" applyFont="1" applyFill="1" applyBorder="1" applyAlignment="1">
      <alignment horizontal="center" vertical="center" wrapText="1"/>
    </xf>
    <xf numFmtId="171" fontId="6" fillId="0" borderId="26" xfId="0" applyNumberFormat="1" applyFont="1" applyFill="1" applyBorder="1" applyAlignment="1">
      <alignment horizontal="center" vertical="center" wrapText="1"/>
    </xf>
    <xf numFmtId="171" fontId="6" fillId="0" borderId="19" xfId="0" applyNumberFormat="1" applyFont="1" applyFill="1" applyBorder="1" applyAlignment="1">
      <alignment horizontal="center" vertical="center" wrapText="1"/>
    </xf>
    <xf numFmtId="171" fontId="6" fillId="0" borderId="5" xfId="0" applyNumberFormat="1" applyFont="1" applyFill="1" applyBorder="1" applyAlignment="1">
      <alignment horizontal="center" vertical="center" wrapText="1"/>
    </xf>
    <xf numFmtId="171" fontId="1" fillId="0" borderId="28" xfId="1" applyNumberFormat="1" applyFont="1" applyFill="1" applyBorder="1" applyAlignment="1">
      <alignment horizontal="left" vertical="center" wrapText="1"/>
    </xf>
    <xf numFmtId="171" fontId="1" fillId="0" borderId="29" xfId="1" applyNumberFormat="1" applyFont="1" applyFill="1" applyBorder="1" applyAlignment="1">
      <alignment horizontal="left" vertical="center" wrapText="1"/>
    </xf>
    <xf numFmtId="171" fontId="1" fillId="0" borderId="2" xfId="1" applyNumberFormat="1" applyFont="1" applyFill="1" applyBorder="1" applyAlignment="1">
      <alignment horizontal="left" vertical="center" wrapText="1"/>
    </xf>
    <xf numFmtId="171" fontId="1" fillId="0" borderId="16" xfId="1" applyNumberFormat="1" applyFont="1" applyFill="1" applyBorder="1" applyAlignment="1">
      <alignment horizontal="left" vertical="center" wrapText="1"/>
    </xf>
    <xf numFmtId="164" fontId="1" fillId="0" borderId="13" xfId="2" applyFont="1" applyFill="1" applyBorder="1" applyAlignment="1">
      <alignment horizontal="left" vertical="center" wrapText="1"/>
    </xf>
    <xf numFmtId="164" fontId="5" fillId="0" borderId="15" xfId="2" applyFont="1" applyFill="1" applyBorder="1" applyAlignment="1">
      <alignment horizontal="left" vertical="center" wrapText="1"/>
    </xf>
    <xf numFmtId="164" fontId="5" fillId="0" borderId="12" xfId="2" applyFont="1" applyFill="1" applyBorder="1" applyAlignment="1">
      <alignment horizontal="left" vertical="center" wrapText="1"/>
    </xf>
    <xf numFmtId="164" fontId="5" fillId="0" borderId="18" xfId="2" applyFont="1" applyFill="1" applyBorder="1" applyAlignment="1">
      <alignment horizontal="left" vertical="center" wrapText="1"/>
    </xf>
    <xf numFmtId="164" fontId="3" fillId="0" borderId="21" xfId="2" applyFont="1" applyFill="1" applyBorder="1" applyAlignment="1">
      <alignment vertical="center" wrapText="1"/>
    </xf>
    <xf numFmtId="164" fontId="3" fillId="0" borderId="20" xfId="2" applyFont="1" applyFill="1" applyBorder="1" applyAlignment="1">
      <alignment horizontal="center" vertical="center" wrapText="1"/>
    </xf>
    <xf numFmtId="171" fontId="1" fillId="0" borderId="24" xfId="1" applyNumberFormat="1" applyFont="1" applyFill="1" applyBorder="1" applyAlignment="1">
      <alignment horizontal="left" vertical="center" wrapText="1"/>
    </xf>
    <xf numFmtId="171" fontId="1" fillId="0" borderId="25" xfId="1" applyNumberFormat="1" applyFont="1" applyFill="1" applyBorder="1" applyAlignment="1">
      <alignment horizontal="left" vertical="center" wrapText="1"/>
    </xf>
    <xf numFmtId="171" fontId="1" fillId="0" borderId="32" xfId="1" applyNumberFormat="1" applyFont="1" applyFill="1" applyBorder="1" applyAlignment="1">
      <alignment horizontal="left" vertical="center" wrapText="1"/>
    </xf>
    <xf numFmtId="164" fontId="1" fillId="0" borderId="2" xfId="2" applyFont="1" applyFill="1" applyBorder="1" applyAlignment="1">
      <alignment horizontal="left" vertical="center" wrapText="1"/>
    </xf>
    <xf numFmtId="164" fontId="1" fillId="0" borderId="16" xfId="2" applyFont="1" applyFill="1" applyBorder="1" applyAlignment="1">
      <alignment horizontal="left" vertical="center" wrapText="1"/>
    </xf>
    <xf numFmtId="164" fontId="1" fillId="0" borderId="17" xfId="2" applyFont="1" applyFill="1" applyBorder="1" applyAlignment="1">
      <alignment horizontal="left" vertical="center" wrapText="1"/>
    </xf>
    <xf numFmtId="171" fontId="1" fillId="0" borderId="14" xfId="1" applyNumberFormat="1" applyFont="1" applyFill="1" applyBorder="1" applyAlignment="1">
      <alignment vertical="center" wrapText="1"/>
    </xf>
    <xf numFmtId="171" fontId="1" fillId="0" borderId="28" xfId="1" applyNumberFormat="1" applyFont="1" applyFill="1" applyBorder="1" applyAlignment="1">
      <alignment vertical="center" wrapText="1"/>
    </xf>
    <xf numFmtId="164" fontId="1" fillId="0" borderId="14" xfId="2" applyFont="1" applyFill="1" applyBorder="1" applyAlignment="1">
      <alignment horizontal="left" vertical="center" wrapText="1"/>
    </xf>
    <xf numFmtId="171" fontId="1" fillId="3" borderId="1" xfId="1" applyNumberFormat="1" applyFont="1" applyFill="1" applyBorder="1" applyAlignment="1">
      <alignment vertical="center" wrapText="1"/>
    </xf>
    <xf numFmtId="171" fontId="8" fillId="0" borderId="0" xfId="1" applyNumberFormat="1" applyFont="1" applyFill="1" applyBorder="1" applyAlignment="1">
      <alignment horizontal="left" vertical="center" wrapText="1"/>
    </xf>
    <xf numFmtId="171" fontId="8" fillId="0" borderId="25" xfId="1" applyNumberFormat="1" applyFont="1" applyFill="1" applyBorder="1" applyAlignment="1">
      <alignment horizontal="left" vertical="center" wrapText="1"/>
    </xf>
    <xf numFmtId="171" fontId="8" fillId="0" borderId="32" xfId="1" applyNumberFormat="1" applyFont="1" applyFill="1" applyBorder="1" applyAlignment="1">
      <alignment horizontal="left" vertical="center" wrapText="1"/>
    </xf>
    <xf numFmtId="165" fontId="8" fillId="0" borderId="0" xfId="1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171" fontId="8" fillId="0" borderId="0" xfId="1" applyNumberFormat="1" applyFont="1" applyFill="1" applyBorder="1" applyAlignment="1">
      <alignment vertical="center" wrapText="1"/>
    </xf>
    <xf numFmtId="164" fontId="8" fillId="0" borderId="0" xfId="2" applyFont="1" applyFill="1" applyBorder="1" applyAlignment="1">
      <alignment horizontal="left" vertical="center" wrapText="1"/>
    </xf>
    <xf numFmtId="164" fontId="10" fillId="0" borderId="31" xfId="2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167" fontId="10" fillId="0" borderId="20" xfId="0" applyNumberFormat="1" applyFont="1" applyFill="1" applyBorder="1" applyAlignment="1">
      <alignment horizontal="center" vertical="center" wrapText="1"/>
    </xf>
    <xf numFmtId="171" fontId="10" fillId="0" borderId="26" xfId="1" applyNumberFormat="1" applyFont="1" applyFill="1" applyBorder="1" applyAlignment="1">
      <alignment horizontal="center" vertical="center" wrapText="1"/>
    </xf>
    <xf numFmtId="171" fontId="10" fillId="0" borderId="20" xfId="1" applyNumberFormat="1" applyFont="1" applyFill="1" applyBorder="1" applyAlignment="1">
      <alignment horizontal="center" vertical="center" wrapText="1"/>
    </xf>
    <xf numFmtId="171" fontId="10" fillId="0" borderId="21" xfId="1" applyNumberFormat="1" applyFont="1" applyFill="1" applyBorder="1" applyAlignment="1">
      <alignment horizontal="center" vertical="center" wrapText="1"/>
    </xf>
    <xf numFmtId="164" fontId="10" fillId="0" borderId="4" xfId="2" applyFont="1" applyFill="1" applyBorder="1" applyAlignment="1">
      <alignment horizontal="center" vertical="center" wrapText="1"/>
    </xf>
    <xf numFmtId="164" fontId="10" fillId="0" borderId="20" xfId="2" applyFont="1" applyFill="1" applyBorder="1" applyAlignment="1">
      <alignment horizontal="center" vertical="center" wrapText="1"/>
    </xf>
    <xf numFmtId="164" fontId="10" fillId="0" borderId="21" xfId="2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center" vertical="center" wrapText="1"/>
    </xf>
    <xf numFmtId="171" fontId="8" fillId="0" borderId="14" xfId="1" applyNumberFormat="1" applyFont="1" applyFill="1" applyBorder="1" applyAlignment="1">
      <alignment vertical="center" wrapText="1"/>
    </xf>
    <xf numFmtId="0" fontId="8" fillId="0" borderId="15" xfId="0" applyFont="1" applyFill="1" applyBorder="1" applyAlignment="1" applyProtection="1">
      <alignment horizontal="center" vertical="center" wrapText="1"/>
      <protection hidden="1"/>
    </xf>
    <xf numFmtId="171" fontId="8" fillId="0" borderId="14" xfId="1" applyNumberFormat="1" applyFont="1" applyFill="1" applyBorder="1" applyAlignment="1">
      <alignment horizontal="left" vertical="center" wrapText="1"/>
    </xf>
    <xf numFmtId="171" fontId="8" fillId="0" borderId="27" xfId="1" applyNumberFormat="1" applyFont="1" applyFill="1" applyBorder="1" applyAlignment="1">
      <alignment horizontal="center" vertical="center" wrapText="1"/>
    </xf>
    <xf numFmtId="171" fontId="8" fillId="0" borderId="22" xfId="1" applyNumberFormat="1" applyFont="1" applyFill="1" applyBorder="1" applyAlignment="1">
      <alignment horizontal="center" vertical="center" wrapText="1"/>
    </xf>
    <xf numFmtId="171" fontId="8" fillId="0" borderId="29" xfId="1" applyNumberFormat="1" applyFont="1" applyFill="1" applyBorder="1" applyAlignment="1">
      <alignment horizontal="center" vertical="center" wrapText="1"/>
    </xf>
    <xf numFmtId="171" fontId="8" fillId="0" borderId="28" xfId="1" applyNumberFormat="1" applyFont="1" applyFill="1" applyBorder="1" applyAlignment="1">
      <alignment horizontal="left" vertical="center" wrapText="1"/>
    </xf>
    <xf numFmtId="171" fontId="8" fillId="0" borderId="22" xfId="1" applyNumberFormat="1" applyFont="1" applyFill="1" applyBorder="1" applyAlignment="1">
      <alignment horizontal="left" vertical="center" wrapText="1"/>
    </xf>
    <xf numFmtId="171" fontId="8" fillId="0" borderId="24" xfId="1" applyNumberFormat="1" applyFont="1" applyFill="1" applyBorder="1" applyAlignment="1">
      <alignment horizontal="left" vertical="center" wrapText="1"/>
    </xf>
    <xf numFmtId="164" fontId="8" fillId="0" borderId="13" xfId="2" applyFont="1" applyFill="1" applyBorder="1" applyAlignment="1">
      <alignment horizontal="left" vertical="center" wrapText="1"/>
    </xf>
    <xf numFmtId="164" fontId="8" fillId="0" borderId="14" xfId="2" applyFont="1" applyFill="1" applyBorder="1" applyAlignment="1">
      <alignment horizontal="left" vertical="center" wrapText="1"/>
    </xf>
    <xf numFmtId="164" fontId="11" fillId="0" borderId="15" xfId="2" applyFont="1" applyFill="1" applyBorder="1" applyAlignment="1">
      <alignment horizontal="left" vertical="center" wrapText="1"/>
    </xf>
    <xf numFmtId="171" fontId="8" fillId="0" borderId="1" xfId="1" applyNumberFormat="1" applyFont="1" applyFill="1" applyBorder="1" applyAlignment="1">
      <alignment vertical="center" wrapText="1"/>
    </xf>
    <xf numFmtId="0" fontId="8" fillId="0" borderId="12" xfId="0" applyFont="1" applyFill="1" applyBorder="1" applyAlignment="1" applyProtection="1">
      <alignment horizontal="center" vertical="center" wrapText="1"/>
      <protection hidden="1"/>
    </xf>
    <xf numFmtId="171" fontId="8" fillId="0" borderId="1" xfId="1" applyNumberFormat="1" applyFont="1" applyFill="1" applyBorder="1" applyAlignment="1">
      <alignment horizontal="left" vertical="center" wrapText="1"/>
    </xf>
    <xf numFmtId="171" fontId="8" fillId="0" borderId="3" xfId="1" applyNumberFormat="1" applyFont="1" applyFill="1" applyBorder="1" applyAlignment="1">
      <alignment horizontal="center" vertical="center" wrapText="1"/>
    </xf>
    <xf numFmtId="171" fontId="8" fillId="0" borderId="1" xfId="1" applyNumberFormat="1" applyFont="1" applyFill="1" applyBorder="1" applyAlignment="1">
      <alignment horizontal="center" vertical="center" wrapText="1"/>
    </xf>
    <xf numFmtId="171" fontId="8" fillId="0" borderId="12" xfId="1" applyNumberFormat="1" applyFont="1" applyFill="1" applyBorder="1" applyAlignment="1">
      <alignment horizontal="center" vertical="center" wrapText="1"/>
    </xf>
    <xf numFmtId="171" fontId="8" fillId="0" borderId="2" xfId="1" applyNumberFormat="1" applyFont="1" applyFill="1" applyBorder="1" applyAlignment="1">
      <alignment horizontal="left" vertical="center" wrapText="1"/>
    </xf>
    <xf numFmtId="164" fontId="8" fillId="0" borderId="2" xfId="2" applyFont="1" applyFill="1" applyBorder="1" applyAlignment="1">
      <alignment horizontal="left" vertical="center" wrapText="1"/>
    </xf>
    <xf numFmtId="164" fontId="8" fillId="0" borderId="1" xfId="2" applyFont="1" applyFill="1" applyBorder="1" applyAlignment="1">
      <alignment horizontal="left" vertical="center" wrapText="1"/>
    </xf>
    <xf numFmtId="164" fontId="11" fillId="0" borderId="12" xfId="2" applyFont="1" applyFill="1" applyBorder="1" applyAlignment="1">
      <alignment horizontal="left" vertical="center" wrapText="1"/>
    </xf>
    <xf numFmtId="164" fontId="8" fillId="3" borderId="1" xfId="2" applyFont="1" applyFill="1" applyBorder="1" applyAlignment="1">
      <alignment horizontal="left" vertical="center" wrapText="1"/>
    </xf>
    <xf numFmtId="171" fontId="8" fillId="2" borderId="1" xfId="1" applyNumberFormat="1" applyFont="1" applyFill="1" applyBorder="1" applyAlignment="1">
      <alignment vertical="center" wrapText="1"/>
    </xf>
    <xf numFmtId="164" fontId="11" fillId="0" borderId="1" xfId="2" applyFont="1" applyFill="1" applyBorder="1" applyAlignment="1">
      <alignment horizontal="left" vertical="center" wrapText="1"/>
    </xf>
    <xf numFmtId="164" fontId="11" fillId="3" borderId="1" xfId="2" applyFont="1" applyFill="1" applyBorder="1" applyAlignment="1">
      <alignment horizontal="left" vertical="center" wrapText="1"/>
    </xf>
    <xf numFmtId="0" fontId="8" fillId="0" borderId="16" xfId="0" applyFont="1" applyFill="1" applyBorder="1" applyAlignment="1">
      <alignment horizontal="center" vertical="center" wrapText="1"/>
    </xf>
    <xf numFmtId="171" fontId="8" fillId="0" borderId="17" xfId="1" applyNumberFormat="1" applyFont="1" applyFill="1" applyBorder="1" applyAlignment="1">
      <alignment vertical="center" wrapText="1"/>
    </xf>
    <xf numFmtId="0" fontId="8" fillId="0" borderId="18" xfId="0" applyFont="1" applyFill="1" applyBorder="1" applyAlignment="1" applyProtection="1">
      <alignment horizontal="center" vertical="center" wrapText="1"/>
      <protection hidden="1"/>
    </xf>
    <xf numFmtId="171" fontId="8" fillId="0" borderId="17" xfId="1" applyNumberFormat="1" applyFont="1" applyFill="1" applyBorder="1" applyAlignment="1">
      <alignment horizontal="left" vertical="center" wrapText="1"/>
    </xf>
    <xf numFmtId="171" fontId="8" fillId="0" borderId="33" xfId="1" applyNumberFormat="1" applyFont="1" applyFill="1" applyBorder="1" applyAlignment="1">
      <alignment horizontal="center" vertical="center" wrapText="1"/>
    </xf>
    <xf numFmtId="171" fontId="8" fillId="0" borderId="17" xfId="1" applyNumberFormat="1" applyFont="1" applyFill="1" applyBorder="1" applyAlignment="1">
      <alignment horizontal="center" vertical="center" wrapText="1"/>
    </xf>
    <xf numFmtId="171" fontId="8" fillId="0" borderId="18" xfId="1" applyNumberFormat="1" applyFont="1" applyFill="1" applyBorder="1" applyAlignment="1">
      <alignment horizontal="center" vertical="center" wrapText="1"/>
    </xf>
    <xf numFmtId="171" fontId="8" fillId="0" borderId="16" xfId="1" applyNumberFormat="1" applyFont="1" applyFill="1" applyBorder="1" applyAlignment="1">
      <alignment horizontal="left" vertical="center" wrapText="1"/>
    </xf>
    <xf numFmtId="164" fontId="8" fillId="0" borderId="16" xfId="2" applyFont="1" applyFill="1" applyBorder="1" applyAlignment="1">
      <alignment horizontal="left" vertical="center" wrapText="1"/>
    </xf>
    <xf numFmtId="164" fontId="8" fillId="3" borderId="17" xfId="2" applyFont="1" applyFill="1" applyBorder="1" applyAlignment="1">
      <alignment horizontal="left" vertical="center" wrapText="1"/>
    </xf>
    <xf numFmtId="164" fontId="11" fillId="0" borderId="18" xfId="2" applyFont="1" applyFill="1" applyBorder="1" applyAlignment="1">
      <alignment horizontal="left" vertical="center" wrapText="1"/>
    </xf>
    <xf numFmtId="165" fontId="9" fillId="0" borderId="0" xfId="1" applyFont="1" applyFill="1" applyBorder="1" applyAlignment="1">
      <alignment horizontal="left" vertical="center" wrapText="1"/>
    </xf>
    <xf numFmtId="167" fontId="10" fillId="0" borderId="23" xfId="0" applyNumberFormat="1" applyFont="1" applyFill="1" applyBorder="1" applyAlignment="1">
      <alignment horizontal="center" vertical="center" wrapText="1"/>
    </xf>
    <xf numFmtId="0" fontId="8" fillId="0" borderId="34" xfId="0" applyFont="1" applyFill="1" applyBorder="1" applyAlignment="1" applyProtection="1">
      <alignment horizontal="center" vertical="center" wrapText="1"/>
      <protection hidden="1"/>
    </xf>
    <xf numFmtId="0" fontId="8" fillId="0" borderId="25" xfId="0" applyFont="1" applyFill="1" applyBorder="1" applyAlignment="1" applyProtection="1">
      <alignment horizontal="center" vertical="center" wrapText="1"/>
      <protection hidden="1"/>
    </xf>
    <xf numFmtId="0" fontId="8" fillId="0" borderId="32" xfId="0" applyFont="1" applyFill="1" applyBorder="1" applyAlignment="1" applyProtection="1">
      <alignment horizontal="center" vertical="center" wrapText="1"/>
      <protection hidden="1"/>
    </xf>
    <xf numFmtId="171" fontId="6" fillId="4" borderId="16" xfId="1" applyNumberFormat="1" applyFont="1" applyFill="1" applyBorder="1" applyAlignment="1">
      <alignment horizontal="center" vertical="center" wrapText="1"/>
    </xf>
    <xf numFmtId="171" fontId="6" fillId="4" borderId="17" xfId="1" applyNumberFormat="1" applyFont="1" applyFill="1" applyBorder="1" applyAlignment="1">
      <alignment horizontal="center" vertical="center" wrapText="1"/>
    </xf>
    <xf numFmtId="165" fontId="14" fillId="4" borderId="17" xfId="1" applyFont="1" applyFill="1" applyBorder="1" applyAlignment="1">
      <alignment horizontal="center" vertical="center" wrapText="1"/>
    </xf>
    <xf numFmtId="171" fontId="6" fillId="4" borderId="18" xfId="1" applyNumberFormat="1" applyFont="1" applyFill="1" applyBorder="1" applyAlignment="1">
      <alignment horizontal="center" vertical="center" wrapText="1"/>
    </xf>
    <xf numFmtId="171" fontId="8" fillId="4" borderId="28" xfId="1" applyNumberFormat="1" applyFont="1" applyFill="1" applyBorder="1" applyAlignment="1">
      <alignment vertical="center" wrapText="1"/>
    </xf>
    <xf numFmtId="171" fontId="8" fillId="4" borderId="22" xfId="1" applyNumberFormat="1" applyFont="1" applyFill="1" applyBorder="1" applyAlignment="1">
      <alignment horizontal="left" vertical="center" wrapText="1"/>
    </xf>
    <xf numFmtId="171" fontId="8" fillId="4" borderId="29" xfId="1" applyNumberFormat="1" applyFont="1" applyFill="1" applyBorder="1" applyAlignment="1">
      <alignment horizontal="left" vertical="center" wrapText="1"/>
    </xf>
    <xf numFmtId="171" fontId="8" fillId="4" borderId="2" xfId="1" applyNumberFormat="1" applyFont="1" applyFill="1" applyBorder="1" applyAlignment="1">
      <alignment vertical="center" wrapText="1"/>
    </xf>
    <xf numFmtId="171" fontId="8" fillId="4" borderId="1" xfId="1" applyNumberFormat="1" applyFont="1" applyFill="1" applyBorder="1" applyAlignment="1">
      <alignment horizontal="left" vertical="center" wrapText="1"/>
    </xf>
    <xf numFmtId="171" fontId="8" fillId="4" borderId="12" xfId="1" applyNumberFormat="1" applyFont="1" applyFill="1" applyBorder="1" applyAlignment="1">
      <alignment horizontal="left" vertical="center" wrapText="1"/>
    </xf>
    <xf numFmtId="171" fontId="7" fillId="4" borderId="2" xfId="1" applyNumberFormat="1" applyFont="1" applyFill="1" applyBorder="1" applyAlignment="1">
      <alignment vertical="center" wrapText="1"/>
    </xf>
    <xf numFmtId="171" fontId="7" fillId="4" borderId="1" xfId="1" applyNumberFormat="1" applyFont="1" applyFill="1" applyBorder="1" applyAlignment="1">
      <alignment horizontal="center" vertical="center" wrapText="1"/>
    </xf>
    <xf numFmtId="171" fontId="7" fillId="4" borderId="12" xfId="1" applyNumberFormat="1" applyFont="1" applyFill="1" applyBorder="1" applyAlignment="1">
      <alignment horizontal="center" vertical="center" wrapText="1"/>
    </xf>
    <xf numFmtId="171" fontId="8" fillId="4" borderId="1" xfId="1" applyNumberFormat="1" applyFont="1" applyFill="1" applyBorder="1" applyAlignment="1">
      <alignment vertical="center" wrapText="1"/>
    </xf>
    <xf numFmtId="171" fontId="8" fillId="4" borderId="16" xfId="1" applyNumberFormat="1" applyFont="1" applyFill="1" applyBorder="1" applyAlignment="1">
      <alignment vertical="center" wrapText="1"/>
    </xf>
    <xf numFmtId="171" fontId="8" fillId="4" borderId="17" xfId="1" applyNumberFormat="1" applyFont="1" applyFill="1" applyBorder="1" applyAlignment="1">
      <alignment horizontal="left" vertical="center" wrapText="1"/>
    </xf>
    <xf numFmtId="171" fontId="8" fillId="4" borderId="18" xfId="1" applyNumberFormat="1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 applyProtection="1">
      <alignment horizontal="center" vertical="center" wrapText="1"/>
      <protection hidden="1"/>
    </xf>
    <xf numFmtId="171" fontId="8" fillId="2" borderId="2" xfId="1" applyNumberFormat="1" applyFont="1" applyFill="1" applyBorder="1" applyAlignment="1">
      <alignment vertical="center" wrapText="1"/>
    </xf>
    <xf numFmtId="171" fontId="8" fillId="2" borderId="1" xfId="1" applyNumberFormat="1" applyFont="1" applyFill="1" applyBorder="1" applyAlignment="1">
      <alignment horizontal="left" vertical="center" wrapText="1"/>
    </xf>
    <xf numFmtId="171" fontId="8" fillId="2" borderId="12" xfId="1" applyNumberFormat="1" applyFont="1" applyFill="1" applyBorder="1" applyAlignment="1">
      <alignment horizontal="left" vertical="center" wrapText="1"/>
    </xf>
    <xf numFmtId="171" fontId="8" fillId="2" borderId="3" xfId="1" applyNumberFormat="1" applyFont="1" applyFill="1" applyBorder="1" applyAlignment="1">
      <alignment horizontal="center" vertical="center" wrapText="1"/>
    </xf>
    <xf numFmtId="171" fontId="8" fillId="2" borderId="1" xfId="1" applyNumberFormat="1" applyFont="1" applyFill="1" applyBorder="1" applyAlignment="1">
      <alignment horizontal="center" vertical="center" wrapText="1"/>
    </xf>
    <xf numFmtId="171" fontId="8" fillId="2" borderId="12" xfId="1" applyNumberFormat="1" applyFont="1" applyFill="1" applyBorder="1" applyAlignment="1">
      <alignment horizontal="center" vertical="center" wrapText="1"/>
    </xf>
    <xf numFmtId="171" fontId="8" fillId="2" borderId="2" xfId="1" applyNumberFormat="1" applyFont="1" applyFill="1" applyBorder="1" applyAlignment="1">
      <alignment horizontal="left" vertical="center" wrapText="1"/>
    </xf>
    <xf numFmtId="171" fontId="8" fillId="2" borderId="25" xfId="1" applyNumberFormat="1" applyFont="1" applyFill="1" applyBorder="1" applyAlignment="1">
      <alignment horizontal="left" vertical="center" wrapText="1"/>
    </xf>
    <xf numFmtId="164" fontId="8" fillId="2" borderId="2" xfId="2" applyFont="1" applyFill="1" applyBorder="1" applyAlignment="1">
      <alignment horizontal="left" vertical="center" wrapText="1"/>
    </xf>
    <xf numFmtId="164" fontId="8" fillId="2" borderId="1" xfId="2" applyFont="1" applyFill="1" applyBorder="1" applyAlignment="1">
      <alignment horizontal="left" vertical="center" wrapText="1"/>
    </xf>
    <xf numFmtId="164" fontId="11" fillId="2" borderId="12" xfId="2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left" vertical="center" wrapText="1"/>
    </xf>
    <xf numFmtId="167" fontId="10" fillId="0" borderId="35" xfId="0" applyNumberFormat="1" applyFont="1" applyFill="1" applyBorder="1" applyAlignment="1">
      <alignment horizontal="center" vertical="center" wrapText="1"/>
    </xf>
    <xf numFmtId="167" fontId="10" fillId="0" borderId="36" xfId="0" applyNumberFormat="1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171" fontId="10" fillId="0" borderId="23" xfId="1" applyNumberFormat="1" applyFont="1" applyFill="1" applyBorder="1" applyAlignment="1">
      <alignment horizontal="center" vertical="center" wrapText="1"/>
    </xf>
    <xf numFmtId="171" fontId="8" fillId="0" borderId="24" xfId="1" applyNumberFormat="1" applyFont="1" applyFill="1" applyBorder="1" applyAlignment="1">
      <alignment horizontal="center" vertical="center" wrapText="1"/>
    </xf>
    <xf numFmtId="171" fontId="8" fillId="0" borderId="25" xfId="1" applyNumberFormat="1" applyFont="1" applyFill="1" applyBorder="1" applyAlignment="1">
      <alignment horizontal="center" vertical="center" wrapText="1"/>
    </xf>
    <xf numFmtId="171" fontId="8" fillId="0" borderId="32" xfId="1" applyNumberFormat="1" applyFont="1" applyFill="1" applyBorder="1" applyAlignment="1">
      <alignment horizontal="center" vertical="center" wrapText="1"/>
    </xf>
    <xf numFmtId="164" fontId="8" fillId="0" borderId="38" xfId="2" applyFont="1" applyFill="1" applyBorder="1" applyAlignment="1">
      <alignment horizontal="left" vertical="center" wrapText="1"/>
    </xf>
    <xf numFmtId="164" fontId="8" fillId="0" borderId="3" xfId="2" applyFont="1" applyFill="1" applyBorder="1" applyAlignment="1">
      <alignment horizontal="left" vertical="center" wrapText="1"/>
    </xf>
    <xf numFmtId="171" fontId="8" fillId="0" borderId="13" xfId="1" applyNumberFormat="1" applyFont="1" applyFill="1" applyBorder="1" applyAlignment="1">
      <alignment horizontal="left" vertical="center" wrapText="1"/>
    </xf>
    <xf numFmtId="171" fontId="8" fillId="0" borderId="34" xfId="1" applyNumberFormat="1" applyFont="1" applyFill="1" applyBorder="1" applyAlignment="1">
      <alignment horizontal="left" vertical="center" wrapText="1"/>
    </xf>
    <xf numFmtId="164" fontId="10" fillId="0" borderId="37" xfId="2" applyFont="1" applyFill="1" applyBorder="1" applyAlignment="1">
      <alignment horizontal="center" vertical="center" wrapText="1"/>
    </xf>
    <xf numFmtId="164" fontId="8" fillId="3" borderId="3" xfId="2" applyFont="1" applyFill="1" applyBorder="1" applyAlignment="1">
      <alignment horizontal="left" vertical="center" wrapText="1"/>
    </xf>
    <xf numFmtId="164" fontId="11" fillId="0" borderId="3" xfId="2" applyFont="1" applyFill="1" applyBorder="1" applyAlignment="1">
      <alignment horizontal="left" vertical="center" wrapText="1"/>
    </xf>
    <xf numFmtId="164" fontId="11" fillId="3" borderId="3" xfId="2" applyFont="1" applyFill="1" applyBorder="1" applyAlignment="1">
      <alignment horizontal="left" vertical="center" wrapText="1"/>
    </xf>
    <xf numFmtId="164" fontId="8" fillId="3" borderId="33" xfId="2" applyFont="1" applyFill="1" applyBorder="1" applyAlignment="1">
      <alignment horizontal="left" vertical="center" wrapText="1"/>
    </xf>
    <xf numFmtId="164" fontId="8" fillId="0" borderId="39" xfId="2" applyFont="1" applyFill="1" applyBorder="1" applyAlignment="1">
      <alignment horizontal="left" vertical="center" wrapText="1"/>
    </xf>
    <xf numFmtId="164" fontId="8" fillId="0" borderId="40" xfId="2" applyFont="1" applyFill="1" applyBorder="1" applyAlignment="1">
      <alignment horizontal="left" vertical="center" wrapText="1"/>
    </xf>
    <xf numFmtId="164" fontId="8" fillId="0" borderId="41" xfId="2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 wrapText="1"/>
    </xf>
    <xf numFmtId="171" fontId="12" fillId="4" borderId="16" xfId="1" applyNumberFormat="1" applyFont="1" applyFill="1" applyBorder="1" applyAlignment="1">
      <alignment horizontal="center" vertical="center" wrapText="1"/>
    </xf>
    <xf numFmtId="171" fontId="12" fillId="4" borderId="17" xfId="1" applyNumberFormat="1" applyFont="1" applyFill="1" applyBorder="1" applyAlignment="1">
      <alignment horizontal="center" vertical="center" wrapText="1"/>
    </xf>
    <xf numFmtId="165" fontId="12" fillId="4" borderId="17" xfId="1" applyFont="1" applyFill="1" applyBorder="1" applyAlignment="1">
      <alignment horizontal="center" vertical="center" wrapText="1"/>
    </xf>
    <xf numFmtId="171" fontId="12" fillId="4" borderId="18" xfId="1" applyNumberFormat="1" applyFont="1" applyFill="1" applyBorder="1" applyAlignment="1">
      <alignment horizontal="center" vertical="center" wrapText="1"/>
    </xf>
    <xf numFmtId="171" fontId="12" fillId="0" borderId="11" xfId="0" applyNumberFormat="1" applyFont="1" applyFill="1" applyBorder="1" applyAlignment="1">
      <alignment horizontal="center" vertical="center" wrapText="1"/>
    </xf>
    <xf numFmtId="171" fontId="12" fillId="0" borderId="35" xfId="0" applyNumberFormat="1" applyFont="1" applyFill="1" applyBorder="1" applyAlignment="1">
      <alignment horizontal="center" vertical="center" wrapText="1"/>
    </xf>
    <xf numFmtId="171" fontId="12" fillId="0" borderId="37" xfId="0" applyNumberFormat="1" applyFont="1" applyFill="1" applyBorder="1" applyAlignment="1">
      <alignment horizontal="center" vertical="center" wrapText="1"/>
    </xf>
    <xf numFmtId="171" fontId="13" fillId="0" borderId="1" xfId="1" applyNumberFormat="1" applyFont="1" applyFill="1" applyBorder="1" applyAlignment="1">
      <alignment vertical="center" wrapText="1"/>
    </xf>
    <xf numFmtId="171" fontId="13" fillId="4" borderId="2" xfId="1" applyNumberFormat="1" applyFont="1" applyFill="1" applyBorder="1" applyAlignment="1">
      <alignment vertical="center" wrapText="1"/>
    </xf>
    <xf numFmtId="171" fontId="13" fillId="4" borderId="1" xfId="1" applyNumberFormat="1" applyFont="1" applyFill="1" applyBorder="1" applyAlignment="1">
      <alignment horizontal="center" vertical="center" wrapText="1"/>
    </xf>
    <xf numFmtId="171" fontId="13" fillId="4" borderId="12" xfId="1" applyNumberFormat="1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164" fontId="10" fillId="0" borderId="21" xfId="0" applyNumberFormat="1" applyFont="1" applyFill="1" applyBorder="1" applyAlignment="1">
      <alignment horizontal="left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164" fontId="8" fillId="0" borderId="12" xfId="0" applyNumberFormat="1" applyFont="1" applyFill="1" applyBorder="1" applyAlignment="1">
      <alignment horizontal="left" vertical="center" wrapText="1"/>
    </xf>
    <xf numFmtId="164" fontId="8" fillId="0" borderId="18" xfId="0" applyNumberFormat="1" applyFont="1" applyFill="1" applyBorder="1" applyAlignment="1">
      <alignment horizontal="left" vertical="center" wrapText="1"/>
    </xf>
    <xf numFmtId="171" fontId="3" fillId="0" borderId="6" xfId="1" applyNumberFormat="1" applyFont="1" applyFill="1" applyBorder="1" applyAlignment="1">
      <alignment horizontal="center" vertical="center" wrapText="1"/>
    </xf>
    <xf numFmtId="171" fontId="3" fillId="0" borderId="7" xfId="1" applyNumberFormat="1" applyFont="1" applyFill="1" applyBorder="1" applyAlignment="1">
      <alignment horizontal="center" vertical="center" wrapText="1"/>
    </xf>
    <xf numFmtId="171" fontId="3" fillId="0" borderId="5" xfId="1" applyNumberFormat="1" applyFont="1" applyFill="1" applyBorder="1" applyAlignment="1">
      <alignment horizontal="center" vertical="center" wrapText="1"/>
    </xf>
    <xf numFmtId="171" fontId="3" fillId="0" borderId="8" xfId="1" applyNumberFormat="1" applyFont="1" applyFill="1" applyBorder="1" applyAlignment="1">
      <alignment horizontal="center" vertical="center" wrapText="1"/>
    </xf>
    <xf numFmtId="171" fontId="3" fillId="0" borderId="9" xfId="1" applyNumberFormat="1" applyFont="1" applyFill="1" applyBorder="1" applyAlignment="1">
      <alignment horizontal="center" vertical="center" wrapText="1"/>
    </xf>
    <xf numFmtId="171" fontId="3" fillId="0" borderId="10" xfId="1" applyNumberFormat="1" applyFont="1" applyFill="1" applyBorder="1" applyAlignment="1">
      <alignment horizontal="center" vertical="center" wrapText="1"/>
    </xf>
    <xf numFmtId="164" fontId="3" fillId="0" borderId="30" xfId="2" applyFont="1" applyFill="1" applyBorder="1" applyAlignment="1">
      <alignment horizontal="center" vertical="center" wrapText="1"/>
    </xf>
    <xf numFmtId="164" fontId="3" fillId="0" borderId="31" xfId="2" applyFont="1" applyFill="1" applyBorder="1" applyAlignment="1">
      <alignment horizontal="center" vertical="center" wrapText="1"/>
    </xf>
    <xf numFmtId="171" fontId="10" fillId="0" borderId="7" xfId="1" applyNumberFormat="1" applyFont="1" applyFill="1" applyBorder="1" applyAlignment="1">
      <alignment horizontal="center" vertical="center" wrapText="1"/>
    </xf>
    <xf numFmtId="171" fontId="10" fillId="0" borderId="5" xfId="1" applyNumberFormat="1" applyFont="1" applyFill="1" applyBorder="1" applyAlignment="1">
      <alignment horizontal="center" vertical="center" wrapText="1"/>
    </xf>
    <xf numFmtId="171" fontId="10" fillId="0" borderId="8" xfId="1" applyNumberFormat="1" applyFont="1" applyFill="1" applyBorder="1" applyAlignment="1">
      <alignment horizontal="center" vertical="center" wrapText="1"/>
    </xf>
    <xf numFmtId="171" fontId="10" fillId="0" borderId="9" xfId="1" applyNumberFormat="1" applyFont="1" applyFill="1" applyBorder="1" applyAlignment="1">
      <alignment horizontal="center" vertical="center" wrapText="1"/>
    </xf>
    <xf numFmtId="171" fontId="10" fillId="0" borderId="10" xfId="1" applyNumberFormat="1" applyFont="1" applyFill="1" applyBorder="1" applyAlignment="1">
      <alignment horizontal="center" vertical="center" wrapText="1"/>
    </xf>
    <xf numFmtId="164" fontId="10" fillId="0" borderId="30" xfId="2" applyFont="1" applyFill="1" applyBorder="1" applyAlignment="1">
      <alignment horizontal="center" vertical="center" wrapText="1"/>
    </xf>
    <xf numFmtId="164" fontId="10" fillId="0" borderId="31" xfId="2" applyFont="1" applyFill="1" applyBorder="1" applyAlignment="1">
      <alignment horizontal="center" vertical="center" wrapText="1"/>
    </xf>
    <xf numFmtId="171" fontId="10" fillId="4" borderId="13" xfId="1" applyNumberFormat="1" applyFont="1" applyFill="1" applyBorder="1" applyAlignment="1">
      <alignment horizontal="center" vertical="center" wrapText="1"/>
    </xf>
    <xf numFmtId="171" fontId="10" fillId="4" borderId="14" xfId="1" applyNumberFormat="1" applyFont="1" applyFill="1" applyBorder="1" applyAlignment="1">
      <alignment horizontal="center" vertical="center" wrapText="1"/>
    </xf>
    <xf numFmtId="171" fontId="10" fillId="4" borderId="15" xfId="1" applyNumberFormat="1" applyFont="1" applyFill="1" applyBorder="1" applyAlignment="1">
      <alignment horizontal="center" vertical="center" wrapText="1"/>
    </xf>
    <xf numFmtId="171" fontId="10" fillId="0" borderId="11" xfId="1" applyNumberFormat="1" applyFont="1" applyFill="1" applyBorder="1" applyAlignment="1">
      <alignment horizontal="center" vertical="center" wrapText="1"/>
    </xf>
    <xf numFmtId="171" fontId="10" fillId="0" borderId="35" xfId="1" applyNumberFormat="1" applyFont="1" applyFill="1" applyBorder="1" applyAlignment="1">
      <alignment horizontal="center" vertical="center" wrapText="1"/>
    </xf>
    <xf numFmtId="171" fontId="10" fillId="0" borderId="37" xfId="1" applyNumberFormat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</cellXfs>
  <cellStyles count="12">
    <cellStyle name="Millares" xfId="1" builtinId="3"/>
    <cellStyle name="Millares [0]" xfId="2" builtinId="6"/>
    <cellStyle name="Millares [0] 2" xfId="3" xr:uid="{00000000-0005-0000-0000-000002000000}"/>
    <cellStyle name="Millares [0] 3" xfId="4" xr:uid="{00000000-0005-0000-0000-000003000000}"/>
    <cellStyle name="Millares [0] 4" xfId="5" xr:uid="{00000000-0005-0000-0000-000004000000}"/>
    <cellStyle name="Millares 2" xfId="6" xr:uid="{00000000-0005-0000-0000-000005000000}"/>
    <cellStyle name="Moneda 8 2" xfId="7" xr:uid="{00000000-0005-0000-0000-000006000000}"/>
    <cellStyle name="Normal" xfId="0" builtinId="0"/>
    <cellStyle name="Normal 10" xfId="8" xr:uid="{00000000-0005-0000-0000-000008000000}"/>
    <cellStyle name="Normal 2" xfId="11" xr:uid="{80425C56-F17E-460A-A3E2-9DE69183B01C}"/>
    <cellStyle name="Normal 2 2" xfId="9" xr:uid="{00000000-0005-0000-0000-000009000000}"/>
    <cellStyle name="Normal 9" xfId="10" xr:uid="{00000000-0005-0000-0000-00000A000000}"/>
  </cellStyles>
  <dxfs count="7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P59"/>
  <sheetViews>
    <sheetView zoomScale="82" zoomScaleNormal="82" workbookViewId="0">
      <pane ySplit="4" topLeftCell="A5" activePane="bottomLeft" state="frozen"/>
      <selection activeCell="B9" sqref="B9"/>
      <selection pane="bottomLeft" activeCell="B9" sqref="B9"/>
    </sheetView>
  </sheetViews>
  <sheetFormatPr baseColWidth="10" defaultRowHeight="12.75" x14ac:dyDescent="0.2"/>
  <cols>
    <col min="1" max="1" width="5.7109375" style="1" bestFit="1" customWidth="1"/>
    <col min="2" max="2" width="62.85546875" style="1" customWidth="1"/>
    <col min="3" max="3" width="18.85546875" style="1" customWidth="1"/>
    <col min="4" max="4" width="21.28515625" style="15" bestFit="1" customWidth="1"/>
    <col min="5" max="5" width="18" style="5" customWidth="1"/>
    <col min="6" max="6" width="18.28515625" style="5" customWidth="1"/>
    <col min="7" max="7" width="11.5703125" style="5" customWidth="1"/>
    <col min="8" max="8" width="13" style="5" customWidth="1"/>
    <col min="9" max="9" width="12.85546875" style="5" customWidth="1"/>
    <col min="10" max="10" width="13.28515625" style="5" customWidth="1"/>
    <col min="11" max="12" width="15.5703125" style="5" bestFit="1" customWidth="1"/>
    <col min="13" max="13" width="15.42578125" style="5" customWidth="1"/>
    <col min="14" max="14" width="15.140625" style="2" bestFit="1" customWidth="1"/>
    <col min="15" max="16" width="15.7109375" style="2" customWidth="1"/>
    <col min="17" max="17" width="28.7109375" style="1" customWidth="1"/>
    <col min="18" max="16384" width="11.42578125" style="1"/>
  </cols>
  <sheetData>
    <row r="2" spans="1:16" ht="13.5" thickBot="1" x14ac:dyDescent="0.25"/>
    <row r="3" spans="1:16" ht="13.5" thickBot="1" x14ac:dyDescent="0.25">
      <c r="D3" s="195" t="s">
        <v>0</v>
      </c>
      <c r="E3" s="196"/>
      <c r="F3" s="196"/>
      <c r="G3" s="195" t="s">
        <v>1</v>
      </c>
      <c r="H3" s="196"/>
      <c r="I3" s="196"/>
      <c r="J3" s="197"/>
      <c r="K3" s="198" t="s">
        <v>2</v>
      </c>
      <c r="L3" s="199"/>
      <c r="M3" s="200"/>
      <c r="N3" s="201" t="s">
        <v>90</v>
      </c>
      <c r="O3" s="202"/>
    </row>
    <row r="4" spans="1:16" ht="77.25" thickBot="1" x14ac:dyDescent="0.25">
      <c r="A4" s="13" t="s">
        <v>8</v>
      </c>
      <c r="B4" s="14" t="s">
        <v>7</v>
      </c>
      <c r="C4" s="26" t="s">
        <v>28</v>
      </c>
      <c r="D4" s="27" t="s">
        <v>46</v>
      </c>
      <c r="E4" s="24" t="s">
        <v>47</v>
      </c>
      <c r="F4" s="25" t="s">
        <v>65</v>
      </c>
      <c r="G4" s="21" t="s">
        <v>3</v>
      </c>
      <c r="H4" s="22" t="s">
        <v>4</v>
      </c>
      <c r="I4" s="22" t="s">
        <v>5</v>
      </c>
      <c r="J4" s="23" t="s">
        <v>6</v>
      </c>
      <c r="K4" s="46" t="str">
        <f>+D4</f>
        <v>AXSA TEXCHNOLOGY
901.075.981-0</v>
      </c>
      <c r="L4" s="45" t="str">
        <f>+E4</f>
        <v>GRAN PAPELERA BOLIVAR SAS</v>
      </c>
      <c r="M4" s="47" t="str">
        <f>+F4</f>
        <v>PAPELIST SAS
901.089.740-3</v>
      </c>
      <c r="N4" s="6" t="s">
        <v>91</v>
      </c>
      <c r="O4" s="57" t="s">
        <v>92</v>
      </c>
      <c r="P4" s="56" t="s">
        <v>9</v>
      </c>
    </row>
    <row r="5" spans="1:16" ht="25.5" x14ac:dyDescent="0.2">
      <c r="A5" s="10">
        <v>1</v>
      </c>
      <c r="B5" s="64" t="s">
        <v>54</v>
      </c>
      <c r="C5" s="34" t="s">
        <v>35</v>
      </c>
      <c r="D5" s="65">
        <v>6295.0999999999995</v>
      </c>
      <c r="E5" s="19">
        <v>13400</v>
      </c>
      <c r="F5" s="49">
        <v>1274.1176</v>
      </c>
      <c r="G5" s="38">
        <f t="shared" ref="G5:G36" si="0">+AVERAGE(D5,E5,F5)</f>
        <v>6989.7392</v>
      </c>
      <c r="H5" s="20">
        <f t="shared" ref="H5:H36" si="1">+STDEV(D5,E5,F5)</f>
        <v>6092.7127544542855</v>
      </c>
      <c r="I5" s="20">
        <f t="shared" ref="I5:I36" si="2">+G5+H5</f>
        <v>13082.451954454285</v>
      </c>
      <c r="J5" s="39">
        <f t="shared" ref="J5:J36" si="3">+G5-H5</f>
        <v>897.02644554571452</v>
      </c>
      <c r="K5" s="48">
        <f t="shared" ref="K5:K36" si="4">IF(AND(D5&lt;=$I5,D5&gt;=$J5),D5,"")</f>
        <v>6295.0999999999995</v>
      </c>
      <c r="L5" s="19" t="str">
        <f t="shared" ref="L5:L36" si="5">IF(AND(E5&lt;=$I5,E5&gt;=$J5),E5,"")</f>
        <v/>
      </c>
      <c r="M5" s="58">
        <f t="shared" ref="M5:M36" si="6">IF(AND(F5&lt;=$I5,F5&gt;=$J5),F5,"")</f>
        <v>1274.1176</v>
      </c>
      <c r="N5" s="52">
        <f t="shared" ref="N5:N36" si="7">+AVERAGE(K5,L5,M5)</f>
        <v>3784.6088</v>
      </c>
      <c r="O5" s="66"/>
      <c r="P5" s="53">
        <f t="shared" ref="P5:P36" si="8">+MIN(N5,O5)</f>
        <v>3784.6088</v>
      </c>
    </row>
    <row r="6" spans="1:16" x14ac:dyDescent="0.2">
      <c r="A6" s="9">
        <v>2</v>
      </c>
      <c r="B6" s="17" t="s">
        <v>63</v>
      </c>
      <c r="C6" s="35" t="s">
        <v>44</v>
      </c>
      <c r="D6" s="30">
        <v>4069.7999999999997</v>
      </c>
      <c r="E6" s="7">
        <v>3800</v>
      </c>
      <c r="F6" s="31">
        <v>3473.4875000000002</v>
      </c>
      <c r="G6" s="40">
        <f t="shared" si="0"/>
        <v>3781.0958333333328</v>
      </c>
      <c r="H6" s="8">
        <f t="shared" si="1"/>
        <v>298.60538349481106</v>
      </c>
      <c r="I6" s="8">
        <f t="shared" si="2"/>
        <v>4079.701216828144</v>
      </c>
      <c r="J6" s="41">
        <f t="shared" si="3"/>
        <v>3482.4904498385217</v>
      </c>
      <c r="K6" s="50">
        <f t="shared" si="4"/>
        <v>4069.7999999999997</v>
      </c>
      <c r="L6" s="7">
        <f t="shared" si="5"/>
        <v>3800</v>
      </c>
      <c r="M6" s="59" t="str">
        <f t="shared" si="6"/>
        <v/>
      </c>
      <c r="N6" s="61">
        <f t="shared" si="7"/>
        <v>3934.8999999999996</v>
      </c>
      <c r="O6" s="3"/>
      <c r="P6" s="54">
        <f t="shared" si="8"/>
        <v>3934.8999999999996</v>
      </c>
    </row>
    <row r="7" spans="1:16" x14ac:dyDescent="0.2">
      <c r="A7" s="9">
        <f t="shared" ref="A7:A43" si="9">SUM(A6+1)</f>
        <v>3</v>
      </c>
      <c r="B7" s="17" t="s">
        <v>67</v>
      </c>
      <c r="C7" s="35" t="s">
        <v>24</v>
      </c>
      <c r="D7" s="30">
        <v>347.47999999999996</v>
      </c>
      <c r="E7" s="7">
        <v>312</v>
      </c>
      <c r="F7" s="31">
        <v>333.69745</v>
      </c>
      <c r="G7" s="40">
        <f t="shared" si="0"/>
        <v>331.05914999999999</v>
      </c>
      <c r="H7" s="8">
        <f t="shared" si="1"/>
        <v>17.886533207066687</v>
      </c>
      <c r="I7" s="8">
        <f t="shared" si="2"/>
        <v>348.94568320706668</v>
      </c>
      <c r="J7" s="41">
        <f t="shared" si="3"/>
        <v>313.1726167929333</v>
      </c>
      <c r="K7" s="50">
        <f t="shared" si="4"/>
        <v>347.47999999999996</v>
      </c>
      <c r="L7" s="7" t="str">
        <f t="shared" si="5"/>
        <v/>
      </c>
      <c r="M7" s="59">
        <f t="shared" si="6"/>
        <v>333.69745</v>
      </c>
      <c r="N7" s="61">
        <f t="shared" si="7"/>
        <v>340.58872499999995</v>
      </c>
      <c r="O7" s="3"/>
      <c r="P7" s="54">
        <f t="shared" si="8"/>
        <v>340.58872499999995</v>
      </c>
    </row>
    <row r="8" spans="1:16" x14ac:dyDescent="0.2">
      <c r="A8" s="9">
        <f t="shared" si="9"/>
        <v>4</v>
      </c>
      <c r="B8" s="17" t="s">
        <v>68</v>
      </c>
      <c r="C8" s="35" t="s">
        <v>24</v>
      </c>
      <c r="D8" s="30">
        <v>347.47999999999996</v>
      </c>
      <c r="E8" s="7">
        <v>312</v>
      </c>
      <c r="F8" s="31">
        <v>333.69747999999998</v>
      </c>
      <c r="G8" s="40">
        <f t="shared" si="0"/>
        <v>331.05916000000002</v>
      </c>
      <c r="H8" s="8">
        <f t="shared" si="1"/>
        <v>17.886535419605423</v>
      </c>
      <c r="I8" s="8">
        <f t="shared" si="2"/>
        <v>348.94569541960544</v>
      </c>
      <c r="J8" s="41">
        <f t="shared" si="3"/>
        <v>313.1726245803946</v>
      </c>
      <c r="K8" s="50">
        <f t="shared" si="4"/>
        <v>347.47999999999996</v>
      </c>
      <c r="L8" s="7" t="str">
        <f t="shared" si="5"/>
        <v/>
      </c>
      <c r="M8" s="59">
        <f t="shared" si="6"/>
        <v>333.69747999999998</v>
      </c>
      <c r="N8" s="61">
        <f t="shared" si="7"/>
        <v>340.58873999999997</v>
      </c>
      <c r="O8" s="3"/>
      <c r="P8" s="54">
        <f t="shared" si="8"/>
        <v>340.58873999999997</v>
      </c>
    </row>
    <row r="9" spans="1:16" x14ac:dyDescent="0.2">
      <c r="A9" s="9">
        <f t="shared" si="9"/>
        <v>5</v>
      </c>
      <c r="B9" s="17" t="s">
        <v>69</v>
      </c>
      <c r="C9" s="35" t="s">
        <v>24</v>
      </c>
      <c r="D9" s="30">
        <v>347.47999999999996</v>
      </c>
      <c r="E9" s="7">
        <v>312</v>
      </c>
      <c r="F9" s="31">
        <v>333.69745</v>
      </c>
      <c r="G9" s="40">
        <f t="shared" si="0"/>
        <v>331.05914999999999</v>
      </c>
      <c r="H9" s="8">
        <f t="shared" si="1"/>
        <v>17.886533207066687</v>
      </c>
      <c r="I9" s="8">
        <f t="shared" si="2"/>
        <v>348.94568320706668</v>
      </c>
      <c r="J9" s="41">
        <f t="shared" si="3"/>
        <v>313.1726167929333</v>
      </c>
      <c r="K9" s="50">
        <f t="shared" si="4"/>
        <v>347.47999999999996</v>
      </c>
      <c r="L9" s="7" t="str">
        <f t="shared" si="5"/>
        <v/>
      </c>
      <c r="M9" s="59">
        <f t="shared" si="6"/>
        <v>333.69745</v>
      </c>
      <c r="N9" s="61">
        <f t="shared" si="7"/>
        <v>340.58872499999995</v>
      </c>
      <c r="O9" s="3"/>
      <c r="P9" s="54">
        <f t="shared" si="8"/>
        <v>340.58872499999995</v>
      </c>
    </row>
    <row r="10" spans="1:16" x14ac:dyDescent="0.2">
      <c r="A10" s="9">
        <f t="shared" si="9"/>
        <v>6</v>
      </c>
      <c r="B10" s="17" t="s">
        <v>82</v>
      </c>
      <c r="C10" s="35" t="s">
        <v>42</v>
      </c>
      <c r="D10" s="30">
        <v>1727.8799999999999</v>
      </c>
      <c r="E10" s="7">
        <v>1450</v>
      </c>
      <c r="F10" s="31">
        <v>1616.5966000000001</v>
      </c>
      <c r="G10" s="40">
        <f t="shared" si="0"/>
        <v>1598.1588666666667</v>
      </c>
      <c r="H10" s="8">
        <f t="shared" si="1"/>
        <v>139.85451765264261</v>
      </c>
      <c r="I10" s="8">
        <f t="shared" si="2"/>
        <v>1738.0133843193094</v>
      </c>
      <c r="J10" s="41">
        <f t="shared" si="3"/>
        <v>1458.304349014024</v>
      </c>
      <c r="K10" s="50">
        <f t="shared" si="4"/>
        <v>1727.8799999999999</v>
      </c>
      <c r="L10" s="7" t="str">
        <f t="shared" si="5"/>
        <v/>
      </c>
      <c r="M10" s="59">
        <f t="shared" si="6"/>
        <v>1616.5966000000001</v>
      </c>
      <c r="N10" s="61">
        <f t="shared" si="7"/>
        <v>1672.2383</v>
      </c>
      <c r="O10" s="3"/>
      <c r="P10" s="54">
        <f t="shared" si="8"/>
        <v>1672.2383</v>
      </c>
    </row>
    <row r="11" spans="1:16" x14ac:dyDescent="0.2">
      <c r="A11" s="9">
        <f t="shared" si="9"/>
        <v>7</v>
      </c>
      <c r="B11" s="17" t="s">
        <v>83</v>
      </c>
      <c r="C11" s="35" t="s">
        <v>43</v>
      </c>
      <c r="D11" s="30">
        <v>1707.6499999999999</v>
      </c>
      <c r="E11" s="7">
        <v>2500</v>
      </c>
      <c r="F11" s="31">
        <v>3488.6556</v>
      </c>
      <c r="G11" s="40">
        <f t="shared" si="0"/>
        <v>2565.4351999999999</v>
      </c>
      <c r="H11" s="8">
        <f t="shared" si="1"/>
        <v>892.30407421300004</v>
      </c>
      <c r="I11" s="8">
        <f t="shared" si="2"/>
        <v>3457.739274213</v>
      </c>
      <c r="J11" s="41">
        <f t="shared" si="3"/>
        <v>1673.1311257869997</v>
      </c>
      <c r="K11" s="50">
        <f t="shared" si="4"/>
        <v>1707.6499999999999</v>
      </c>
      <c r="L11" s="7">
        <f t="shared" si="5"/>
        <v>2500</v>
      </c>
      <c r="M11" s="59" t="str">
        <f t="shared" si="6"/>
        <v/>
      </c>
      <c r="N11" s="61">
        <f t="shared" si="7"/>
        <v>2103.8249999999998</v>
      </c>
      <c r="O11" s="3"/>
      <c r="P11" s="54">
        <f t="shared" si="8"/>
        <v>2103.8249999999998</v>
      </c>
    </row>
    <row r="12" spans="1:16" x14ac:dyDescent="0.2">
      <c r="A12" s="9">
        <f t="shared" si="9"/>
        <v>8</v>
      </c>
      <c r="B12" s="17" t="s">
        <v>84</v>
      </c>
      <c r="C12" s="35" t="s">
        <v>24</v>
      </c>
      <c r="D12" s="30">
        <v>973.42</v>
      </c>
      <c r="E12" s="7">
        <v>1400</v>
      </c>
      <c r="F12" s="31">
        <v>948.00419999999997</v>
      </c>
      <c r="G12" s="40">
        <f t="shared" si="0"/>
        <v>1107.1414</v>
      </c>
      <c r="H12" s="8">
        <f t="shared" si="1"/>
        <v>253.94115542361362</v>
      </c>
      <c r="I12" s="8">
        <f t="shared" si="2"/>
        <v>1361.0825554236135</v>
      </c>
      <c r="J12" s="41">
        <f t="shared" si="3"/>
        <v>853.20024457638635</v>
      </c>
      <c r="K12" s="50">
        <f t="shared" si="4"/>
        <v>973.42</v>
      </c>
      <c r="L12" s="7" t="str">
        <f t="shared" si="5"/>
        <v/>
      </c>
      <c r="M12" s="59">
        <f t="shared" si="6"/>
        <v>948.00419999999997</v>
      </c>
      <c r="N12" s="61">
        <f t="shared" si="7"/>
        <v>960.71209999999996</v>
      </c>
      <c r="O12" s="3"/>
      <c r="P12" s="54">
        <f t="shared" si="8"/>
        <v>960.71209999999996</v>
      </c>
    </row>
    <row r="13" spans="1:16" x14ac:dyDescent="0.2">
      <c r="A13" s="9">
        <f t="shared" si="9"/>
        <v>9</v>
      </c>
      <c r="B13" s="17" t="s">
        <v>86</v>
      </c>
      <c r="C13" s="35" t="s">
        <v>24</v>
      </c>
      <c r="D13" s="30">
        <v>2266.9499999999998</v>
      </c>
      <c r="E13" s="7">
        <v>2400</v>
      </c>
      <c r="F13" s="31">
        <v>2199.3696</v>
      </c>
      <c r="G13" s="40">
        <f t="shared" si="0"/>
        <v>2288.7732000000001</v>
      </c>
      <c r="H13" s="8">
        <f t="shared" si="1"/>
        <v>102.08000977037574</v>
      </c>
      <c r="I13" s="8">
        <f t="shared" si="2"/>
        <v>2390.853209770376</v>
      </c>
      <c r="J13" s="41">
        <f t="shared" si="3"/>
        <v>2186.6931902296242</v>
      </c>
      <c r="K13" s="50">
        <f t="shared" si="4"/>
        <v>2266.9499999999998</v>
      </c>
      <c r="L13" s="7" t="str">
        <f t="shared" si="5"/>
        <v/>
      </c>
      <c r="M13" s="59">
        <f t="shared" si="6"/>
        <v>2199.3696</v>
      </c>
      <c r="N13" s="61">
        <f t="shared" si="7"/>
        <v>2233.1597999999999</v>
      </c>
      <c r="O13" s="3"/>
      <c r="P13" s="54">
        <f t="shared" si="8"/>
        <v>2233.1597999999999</v>
      </c>
    </row>
    <row r="14" spans="1:16" x14ac:dyDescent="0.2">
      <c r="A14" s="9">
        <f t="shared" si="9"/>
        <v>10</v>
      </c>
      <c r="B14" s="17" t="s">
        <v>87</v>
      </c>
      <c r="C14" s="35" t="s">
        <v>24</v>
      </c>
      <c r="D14" s="30">
        <v>3731.8399999999997</v>
      </c>
      <c r="E14" s="7">
        <v>3700</v>
      </c>
      <c r="F14" s="31">
        <v>3617.5840000000003</v>
      </c>
      <c r="G14" s="40">
        <f t="shared" si="0"/>
        <v>3683.1413333333335</v>
      </c>
      <c r="H14" s="8">
        <f t="shared" si="1"/>
        <v>58.964136263777313</v>
      </c>
      <c r="I14" s="8">
        <f t="shared" si="2"/>
        <v>3742.1054695971106</v>
      </c>
      <c r="J14" s="41">
        <f t="shared" si="3"/>
        <v>3624.1771970695563</v>
      </c>
      <c r="K14" s="50">
        <f t="shared" si="4"/>
        <v>3731.8399999999997</v>
      </c>
      <c r="L14" s="7">
        <f t="shared" si="5"/>
        <v>3700</v>
      </c>
      <c r="M14" s="59" t="str">
        <f t="shared" si="6"/>
        <v/>
      </c>
      <c r="N14" s="61">
        <f t="shared" si="7"/>
        <v>3715.92</v>
      </c>
      <c r="O14" s="3"/>
      <c r="P14" s="54">
        <f t="shared" si="8"/>
        <v>3715.92</v>
      </c>
    </row>
    <row r="15" spans="1:16" x14ac:dyDescent="0.2">
      <c r="A15" s="9">
        <f t="shared" si="9"/>
        <v>11</v>
      </c>
      <c r="B15" s="17" t="s">
        <v>85</v>
      </c>
      <c r="C15" s="35" t="s">
        <v>24</v>
      </c>
      <c r="D15" s="30">
        <v>1013.88</v>
      </c>
      <c r="E15" s="7">
        <v>1800</v>
      </c>
      <c r="F15" s="31">
        <v>985.92439999999999</v>
      </c>
      <c r="G15" s="40">
        <f t="shared" si="0"/>
        <v>1266.6014666666667</v>
      </c>
      <c r="H15" s="8">
        <f t="shared" si="1"/>
        <v>462.14810982460313</v>
      </c>
      <c r="I15" s="8">
        <f t="shared" si="2"/>
        <v>1728.7495764912699</v>
      </c>
      <c r="J15" s="41">
        <f t="shared" si="3"/>
        <v>804.45335684206361</v>
      </c>
      <c r="K15" s="50">
        <f t="shared" si="4"/>
        <v>1013.88</v>
      </c>
      <c r="L15" s="7" t="str">
        <f t="shared" si="5"/>
        <v/>
      </c>
      <c r="M15" s="59">
        <f t="shared" si="6"/>
        <v>985.92439999999999</v>
      </c>
      <c r="N15" s="61">
        <f t="shared" si="7"/>
        <v>999.90219999999999</v>
      </c>
      <c r="O15" s="3"/>
      <c r="P15" s="54">
        <f t="shared" si="8"/>
        <v>999.90219999999999</v>
      </c>
    </row>
    <row r="16" spans="1:16" x14ac:dyDescent="0.2">
      <c r="A16" s="9">
        <f t="shared" si="9"/>
        <v>12</v>
      </c>
      <c r="B16" s="17" t="s">
        <v>20</v>
      </c>
      <c r="C16" s="35" t="s">
        <v>24</v>
      </c>
      <c r="D16" s="30"/>
      <c r="E16" s="7">
        <v>4100</v>
      </c>
      <c r="F16" s="31">
        <v>0</v>
      </c>
      <c r="G16" s="40">
        <f t="shared" si="0"/>
        <v>2050</v>
      </c>
      <c r="H16" s="8">
        <f t="shared" si="1"/>
        <v>2899.1378028648451</v>
      </c>
      <c r="I16" s="8">
        <f t="shared" si="2"/>
        <v>4949.1378028648451</v>
      </c>
      <c r="J16" s="41">
        <f t="shared" si="3"/>
        <v>-849.13780286484507</v>
      </c>
      <c r="K16" s="50">
        <f t="shared" si="4"/>
        <v>0</v>
      </c>
      <c r="L16" s="7">
        <f t="shared" si="5"/>
        <v>4100</v>
      </c>
      <c r="M16" s="59">
        <f t="shared" si="6"/>
        <v>0</v>
      </c>
      <c r="N16" s="61">
        <f t="shared" si="7"/>
        <v>1366.6666666666667</v>
      </c>
      <c r="O16" s="3"/>
      <c r="P16" s="54">
        <f t="shared" si="8"/>
        <v>1366.6666666666667</v>
      </c>
    </row>
    <row r="17" spans="1:16" x14ac:dyDescent="0.2">
      <c r="A17" s="9">
        <f t="shared" si="9"/>
        <v>13</v>
      </c>
      <c r="B17" s="17" t="s">
        <v>23</v>
      </c>
      <c r="C17" s="35" t="s">
        <v>24</v>
      </c>
      <c r="D17" s="30"/>
      <c r="E17" s="7">
        <v>880</v>
      </c>
      <c r="F17" s="31">
        <v>250.2731</v>
      </c>
      <c r="G17" s="40">
        <f t="shared" si="0"/>
        <v>565.13654999999994</v>
      </c>
      <c r="H17" s="8">
        <f t="shared" si="1"/>
        <v>445.28416128558297</v>
      </c>
      <c r="I17" s="8">
        <f t="shared" si="2"/>
        <v>1010.4207112855829</v>
      </c>
      <c r="J17" s="41">
        <f t="shared" si="3"/>
        <v>119.85238871441697</v>
      </c>
      <c r="K17" s="50" t="str">
        <f t="shared" si="4"/>
        <v/>
      </c>
      <c r="L17" s="7">
        <f t="shared" si="5"/>
        <v>880</v>
      </c>
      <c r="M17" s="59">
        <f t="shared" si="6"/>
        <v>250.2731</v>
      </c>
      <c r="N17" s="61">
        <f t="shared" si="7"/>
        <v>565.13654999999994</v>
      </c>
      <c r="O17" s="3"/>
      <c r="P17" s="54">
        <f t="shared" si="8"/>
        <v>565.13654999999994</v>
      </c>
    </row>
    <row r="18" spans="1:16" x14ac:dyDescent="0.2">
      <c r="A18" s="9">
        <f t="shared" si="9"/>
        <v>14</v>
      </c>
      <c r="B18" s="17" t="s">
        <v>22</v>
      </c>
      <c r="C18" s="35" t="s">
        <v>24</v>
      </c>
      <c r="D18" s="30"/>
      <c r="E18" s="7">
        <v>1100</v>
      </c>
      <c r="F18" s="31">
        <v>3113.1302599999999</v>
      </c>
      <c r="G18" s="40">
        <f t="shared" si="0"/>
        <v>2106.56513</v>
      </c>
      <c r="H18" s="8">
        <f t="shared" si="1"/>
        <v>1423.4980582578376</v>
      </c>
      <c r="I18" s="8">
        <f t="shared" si="2"/>
        <v>3530.0631882578373</v>
      </c>
      <c r="J18" s="41">
        <f t="shared" si="3"/>
        <v>683.0670717421624</v>
      </c>
      <c r="K18" s="50" t="str">
        <f t="shared" si="4"/>
        <v/>
      </c>
      <c r="L18" s="7">
        <f t="shared" si="5"/>
        <v>1100</v>
      </c>
      <c r="M18" s="59">
        <f t="shared" si="6"/>
        <v>3113.1302599999999</v>
      </c>
      <c r="N18" s="61">
        <f t="shared" si="7"/>
        <v>2106.56513</v>
      </c>
      <c r="O18" s="3"/>
      <c r="P18" s="54">
        <f t="shared" si="8"/>
        <v>2106.56513</v>
      </c>
    </row>
    <row r="19" spans="1:16" x14ac:dyDescent="0.2">
      <c r="A19" s="9">
        <f t="shared" si="9"/>
        <v>15</v>
      </c>
      <c r="B19" s="67" t="s">
        <v>19</v>
      </c>
      <c r="C19" s="35" t="s">
        <v>24</v>
      </c>
      <c r="D19" s="30"/>
      <c r="E19" s="7">
        <v>1700</v>
      </c>
      <c r="F19" s="31">
        <v>1478.8866</v>
      </c>
      <c r="G19" s="40">
        <f t="shared" si="0"/>
        <v>1589.4432999999999</v>
      </c>
      <c r="H19" s="8">
        <f t="shared" si="1"/>
        <v>156.35078455121354</v>
      </c>
      <c r="I19" s="8">
        <f t="shared" si="2"/>
        <v>1745.7940845512135</v>
      </c>
      <c r="J19" s="41">
        <f t="shared" si="3"/>
        <v>1433.0925154487863</v>
      </c>
      <c r="K19" s="50" t="str">
        <f t="shared" si="4"/>
        <v/>
      </c>
      <c r="L19" s="7">
        <f t="shared" si="5"/>
        <v>1700</v>
      </c>
      <c r="M19" s="59">
        <f t="shared" si="6"/>
        <v>1478.8866</v>
      </c>
      <c r="N19" s="61">
        <f t="shared" si="7"/>
        <v>1589.4432999999999</v>
      </c>
      <c r="O19" s="3"/>
      <c r="P19" s="54">
        <f t="shared" si="8"/>
        <v>1589.4432999999999</v>
      </c>
    </row>
    <row r="20" spans="1:16" ht="15.75" x14ac:dyDescent="0.2">
      <c r="A20" s="9">
        <f t="shared" si="9"/>
        <v>16</v>
      </c>
      <c r="B20" s="16" t="s">
        <v>10</v>
      </c>
      <c r="C20" s="35" t="s">
        <v>24</v>
      </c>
      <c r="D20" s="28">
        <v>856800</v>
      </c>
      <c r="E20" s="7">
        <v>578000</v>
      </c>
      <c r="F20" s="29">
        <v>0</v>
      </c>
      <c r="G20" s="40">
        <f t="shared" si="0"/>
        <v>478266.66666666669</v>
      </c>
      <c r="H20" s="8">
        <f t="shared" si="1"/>
        <v>437020.15209064825</v>
      </c>
      <c r="I20" s="8">
        <f t="shared" si="2"/>
        <v>915286.81875731493</v>
      </c>
      <c r="J20" s="41">
        <f t="shared" si="3"/>
        <v>41246.514576018439</v>
      </c>
      <c r="K20" s="50">
        <f t="shared" si="4"/>
        <v>856800</v>
      </c>
      <c r="L20" s="7">
        <f t="shared" si="5"/>
        <v>578000</v>
      </c>
      <c r="M20" s="59" t="str">
        <f t="shared" si="6"/>
        <v/>
      </c>
      <c r="N20" s="61">
        <f t="shared" si="7"/>
        <v>717400</v>
      </c>
      <c r="O20" s="4"/>
      <c r="P20" s="54">
        <f t="shared" si="8"/>
        <v>717400</v>
      </c>
    </row>
    <row r="21" spans="1:16" x14ac:dyDescent="0.2">
      <c r="A21" s="9">
        <f t="shared" si="9"/>
        <v>17</v>
      </c>
      <c r="B21" s="17" t="s">
        <v>49</v>
      </c>
      <c r="C21" s="35" t="s">
        <v>48</v>
      </c>
      <c r="D21" s="30">
        <v>38318</v>
      </c>
      <c r="E21" s="7">
        <v>36000</v>
      </c>
      <c r="F21" s="31">
        <v>14800.84</v>
      </c>
      <c r="G21" s="40">
        <f t="shared" si="0"/>
        <v>29706.28</v>
      </c>
      <c r="H21" s="8">
        <f t="shared" si="1"/>
        <v>12960.416165972449</v>
      </c>
      <c r="I21" s="8">
        <f t="shared" si="2"/>
        <v>42666.696165972447</v>
      </c>
      <c r="J21" s="41">
        <f t="shared" si="3"/>
        <v>16745.86383402755</v>
      </c>
      <c r="K21" s="50">
        <f t="shared" si="4"/>
        <v>38318</v>
      </c>
      <c r="L21" s="7">
        <f t="shared" si="5"/>
        <v>36000</v>
      </c>
      <c r="M21" s="59" t="str">
        <f t="shared" si="6"/>
        <v/>
      </c>
      <c r="N21" s="61">
        <f t="shared" si="7"/>
        <v>37159</v>
      </c>
      <c r="O21" s="3"/>
      <c r="P21" s="54">
        <f t="shared" si="8"/>
        <v>37159</v>
      </c>
    </row>
    <row r="22" spans="1:16" x14ac:dyDescent="0.2">
      <c r="A22" s="9">
        <f t="shared" si="9"/>
        <v>18</v>
      </c>
      <c r="B22" s="17" t="s">
        <v>74</v>
      </c>
      <c r="C22" s="35" t="s">
        <v>31</v>
      </c>
      <c r="D22" s="30">
        <v>1588.6499999999999</v>
      </c>
      <c r="E22" s="7">
        <v>1200</v>
      </c>
      <c r="F22" s="31">
        <v>2859.181</v>
      </c>
      <c r="G22" s="40">
        <f t="shared" si="0"/>
        <v>1882.6103333333333</v>
      </c>
      <c r="H22" s="8">
        <f t="shared" si="1"/>
        <v>867.7729575587922</v>
      </c>
      <c r="I22" s="8">
        <f t="shared" si="2"/>
        <v>2750.3832908921254</v>
      </c>
      <c r="J22" s="41">
        <f t="shared" si="3"/>
        <v>1014.8373757745411</v>
      </c>
      <c r="K22" s="50">
        <f t="shared" si="4"/>
        <v>1588.6499999999999</v>
      </c>
      <c r="L22" s="7">
        <f t="shared" si="5"/>
        <v>1200</v>
      </c>
      <c r="M22" s="59" t="str">
        <f t="shared" si="6"/>
        <v/>
      </c>
      <c r="N22" s="61">
        <f t="shared" si="7"/>
        <v>1394.3249999999998</v>
      </c>
      <c r="O22" s="3"/>
      <c r="P22" s="54">
        <f t="shared" si="8"/>
        <v>1394.3249999999998</v>
      </c>
    </row>
    <row r="23" spans="1:16" x14ac:dyDescent="0.2">
      <c r="A23" s="9">
        <f t="shared" si="9"/>
        <v>19</v>
      </c>
      <c r="B23" s="17" t="s">
        <v>75</v>
      </c>
      <c r="C23" s="35" t="s">
        <v>31</v>
      </c>
      <c r="D23" s="30">
        <v>5973.8</v>
      </c>
      <c r="E23" s="7">
        <v>5200</v>
      </c>
      <c r="F23" s="31">
        <v>7576.4490000000005</v>
      </c>
      <c r="G23" s="40">
        <f t="shared" si="0"/>
        <v>6250.0829999999996</v>
      </c>
      <c r="H23" s="8">
        <f t="shared" si="1"/>
        <v>1212.0753625360967</v>
      </c>
      <c r="I23" s="8">
        <f t="shared" si="2"/>
        <v>7462.1583625360963</v>
      </c>
      <c r="J23" s="41">
        <f t="shared" si="3"/>
        <v>5038.0076374639029</v>
      </c>
      <c r="K23" s="50">
        <f t="shared" si="4"/>
        <v>5973.8</v>
      </c>
      <c r="L23" s="7">
        <f t="shared" si="5"/>
        <v>5200</v>
      </c>
      <c r="M23" s="59" t="str">
        <f t="shared" si="6"/>
        <v/>
      </c>
      <c r="N23" s="61">
        <f t="shared" si="7"/>
        <v>5586.9</v>
      </c>
      <c r="O23" s="3"/>
      <c r="P23" s="54">
        <f t="shared" si="8"/>
        <v>5586.9</v>
      </c>
    </row>
    <row r="24" spans="1:16" x14ac:dyDescent="0.2">
      <c r="A24" s="9">
        <f t="shared" si="9"/>
        <v>20</v>
      </c>
      <c r="B24" s="17" t="s">
        <v>76</v>
      </c>
      <c r="C24" s="35" t="s">
        <v>31</v>
      </c>
      <c r="D24" s="30">
        <v>628.31999999999994</v>
      </c>
      <c r="E24" s="7">
        <v>600</v>
      </c>
      <c r="F24" s="31">
        <v>970.75699999999995</v>
      </c>
      <c r="G24" s="40">
        <f t="shared" si="0"/>
        <v>733.02566666666655</v>
      </c>
      <c r="H24" s="8">
        <f t="shared" si="1"/>
        <v>206.36774393381697</v>
      </c>
      <c r="I24" s="8">
        <f t="shared" si="2"/>
        <v>939.39341060048355</v>
      </c>
      <c r="J24" s="41">
        <f t="shared" si="3"/>
        <v>526.65792273284956</v>
      </c>
      <c r="K24" s="50">
        <f t="shared" si="4"/>
        <v>628.31999999999994</v>
      </c>
      <c r="L24" s="7">
        <f t="shared" si="5"/>
        <v>600</v>
      </c>
      <c r="M24" s="59" t="str">
        <f t="shared" si="6"/>
        <v/>
      </c>
      <c r="N24" s="61">
        <f t="shared" si="7"/>
        <v>614.16</v>
      </c>
      <c r="O24" s="3"/>
      <c r="P24" s="54">
        <f t="shared" si="8"/>
        <v>614.16</v>
      </c>
    </row>
    <row r="25" spans="1:16" x14ac:dyDescent="0.2">
      <c r="A25" s="9">
        <f t="shared" si="9"/>
        <v>21</v>
      </c>
      <c r="B25" s="17" t="s">
        <v>32</v>
      </c>
      <c r="C25" s="35" t="s">
        <v>25</v>
      </c>
      <c r="D25" s="30">
        <v>431.96999999999997</v>
      </c>
      <c r="E25" s="7">
        <v>420</v>
      </c>
      <c r="F25" s="31">
        <v>423.10919999999999</v>
      </c>
      <c r="G25" s="40">
        <f t="shared" si="0"/>
        <v>425.02640000000002</v>
      </c>
      <c r="H25" s="8">
        <f t="shared" si="1"/>
        <v>6.2110358942772033</v>
      </c>
      <c r="I25" s="8">
        <f t="shared" si="2"/>
        <v>431.23743589427721</v>
      </c>
      <c r="J25" s="41">
        <f t="shared" si="3"/>
        <v>418.81536410572284</v>
      </c>
      <c r="K25" s="50" t="str">
        <f t="shared" si="4"/>
        <v/>
      </c>
      <c r="L25" s="7">
        <f t="shared" si="5"/>
        <v>420</v>
      </c>
      <c r="M25" s="59">
        <f t="shared" si="6"/>
        <v>423.10919999999999</v>
      </c>
      <c r="N25" s="61">
        <f t="shared" si="7"/>
        <v>421.55459999999999</v>
      </c>
      <c r="O25" s="3"/>
      <c r="P25" s="54">
        <f t="shared" si="8"/>
        <v>421.55459999999999</v>
      </c>
    </row>
    <row r="26" spans="1:16" x14ac:dyDescent="0.2">
      <c r="A26" s="9">
        <f t="shared" si="9"/>
        <v>22</v>
      </c>
      <c r="B26" s="17" t="s">
        <v>77</v>
      </c>
      <c r="C26" s="35" t="s">
        <v>24</v>
      </c>
      <c r="D26" s="30">
        <v>17201.45</v>
      </c>
      <c r="E26" s="7">
        <v>6200</v>
      </c>
      <c r="F26" s="31">
        <v>5867.6469999999999</v>
      </c>
      <c r="G26" s="40">
        <f t="shared" si="0"/>
        <v>9756.3656666666666</v>
      </c>
      <c r="H26" s="8">
        <f t="shared" si="1"/>
        <v>6449.7732655486689</v>
      </c>
      <c r="I26" s="8">
        <f t="shared" si="2"/>
        <v>16206.138932215335</v>
      </c>
      <c r="J26" s="41">
        <f t="shared" si="3"/>
        <v>3306.5924011179977</v>
      </c>
      <c r="K26" s="50" t="str">
        <f t="shared" si="4"/>
        <v/>
      </c>
      <c r="L26" s="7">
        <f t="shared" si="5"/>
        <v>6200</v>
      </c>
      <c r="M26" s="59">
        <f t="shared" si="6"/>
        <v>5867.6469999999999</v>
      </c>
      <c r="N26" s="61">
        <f t="shared" si="7"/>
        <v>6033.8235000000004</v>
      </c>
      <c r="O26" s="3"/>
      <c r="P26" s="54">
        <f t="shared" si="8"/>
        <v>6033.8235000000004</v>
      </c>
    </row>
    <row r="27" spans="1:16" x14ac:dyDescent="0.2">
      <c r="A27" s="9">
        <f t="shared" si="9"/>
        <v>23</v>
      </c>
      <c r="B27" s="17" t="s">
        <v>89</v>
      </c>
      <c r="C27" s="35" t="s">
        <v>26</v>
      </c>
      <c r="D27" s="30">
        <v>37241.049999999996</v>
      </c>
      <c r="E27" s="7">
        <v>54000</v>
      </c>
      <c r="F27" s="31">
        <v>24660.080000000002</v>
      </c>
      <c r="G27" s="40">
        <f t="shared" si="0"/>
        <v>38633.71</v>
      </c>
      <c r="H27" s="8">
        <f t="shared" si="1"/>
        <v>14719.454908667662</v>
      </c>
      <c r="I27" s="8">
        <f t="shared" si="2"/>
        <v>53353.164908667663</v>
      </c>
      <c r="J27" s="41">
        <f t="shared" si="3"/>
        <v>23914.255091332336</v>
      </c>
      <c r="K27" s="50">
        <f t="shared" si="4"/>
        <v>37241.049999999996</v>
      </c>
      <c r="L27" s="7" t="str">
        <f t="shared" si="5"/>
        <v/>
      </c>
      <c r="M27" s="59">
        <f t="shared" si="6"/>
        <v>24660.080000000002</v>
      </c>
      <c r="N27" s="61">
        <f t="shared" si="7"/>
        <v>30950.564999999999</v>
      </c>
      <c r="O27" s="3"/>
      <c r="P27" s="54">
        <f t="shared" si="8"/>
        <v>30950.564999999999</v>
      </c>
    </row>
    <row r="28" spans="1:16" x14ac:dyDescent="0.2">
      <c r="A28" s="9">
        <f t="shared" si="9"/>
        <v>24</v>
      </c>
      <c r="B28" s="17" t="s">
        <v>55</v>
      </c>
      <c r="C28" s="35" t="s">
        <v>24</v>
      </c>
      <c r="D28" s="30">
        <v>69020</v>
      </c>
      <c r="E28" s="7">
        <v>12000</v>
      </c>
      <c r="F28" s="31">
        <v>3895.7980000000002</v>
      </c>
      <c r="G28" s="40">
        <f t="shared" si="0"/>
        <v>28305.266</v>
      </c>
      <c r="H28" s="8">
        <f t="shared" si="1"/>
        <v>35492.06525453637</v>
      </c>
      <c r="I28" s="8">
        <f t="shared" si="2"/>
        <v>63797.331254536373</v>
      </c>
      <c r="J28" s="41">
        <f t="shared" si="3"/>
        <v>-7186.7992545363704</v>
      </c>
      <c r="K28" s="50" t="str">
        <f t="shared" si="4"/>
        <v/>
      </c>
      <c r="L28" s="7">
        <f t="shared" si="5"/>
        <v>12000</v>
      </c>
      <c r="M28" s="59">
        <f t="shared" si="6"/>
        <v>3895.7980000000002</v>
      </c>
      <c r="N28" s="61">
        <f t="shared" si="7"/>
        <v>7947.8990000000003</v>
      </c>
      <c r="O28" s="3"/>
      <c r="P28" s="54">
        <f t="shared" si="8"/>
        <v>7947.8990000000003</v>
      </c>
    </row>
    <row r="29" spans="1:16" x14ac:dyDescent="0.2">
      <c r="A29" s="9">
        <f t="shared" si="9"/>
        <v>25</v>
      </c>
      <c r="B29" s="17" t="s">
        <v>14</v>
      </c>
      <c r="C29" s="35" t="s">
        <v>27</v>
      </c>
      <c r="D29" s="30">
        <v>714</v>
      </c>
      <c r="E29" s="17">
        <v>0</v>
      </c>
      <c r="F29" s="31">
        <v>726.47</v>
      </c>
      <c r="G29" s="40">
        <f t="shared" si="0"/>
        <v>480.15666666666669</v>
      </c>
      <c r="H29" s="8">
        <f t="shared" si="1"/>
        <v>415.8746128742813</v>
      </c>
      <c r="I29" s="8">
        <f t="shared" si="2"/>
        <v>896.03127954094793</v>
      </c>
      <c r="J29" s="41">
        <f t="shared" si="3"/>
        <v>64.282053792385398</v>
      </c>
      <c r="K29" s="50">
        <f t="shared" si="4"/>
        <v>714</v>
      </c>
      <c r="L29" s="7" t="str">
        <f t="shared" si="5"/>
        <v/>
      </c>
      <c r="M29" s="59">
        <f t="shared" si="6"/>
        <v>726.47</v>
      </c>
      <c r="N29" s="61">
        <f t="shared" si="7"/>
        <v>720.23500000000001</v>
      </c>
      <c r="O29" s="3"/>
      <c r="P29" s="54">
        <f t="shared" si="8"/>
        <v>720.23500000000001</v>
      </c>
    </row>
    <row r="30" spans="1:16" x14ac:dyDescent="0.2">
      <c r="A30" s="9">
        <f t="shared" si="9"/>
        <v>26</v>
      </c>
      <c r="B30" s="17" t="s">
        <v>78</v>
      </c>
      <c r="C30" s="36" t="s">
        <v>50</v>
      </c>
      <c r="D30" s="30">
        <v>58905</v>
      </c>
      <c r="E30" s="7">
        <v>3300</v>
      </c>
      <c r="F30" s="31">
        <v>3943.6974999999998</v>
      </c>
      <c r="G30" s="40">
        <f t="shared" si="0"/>
        <v>22049.56583333333</v>
      </c>
      <c r="H30" s="8">
        <f t="shared" si="1"/>
        <v>31919.364926765102</v>
      </c>
      <c r="I30" s="8">
        <f t="shared" si="2"/>
        <v>53968.930760098432</v>
      </c>
      <c r="J30" s="41">
        <f t="shared" si="3"/>
        <v>-9869.7990934317713</v>
      </c>
      <c r="K30" s="50" t="str">
        <f t="shared" si="4"/>
        <v/>
      </c>
      <c r="L30" s="7">
        <f t="shared" si="5"/>
        <v>3300</v>
      </c>
      <c r="M30" s="59">
        <f t="shared" si="6"/>
        <v>3943.6974999999998</v>
      </c>
      <c r="N30" s="61">
        <f t="shared" si="7"/>
        <v>3621.8487500000001</v>
      </c>
      <c r="O30" s="3"/>
      <c r="P30" s="54">
        <f t="shared" si="8"/>
        <v>3621.8487500000001</v>
      </c>
    </row>
    <row r="31" spans="1:16" x14ac:dyDescent="0.2">
      <c r="A31" s="9">
        <f t="shared" si="9"/>
        <v>27</v>
      </c>
      <c r="B31" s="17" t="s">
        <v>13</v>
      </c>
      <c r="C31" s="35" t="s">
        <v>24</v>
      </c>
      <c r="D31" s="30">
        <v>17017</v>
      </c>
      <c r="E31" s="7">
        <v>8400</v>
      </c>
      <c r="F31" s="31">
        <v>19047.900000000001</v>
      </c>
      <c r="G31" s="40">
        <f t="shared" si="0"/>
        <v>14821.633333333333</v>
      </c>
      <c r="H31" s="8">
        <f t="shared" si="1"/>
        <v>5653.2441751027627</v>
      </c>
      <c r="I31" s="8">
        <f t="shared" si="2"/>
        <v>20474.877508436097</v>
      </c>
      <c r="J31" s="41">
        <f t="shared" si="3"/>
        <v>9168.3891582305696</v>
      </c>
      <c r="K31" s="50">
        <f t="shared" si="4"/>
        <v>17017</v>
      </c>
      <c r="L31" s="7" t="str">
        <f t="shared" si="5"/>
        <v/>
      </c>
      <c r="M31" s="59">
        <f t="shared" si="6"/>
        <v>19047.900000000001</v>
      </c>
      <c r="N31" s="61">
        <f t="shared" si="7"/>
        <v>18032.45</v>
      </c>
      <c r="O31" s="3"/>
      <c r="P31" s="54">
        <f t="shared" si="8"/>
        <v>18032.45</v>
      </c>
    </row>
    <row r="32" spans="1:16" x14ac:dyDescent="0.2">
      <c r="A32" s="9">
        <f t="shared" si="9"/>
        <v>28</v>
      </c>
      <c r="B32" s="17" t="s">
        <v>12</v>
      </c>
      <c r="C32" s="35" t="s">
        <v>30</v>
      </c>
      <c r="D32" s="30">
        <v>16065</v>
      </c>
      <c r="E32" s="7">
        <v>1100</v>
      </c>
      <c r="F32" s="31">
        <v>0</v>
      </c>
      <c r="G32" s="40">
        <f t="shared" si="0"/>
        <v>5721.666666666667</v>
      </c>
      <c r="H32" s="8">
        <f t="shared" si="1"/>
        <v>8974.4586651972131</v>
      </c>
      <c r="I32" s="8">
        <f t="shared" si="2"/>
        <v>14696.125331863881</v>
      </c>
      <c r="J32" s="41">
        <f t="shared" si="3"/>
        <v>-3252.7919985305462</v>
      </c>
      <c r="K32" s="50" t="str">
        <f t="shared" si="4"/>
        <v/>
      </c>
      <c r="L32" s="7">
        <f t="shared" si="5"/>
        <v>1100</v>
      </c>
      <c r="M32" s="59">
        <f t="shared" si="6"/>
        <v>0</v>
      </c>
      <c r="N32" s="61">
        <f t="shared" si="7"/>
        <v>550</v>
      </c>
      <c r="O32" s="3"/>
      <c r="P32" s="54">
        <f t="shared" si="8"/>
        <v>550</v>
      </c>
    </row>
    <row r="33" spans="1:16" x14ac:dyDescent="0.2">
      <c r="A33" s="9">
        <f t="shared" si="9"/>
        <v>29</v>
      </c>
      <c r="B33" s="17" t="s">
        <v>79</v>
      </c>
      <c r="C33" s="35" t="s">
        <v>24</v>
      </c>
      <c r="D33" s="30">
        <v>1505.35</v>
      </c>
      <c r="E33" s="7">
        <v>1100</v>
      </c>
      <c r="F33" s="31">
        <v>1532.77</v>
      </c>
      <c r="G33" s="40">
        <f t="shared" si="0"/>
        <v>1379.3733333333332</v>
      </c>
      <c r="H33" s="8">
        <f t="shared" si="1"/>
        <v>242.33253729809596</v>
      </c>
      <c r="I33" s="8">
        <f t="shared" si="2"/>
        <v>1621.7058706314292</v>
      </c>
      <c r="J33" s="41">
        <f t="shared" si="3"/>
        <v>1137.0407960352372</v>
      </c>
      <c r="K33" s="50">
        <f t="shared" si="4"/>
        <v>1505.35</v>
      </c>
      <c r="L33" s="7" t="str">
        <f t="shared" si="5"/>
        <v/>
      </c>
      <c r="M33" s="59">
        <f t="shared" si="6"/>
        <v>1532.77</v>
      </c>
      <c r="N33" s="61">
        <f t="shared" si="7"/>
        <v>1519.06</v>
      </c>
      <c r="O33" s="3"/>
      <c r="P33" s="54">
        <f t="shared" si="8"/>
        <v>1519.06</v>
      </c>
    </row>
    <row r="34" spans="1:16" x14ac:dyDescent="0.2">
      <c r="A34" s="9">
        <f t="shared" si="9"/>
        <v>30</v>
      </c>
      <c r="B34" s="17" t="s">
        <v>73</v>
      </c>
      <c r="C34" s="35" t="s">
        <v>24</v>
      </c>
      <c r="D34" s="30">
        <v>29750</v>
      </c>
      <c r="E34" s="7">
        <v>27500</v>
      </c>
      <c r="F34" s="31">
        <v>33991.639000000003</v>
      </c>
      <c r="G34" s="40">
        <f t="shared" si="0"/>
        <v>30413.879666666664</v>
      </c>
      <c r="H34" s="8">
        <f t="shared" si="1"/>
        <v>3296.3459141055487</v>
      </c>
      <c r="I34" s="8">
        <f t="shared" si="2"/>
        <v>33710.22558077221</v>
      </c>
      <c r="J34" s="41">
        <f t="shared" si="3"/>
        <v>27117.533752561114</v>
      </c>
      <c r="K34" s="50">
        <f t="shared" si="4"/>
        <v>29750</v>
      </c>
      <c r="L34" s="7">
        <f t="shared" si="5"/>
        <v>27500</v>
      </c>
      <c r="M34" s="59" t="str">
        <f t="shared" si="6"/>
        <v/>
      </c>
      <c r="N34" s="61">
        <f t="shared" si="7"/>
        <v>28625</v>
      </c>
      <c r="O34" s="3"/>
      <c r="P34" s="54">
        <f t="shared" si="8"/>
        <v>28625</v>
      </c>
    </row>
    <row r="35" spans="1:16" x14ac:dyDescent="0.2">
      <c r="A35" s="9">
        <f t="shared" si="9"/>
        <v>31</v>
      </c>
      <c r="B35" s="17" t="s">
        <v>70</v>
      </c>
      <c r="C35" s="35" t="s">
        <v>29</v>
      </c>
      <c r="D35" s="30">
        <v>1582.6999999999998</v>
      </c>
      <c r="E35" s="7">
        <v>1550</v>
      </c>
      <c r="F35" s="31">
        <v>1486.4705999999999</v>
      </c>
      <c r="G35" s="40">
        <f t="shared" si="0"/>
        <v>1539.7235333333331</v>
      </c>
      <c r="H35" s="8">
        <f t="shared" si="1"/>
        <v>48.930856128350463</v>
      </c>
      <c r="I35" s="8">
        <f t="shared" si="2"/>
        <v>1588.6543894616836</v>
      </c>
      <c r="J35" s="41">
        <f t="shared" si="3"/>
        <v>1490.7926772049825</v>
      </c>
      <c r="K35" s="50">
        <f t="shared" si="4"/>
        <v>1582.6999999999998</v>
      </c>
      <c r="L35" s="7">
        <f t="shared" si="5"/>
        <v>1550</v>
      </c>
      <c r="M35" s="59" t="str">
        <f t="shared" si="6"/>
        <v/>
      </c>
      <c r="N35" s="61">
        <f t="shared" si="7"/>
        <v>1566.35</v>
      </c>
      <c r="O35" s="3"/>
      <c r="P35" s="54">
        <f t="shared" si="8"/>
        <v>1566.35</v>
      </c>
    </row>
    <row r="36" spans="1:16" ht="25.5" x14ac:dyDescent="0.2">
      <c r="A36" s="9">
        <f t="shared" si="9"/>
        <v>32</v>
      </c>
      <c r="B36" s="17" t="s">
        <v>53</v>
      </c>
      <c r="C36" s="35" t="s">
        <v>24</v>
      </c>
      <c r="D36" s="30">
        <v>3629.5</v>
      </c>
      <c r="E36" s="7">
        <v>1850</v>
      </c>
      <c r="F36" s="31">
        <v>1372.7102</v>
      </c>
      <c r="G36" s="40">
        <f t="shared" si="0"/>
        <v>2284.0700666666667</v>
      </c>
      <c r="H36" s="8">
        <f t="shared" si="1"/>
        <v>1189.3643964017142</v>
      </c>
      <c r="I36" s="8">
        <f t="shared" si="2"/>
        <v>3473.4344630683809</v>
      </c>
      <c r="J36" s="41">
        <f t="shared" si="3"/>
        <v>1094.7056702649525</v>
      </c>
      <c r="K36" s="50" t="str">
        <f t="shared" si="4"/>
        <v/>
      </c>
      <c r="L36" s="7">
        <f t="shared" si="5"/>
        <v>1850</v>
      </c>
      <c r="M36" s="59">
        <f t="shared" si="6"/>
        <v>1372.7102</v>
      </c>
      <c r="N36" s="61">
        <f t="shared" si="7"/>
        <v>1611.3551</v>
      </c>
      <c r="O36" s="3"/>
      <c r="P36" s="54">
        <f t="shared" si="8"/>
        <v>1611.3551</v>
      </c>
    </row>
    <row r="37" spans="1:16" x14ac:dyDescent="0.2">
      <c r="A37" s="9">
        <f t="shared" si="9"/>
        <v>33</v>
      </c>
      <c r="B37" s="17" t="s">
        <v>56</v>
      </c>
      <c r="C37" s="35" t="s">
        <v>36</v>
      </c>
      <c r="D37" s="30">
        <v>104720</v>
      </c>
      <c r="E37" s="7">
        <v>8650</v>
      </c>
      <c r="F37" s="31">
        <v>8319.33</v>
      </c>
      <c r="G37" s="40">
        <f t="shared" ref="G37:G59" si="10">+AVERAGE(D37,E37,F37)</f>
        <v>40563.11</v>
      </c>
      <c r="H37" s="8">
        <f t="shared" ref="H37:H59" si="11">+STDEV(D37,E37,F37)</f>
        <v>55561.742561913044</v>
      </c>
      <c r="I37" s="8">
        <f t="shared" ref="I37:I59" si="12">+G37+H37</f>
        <v>96124.852561913052</v>
      </c>
      <c r="J37" s="41">
        <f t="shared" ref="J37:J59" si="13">+G37-H37</f>
        <v>-14998.632561913044</v>
      </c>
      <c r="K37" s="50" t="str">
        <f t="shared" ref="K37:K59" si="14">IF(AND(D37&lt;=$I37,D37&gt;=$J37),D37,"")</f>
        <v/>
      </c>
      <c r="L37" s="7">
        <f t="shared" ref="L37:L59" si="15">IF(AND(E37&lt;=$I37,E37&gt;=$J37),E37,"")</f>
        <v>8650</v>
      </c>
      <c r="M37" s="59">
        <f t="shared" ref="M37:M59" si="16">IF(AND(F37&lt;=$I37,F37&gt;=$J37),F37,"")</f>
        <v>8319.33</v>
      </c>
      <c r="N37" s="61">
        <f t="shared" ref="N37:N59" si="17">+AVERAGE(K37,L37,M37)</f>
        <v>8484.6650000000009</v>
      </c>
      <c r="O37" s="3"/>
      <c r="P37" s="54">
        <f t="shared" ref="P37:P59" si="18">+MIN(N37,O37)</f>
        <v>8484.6650000000009</v>
      </c>
    </row>
    <row r="38" spans="1:16" x14ac:dyDescent="0.2">
      <c r="A38" s="9">
        <f t="shared" si="9"/>
        <v>34</v>
      </c>
      <c r="B38" s="17" t="s">
        <v>57</v>
      </c>
      <c r="C38" s="35" t="s">
        <v>36</v>
      </c>
      <c r="D38" s="30">
        <v>123165</v>
      </c>
      <c r="E38" s="7">
        <v>11400</v>
      </c>
      <c r="F38" s="31">
        <v>13084.03</v>
      </c>
      <c r="G38" s="40">
        <f t="shared" si="10"/>
        <v>49216.343333333331</v>
      </c>
      <c r="H38" s="8">
        <f t="shared" si="11"/>
        <v>64046.950406429445</v>
      </c>
      <c r="I38" s="8">
        <f t="shared" si="12"/>
        <v>113263.29373976277</v>
      </c>
      <c r="J38" s="41">
        <f t="shared" si="13"/>
        <v>-14830.607073096115</v>
      </c>
      <c r="K38" s="50" t="str">
        <f t="shared" si="14"/>
        <v/>
      </c>
      <c r="L38" s="7">
        <f t="shared" si="15"/>
        <v>11400</v>
      </c>
      <c r="M38" s="59">
        <f t="shared" si="16"/>
        <v>13084.03</v>
      </c>
      <c r="N38" s="61">
        <f t="shared" si="17"/>
        <v>12242.014999999999</v>
      </c>
      <c r="O38" s="3"/>
      <c r="P38" s="54">
        <f t="shared" si="18"/>
        <v>12242.014999999999</v>
      </c>
    </row>
    <row r="39" spans="1:16" x14ac:dyDescent="0.2">
      <c r="A39" s="9">
        <f t="shared" si="9"/>
        <v>35</v>
      </c>
      <c r="B39" s="67" t="s">
        <v>18</v>
      </c>
      <c r="C39" s="36" t="s">
        <v>24</v>
      </c>
      <c r="D39" s="30">
        <v>1570.8</v>
      </c>
      <c r="E39" s="7">
        <v>8500</v>
      </c>
      <c r="F39" s="31">
        <v>0</v>
      </c>
      <c r="G39" s="40">
        <f t="shared" si="10"/>
        <v>3356.9333333333329</v>
      </c>
      <c r="H39" s="8">
        <f t="shared" si="11"/>
        <v>4522.7429966043101</v>
      </c>
      <c r="I39" s="8">
        <f t="shared" si="12"/>
        <v>7879.6763299376435</v>
      </c>
      <c r="J39" s="41">
        <f t="shared" si="13"/>
        <v>-1165.8096632709771</v>
      </c>
      <c r="K39" s="50">
        <f t="shared" si="14"/>
        <v>1570.8</v>
      </c>
      <c r="L39" s="7" t="str">
        <f t="shared" si="15"/>
        <v/>
      </c>
      <c r="M39" s="59">
        <f t="shared" si="16"/>
        <v>0</v>
      </c>
      <c r="N39" s="61">
        <f t="shared" si="17"/>
        <v>785.4</v>
      </c>
      <c r="O39" s="3"/>
      <c r="P39" s="54">
        <f t="shared" si="18"/>
        <v>785.4</v>
      </c>
    </row>
    <row r="40" spans="1:16" x14ac:dyDescent="0.2">
      <c r="A40" s="9">
        <f t="shared" si="9"/>
        <v>36</v>
      </c>
      <c r="B40" s="67" t="s">
        <v>59</v>
      </c>
      <c r="C40" s="35" t="s">
        <v>40</v>
      </c>
      <c r="D40" s="30">
        <v>10710</v>
      </c>
      <c r="E40" s="7">
        <v>22500</v>
      </c>
      <c r="F40" s="31">
        <v>0</v>
      </c>
      <c r="G40" s="40">
        <f t="shared" si="10"/>
        <v>11070</v>
      </c>
      <c r="H40" s="8">
        <f t="shared" si="11"/>
        <v>11254.319170878352</v>
      </c>
      <c r="I40" s="8">
        <f t="shared" si="12"/>
        <v>22324.319170878352</v>
      </c>
      <c r="J40" s="41">
        <f t="shared" si="13"/>
        <v>-184.31917087835245</v>
      </c>
      <c r="K40" s="50">
        <f t="shared" si="14"/>
        <v>10710</v>
      </c>
      <c r="L40" s="7" t="str">
        <f t="shared" si="15"/>
        <v/>
      </c>
      <c r="M40" s="59">
        <f t="shared" si="16"/>
        <v>0</v>
      </c>
      <c r="N40" s="61">
        <f t="shared" si="17"/>
        <v>5355</v>
      </c>
      <c r="O40" s="3"/>
      <c r="P40" s="54">
        <f t="shared" si="18"/>
        <v>5355</v>
      </c>
    </row>
    <row r="41" spans="1:16" x14ac:dyDescent="0.2">
      <c r="A41" s="9">
        <f t="shared" si="9"/>
        <v>37</v>
      </c>
      <c r="B41" s="67" t="s">
        <v>60</v>
      </c>
      <c r="C41" s="35" t="s">
        <v>40</v>
      </c>
      <c r="D41" s="30">
        <v>11305</v>
      </c>
      <c r="E41" s="7">
        <v>24500</v>
      </c>
      <c r="F41" s="31">
        <v>0</v>
      </c>
      <c r="G41" s="40">
        <f t="shared" si="10"/>
        <v>11935</v>
      </c>
      <c r="H41" s="8">
        <f t="shared" si="11"/>
        <v>12262.143980560659</v>
      </c>
      <c r="I41" s="8">
        <f t="shared" si="12"/>
        <v>24197.143980560657</v>
      </c>
      <c r="J41" s="41">
        <f t="shared" si="13"/>
        <v>-327.14398056065875</v>
      </c>
      <c r="K41" s="50">
        <f t="shared" si="14"/>
        <v>11305</v>
      </c>
      <c r="L41" s="7" t="str">
        <f t="shared" si="15"/>
        <v/>
      </c>
      <c r="M41" s="59">
        <f t="shared" si="16"/>
        <v>0</v>
      </c>
      <c r="N41" s="61">
        <f t="shared" si="17"/>
        <v>5652.5</v>
      </c>
      <c r="O41" s="3"/>
      <c r="P41" s="54">
        <f t="shared" si="18"/>
        <v>5652.5</v>
      </c>
    </row>
    <row r="42" spans="1:16" x14ac:dyDescent="0.2">
      <c r="A42" s="9">
        <f t="shared" si="9"/>
        <v>38</v>
      </c>
      <c r="B42" s="17" t="s">
        <v>80</v>
      </c>
      <c r="C42" s="35" t="s">
        <v>24</v>
      </c>
      <c r="D42" s="30">
        <v>3677.1</v>
      </c>
      <c r="E42" s="7">
        <v>2900</v>
      </c>
      <c r="F42" s="31">
        <v>3541.7440000000001</v>
      </c>
      <c r="G42" s="40">
        <f t="shared" si="10"/>
        <v>3372.9480000000003</v>
      </c>
      <c r="H42" s="8">
        <f t="shared" si="11"/>
        <v>415.13873549935084</v>
      </c>
      <c r="I42" s="8">
        <f t="shared" si="12"/>
        <v>3788.0867354993511</v>
      </c>
      <c r="J42" s="41">
        <f t="shared" si="13"/>
        <v>2957.8092645006495</v>
      </c>
      <c r="K42" s="50">
        <f t="shared" si="14"/>
        <v>3677.1</v>
      </c>
      <c r="L42" s="7" t="str">
        <f t="shared" si="15"/>
        <v/>
      </c>
      <c r="M42" s="59">
        <f t="shared" si="16"/>
        <v>3541.7440000000001</v>
      </c>
      <c r="N42" s="61">
        <f t="shared" si="17"/>
        <v>3609.422</v>
      </c>
      <c r="O42" s="3"/>
      <c r="P42" s="54">
        <f t="shared" si="18"/>
        <v>3609.422</v>
      </c>
    </row>
    <row r="43" spans="1:16" ht="25.5" x14ac:dyDescent="0.2">
      <c r="A43" s="9">
        <f t="shared" si="9"/>
        <v>39</v>
      </c>
      <c r="B43" s="17" t="s">
        <v>62</v>
      </c>
      <c r="C43" s="35" t="s">
        <v>52</v>
      </c>
      <c r="D43" s="30">
        <v>43982.400000000001</v>
      </c>
      <c r="E43" s="7">
        <v>90</v>
      </c>
      <c r="F43" s="31">
        <v>42470.584999999999</v>
      </c>
      <c r="G43" s="40">
        <f t="shared" si="10"/>
        <v>28847.661666666667</v>
      </c>
      <c r="H43" s="8">
        <f t="shared" si="11"/>
        <v>24916.334492645747</v>
      </c>
      <c r="I43" s="8">
        <f t="shared" si="12"/>
        <v>53763.996159312417</v>
      </c>
      <c r="J43" s="41">
        <f t="shared" si="13"/>
        <v>3931.3271740209202</v>
      </c>
      <c r="K43" s="50">
        <f t="shared" si="14"/>
        <v>43982.400000000001</v>
      </c>
      <c r="L43" s="7" t="str">
        <f t="shared" si="15"/>
        <v/>
      </c>
      <c r="M43" s="59">
        <f t="shared" si="16"/>
        <v>42470.584999999999</v>
      </c>
      <c r="N43" s="61">
        <f t="shared" si="17"/>
        <v>43226.4925</v>
      </c>
      <c r="O43" s="3"/>
      <c r="P43" s="54">
        <f t="shared" si="18"/>
        <v>43226.4925</v>
      </c>
    </row>
    <row r="44" spans="1:16" ht="15.75" x14ac:dyDescent="0.2">
      <c r="A44" s="9">
        <v>1</v>
      </c>
      <c r="B44" s="16" t="s">
        <v>33</v>
      </c>
      <c r="C44" s="35" t="s">
        <v>24</v>
      </c>
      <c r="D44" s="28">
        <v>602.14</v>
      </c>
      <c r="E44" s="7">
        <v>450</v>
      </c>
      <c r="F44" s="29">
        <v>943.21600000000001</v>
      </c>
      <c r="G44" s="40">
        <f t="shared" si="10"/>
        <v>665.11866666666663</v>
      </c>
      <c r="H44" s="8">
        <f t="shared" si="11"/>
        <v>252.56729797290353</v>
      </c>
      <c r="I44" s="8">
        <f t="shared" si="12"/>
        <v>917.6859646395701</v>
      </c>
      <c r="J44" s="41">
        <f t="shared" si="13"/>
        <v>412.5513686937631</v>
      </c>
      <c r="K44" s="50">
        <f t="shared" si="14"/>
        <v>602.14</v>
      </c>
      <c r="L44" s="7">
        <f t="shared" si="15"/>
        <v>450</v>
      </c>
      <c r="M44" s="59" t="str">
        <f t="shared" si="16"/>
        <v/>
      </c>
      <c r="N44" s="61">
        <f t="shared" si="17"/>
        <v>526.06999999999994</v>
      </c>
      <c r="O44" s="4"/>
      <c r="P44" s="54">
        <f t="shared" si="18"/>
        <v>526.06999999999994</v>
      </c>
    </row>
    <row r="45" spans="1:16" x14ac:dyDescent="0.2">
      <c r="A45" s="9">
        <f t="shared" ref="A45:A59" si="19">SUM(A44+1)</f>
        <v>2</v>
      </c>
      <c r="B45" s="17" t="s">
        <v>81</v>
      </c>
      <c r="C45" s="35" t="s">
        <v>24</v>
      </c>
      <c r="D45" s="30">
        <v>916.3</v>
      </c>
      <c r="E45" s="7">
        <v>655</v>
      </c>
      <c r="F45" s="31">
        <v>934.03</v>
      </c>
      <c r="G45" s="40">
        <f t="shared" si="10"/>
        <v>835.11</v>
      </c>
      <c r="H45" s="8">
        <f t="shared" si="11"/>
        <v>156.23155027074426</v>
      </c>
      <c r="I45" s="8">
        <f t="shared" si="12"/>
        <v>991.34155027074428</v>
      </c>
      <c r="J45" s="41">
        <f t="shared" si="13"/>
        <v>678.87844972925575</v>
      </c>
      <c r="K45" s="50">
        <f t="shared" si="14"/>
        <v>916.3</v>
      </c>
      <c r="L45" s="7" t="str">
        <f t="shared" si="15"/>
        <v/>
      </c>
      <c r="M45" s="59">
        <f t="shared" si="16"/>
        <v>934.03</v>
      </c>
      <c r="N45" s="61">
        <f t="shared" si="17"/>
        <v>925.16499999999996</v>
      </c>
      <c r="O45" s="3"/>
      <c r="P45" s="54">
        <f t="shared" si="18"/>
        <v>925.16499999999996</v>
      </c>
    </row>
    <row r="46" spans="1:16" ht="15.75" x14ac:dyDescent="0.2">
      <c r="A46" s="9">
        <f t="shared" si="19"/>
        <v>3</v>
      </c>
      <c r="B46" s="16" t="s">
        <v>66</v>
      </c>
      <c r="C46" s="35" t="s">
        <v>24</v>
      </c>
      <c r="D46" s="28">
        <v>8300.25</v>
      </c>
      <c r="E46" s="7">
        <v>4800</v>
      </c>
      <c r="F46" s="29">
        <v>8092.1639999999998</v>
      </c>
      <c r="G46" s="40">
        <f t="shared" si="10"/>
        <v>7064.1379999999999</v>
      </c>
      <c r="H46" s="8">
        <f t="shared" si="11"/>
        <v>1963.5594231222008</v>
      </c>
      <c r="I46" s="8">
        <f t="shared" si="12"/>
        <v>9027.6974231222011</v>
      </c>
      <c r="J46" s="41">
        <f t="shared" si="13"/>
        <v>5100.5785768777987</v>
      </c>
      <c r="K46" s="50">
        <f t="shared" si="14"/>
        <v>8300.25</v>
      </c>
      <c r="L46" s="7" t="str">
        <f t="shared" si="15"/>
        <v/>
      </c>
      <c r="M46" s="59">
        <f t="shared" si="16"/>
        <v>8092.1639999999998</v>
      </c>
      <c r="N46" s="61">
        <f t="shared" si="17"/>
        <v>8196.2070000000003</v>
      </c>
      <c r="O46" s="4"/>
      <c r="P46" s="54">
        <f t="shared" si="18"/>
        <v>8196.2070000000003</v>
      </c>
    </row>
    <row r="47" spans="1:16" x14ac:dyDescent="0.2">
      <c r="A47" s="9">
        <f t="shared" si="19"/>
        <v>4</v>
      </c>
      <c r="B47" s="67" t="s">
        <v>93</v>
      </c>
      <c r="C47" s="35" t="s">
        <v>41</v>
      </c>
      <c r="D47" s="30">
        <v>8925</v>
      </c>
      <c r="E47" s="7">
        <v>4000</v>
      </c>
      <c r="F47" s="31">
        <v>0</v>
      </c>
      <c r="G47" s="40">
        <f t="shared" si="10"/>
        <v>4308.333333333333</v>
      </c>
      <c r="H47" s="8">
        <f t="shared" si="11"/>
        <v>4470.4818905050197</v>
      </c>
      <c r="I47" s="8">
        <f t="shared" si="12"/>
        <v>8778.8152238383518</v>
      </c>
      <c r="J47" s="41">
        <f t="shared" si="13"/>
        <v>-162.14855717168666</v>
      </c>
      <c r="K47" s="50" t="str">
        <f t="shared" si="14"/>
        <v/>
      </c>
      <c r="L47" s="7">
        <f t="shared" si="15"/>
        <v>4000</v>
      </c>
      <c r="M47" s="59">
        <f t="shared" si="16"/>
        <v>0</v>
      </c>
      <c r="N47" s="61">
        <f t="shared" si="17"/>
        <v>2000</v>
      </c>
      <c r="O47" s="3"/>
      <c r="P47" s="54">
        <f t="shared" si="18"/>
        <v>2000</v>
      </c>
    </row>
    <row r="48" spans="1:16" x14ac:dyDescent="0.2">
      <c r="A48" s="9">
        <f t="shared" si="19"/>
        <v>5</v>
      </c>
      <c r="B48" s="17" t="s">
        <v>15</v>
      </c>
      <c r="C48" s="35" t="s">
        <v>31</v>
      </c>
      <c r="D48" s="30">
        <v>21182</v>
      </c>
      <c r="E48" s="7">
        <v>25000</v>
      </c>
      <c r="F48" s="31">
        <v>24367.5</v>
      </c>
      <c r="G48" s="40">
        <f t="shared" si="10"/>
        <v>23516.5</v>
      </c>
      <c r="H48" s="8">
        <f t="shared" si="11"/>
        <v>2046.3215167710082</v>
      </c>
      <c r="I48" s="8">
        <f t="shared" si="12"/>
        <v>25562.821516771008</v>
      </c>
      <c r="J48" s="41">
        <f t="shared" si="13"/>
        <v>21470.178483228992</v>
      </c>
      <c r="K48" s="50" t="str">
        <f t="shared" si="14"/>
        <v/>
      </c>
      <c r="L48" s="7">
        <f t="shared" si="15"/>
        <v>25000</v>
      </c>
      <c r="M48" s="59">
        <f t="shared" si="16"/>
        <v>24367.5</v>
      </c>
      <c r="N48" s="61">
        <f t="shared" si="17"/>
        <v>24683.75</v>
      </c>
      <c r="O48" s="3"/>
      <c r="P48" s="54">
        <f t="shared" si="18"/>
        <v>24683.75</v>
      </c>
    </row>
    <row r="49" spans="1:16" x14ac:dyDescent="0.2">
      <c r="A49" s="9">
        <f t="shared" si="19"/>
        <v>6</v>
      </c>
      <c r="B49" s="17" t="s">
        <v>16</v>
      </c>
      <c r="C49" s="35" t="s">
        <v>31</v>
      </c>
      <c r="D49" s="30">
        <v>41650</v>
      </c>
      <c r="E49" s="7">
        <v>23000</v>
      </c>
      <c r="F49" s="31">
        <v>16245</v>
      </c>
      <c r="G49" s="40">
        <f t="shared" si="10"/>
        <v>26965</v>
      </c>
      <c r="H49" s="8">
        <f t="shared" si="11"/>
        <v>13158.43550730861</v>
      </c>
      <c r="I49" s="8">
        <f t="shared" si="12"/>
        <v>40123.435507308612</v>
      </c>
      <c r="J49" s="41">
        <f t="shared" si="13"/>
        <v>13806.56449269139</v>
      </c>
      <c r="K49" s="50" t="str">
        <f t="shared" si="14"/>
        <v/>
      </c>
      <c r="L49" s="7">
        <f t="shared" si="15"/>
        <v>23000</v>
      </c>
      <c r="M49" s="59">
        <f t="shared" si="16"/>
        <v>16245</v>
      </c>
      <c r="N49" s="61">
        <f t="shared" si="17"/>
        <v>19622.5</v>
      </c>
      <c r="O49" s="3"/>
      <c r="P49" s="54">
        <f t="shared" si="18"/>
        <v>19622.5</v>
      </c>
    </row>
    <row r="50" spans="1:16" x14ac:dyDescent="0.2">
      <c r="A50" s="9">
        <f t="shared" si="19"/>
        <v>7</v>
      </c>
      <c r="B50" s="17" t="s">
        <v>58</v>
      </c>
      <c r="C50" s="35" t="s">
        <v>24</v>
      </c>
      <c r="D50" s="30">
        <v>33022.5</v>
      </c>
      <c r="E50" s="7">
        <v>0</v>
      </c>
      <c r="F50" s="31">
        <v>0</v>
      </c>
      <c r="G50" s="40">
        <f t="shared" si="10"/>
        <v>11007.5</v>
      </c>
      <c r="H50" s="8">
        <f t="shared" si="11"/>
        <v>19065.549264314417</v>
      </c>
      <c r="I50" s="8">
        <f t="shared" si="12"/>
        <v>30073.049264314417</v>
      </c>
      <c r="J50" s="41">
        <f t="shared" si="13"/>
        <v>-8058.0492643144171</v>
      </c>
      <c r="K50" s="50" t="str">
        <f t="shared" si="14"/>
        <v/>
      </c>
      <c r="L50" s="7">
        <f t="shared" si="15"/>
        <v>0</v>
      </c>
      <c r="M50" s="59">
        <f t="shared" si="16"/>
        <v>0</v>
      </c>
      <c r="N50" s="61">
        <f t="shared" si="17"/>
        <v>0</v>
      </c>
      <c r="O50" s="3"/>
      <c r="P50" s="54">
        <f t="shared" si="18"/>
        <v>0</v>
      </c>
    </row>
    <row r="51" spans="1:16" x14ac:dyDescent="0.2">
      <c r="A51" s="9">
        <f t="shared" si="19"/>
        <v>8</v>
      </c>
      <c r="B51" s="17" t="s">
        <v>61</v>
      </c>
      <c r="C51" s="35" t="s">
        <v>24</v>
      </c>
      <c r="D51" s="30"/>
      <c r="E51" s="7">
        <v>3700</v>
      </c>
      <c r="F51" s="31">
        <v>0</v>
      </c>
      <c r="G51" s="40">
        <f t="shared" si="10"/>
        <v>1850</v>
      </c>
      <c r="H51" s="8">
        <f t="shared" si="11"/>
        <v>2616.2950903902261</v>
      </c>
      <c r="I51" s="8">
        <f t="shared" si="12"/>
        <v>4466.2950903902256</v>
      </c>
      <c r="J51" s="41">
        <f t="shared" si="13"/>
        <v>-766.29509039022605</v>
      </c>
      <c r="K51" s="50">
        <f t="shared" si="14"/>
        <v>0</v>
      </c>
      <c r="L51" s="7">
        <f t="shared" si="15"/>
        <v>3700</v>
      </c>
      <c r="M51" s="59">
        <f t="shared" si="16"/>
        <v>0</v>
      </c>
      <c r="N51" s="61">
        <f t="shared" si="17"/>
        <v>1233.3333333333333</v>
      </c>
      <c r="O51" s="3"/>
      <c r="P51" s="54">
        <f t="shared" si="18"/>
        <v>1233.3333333333333</v>
      </c>
    </row>
    <row r="52" spans="1:16" x14ac:dyDescent="0.2">
      <c r="A52" s="9">
        <f t="shared" si="19"/>
        <v>9</v>
      </c>
      <c r="B52" s="17" t="s">
        <v>17</v>
      </c>
      <c r="C52" s="35" t="s">
        <v>24</v>
      </c>
      <c r="D52" s="30">
        <v>77.349999999999994</v>
      </c>
      <c r="E52" s="7">
        <v>52</v>
      </c>
      <c r="F52" s="31">
        <v>60.756300000000003</v>
      </c>
      <c r="G52" s="40">
        <f t="shared" si="10"/>
        <v>63.368766666666666</v>
      </c>
      <c r="H52" s="8">
        <f t="shared" si="11"/>
        <v>12.875339279542636</v>
      </c>
      <c r="I52" s="8">
        <f t="shared" si="12"/>
        <v>76.244105946209302</v>
      </c>
      <c r="J52" s="41">
        <f t="shared" si="13"/>
        <v>50.493427387124029</v>
      </c>
      <c r="K52" s="50" t="str">
        <f t="shared" si="14"/>
        <v/>
      </c>
      <c r="L52" s="7">
        <f t="shared" si="15"/>
        <v>52</v>
      </c>
      <c r="M52" s="59">
        <f t="shared" si="16"/>
        <v>60.756300000000003</v>
      </c>
      <c r="N52" s="61">
        <f t="shared" si="17"/>
        <v>56.378150000000005</v>
      </c>
      <c r="O52" s="3"/>
      <c r="P52" s="54">
        <f t="shared" si="18"/>
        <v>56.378150000000005</v>
      </c>
    </row>
    <row r="53" spans="1:16" x14ac:dyDescent="0.2">
      <c r="A53" s="9">
        <f t="shared" si="19"/>
        <v>10</v>
      </c>
      <c r="B53" s="17" t="s">
        <v>71</v>
      </c>
      <c r="C53" s="35" t="s">
        <v>38</v>
      </c>
      <c r="D53" s="30">
        <v>8115.7999999999993</v>
      </c>
      <c r="E53" s="7">
        <v>8200</v>
      </c>
      <c r="F53" s="31">
        <v>8262.61</v>
      </c>
      <c r="G53" s="40">
        <f t="shared" si="10"/>
        <v>8192.8033333333333</v>
      </c>
      <c r="H53" s="8">
        <f t="shared" si="11"/>
        <v>73.66911179954208</v>
      </c>
      <c r="I53" s="8">
        <f t="shared" si="12"/>
        <v>8266.4724451328748</v>
      </c>
      <c r="J53" s="41">
        <f t="shared" si="13"/>
        <v>8119.1342215337909</v>
      </c>
      <c r="K53" s="50" t="str">
        <f t="shared" si="14"/>
        <v/>
      </c>
      <c r="L53" s="7">
        <f t="shared" si="15"/>
        <v>8200</v>
      </c>
      <c r="M53" s="59">
        <f t="shared" si="16"/>
        <v>8262.61</v>
      </c>
      <c r="N53" s="61">
        <f t="shared" si="17"/>
        <v>8231.3050000000003</v>
      </c>
      <c r="O53" s="3"/>
      <c r="P53" s="54">
        <f t="shared" si="18"/>
        <v>8231.3050000000003</v>
      </c>
    </row>
    <row r="54" spans="1:16" x14ac:dyDescent="0.2">
      <c r="A54" s="9">
        <f t="shared" si="19"/>
        <v>11</v>
      </c>
      <c r="B54" s="17" t="s">
        <v>72</v>
      </c>
      <c r="C54" s="35" t="s">
        <v>39</v>
      </c>
      <c r="D54" s="30">
        <v>7735</v>
      </c>
      <c r="E54" s="7">
        <v>5500</v>
      </c>
      <c r="F54" s="31">
        <v>6753.78</v>
      </c>
      <c r="G54" s="40">
        <f t="shared" si="10"/>
        <v>6662.9266666666663</v>
      </c>
      <c r="H54" s="8">
        <f t="shared" si="11"/>
        <v>1120.2664844282965</v>
      </c>
      <c r="I54" s="8">
        <f t="shared" si="12"/>
        <v>7783.1931510949626</v>
      </c>
      <c r="J54" s="41">
        <f t="shared" si="13"/>
        <v>5542.66018223837</v>
      </c>
      <c r="K54" s="50">
        <f t="shared" si="14"/>
        <v>7735</v>
      </c>
      <c r="L54" s="7" t="str">
        <f t="shared" si="15"/>
        <v/>
      </c>
      <c r="M54" s="59">
        <f t="shared" si="16"/>
        <v>6753.78</v>
      </c>
      <c r="N54" s="61">
        <f t="shared" si="17"/>
        <v>7244.3899999999994</v>
      </c>
      <c r="O54" s="3"/>
      <c r="P54" s="54">
        <f t="shared" si="18"/>
        <v>7244.3899999999994</v>
      </c>
    </row>
    <row r="55" spans="1:16" x14ac:dyDescent="0.2">
      <c r="A55" s="9">
        <f t="shared" si="19"/>
        <v>12</v>
      </c>
      <c r="B55" s="17" t="s">
        <v>64</v>
      </c>
      <c r="C55" s="35" t="s">
        <v>45</v>
      </c>
      <c r="D55" s="30">
        <v>9597.35</v>
      </c>
      <c r="E55" s="7">
        <v>0</v>
      </c>
      <c r="F55" s="31">
        <v>9472.26</v>
      </c>
      <c r="G55" s="40">
        <f t="shared" si="10"/>
        <v>6356.5366666666669</v>
      </c>
      <c r="H55" s="8">
        <f t="shared" si="11"/>
        <v>5505.2775291563039</v>
      </c>
      <c r="I55" s="8">
        <f t="shared" si="12"/>
        <v>11861.814195822972</v>
      </c>
      <c r="J55" s="41">
        <f t="shared" si="13"/>
        <v>851.25913751036296</v>
      </c>
      <c r="K55" s="50">
        <f t="shared" si="14"/>
        <v>9597.35</v>
      </c>
      <c r="L55" s="7" t="str">
        <f t="shared" si="15"/>
        <v/>
      </c>
      <c r="M55" s="59">
        <f t="shared" si="16"/>
        <v>9472.26</v>
      </c>
      <c r="N55" s="61">
        <f t="shared" si="17"/>
        <v>9534.8050000000003</v>
      </c>
      <c r="O55" s="3"/>
      <c r="P55" s="54">
        <f t="shared" si="18"/>
        <v>9534.8050000000003</v>
      </c>
    </row>
    <row r="56" spans="1:16" ht="25.5" x14ac:dyDescent="0.2">
      <c r="A56" s="9">
        <f t="shared" si="19"/>
        <v>13</v>
      </c>
      <c r="B56" s="17" t="s">
        <v>21</v>
      </c>
      <c r="C56" s="35" t="s">
        <v>24</v>
      </c>
      <c r="D56" s="30"/>
      <c r="E56" s="7">
        <v>4000</v>
      </c>
      <c r="F56" s="31">
        <v>0</v>
      </c>
      <c r="G56" s="40">
        <f t="shared" si="10"/>
        <v>2000</v>
      </c>
      <c r="H56" s="8">
        <f t="shared" si="11"/>
        <v>2828.4271247461902</v>
      </c>
      <c r="I56" s="8">
        <f t="shared" si="12"/>
        <v>4828.4271247461902</v>
      </c>
      <c r="J56" s="41">
        <f t="shared" si="13"/>
        <v>-828.4271247461902</v>
      </c>
      <c r="K56" s="50">
        <f t="shared" si="14"/>
        <v>0</v>
      </c>
      <c r="L56" s="7">
        <f t="shared" si="15"/>
        <v>4000</v>
      </c>
      <c r="M56" s="59">
        <f t="shared" si="16"/>
        <v>0</v>
      </c>
      <c r="N56" s="61">
        <f t="shared" si="17"/>
        <v>1333.3333333333333</v>
      </c>
      <c r="O56" s="3"/>
      <c r="P56" s="54">
        <f t="shared" si="18"/>
        <v>1333.3333333333333</v>
      </c>
    </row>
    <row r="57" spans="1:16" ht="15.75" x14ac:dyDescent="0.2">
      <c r="A57" s="9">
        <f t="shared" si="19"/>
        <v>14</v>
      </c>
      <c r="B57" s="16" t="s">
        <v>88</v>
      </c>
      <c r="C57" s="35" t="s">
        <v>24</v>
      </c>
      <c r="D57" s="28">
        <v>84668.5</v>
      </c>
      <c r="E57" s="7">
        <v>89800</v>
      </c>
      <c r="F57" s="29">
        <v>80565.187999999995</v>
      </c>
      <c r="G57" s="40">
        <f t="shared" si="10"/>
        <v>85011.229333333336</v>
      </c>
      <c r="H57" s="8">
        <f t="shared" si="11"/>
        <v>4626.9358884451121</v>
      </c>
      <c r="I57" s="8">
        <f t="shared" si="12"/>
        <v>89638.165221778443</v>
      </c>
      <c r="J57" s="41">
        <f t="shared" si="13"/>
        <v>80384.29344488823</v>
      </c>
      <c r="K57" s="50">
        <f t="shared" si="14"/>
        <v>84668.5</v>
      </c>
      <c r="L57" s="7" t="str">
        <f t="shared" si="15"/>
        <v/>
      </c>
      <c r="M57" s="59">
        <f t="shared" si="16"/>
        <v>80565.187999999995</v>
      </c>
      <c r="N57" s="61">
        <f t="shared" si="17"/>
        <v>82616.843999999997</v>
      </c>
      <c r="O57" s="4"/>
      <c r="P57" s="54">
        <f t="shared" si="18"/>
        <v>82616.843999999997</v>
      </c>
    </row>
    <row r="58" spans="1:16" ht="25.5" x14ac:dyDescent="0.2">
      <c r="A58" s="9">
        <f t="shared" si="19"/>
        <v>15</v>
      </c>
      <c r="B58" s="17" t="s">
        <v>11</v>
      </c>
      <c r="C58" s="35" t="s">
        <v>24</v>
      </c>
      <c r="D58" s="30"/>
      <c r="E58" s="7">
        <v>3900</v>
      </c>
      <c r="F58" s="31">
        <v>3253.55</v>
      </c>
      <c r="G58" s="40">
        <f t="shared" si="10"/>
        <v>3576.7750000000001</v>
      </c>
      <c r="H58" s="8">
        <f t="shared" si="11"/>
        <v>457.10917869804354</v>
      </c>
      <c r="I58" s="8">
        <f t="shared" si="12"/>
        <v>4033.8841786980438</v>
      </c>
      <c r="J58" s="41">
        <f t="shared" si="13"/>
        <v>3119.6658213019564</v>
      </c>
      <c r="K58" s="50" t="str">
        <f t="shared" si="14"/>
        <v/>
      </c>
      <c r="L58" s="7">
        <f t="shared" si="15"/>
        <v>3900</v>
      </c>
      <c r="M58" s="59">
        <f t="shared" si="16"/>
        <v>3253.55</v>
      </c>
      <c r="N58" s="61">
        <f t="shared" si="17"/>
        <v>3576.7750000000001</v>
      </c>
      <c r="O58" s="3"/>
      <c r="P58" s="54">
        <f t="shared" si="18"/>
        <v>3576.7750000000001</v>
      </c>
    </row>
    <row r="59" spans="1:16" ht="13.5" thickBot="1" x14ac:dyDescent="0.25">
      <c r="A59" s="11">
        <f t="shared" si="19"/>
        <v>16</v>
      </c>
      <c r="B59" s="18" t="s">
        <v>34</v>
      </c>
      <c r="C59" s="37" t="s">
        <v>24</v>
      </c>
      <c r="D59" s="32">
        <v>5164.5999999999995</v>
      </c>
      <c r="E59" s="12">
        <v>9900</v>
      </c>
      <c r="F59" s="33">
        <v>4899.2860000000001</v>
      </c>
      <c r="G59" s="42">
        <f t="shared" si="10"/>
        <v>6654.6286666666665</v>
      </c>
      <c r="H59" s="43">
        <f t="shared" si="11"/>
        <v>2813.7029335140091</v>
      </c>
      <c r="I59" s="43">
        <f t="shared" si="12"/>
        <v>9468.3316001806761</v>
      </c>
      <c r="J59" s="44">
        <f t="shared" si="13"/>
        <v>3840.9257331526574</v>
      </c>
      <c r="K59" s="51">
        <f t="shared" si="14"/>
        <v>5164.5999999999995</v>
      </c>
      <c r="L59" s="12" t="str">
        <f t="shared" si="15"/>
        <v/>
      </c>
      <c r="M59" s="60">
        <f t="shared" si="16"/>
        <v>4899.2860000000001</v>
      </c>
      <c r="N59" s="62">
        <f t="shared" si="17"/>
        <v>5031.9429999999993</v>
      </c>
      <c r="O59" s="63"/>
      <c r="P59" s="55">
        <f t="shared" si="18"/>
        <v>5031.9429999999993</v>
      </c>
    </row>
  </sheetData>
  <sortState ref="A5:Q59">
    <sortCondition ref="B5:B59"/>
  </sortState>
  <mergeCells count="4">
    <mergeCell ref="D3:F3"/>
    <mergeCell ref="G3:J3"/>
    <mergeCell ref="K3:M3"/>
    <mergeCell ref="N3:O3"/>
  </mergeCells>
  <conditionalFormatting sqref="C34:C38 C57:C58 C5:C15 C30:C32 C17:C27">
    <cfRule type="expression" dxfId="73" priority="36">
      <formula>ISERROR(C5)</formula>
    </cfRule>
  </conditionalFormatting>
  <conditionalFormatting sqref="C16">
    <cfRule type="expression" dxfId="72" priority="35">
      <formula>ISERROR(C16)</formula>
    </cfRule>
  </conditionalFormatting>
  <conditionalFormatting sqref="C33">
    <cfRule type="expression" dxfId="71" priority="34">
      <formula>ISERROR(C33)</formula>
    </cfRule>
  </conditionalFormatting>
  <conditionalFormatting sqref="C29">
    <cfRule type="expression" dxfId="70" priority="31">
      <formula>ISERROR(C29)</formula>
    </cfRule>
  </conditionalFormatting>
  <conditionalFormatting sqref="C28">
    <cfRule type="expression" dxfId="69" priority="32">
      <formula>ISERROR(C28)</formula>
    </cfRule>
  </conditionalFormatting>
  <conditionalFormatting sqref="C41">
    <cfRule type="expression" dxfId="68" priority="17">
      <formula>ISERROR(C41)</formula>
    </cfRule>
  </conditionalFormatting>
  <conditionalFormatting sqref="C39:C40">
    <cfRule type="expression" dxfId="67" priority="30">
      <formula>ISERROR(C39)</formula>
    </cfRule>
  </conditionalFormatting>
  <conditionalFormatting sqref="C45:C46">
    <cfRule type="expression" dxfId="66" priority="27">
      <formula>ISERROR(C45)</formula>
    </cfRule>
  </conditionalFormatting>
  <conditionalFormatting sqref="C47">
    <cfRule type="expression" dxfId="65" priority="28">
      <formula>ISERROR(C47)</formula>
    </cfRule>
  </conditionalFormatting>
  <conditionalFormatting sqref="C51:C53">
    <cfRule type="expression" dxfId="64" priority="22">
      <formula>ISERROR(C51)</formula>
    </cfRule>
  </conditionalFormatting>
  <conditionalFormatting sqref="C54">
    <cfRule type="expression" dxfId="63" priority="26">
      <formula>ISERROR(C54)</formula>
    </cfRule>
  </conditionalFormatting>
  <conditionalFormatting sqref="C55:C56">
    <cfRule type="expression" dxfId="62" priority="21">
      <formula>ISERROR(C55)</formula>
    </cfRule>
  </conditionalFormatting>
  <conditionalFormatting sqref="C48">
    <cfRule type="expression" dxfId="61" priority="25">
      <formula>ISERROR(C48)</formula>
    </cfRule>
  </conditionalFormatting>
  <conditionalFormatting sqref="C50">
    <cfRule type="expression" dxfId="60" priority="23">
      <formula>ISERROR(C50)</formula>
    </cfRule>
  </conditionalFormatting>
  <conditionalFormatting sqref="C44">
    <cfRule type="expression" dxfId="59" priority="20">
      <formula>ISERROR(C44)</formula>
    </cfRule>
  </conditionalFormatting>
  <conditionalFormatting sqref="C42">
    <cfRule type="expression" dxfId="58" priority="19">
      <formula>ISERROR(C42)</formula>
    </cfRule>
  </conditionalFormatting>
  <conditionalFormatting sqref="C43">
    <cfRule type="expression" dxfId="57" priority="18">
      <formula>ISERROR(C43)</formula>
    </cfRule>
  </conditionalFormatting>
  <conditionalFormatting sqref="C49">
    <cfRule type="expression" dxfId="56" priority="16">
      <formula>ISERROR(C49)</formula>
    </cfRule>
  </conditionalFormatting>
  <conditionalFormatting sqref="C59">
    <cfRule type="expression" dxfId="55" priority="1">
      <formula>ISERROR(C59)</formula>
    </cfRule>
  </conditionalFormatting>
  <printOptions horizontalCentered="1" verticalCentered="1"/>
  <pageMargins left="0" right="0" top="0.59055118110236227" bottom="0.59055118110236227" header="0" footer="0"/>
  <pageSetup scale="29" fitToHeight="2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7C34E-8213-4A68-9877-DFF22AFED9DD}">
  <sheetPr>
    <pageSetUpPr fitToPage="1"/>
  </sheetPr>
  <dimension ref="A2:R51"/>
  <sheetViews>
    <sheetView zoomScale="80" zoomScaleNormal="80" workbookViewId="0">
      <pane ySplit="4" topLeftCell="A29" activePane="bottomLeft" state="frozen"/>
      <selection activeCell="B9" sqref="B9"/>
      <selection pane="bottomLeft" activeCell="B9" sqref="B9"/>
    </sheetView>
  </sheetViews>
  <sheetFormatPr baseColWidth="10" defaultRowHeight="13.5" x14ac:dyDescent="0.2"/>
  <cols>
    <col min="1" max="1" width="5.7109375" style="72" bestFit="1" customWidth="1"/>
    <col min="2" max="2" width="62.85546875" style="72" customWidth="1"/>
    <col min="3" max="3" width="18.85546875" style="72" customWidth="1"/>
    <col min="4" max="4" width="21.28515625" style="73" customWidth="1"/>
    <col min="5" max="5" width="18" style="68" customWidth="1"/>
    <col min="6" max="6" width="18.28515625" style="68" customWidth="1"/>
    <col min="7" max="7" width="18.28515625" style="122" customWidth="1"/>
    <col min="8" max="8" width="18.28515625" style="68" customWidth="1"/>
    <col min="9" max="9" width="11.5703125" style="68" customWidth="1"/>
    <col min="10" max="10" width="13" style="68" customWidth="1"/>
    <col min="11" max="11" width="12.85546875" style="68" customWidth="1"/>
    <col min="12" max="12" width="13.28515625" style="68" customWidth="1"/>
    <col min="13" max="14" width="15.5703125" style="68" customWidth="1"/>
    <col min="15" max="15" width="15.42578125" style="68" customWidth="1"/>
    <col min="16" max="16" width="15.140625" style="74" customWidth="1"/>
    <col min="17" max="18" width="15.7109375" style="74" customWidth="1"/>
    <col min="19" max="19" width="28.7109375" style="72" customWidth="1"/>
    <col min="20" max="16384" width="11.42578125" style="72"/>
  </cols>
  <sheetData>
    <row r="2" spans="1:18" ht="14.25" thickBot="1" x14ac:dyDescent="0.25"/>
    <row r="3" spans="1:18" thickBot="1" x14ac:dyDescent="0.25">
      <c r="D3" s="210" t="s">
        <v>0</v>
      </c>
      <c r="E3" s="211"/>
      <c r="F3" s="211"/>
      <c r="G3" s="211"/>
      <c r="H3" s="212"/>
      <c r="I3" s="203" t="s">
        <v>1</v>
      </c>
      <c r="J3" s="203"/>
      <c r="K3" s="203"/>
      <c r="L3" s="204"/>
      <c r="M3" s="205" t="s">
        <v>2</v>
      </c>
      <c r="N3" s="206"/>
      <c r="O3" s="207"/>
      <c r="P3" s="208" t="s">
        <v>90</v>
      </c>
      <c r="Q3" s="209"/>
    </row>
    <row r="4" spans="1:18" ht="64.5" thickBot="1" x14ac:dyDescent="0.25">
      <c r="A4" s="76" t="s">
        <v>8</v>
      </c>
      <c r="B4" s="77" t="s">
        <v>94</v>
      </c>
      <c r="C4" s="123" t="s">
        <v>28</v>
      </c>
      <c r="D4" s="127" t="s">
        <v>46</v>
      </c>
      <c r="E4" s="128" t="s">
        <v>47</v>
      </c>
      <c r="F4" s="128" t="s">
        <v>65</v>
      </c>
      <c r="G4" s="129" t="s">
        <v>115</v>
      </c>
      <c r="H4" s="130" t="s">
        <v>114</v>
      </c>
      <c r="I4" s="78" t="s">
        <v>3</v>
      </c>
      <c r="J4" s="79" t="s">
        <v>4</v>
      </c>
      <c r="K4" s="79" t="s">
        <v>5</v>
      </c>
      <c r="L4" s="80" t="s">
        <v>6</v>
      </c>
      <c r="M4" s="46" t="str">
        <f>+D4</f>
        <v>AXSA TEXCHNOLOGY
901.075.981-0</v>
      </c>
      <c r="N4" s="45" t="str">
        <f>+E4</f>
        <v>GRAN PAPELERA BOLIVAR SAS</v>
      </c>
      <c r="O4" s="47" t="str">
        <f>+F4</f>
        <v>PAPELIST SAS
901.089.740-3</v>
      </c>
      <c r="P4" s="81" t="s">
        <v>91</v>
      </c>
      <c r="Q4" s="82" t="s">
        <v>116</v>
      </c>
      <c r="R4" s="83" t="s">
        <v>9</v>
      </c>
    </row>
    <row r="5" spans="1:18" ht="12.75" x14ac:dyDescent="0.2">
      <c r="A5" s="84">
        <v>1</v>
      </c>
      <c r="B5" s="85" t="s">
        <v>100</v>
      </c>
      <c r="C5" s="124" t="s">
        <v>113</v>
      </c>
      <c r="D5" s="131">
        <v>6295.0999999999995</v>
      </c>
      <c r="E5" s="132">
        <v>13400</v>
      </c>
      <c r="F5" s="132">
        <v>1274.1176</v>
      </c>
      <c r="G5" s="132">
        <v>2666</v>
      </c>
      <c r="H5" s="133">
        <v>2650</v>
      </c>
      <c r="I5" s="88">
        <f>+AVERAGE(D5,E5,F5,G5,H5)</f>
        <v>5257.0435200000002</v>
      </c>
      <c r="J5" s="89">
        <f>+STDEV(D5,E5,F5,G5,H5)</f>
        <v>4918.3122819916543</v>
      </c>
      <c r="K5" s="89">
        <f t="shared" ref="K5:K22" si="0">+I5+J5</f>
        <v>10175.355801991655</v>
      </c>
      <c r="L5" s="90">
        <f t="shared" ref="L5:L22" si="1">+I5-J5</f>
        <v>338.73123800834583</v>
      </c>
      <c r="M5" s="91">
        <f t="shared" ref="M5:M22" si="2">IF(AND(D5&lt;=$K5,D5&gt;=$L5),D5,"")</f>
        <v>6295.0999999999995</v>
      </c>
      <c r="N5" s="92" t="str">
        <f t="shared" ref="N5:N22" si="3">IF(AND(E5&lt;=$K5,E5&gt;=$L5),E5,"")</f>
        <v/>
      </c>
      <c r="O5" s="93">
        <f t="shared" ref="O5:O22" si="4">IF(AND(F5&lt;=$K5,F5&gt;=$L5),F5,"")</f>
        <v>1274.1176</v>
      </c>
      <c r="P5" s="94">
        <f t="shared" ref="P5:P22" si="5">+AVERAGE(M5,N5,O5)</f>
        <v>3784.6088</v>
      </c>
      <c r="Q5" s="95"/>
      <c r="R5" s="96">
        <f t="shared" ref="R5:R23" si="6">+MIN(P5,Q5)</f>
        <v>3784.6088</v>
      </c>
    </row>
    <row r="6" spans="1:18" ht="12.75" x14ac:dyDescent="0.2">
      <c r="A6" s="84">
        <v>2</v>
      </c>
      <c r="B6" s="97" t="s">
        <v>63</v>
      </c>
      <c r="C6" s="125" t="s">
        <v>44</v>
      </c>
      <c r="D6" s="134">
        <v>4069.7999999999997</v>
      </c>
      <c r="E6" s="135">
        <v>3800</v>
      </c>
      <c r="F6" s="135">
        <v>3473.4875000000002</v>
      </c>
      <c r="G6" s="135">
        <v>3570</v>
      </c>
      <c r="H6" s="136">
        <v>4667</v>
      </c>
      <c r="I6" s="100">
        <f t="shared" ref="I6:I51" si="7">+AVERAGE(D6,E6,F6,G6,H6)</f>
        <v>3916.0574999999999</v>
      </c>
      <c r="J6" s="101">
        <f t="shared" ref="J6:J51" si="8">+STDEV(D6,E6,F6,G6,H6)</f>
        <v>478.70782741798973</v>
      </c>
      <c r="K6" s="101">
        <f t="shared" si="0"/>
        <v>4394.7653274179893</v>
      </c>
      <c r="L6" s="102">
        <f t="shared" si="1"/>
        <v>3437.34967258201</v>
      </c>
      <c r="M6" s="103">
        <f t="shared" si="2"/>
        <v>4069.7999999999997</v>
      </c>
      <c r="N6" s="99">
        <f t="shared" si="3"/>
        <v>3800</v>
      </c>
      <c r="O6" s="69">
        <f t="shared" si="4"/>
        <v>3473.4875000000002</v>
      </c>
      <c r="P6" s="104">
        <f t="shared" si="5"/>
        <v>3781.0958333333328</v>
      </c>
      <c r="Q6" s="105"/>
      <c r="R6" s="106">
        <f t="shared" si="6"/>
        <v>3781.0958333333328</v>
      </c>
    </row>
    <row r="7" spans="1:18" ht="12.75" x14ac:dyDescent="0.2">
      <c r="A7" s="84">
        <v>3</v>
      </c>
      <c r="B7" s="97" t="s">
        <v>117</v>
      </c>
      <c r="C7" s="125" t="s">
        <v>24</v>
      </c>
      <c r="D7" s="134">
        <v>347.47999999999996</v>
      </c>
      <c r="E7" s="135">
        <v>312</v>
      </c>
      <c r="F7" s="135">
        <v>333.69747999999998</v>
      </c>
      <c r="G7" s="135">
        <v>286</v>
      </c>
      <c r="H7" s="136">
        <v>490</v>
      </c>
      <c r="I7" s="100">
        <f t="shared" si="7"/>
        <v>353.83549600000003</v>
      </c>
      <c r="J7" s="101">
        <f t="shared" si="8"/>
        <v>79.590463327147688</v>
      </c>
      <c r="K7" s="101">
        <f t="shared" si="0"/>
        <v>433.42595932714772</v>
      </c>
      <c r="L7" s="102">
        <f t="shared" si="1"/>
        <v>274.24503267285235</v>
      </c>
      <c r="M7" s="103">
        <f t="shared" si="2"/>
        <v>347.47999999999996</v>
      </c>
      <c r="N7" s="99">
        <f t="shared" si="3"/>
        <v>312</v>
      </c>
      <c r="O7" s="69">
        <f t="shared" si="4"/>
        <v>333.69747999999998</v>
      </c>
      <c r="P7" s="104">
        <f t="shared" si="5"/>
        <v>331.05916000000002</v>
      </c>
      <c r="Q7" s="107">
        <v>302.26</v>
      </c>
      <c r="R7" s="106">
        <f t="shared" si="6"/>
        <v>302.26</v>
      </c>
    </row>
    <row r="8" spans="1:18" s="157" customFormat="1" ht="12.75" x14ac:dyDescent="0.2">
      <c r="A8" s="144">
        <v>4</v>
      </c>
      <c r="B8" s="108" t="s">
        <v>108</v>
      </c>
      <c r="C8" s="145" t="s">
        <v>109</v>
      </c>
      <c r="D8" s="146"/>
      <c r="E8" s="147"/>
      <c r="F8" s="147"/>
      <c r="G8" s="147">
        <v>4760</v>
      </c>
      <c r="H8" s="148"/>
      <c r="I8" s="149">
        <f t="shared" si="7"/>
        <v>4760</v>
      </c>
      <c r="J8" s="150" t="e">
        <f t="shared" si="8"/>
        <v>#DIV/0!</v>
      </c>
      <c r="K8" s="150" t="e">
        <f t="shared" si="0"/>
        <v>#DIV/0!</v>
      </c>
      <c r="L8" s="151" t="e">
        <f t="shared" si="1"/>
        <v>#DIV/0!</v>
      </c>
      <c r="M8" s="152" t="e">
        <f t="shared" si="2"/>
        <v>#DIV/0!</v>
      </c>
      <c r="N8" s="147" t="e">
        <f t="shared" si="3"/>
        <v>#DIV/0!</v>
      </c>
      <c r="O8" s="153" t="e">
        <f t="shared" si="4"/>
        <v>#DIV/0!</v>
      </c>
      <c r="P8" s="154" t="e">
        <f t="shared" si="5"/>
        <v>#DIV/0!</v>
      </c>
      <c r="Q8" s="155"/>
      <c r="R8" s="156" t="e">
        <f t="shared" si="6"/>
        <v>#DIV/0!</v>
      </c>
    </row>
    <row r="9" spans="1:18" ht="12.75" x14ac:dyDescent="0.2">
      <c r="A9" s="84">
        <v>5</v>
      </c>
      <c r="B9" s="97" t="s">
        <v>23</v>
      </c>
      <c r="C9" s="125" t="s">
        <v>24</v>
      </c>
      <c r="D9" s="134"/>
      <c r="E9" s="135"/>
      <c r="F9" s="135">
        <v>250.2731</v>
      </c>
      <c r="G9" s="135">
        <v>262</v>
      </c>
      <c r="H9" s="136"/>
      <c r="I9" s="100">
        <f t="shared" si="7"/>
        <v>256.13655</v>
      </c>
      <c r="J9" s="101">
        <f t="shared" si="8"/>
        <v>8.2921705122965239</v>
      </c>
      <c r="K9" s="101">
        <f t="shared" si="0"/>
        <v>264.42872051229654</v>
      </c>
      <c r="L9" s="102">
        <f t="shared" si="1"/>
        <v>247.84437948770346</v>
      </c>
      <c r="M9" s="103" t="str">
        <f t="shared" si="2"/>
        <v/>
      </c>
      <c r="N9" s="99" t="str">
        <f t="shared" si="3"/>
        <v/>
      </c>
      <c r="O9" s="69">
        <f t="shared" si="4"/>
        <v>250.2731</v>
      </c>
      <c r="P9" s="104">
        <f t="shared" si="5"/>
        <v>250.2731</v>
      </c>
      <c r="Q9" s="105"/>
      <c r="R9" s="106">
        <f t="shared" si="6"/>
        <v>250.2731</v>
      </c>
    </row>
    <row r="10" spans="1:18" ht="12.75" x14ac:dyDescent="0.2">
      <c r="A10" s="84">
        <v>6</v>
      </c>
      <c r="B10" s="97" t="s">
        <v>22</v>
      </c>
      <c r="C10" s="125" t="s">
        <v>24</v>
      </c>
      <c r="D10" s="134"/>
      <c r="E10" s="135">
        <v>1100</v>
      </c>
      <c r="F10" s="135">
        <v>3113.1302599999999</v>
      </c>
      <c r="G10" s="135">
        <v>1614</v>
      </c>
      <c r="H10" s="136">
        <v>5424</v>
      </c>
      <c r="I10" s="100">
        <f t="shared" si="7"/>
        <v>2812.782565</v>
      </c>
      <c r="J10" s="101">
        <f t="shared" si="8"/>
        <v>1939.0177052531653</v>
      </c>
      <c r="K10" s="101">
        <f t="shared" si="0"/>
        <v>4751.8002702531649</v>
      </c>
      <c r="L10" s="102">
        <f t="shared" si="1"/>
        <v>873.76485974683465</v>
      </c>
      <c r="M10" s="103" t="str">
        <f t="shared" si="2"/>
        <v/>
      </c>
      <c r="N10" s="99">
        <f t="shared" si="3"/>
        <v>1100</v>
      </c>
      <c r="O10" s="69">
        <f t="shared" si="4"/>
        <v>3113.1302599999999</v>
      </c>
      <c r="P10" s="104">
        <f t="shared" si="5"/>
        <v>2106.56513</v>
      </c>
      <c r="Q10" s="107" t="e">
        <f>+#REF!</f>
        <v>#REF!</v>
      </c>
      <c r="R10" s="106" t="e">
        <f t="shared" si="6"/>
        <v>#REF!</v>
      </c>
    </row>
    <row r="11" spans="1:18" ht="12.75" x14ac:dyDescent="0.2">
      <c r="A11" s="84">
        <v>7</v>
      </c>
      <c r="B11" s="97" t="s">
        <v>107</v>
      </c>
      <c r="C11" s="125" t="s">
        <v>24</v>
      </c>
      <c r="D11" s="134"/>
      <c r="E11" s="135"/>
      <c r="F11" s="135">
        <v>1478.8866</v>
      </c>
      <c r="G11" s="135">
        <v>309</v>
      </c>
      <c r="H11" s="136">
        <v>1340</v>
      </c>
      <c r="I11" s="100">
        <f t="shared" si="7"/>
        <v>1042.6288666666667</v>
      </c>
      <c r="J11" s="101">
        <f t="shared" si="8"/>
        <v>639.12507181290687</v>
      </c>
      <c r="K11" s="101">
        <f t="shared" si="0"/>
        <v>1681.7539384795737</v>
      </c>
      <c r="L11" s="102">
        <f t="shared" si="1"/>
        <v>403.50379485375981</v>
      </c>
      <c r="M11" s="103" t="str">
        <f t="shared" si="2"/>
        <v/>
      </c>
      <c r="N11" s="99" t="str">
        <f t="shared" si="3"/>
        <v/>
      </c>
      <c r="O11" s="69">
        <f t="shared" si="4"/>
        <v>1478.8866</v>
      </c>
      <c r="P11" s="104">
        <f t="shared" si="5"/>
        <v>1478.8866</v>
      </c>
      <c r="Q11" s="105"/>
      <c r="R11" s="106">
        <f t="shared" si="6"/>
        <v>1478.8866</v>
      </c>
    </row>
    <row r="12" spans="1:18" ht="15.75" x14ac:dyDescent="0.2">
      <c r="A12" s="84">
        <v>8</v>
      </c>
      <c r="B12" s="16" t="s">
        <v>10</v>
      </c>
      <c r="C12" s="125" t="s">
        <v>24</v>
      </c>
      <c r="D12" s="137">
        <v>856800</v>
      </c>
      <c r="E12" s="135">
        <v>578000</v>
      </c>
      <c r="F12" s="138"/>
      <c r="G12" s="138"/>
      <c r="H12" s="139"/>
      <c r="I12" s="100">
        <f t="shared" si="7"/>
        <v>717400</v>
      </c>
      <c r="J12" s="101">
        <f t="shared" si="8"/>
        <v>197141.37059480944</v>
      </c>
      <c r="K12" s="101">
        <f t="shared" si="0"/>
        <v>914541.37059480941</v>
      </c>
      <c r="L12" s="102">
        <f t="shared" si="1"/>
        <v>520258.62940519059</v>
      </c>
      <c r="M12" s="103">
        <f t="shared" si="2"/>
        <v>856800</v>
      </c>
      <c r="N12" s="99">
        <f t="shared" si="3"/>
        <v>578000</v>
      </c>
      <c r="O12" s="69" t="str">
        <f t="shared" si="4"/>
        <v/>
      </c>
      <c r="P12" s="104">
        <f t="shared" si="5"/>
        <v>717400</v>
      </c>
      <c r="Q12" s="109"/>
      <c r="R12" s="106">
        <f t="shared" si="6"/>
        <v>717400</v>
      </c>
    </row>
    <row r="13" spans="1:18" ht="12.75" x14ac:dyDescent="0.2">
      <c r="A13" s="84">
        <v>9</v>
      </c>
      <c r="B13" s="97" t="s">
        <v>49</v>
      </c>
      <c r="C13" s="125" t="s">
        <v>48</v>
      </c>
      <c r="D13" s="134">
        <v>38318</v>
      </c>
      <c r="E13" s="135">
        <v>36000</v>
      </c>
      <c r="F13" s="135">
        <v>14800.84</v>
      </c>
      <c r="G13" s="135">
        <v>65450</v>
      </c>
      <c r="H13" s="136">
        <v>63490</v>
      </c>
      <c r="I13" s="100">
        <f t="shared" si="7"/>
        <v>43611.767999999996</v>
      </c>
      <c r="J13" s="101">
        <f t="shared" si="8"/>
        <v>21142.877336567046</v>
      </c>
      <c r="K13" s="101">
        <f t="shared" si="0"/>
        <v>64754.645336567046</v>
      </c>
      <c r="L13" s="102">
        <f t="shared" si="1"/>
        <v>22468.890663432951</v>
      </c>
      <c r="M13" s="103">
        <f t="shared" si="2"/>
        <v>38318</v>
      </c>
      <c r="N13" s="99">
        <f t="shared" si="3"/>
        <v>36000</v>
      </c>
      <c r="O13" s="69" t="str">
        <f t="shared" si="4"/>
        <v/>
      </c>
      <c r="P13" s="104">
        <f t="shared" si="5"/>
        <v>37159</v>
      </c>
      <c r="Q13" s="107" t="e">
        <f>+#REF!</f>
        <v>#REF!</v>
      </c>
      <c r="R13" s="106" t="e">
        <f t="shared" si="6"/>
        <v>#REF!</v>
      </c>
    </row>
    <row r="14" spans="1:18" ht="12.75" x14ac:dyDescent="0.2">
      <c r="A14" s="84">
        <v>10</v>
      </c>
      <c r="B14" s="97" t="s">
        <v>101</v>
      </c>
      <c r="C14" s="125" t="s">
        <v>31</v>
      </c>
      <c r="D14" s="134">
        <v>1588.6499999999999</v>
      </c>
      <c r="E14" s="135">
        <v>1200</v>
      </c>
      <c r="F14" s="135">
        <v>2859.181</v>
      </c>
      <c r="G14" s="135">
        <v>2223</v>
      </c>
      <c r="H14" s="136">
        <v>1590</v>
      </c>
      <c r="I14" s="100">
        <f t="shared" si="7"/>
        <v>1892.1662000000001</v>
      </c>
      <c r="J14" s="101">
        <f t="shared" si="8"/>
        <v>653.27811289465365</v>
      </c>
      <c r="K14" s="101">
        <f t="shared" si="0"/>
        <v>2545.4443128946536</v>
      </c>
      <c r="L14" s="102">
        <f t="shared" si="1"/>
        <v>1238.8880871053466</v>
      </c>
      <c r="M14" s="103">
        <f t="shared" si="2"/>
        <v>1588.6499999999999</v>
      </c>
      <c r="N14" s="99" t="str">
        <f t="shared" si="3"/>
        <v/>
      </c>
      <c r="O14" s="69" t="str">
        <f t="shared" si="4"/>
        <v/>
      </c>
      <c r="P14" s="104">
        <f t="shared" si="5"/>
        <v>1588.6499999999999</v>
      </c>
      <c r="Q14" s="105">
        <v>1451.8</v>
      </c>
      <c r="R14" s="106">
        <f t="shared" si="6"/>
        <v>1451.8</v>
      </c>
    </row>
    <row r="15" spans="1:18" ht="12.75" x14ac:dyDescent="0.2">
      <c r="A15" s="84">
        <v>11</v>
      </c>
      <c r="B15" s="97" t="s">
        <v>99</v>
      </c>
      <c r="C15" s="125" t="s">
        <v>31</v>
      </c>
      <c r="D15" s="134">
        <v>5973.8</v>
      </c>
      <c r="E15" s="135">
        <v>5200</v>
      </c>
      <c r="F15" s="135">
        <v>7576.4490000000005</v>
      </c>
      <c r="G15" s="135">
        <v>8925</v>
      </c>
      <c r="H15" s="136">
        <v>8407</v>
      </c>
      <c r="I15" s="100">
        <f t="shared" si="7"/>
        <v>7216.4497999999994</v>
      </c>
      <c r="J15" s="101">
        <f t="shared" si="8"/>
        <v>1587.1673911406476</v>
      </c>
      <c r="K15" s="101">
        <f t="shared" si="0"/>
        <v>8803.6171911406473</v>
      </c>
      <c r="L15" s="102">
        <f t="shared" si="1"/>
        <v>5629.2824088593516</v>
      </c>
      <c r="M15" s="103">
        <f t="shared" si="2"/>
        <v>5973.8</v>
      </c>
      <c r="N15" s="99" t="str">
        <f t="shared" si="3"/>
        <v/>
      </c>
      <c r="O15" s="69">
        <f t="shared" si="4"/>
        <v>7576.4490000000005</v>
      </c>
      <c r="P15" s="104">
        <f t="shared" si="5"/>
        <v>6775.1244999999999</v>
      </c>
      <c r="Q15" s="107">
        <v>5212.2</v>
      </c>
      <c r="R15" s="106">
        <f t="shared" si="6"/>
        <v>5212.2</v>
      </c>
    </row>
    <row r="16" spans="1:18" ht="12.75" x14ac:dyDescent="0.2">
      <c r="A16" s="84">
        <v>12</v>
      </c>
      <c r="B16" s="97" t="s">
        <v>76</v>
      </c>
      <c r="C16" s="125" t="s">
        <v>31</v>
      </c>
      <c r="D16" s="134">
        <v>628.31999999999994</v>
      </c>
      <c r="E16" s="135">
        <v>600</v>
      </c>
      <c r="F16" s="135">
        <v>970.75699999999995</v>
      </c>
      <c r="G16" s="135">
        <v>762</v>
      </c>
      <c r="H16" s="136">
        <v>450</v>
      </c>
      <c r="I16" s="100">
        <f t="shared" si="7"/>
        <v>682.21539999999993</v>
      </c>
      <c r="J16" s="101">
        <f t="shared" si="8"/>
        <v>195.71019101160766</v>
      </c>
      <c r="K16" s="101">
        <f t="shared" si="0"/>
        <v>877.92559101160759</v>
      </c>
      <c r="L16" s="102">
        <f t="shared" si="1"/>
        <v>486.50520898839227</v>
      </c>
      <c r="M16" s="103">
        <f t="shared" si="2"/>
        <v>628.31999999999994</v>
      </c>
      <c r="N16" s="99">
        <f t="shared" si="3"/>
        <v>600</v>
      </c>
      <c r="O16" s="69" t="str">
        <f t="shared" si="4"/>
        <v/>
      </c>
      <c r="P16" s="104">
        <f t="shared" si="5"/>
        <v>614.16</v>
      </c>
      <c r="Q16" s="107">
        <v>529.54999999999995</v>
      </c>
      <c r="R16" s="106">
        <f t="shared" si="6"/>
        <v>529.54999999999995</v>
      </c>
    </row>
    <row r="17" spans="1:18" ht="12.75" x14ac:dyDescent="0.2">
      <c r="A17" s="84">
        <v>13</v>
      </c>
      <c r="B17" s="97" t="s">
        <v>95</v>
      </c>
      <c r="C17" s="125" t="s">
        <v>42</v>
      </c>
      <c r="D17" s="134">
        <v>1727.8799999999999</v>
      </c>
      <c r="E17" s="135">
        <v>1450</v>
      </c>
      <c r="F17" s="135">
        <v>1616.5966000000001</v>
      </c>
      <c r="G17" s="135">
        <v>2568</v>
      </c>
      <c r="H17" s="136">
        <v>1990</v>
      </c>
      <c r="I17" s="100">
        <f t="shared" si="7"/>
        <v>1870.49532</v>
      </c>
      <c r="J17" s="101">
        <f t="shared" si="8"/>
        <v>436.58165067431747</v>
      </c>
      <c r="K17" s="101">
        <f t="shared" si="0"/>
        <v>2307.0769706743176</v>
      </c>
      <c r="L17" s="102">
        <f t="shared" si="1"/>
        <v>1433.9136693256826</v>
      </c>
      <c r="M17" s="103">
        <f t="shared" si="2"/>
        <v>1727.8799999999999</v>
      </c>
      <c r="N17" s="99">
        <f t="shared" si="3"/>
        <v>1450</v>
      </c>
      <c r="O17" s="69">
        <f t="shared" si="4"/>
        <v>1616.5966000000001</v>
      </c>
      <c r="P17" s="104">
        <f t="shared" si="5"/>
        <v>1598.1588666666667</v>
      </c>
      <c r="Q17" s="107">
        <v>402.22</v>
      </c>
      <c r="R17" s="106">
        <f t="shared" si="6"/>
        <v>402.22</v>
      </c>
    </row>
    <row r="18" spans="1:18" ht="12.75" x14ac:dyDescent="0.2">
      <c r="A18" s="84">
        <v>14</v>
      </c>
      <c r="B18" s="97" t="s">
        <v>96</v>
      </c>
      <c r="C18" s="125" t="s">
        <v>43</v>
      </c>
      <c r="D18" s="134">
        <v>1707.6499999999999</v>
      </c>
      <c r="E18" s="135">
        <v>2500</v>
      </c>
      <c r="F18" s="135">
        <v>3488.6556</v>
      </c>
      <c r="G18" s="135">
        <v>2568</v>
      </c>
      <c r="H18" s="136">
        <v>2244</v>
      </c>
      <c r="I18" s="100">
        <f t="shared" si="7"/>
        <v>2501.6611199999998</v>
      </c>
      <c r="J18" s="101">
        <f t="shared" si="8"/>
        <v>647.18710998309666</v>
      </c>
      <c r="K18" s="101">
        <f t="shared" si="0"/>
        <v>3148.8482299830966</v>
      </c>
      <c r="L18" s="102">
        <f t="shared" si="1"/>
        <v>1854.4740100169031</v>
      </c>
      <c r="M18" s="103" t="str">
        <f t="shared" si="2"/>
        <v/>
      </c>
      <c r="N18" s="99">
        <f t="shared" si="3"/>
        <v>2500</v>
      </c>
      <c r="O18" s="69" t="str">
        <f t="shared" si="4"/>
        <v/>
      </c>
      <c r="P18" s="104">
        <f t="shared" si="5"/>
        <v>2500</v>
      </c>
      <c r="Q18" s="107">
        <v>1333.99</v>
      </c>
      <c r="R18" s="106">
        <f t="shared" si="6"/>
        <v>1333.99</v>
      </c>
    </row>
    <row r="19" spans="1:18" ht="12.75" x14ac:dyDescent="0.2">
      <c r="A19" s="84">
        <v>15</v>
      </c>
      <c r="B19" s="97" t="s">
        <v>77</v>
      </c>
      <c r="C19" s="125" t="s">
        <v>24</v>
      </c>
      <c r="D19" s="134">
        <v>17201.45</v>
      </c>
      <c r="E19" s="135">
        <v>6200</v>
      </c>
      <c r="F19" s="135">
        <v>5867.6469999999999</v>
      </c>
      <c r="G19" s="135">
        <v>8171</v>
      </c>
      <c r="H19" s="136">
        <v>7659</v>
      </c>
      <c r="I19" s="100">
        <f t="shared" si="7"/>
        <v>9019.8194000000003</v>
      </c>
      <c r="J19" s="101">
        <f t="shared" si="8"/>
        <v>4674.3709570386909</v>
      </c>
      <c r="K19" s="101">
        <f t="shared" si="0"/>
        <v>13694.190357038691</v>
      </c>
      <c r="L19" s="102">
        <f t="shared" si="1"/>
        <v>4345.4484429613094</v>
      </c>
      <c r="M19" s="103" t="str">
        <f t="shared" si="2"/>
        <v/>
      </c>
      <c r="N19" s="99">
        <f t="shared" si="3"/>
        <v>6200</v>
      </c>
      <c r="O19" s="69">
        <f t="shared" si="4"/>
        <v>5867.6469999999999</v>
      </c>
      <c r="P19" s="104">
        <f t="shared" si="5"/>
        <v>6033.8235000000004</v>
      </c>
      <c r="Q19" s="107">
        <v>5366.9</v>
      </c>
      <c r="R19" s="106">
        <f t="shared" si="6"/>
        <v>5366.9</v>
      </c>
    </row>
    <row r="20" spans="1:18" ht="12.75" x14ac:dyDescent="0.2">
      <c r="A20" s="84">
        <v>16</v>
      </c>
      <c r="B20" s="97" t="s">
        <v>89</v>
      </c>
      <c r="C20" s="125" t="s">
        <v>26</v>
      </c>
      <c r="D20" s="134">
        <v>37241.049999999996</v>
      </c>
      <c r="E20" s="135">
        <v>54000</v>
      </c>
      <c r="F20" s="135">
        <v>24660.080000000002</v>
      </c>
      <c r="G20" s="135">
        <v>32130</v>
      </c>
      <c r="H20" s="136">
        <v>47501</v>
      </c>
      <c r="I20" s="100">
        <f t="shared" si="7"/>
        <v>39106.425999999999</v>
      </c>
      <c r="J20" s="101">
        <f t="shared" si="8"/>
        <v>11759.405589160544</v>
      </c>
      <c r="K20" s="101">
        <f t="shared" si="0"/>
        <v>50865.831589160545</v>
      </c>
      <c r="L20" s="102">
        <f t="shared" si="1"/>
        <v>27347.020410839454</v>
      </c>
      <c r="M20" s="103">
        <f t="shared" si="2"/>
        <v>37241.049999999996</v>
      </c>
      <c r="N20" s="99" t="str">
        <f t="shared" si="3"/>
        <v/>
      </c>
      <c r="O20" s="69" t="str">
        <f t="shared" si="4"/>
        <v/>
      </c>
      <c r="P20" s="104">
        <f t="shared" si="5"/>
        <v>37241.049999999996</v>
      </c>
      <c r="Q20" s="107">
        <v>27132</v>
      </c>
      <c r="R20" s="106">
        <f t="shared" si="6"/>
        <v>27132</v>
      </c>
    </row>
    <row r="21" spans="1:18" ht="12.75" x14ac:dyDescent="0.2">
      <c r="A21" s="84">
        <v>17</v>
      </c>
      <c r="B21" s="97" t="s">
        <v>103</v>
      </c>
      <c r="C21" s="125" t="s">
        <v>24</v>
      </c>
      <c r="D21" s="134">
        <v>69020</v>
      </c>
      <c r="E21" s="135">
        <v>12000</v>
      </c>
      <c r="F21" s="135">
        <v>3895.7980000000002</v>
      </c>
      <c r="G21" s="135">
        <v>3801</v>
      </c>
      <c r="H21" s="136">
        <v>18600</v>
      </c>
      <c r="I21" s="100">
        <f t="shared" si="7"/>
        <v>21463.3596</v>
      </c>
      <c r="J21" s="101">
        <f t="shared" si="8"/>
        <v>27294.533410841828</v>
      </c>
      <c r="K21" s="101">
        <f t="shared" si="0"/>
        <v>48757.893010841828</v>
      </c>
      <c r="L21" s="102">
        <f t="shared" si="1"/>
        <v>-5831.1738108418285</v>
      </c>
      <c r="M21" s="103" t="str">
        <f t="shared" si="2"/>
        <v/>
      </c>
      <c r="N21" s="99">
        <f t="shared" si="3"/>
        <v>12000</v>
      </c>
      <c r="O21" s="69">
        <f t="shared" si="4"/>
        <v>3895.7980000000002</v>
      </c>
      <c r="P21" s="104">
        <f t="shared" si="5"/>
        <v>7947.8990000000003</v>
      </c>
      <c r="Q21" s="105"/>
      <c r="R21" s="106">
        <f t="shared" si="6"/>
        <v>7947.8990000000003</v>
      </c>
    </row>
    <row r="22" spans="1:18" ht="12.75" x14ac:dyDescent="0.2">
      <c r="A22" s="84">
        <v>18</v>
      </c>
      <c r="B22" s="97" t="s">
        <v>14</v>
      </c>
      <c r="C22" s="125" t="s">
        <v>27</v>
      </c>
      <c r="D22" s="134">
        <v>714</v>
      </c>
      <c r="E22" s="140"/>
      <c r="F22" s="135">
        <v>726.47</v>
      </c>
      <c r="G22" s="135">
        <v>1297</v>
      </c>
      <c r="H22" s="136">
        <v>927</v>
      </c>
      <c r="I22" s="100">
        <f t="shared" si="7"/>
        <v>916.11750000000006</v>
      </c>
      <c r="J22" s="101">
        <f t="shared" si="8"/>
        <v>272.03404546428851</v>
      </c>
      <c r="K22" s="101">
        <f t="shared" si="0"/>
        <v>1188.1515454642886</v>
      </c>
      <c r="L22" s="102">
        <f t="shared" si="1"/>
        <v>644.08345453571155</v>
      </c>
      <c r="M22" s="103">
        <f t="shared" si="2"/>
        <v>714</v>
      </c>
      <c r="N22" s="99" t="str">
        <f t="shared" si="3"/>
        <v/>
      </c>
      <c r="O22" s="69">
        <f t="shared" si="4"/>
        <v>726.47</v>
      </c>
      <c r="P22" s="104">
        <f t="shared" si="5"/>
        <v>720.23500000000001</v>
      </c>
      <c r="Q22" s="105"/>
      <c r="R22" s="106">
        <f t="shared" si="6"/>
        <v>720.23500000000001</v>
      </c>
    </row>
    <row r="23" spans="1:18" ht="12.75" x14ac:dyDescent="0.2">
      <c r="A23" s="84">
        <v>19</v>
      </c>
      <c r="B23" s="97" t="s">
        <v>111</v>
      </c>
      <c r="C23" s="125" t="s">
        <v>112</v>
      </c>
      <c r="D23" s="134"/>
      <c r="E23" s="140"/>
      <c r="F23" s="135"/>
      <c r="G23" s="135">
        <v>3230</v>
      </c>
      <c r="H23" s="136">
        <v>2576</v>
      </c>
      <c r="I23" s="100">
        <f t="shared" si="7"/>
        <v>2903</v>
      </c>
      <c r="J23" s="101">
        <f t="shared" si="8"/>
        <v>462.44783489600206</v>
      </c>
      <c r="K23" s="101"/>
      <c r="L23" s="102"/>
      <c r="M23" s="103"/>
      <c r="N23" s="99"/>
      <c r="O23" s="69"/>
      <c r="P23" s="104"/>
      <c r="Q23" s="107">
        <v>1582.7</v>
      </c>
      <c r="R23" s="106">
        <f t="shared" si="6"/>
        <v>1582.7</v>
      </c>
    </row>
    <row r="24" spans="1:18" ht="12.75" x14ac:dyDescent="0.2">
      <c r="A24" s="84">
        <v>20</v>
      </c>
      <c r="B24" s="97" t="s">
        <v>78</v>
      </c>
      <c r="C24" s="125" t="s">
        <v>50</v>
      </c>
      <c r="D24" s="134">
        <v>58905</v>
      </c>
      <c r="E24" s="135">
        <v>3300</v>
      </c>
      <c r="F24" s="135">
        <v>3943.6974999999998</v>
      </c>
      <c r="G24" s="135">
        <v>5676</v>
      </c>
      <c r="H24" s="136">
        <v>3978</v>
      </c>
      <c r="I24" s="100">
        <f t="shared" si="7"/>
        <v>15160.539499999999</v>
      </c>
      <c r="J24" s="101">
        <f t="shared" si="8"/>
        <v>24469.743793694517</v>
      </c>
      <c r="K24" s="101">
        <f t="shared" ref="K24:K51" si="9">+I24+J24</f>
        <v>39630.28329369452</v>
      </c>
      <c r="L24" s="102">
        <f t="shared" ref="L24:L51" si="10">+I24-J24</f>
        <v>-9309.2042936945181</v>
      </c>
      <c r="M24" s="103" t="str">
        <f t="shared" ref="M24:M51" si="11">IF(AND(D24&lt;=$K24,D24&gt;=$L24),D24,"")</f>
        <v/>
      </c>
      <c r="N24" s="99">
        <f t="shared" ref="N24:N51" si="12">IF(AND(E24&lt;=$K24,E24&gt;=$L24),E24,"")</f>
        <v>3300</v>
      </c>
      <c r="O24" s="69">
        <f t="shared" ref="O24:O51" si="13">IF(AND(F24&lt;=$K24,F24&gt;=$L24),F24,"")</f>
        <v>3943.6974999999998</v>
      </c>
      <c r="P24" s="104">
        <f t="shared" ref="P24:P51" si="14">+AVERAGE(M24,N24,O24)</f>
        <v>3621.8487500000001</v>
      </c>
      <c r="Q24" s="105"/>
      <c r="R24" s="106">
        <f t="shared" ref="R24:R51" si="15">+MIN(P24,Q24)</f>
        <v>3621.8487500000001</v>
      </c>
    </row>
    <row r="25" spans="1:18" ht="12.75" x14ac:dyDescent="0.2">
      <c r="A25" s="84">
        <v>21</v>
      </c>
      <c r="B25" s="97" t="s">
        <v>13</v>
      </c>
      <c r="C25" s="125" t="s">
        <v>24</v>
      </c>
      <c r="D25" s="134">
        <v>17017</v>
      </c>
      <c r="E25" s="135">
        <v>8400</v>
      </c>
      <c r="F25" s="135">
        <v>19047.900000000001</v>
      </c>
      <c r="G25" s="135">
        <v>12495</v>
      </c>
      <c r="H25" s="136">
        <v>9900</v>
      </c>
      <c r="I25" s="100">
        <f t="shared" si="7"/>
        <v>13371.98</v>
      </c>
      <c r="J25" s="101">
        <f t="shared" si="8"/>
        <v>4556.4943434618735</v>
      </c>
      <c r="K25" s="101">
        <f t="shared" si="9"/>
        <v>17928.474343461872</v>
      </c>
      <c r="L25" s="102">
        <f t="shared" si="10"/>
        <v>8815.4856565381269</v>
      </c>
      <c r="M25" s="103">
        <f t="shared" si="11"/>
        <v>17017</v>
      </c>
      <c r="N25" s="99" t="str">
        <f t="shared" si="12"/>
        <v/>
      </c>
      <c r="O25" s="69" t="str">
        <f t="shared" si="13"/>
        <v/>
      </c>
      <c r="P25" s="104">
        <f t="shared" si="14"/>
        <v>17017</v>
      </c>
      <c r="Q25" s="107">
        <v>7259</v>
      </c>
      <c r="R25" s="106">
        <f t="shared" si="15"/>
        <v>7259</v>
      </c>
    </row>
    <row r="26" spans="1:18" ht="12.75" x14ac:dyDescent="0.2">
      <c r="A26" s="84">
        <v>22</v>
      </c>
      <c r="B26" s="97" t="s">
        <v>12</v>
      </c>
      <c r="C26" s="125" t="s">
        <v>30</v>
      </c>
      <c r="D26" s="134">
        <v>16065</v>
      </c>
      <c r="E26" s="135">
        <v>1100</v>
      </c>
      <c r="F26" s="135"/>
      <c r="G26" s="135"/>
      <c r="H26" s="136"/>
      <c r="I26" s="100">
        <f t="shared" si="7"/>
        <v>8582.5</v>
      </c>
      <c r="J26" s="101">
        <f t="shared" si="8"/>
        <v>10581.852980456684</v>
      </c>
      <c r="K26" s="101">
        <f t="shared" si="9"/>
        <v>19164.352980456686</v>
      </c>
      <c r="L26" s="102">
        <f t="shared" si="10"/>
        <v>-1999.3529804566842</v>
      </c>
      <c r="M26" s="103">
        <f t="shared" si="11"/>
        <v>16065</v>
      </c>
      <c r="N26" s="99">
        <f t="shared" si="12"/>
        <v>1100</v>
      </c>
      <c r="O26" s="69">
        <f t="shared" si="13"/>
        <v>0</v>
      </c>
      <c r="P26" s="104">
        <f t="shared" si="14"/>
        <v>5721.666666666667</v>
      </c>
      <c r="Q26" s="105"/>
      <c r="R26" s="106">
        <f t="shared" si="15"/>
        <v>5721.666666666667</v>
      </c>
    </row>
    <row r="27" spans="1:18" ht="12.75" x14ac:dyDescent="0.2">
      <c r="A27" s="84">
        <v>23</v>
      </c>
      <c r="B27" s="97" t="s">
        <v>79</v>
      </c>
      <c r="C27" s="125" t="s">
        <v>24</v>
      </c>
      <c r="D27" s="134">
        <v>1505.35</v>
      </c>
      <c r="E27" s="135">
        <v>1100</v>
      </c>
      <c r="F27" s="135">
        <v>1532.77</v>
      </c>
      <c r="G27" s="135">
        <v>1535</v>
      </c>
      <c r="H27" s="136">
        <v>1497</v>
      </c>
      <c r="I27" s="100">
        <f t="shared" si="7"/>
        <v>1434.0239999999999</v>
      </c>
      <c r="J27" s="101">
        <f t="shared" si="8"/>
        <v>187.46488505850945</v>
      </c>
      <c r="K27" s="101">
        <f t="shared" si="9"/>
        <v>1621.4888850585094</v>
      </c>
      <c r="L27" s="102">
        <f t="shared" si="10"/>
        <v>1246.5591149414904</v>
      </c>
      <c r="M27" s="103">
        <f t="shared" si="11"/>
        <v>1505.35</v>
      </c>
      <c r="N27" s="99" t="str">
        <f t="shared" si="12"/>
        <v/>
      </c>
      <c r="O27" s="69">
        <f t="shared" si="13"/>
        <v>1532.77</v>
      </c>
      <c r="P27" s="104">
        <f t="shared" si="14"/>
        <v>1519.06</v>
      </c>
      <c r="Q27" s="107">
        <v>969.85</v>
      </c>
      <c r="R27" s="106">
        <f t="shared" si="15"/>
        <v>969.85</v>
      </c>
    </row>
    <row r="28" spans="1:18" ht="12.75" x14ac:dyDescent="0.2">
      <c r="A28" s="84">
        <v>24</v>
      </c>
      <c r="B28" s="97" t="s">
        <v>73</v>
      </c>
      <c r="C28" s="125" t="s">
        <v>24</v>
      </c>
      <c r="D28" s="134">
        <v>29750</v>
      </c>
      <c r="E28" s="135">
        <v>27500</v>
      </c>
      <c r="F28" s="135">
        <v>33991.639000000003</v>
      </c>
      <c r="G28" s="135">
        <v>64022</v>
      </c>
      <c r="H28" s="136">
        <v>39900</v>
      </c>
      <c r="I28" s="100">
        <f t="shared" si="7"/>
        <v>39032.727800000001</v>
      </c>
      <c r="J28" s="101">
        <f t="shared" si="8"/>
        <v>14746.197038235463</v>
      </c>
      <c r="K28" s="101">
        <f t="shared" si="9"/>
        <v>53778.924838235464</v>
      </c>
      <c r="L28" s="102">
        <f t="shared" si="10"/>
        <v>24286.530761764538</v>
      </c>
      <c r="M28" s="103">
        <f t="shared" si="11"/>
        <v>29750</v>
      </c>
      <c r="N28" s="99">
        <f t="shared" si="12"/>
        <v>27500</v>
      </c>
      <c r="O28" s="69">
        <f t="shared" si="13"/>
        <v>33991.639000000003</v>
      </c>
      <c r="P28" s="104">
        <f t="shared" si="14"/>
        <v>30413.879666666664</v>
      </c>
      <c r="Q28" s="105"/>
      <c r="R28" s="106">
        <f t="shared" si="15"/>
        <v>30413.879666666664</v>
      </c>
    </row>
    <row r="29" spans="1:18" ht="12.75" x14ac:dyDescent="0.2">
      <c r="A29" s="84">
        <v>25</v>
      </c>
      <c r="B29" s="97" t="s">
        <v>70</v>
      </c>
      <c r="C29" s="125" t="s">
        <v>29</v>
      </c>
      <c r="D29" s="134">
        <v>1582.6999999999998</v>
      </c>
      <c r="E29" s="135">
        <v>1550</v>
      </c>
      <c r="F29" s="135">
        <v>1486.4705999999999</v>
      </c>
      <c r="G29" s="135">
        <v>1833</v>
      </c>
      <c r="H29" s="136">
        <v>1979</v>
      </c>
      <c r="I29" s="100">
        <f t="shared" si="7"/>
        <v>1686.2341199999998</v>
      </c>
      <c r="J29" s="101">
        <f t="shared" si="8"/>
        <v>210.02178303897969</v>
      </c>
      <c r="K29" s="101">
        <f t="shared" si="9"/>
        <v>1896.2559030389796</v>
      </c>
      <c r="L29" s="102">
        <f t="shared" si="10"/>
        <v>1476.2123369610201</v>
      </c>
      <c r="M29" s="103">
        <f t="shared" si="11"/>
        <v>1582.6999999999998</v>
      </c>
      <c r="N29" s="99">
        <f t="shared" si="12"/>
        <v>1550</v>
      </c>
      <c r="O29" s="69">
        <f t="shared" si="13"/>
        <v>1486.4705999999999</v>
      </c>
      <c r="P29" s="104">
        <f t="shared" si="14"/>
        <v>1539.7235333333331</v>
      </c>
      <c r="Q29" s="105"/>
      <c r="R29" s="106">
        <f t="shared" si="15"/>
        <v>1539.7235333333331</v>
      </c>
    </row>
    <row r="30" spans="1:18" ht="12.75" x14ac:dyDescent="0.2">
      <c r="A30" s="84">
        <v>26</v>
      </c>
      <c r="B30" s="97" t="s">
        <v>93</v>
      </c>
      <c r="C30" s="125" t="s">
        <v>41</v>
      </c>
      <c r="D30" s="134">
        <v>8925</v>
      </c>
      <c r="E30" s="135">
        <v>4000</v>
      </c>
      <c r="F30" s="135"/>
      <c r="G30" s="135"/>
      <c r="H30" s="136"/>
      <c r="I30" s="100">
        <f t="shared" si="7"/>
        <v>6462.5</v>
      </c>
      <c r="J30" s="101">
        <f t="shared" si="8"/>
        <v>3482.5008973437466</v>
      </c>
      <c r="K30" s="101">
        <f t="shared" si="9"/>
        <v>9945.0008973437471</v>
      </c>
      <c r="L30" s="102">
        <f t="shared" si="10"/>
        <v>2979.9991026562534</v>
      </c>
      <c r="M30" s="103">
        <f t="shared" si="11"/>
        <v>8925</v>
      </c>
      <c r="N30" s="99">
        <f t="shared" si="12"/>
        <v>4000</v>
      </c>
      <c r="O30" s="69" t="str">
        <f t="shared" si="13"/>
        <v/>
      </c>
      <c r="P30" s="104">
        <f t="shared" si="14"/>
        <v>6462.5</v>
      </c>
      <c r="Q30" s="105"/>
      <c r="R30" s="106">
        <f t="shared" si="15"/>
        <v>6462.5</v>
      </c>
    </row>
    <row r="31" spans="1:18" ht="25.5" x14ac:dyDescent="0.2">
      <c r="A31" s="84">
        <v>27</v>
      </c>
      <c r="B31" s="97" t="s">
        <v>53</v>
      </c>
      <c r="C31" s="125" t="s">
        <v>24</v>
      </c>
      <c r="D31" s="134">
        <v>3629.5</v>
      </c>
      <c r="E31" s="135">
        <v>1850</v>
      </c>
      <c r="F31" s="135">
        <v>1372.7102</v>
      </c>
      <c r="G31" s="135">
        <v>1785</v>
      </c>
      <c r="H31" s="136">
        <v>1446</v>
      </c>
      <c r="I31" s="100">
        <f t="shared" si="7"/>
        <v>2016.64204</v>
      </c>
      <c r="J31" s="101">
        <f t="shared" si="8"/>
        <v>925.07012649139654</v>
      </c>
      <c r="K31" s="101">
        <f t="shared" si="9"/>
        <v>2941.7121664913966</v>
      </c>
      <c r="L31" s="102">
        <f t="shared" si="10"/>
        <v>1091.5719135086033</v>
      </c>
      <c r="M31" s="103" t="str">
        <f t="shared" si="11"/>
        <v/>
      </c>
      <c r="N31" s="99">
        <f t="shared" si="12"/>
        <v>1850</v>
      </c>
      <c r="O31" s="69">
        <f t="shared" si="13"/>
        <v>1372.7102</v>
      </c>
      <c r="P31" s="104">
        <f t="shared" si="14"/>
        <v>1611.3551</v>
      </c>
      <c r="Q31" s="107">
        <v>1178.0999999999999</v>
      </c>
      <c r="R31" s="106">
        <f t="shared" si="15"/>
        <v>1178.0999999999999</v>
      </c>
    </row>
    <row r="32" spans="1:18" ht="12.75" x14ac:dyDescent="0.2">
      <c r="A32" s="84">
        <v>28</v>
      </c>
      <c r="B32" s="97" t="s">
        <v>56</v>
      </c>
      <c r="C32" s="125" t="s">
        <v>36</v>
      </c>
      <c r="D32" s="134">
        <v>104720</v>
      </c>
      <c r="E32" s="135">
        <f>8650*10</f>
        <v>86500</v>
      </c>
      <c r="F32" s="135">
        <f>8319.33*10</f>
        <v>83193.3</v>
      </c>
      <c r="G32" s="135">
        <v>18564</v>
      </c>
      <c r="H32" s="136">
        <f>14490*10</f>
        <v>144900</v>
      </c>
      <c r="I32" s="100">
        <f t="shared" si="7"/>
        <v>87575.459999999992</v>
      </c>
      <c r="J32" s="101">
        <f t="shared" si="8"/>
        <v>45724.664268401146</v>
      </c>
      <c r="K32" s="101">
        <f t="shared" si="9"/>
        <v>133300.12426840112</v>
      </c>
      <c r="L32" s="102">
        <f t="shared" si="10"/>
        <v>41850.795731598846</v>
      </c>
      <c r="M32" s="103">
        <f t="shared" si="11"/>
        <v>104720</v>
      </c>
      <c r="N32" s="99">
        <f t="shared" si="12"/>
        <v>86500</v>
      </c>
      <c r="O32" s="69">
        <f t="shared" si="13"/>
        <v>83193.3</v>
      </c>
      <c r="P32" s="104">
        <f t="shared" si="14"/>
        <v>91471.099999999991</v>
      </c>
      <c r="Q32" s="105">
        <v>92939</v>
      </c>
      <c r="R32" s="106">
        <f t="shared" si="15"/>
        <v>91471.099999999991</v>
      </c>
    </row>
    <row r="33" spans="1:18" ht="12.75" x14ac:dyDescent="0.2">
      <c r="A33" s="84">
        <v>29</v>
      </c>
      <c r="B33" s="97" t="s">
        <v>57</v>
      </c>
      <c r="C33" s="125" t="s">
        <v>36</v>
      </c>
      <c r="D33" s="134">
        <v>123165</v>
      </c>
      <c r="E33" s="135">
        <f>11400*10</f>
        <v>114000</v>
      </c>
      <c r="F33" s="135">
        <f>13084.03*10</f>
        <v>130840.3</v>
      </c>
      <c r="G33" s="135">
        <v>23324</v>
      </c>
      <c r="H33" s="136">
        <f>16250*10</f>
        <v>162500</v>
      </c>
      <c r="I33" s="100">
        <f t="shared" si="7"/>
        <v>110765.86000000002</v>
      </c>
      <c r="J33" s="101">
        <f t="shared" si="8"/>
        <v>52176.818601252373</v>
      </c>
      <c r="K33" s="101">
        <f t="shared" si="9"/>
        <v>162942.67860125238</v>
      </c>
      <c r="L33" s="102">
        <f t="shared" si="10"/>
        <v>58589.041398747642</v>
      </c>
      <c r="M33" s="103">
        <f t="shared" si="11"/>
        <v>123165</v>
      </c>
      <c r="N33" s="99">
        <f t="shared" si="12"/>
        <v>114000</v>
      </c>
      <c r="O33" s="69">
        <f t="shared" si="13"/>
        <v>130840.3</v>
      </c>
      <c r="P33" s="104">
        <f t="shared" si="14"/>
        <v>122668.43333333333</v>
      </c>
      <c r="Q33" s="107">
        <v>121796.5</v>
      </c>
      <c r="R33" s="106">
        <f t="shared" si="15"/>
        <v>121796.5</v>
      </c>
    </row>
    <row r="34" spans="1:18" ht="12.75" x14ac:dyDescent="0.2">
      <c r="A34" s="84">
        <v>30</v>
      </c>
      <c r="B34" s="97" t="s">
        <v>18</v>
      </c>
      <c r="C34" s="125" t="s">
        <v>104</v>
      </c>
      <c r="D34" s="134">
        <v>1570.8</v>
      </c>
      <c r="E34" s="135">
        <v>8500</v>
      </c>
      <c r="F34" s="135"/>
      <c r="G34" s="135">
        <v>22610</v>
      </c>
      <c r="H34" s="136">
        <v>7500</v>
      </c>
      <c r="I34" s="100">
        <f t="shared" si="7"/>
        <v>10045.200000000001</v>
      </c>
      <c r="J34" s="101">
        <f t="shared" si="8"/>
        <v>8917.3116367359635</v>
      </c>
      <c r="K34" s="101">
        <f t="shared" si="9"/>
        <v>18962.511636735966</v>
      </c>
      <c r="L34" s="102">
        <f t="shared" si="10"/>
        <v>1127.8883632640373</v>
      </c>
      <c r="M34" s="103">
        <f t="shared" si="11"/>
        <v>1570.8</v>
      </c>
      <c r="N34" s="99">
        <f t="shared" si="12"/>
        <v>8500</v>
      </c>
      <c r="O34" s="69" t="str">
        <f t="shared" si="13"/>
        <v/>
      </c>
      <c r="P34" s="104">
        <f t="shared" si="14"/>
        <v>5035.3999999999996</v>
      </c>
      <c r="Q34" s="105"/>
      <c r="R34" s="106">
        <f t="shared" si="15"/>
        <v>5035.3999999999996</v>
      </c>
    </row>
    <row r="35" spans="1:18" ht="12.75" x14ac:dyDescent="0.2">
      <c r="A35" s="84">
        <v>31</v>
      </c>
      <c r="B35" s="97" t="s">
        <v>59</v>
      </c>
      <c r="C35" s="125" t="s">
        <v>40</v>
      </c>
      <c r="D35" s="134">
        <v>10710</v>
      </c>
      <c r="E35" s="135">
        <v>22500</v>
      </c>
      <c r="F35" s="135"/>
      <c r="G35" s="135">
        <v>267750</v>
      </c>
      <c r="H35" s="136"/>
      <c r="I35" s="100">
        <f t="shared" si="7"/>
        <v>100320</v>
      </c>
      <c r="J35" s="101">
        <f t="shared" si="8"/>
        <v>145118.41612972491</v>
      </c>
      <c r="K35" s="101">
        <f t="shared" si="9"/>
        <v>245438.41612972491</v>
      </c>
      <c r="L35" s="102">
        <f t="shared" si="10"/>
        <v>-44798.416129724908</v>
      </c>
      <c r="M35" s="103">
        <f t="shared" si="11"/>
        <v>10710</v>
      </c>
      <c r="N35" s="99">
        <f t="shared" si="12"/>
        <v>22500</v>
      </c>
      <c r="O35" s="69">
        <f t="shared" si="13"/>
        <v>0</v>
      </c>
      <c r="P35" s="104">
        <f t="shared" si="14"/>
        <v>11070</v>
      </c>
      <c r="Q35" s="105"/>
      <c r="R35" s="106">
        <f t="shared" si="15"/>
        <v>11070</v>
      </c>
    </row>
    <row r="36" spans="1:18" ht="12.75" x14ac:dyDescent="0.2">
      <c r="A36" s="84">
        <v>32</v>
      </c>
      <c r="B36" s="97" t="s">
        <v>60</v>
      </c>
      <c r="C36" s="125" t="s">
        <v>40</v>
      </c>
      <c r="D36" s="134">
        <v>11305</v>
      </c>
      <c r="E36" s="135">
        <v>24500</v>
      </c>
      <c r="F36" s="135"/>
      <c r="G36" s="135">
        <v>267750</v>
      </c>
      <c r="H36" s="136"/>
      <c r="I36" s="100">
        <f t="shared" si="7"/>
        <v>101185</v>
      </c>
      <c r="J36" s="101">
        <f t="shared" si="8"/>
        <v>144400.31656821255</v>
      </c>
      <c r="K36" s="101">
        <f t="shared" si="9"/>
        <v>245585.31656821255</v>
      </c>
      <c r="L36" s="102">
        <f t="shared" si="10"/>
        <v>-43215.316568212555</v>
      </c>
      <c r="M36" s="103">
        <f t="shared" si="11"/>
        <v>11305</v>
      </c>
      <c r="N36" s="99">
        <f t="shared" si="12"/>
        <v>24500</v>
      </c>
      <c r="O36" s="69">
        <f t="shared" si="13"/>
        <v>0</v>
      </c>
      <c r="P36" s="104">
        <f t="shared" si="14"/>
        <v>11935</v>
      </c>
      <c r="Q36" s="105"/>
      <c r="R36" s="106">
        <f t="shared" si="15"/>
        <v>11935</v>
      </c>
    </row>
    <row r="37" spans="1:18" ht="12.75" x14ac:dyDescent="0.2">
      <c r="A37" s="84">
        <v>33</v>
      </c>
      <c r="B37" s="97" t="s">
        <v>80</v>
      </c>
      <c r="C37" s="125" t="s">
        <v>24</v>
      </c>
      <c r="D37" s="134">
        <v>3677.1</v>
      </c>
      <c r="E37" s="135">
        <v>2900</v>
      </c>
      <c r="F37" s="135">
        <v>3541.7440000000001</v>
      </c>
      <c r="G37" s="135">
        <v>2523</v>
      </c>
      <c r="H37" s="136">
        <v>2790</v>
      </c>
      <c r="I37" s="100">
        <f t="shared" si="7"/>
        <v>3086.3688000000002</v>
      </c>
      <c r="J37" s="101">
        <f t="shared" si="8"/>
        <v>499.06966534462748</v>
      </c>
      <c r="K37" s="101">
        <f t="shared" si="9"/>
        <v>3585.4384653446277</v>
      </c>
      <c r="L37" s="102">
        <f t="shared" si="10"/>
        <v>2587.2991346553727</v>
      </c>
      <c r="M37" s="103" t="str">
        <f t="shared" si="11"/>
        <v/>
      </c>
      <c r="N37" s="99">
        <f t="shared" si="12"/>
        <v>2900</v>
      </c>
      <c r="O37" s="69">
        <f t="shared" si="13"/>
        <v>3541.7440000000001</v>
      </c>
      <c r="P37" s="104">
        <f t="shared" si="14"/>
        <v>3220.8720000000003</v>
      </c>
      <c r="Q37" s="107">
        <v>2261</v>
      </c>
      <c r="R37" s="106">
        <f t="shared" si="15"/>
        <v>2261</v>
      </c>
    </row>
    <row r="38" spans="1:18" ht="12.75" x14ac:dyDescent="0.2">
      <c r="A38" s="84">
        <v>34</v>
      </c>
      <c r="B38" s="97" t="s">
        <v>62</v>
      </c>
      <c r="C38" s="125" t="s">
        <v>52</v>
      </c>
      <c r="D38" s="134">
        <v>43982.400000000001</v>
      </c>
      <c r="E38" s="135">
        <f>90*200</f>
        <v>18000</v>
      </c>
      <c r="F38" s="135">
        <v>42470.584999999999</v>
      </c>
      <c r="G38" s="135">
        <v>9801</v>
      </c>
      <c r="H38" s="136">
        <v>42900</v>
      </c>
      <c r="I38" s="100">
        <f t="shared" si="7"/>
        <v>31430.796999999999</v>
      </c>
      <c r="J38" s="101">
        <f t="shared" si="8"/>
        <v>16272.651141763748</v>
      </c>
      <c r="K38" s="101">
        <f t="shared" si="9"/>
        <v>47703.448141763743</v>
      </c>
      <c r="L38" s="102">
        <f t="shared" si="10"/>
        <v>15158.14585823625</v>
      </c>
      <c r="M38" s="103">
        <f t="shared" si="11"/>
        <v>43982.400000000001</v>
      </c>
      <c r="N38" s="99">
        <f t="shared" si="12"/>
        <v>18000</v>
      </c>
      <c r="O38" s="69">
        <f t="shared" si="13"/>
        <v>42470.584999999999</v>
      </c>
      <c r="P38" s="104">
        <f t="shared" si="14"/>
        <v>34817.661666666667</v>
      </c>
      <c r="Q38" s="107">
        <f>17067*2</f>
        <v>34134</v>
      </c>
      <c r="R38" s="106">
        <f t="shared" si="15"/>
        <v>34134</v>
      </c>
    </row>
    <row r="39" spans="1:18" ht="15.75" x14ac:dyDescent="0.2">
      <c r="A39" s="84">
        <v>35</v>
      </c>
      <c r="B39" s="16" t="s">
        <v>33</v>
      </c>
      <c r="C39" s="125" t="s">
        <v>24</v>
      </c>
      <c r="D39" s="137">
        <v>602.14</v>
      </c>
      <c r="E39" s="135">
        <v>450</v>
      </c>
      <c r="F39" s="138">
        <v>943.21600000000001</v>
      </c>
      <c r="G39" s="138">
        <v>500</v>
      </c>
      <c r="H39" s="139">
        <v>343</v>
      </c>
      <c r="I39" s="100">
        <f t="shared" si="7"/>
        <v>567.6712</v>
      </c>
      <c r="J39" s="101">
        <f t="shared" si="8"/>
        <v>229.74172765782026</v>
      </c>
      <c r="K39" s="101">
        <f t="shared" si="9"/>
        <v>797.41292765782032</v>
      </c>
      <c r="L39" s="102">
        <f t="shared" si="10"/>
        <v>337.92947234217974</v>
      </c>
      <c r="M39" s="103">
        <f t="shared" si="11"/>
        <v>602.14</v>
      </c>
      <c r="N39" s="99">
        <f t="shared" si="12"/>
        <v>450</v>
      </c>
      <c r="O39" s="69" t="str">
        <f t="shared" si="13"/>
        <v/>
      </c>
      <c r="P39" s="104">
        <f t="shared" si="14"/>
        <v>526.06999999999994</v>
      </c>
      <c r="Q39" s="110">
        <v>450</v>
      </c>
      <c r="R39" s="106">
        <f t="shared" si="15"/>
        <v>450</v>
      </c>
    </row>
    <row r="40" spans="1:18" ht="12.75" x14ac:dyDescent="0.2">
      <c r="A40" s="84">
        <v>36</v>
      </c>
      <c r="B40" s="97" t="s">
        <v>81</v>
      </c>
      <c r="C40" s="125" t="s">
        <v>24</v>
      </c>
      <c r="D40" s="134">
        <v>916.3</v>
      </c>
      <c r="E40" s="135">
        <v>655</v>
      </c>
      <c r="F40" s="135">
        <v>934.03</v>
      </c>
      <c r="G40" s="135">
        <v>1035</v>
      </c>
      <c r="H40" s="136">
        <v>1590</v>
      </c>
      <c r="I40" s="100">
        <f t="shared" si="7"/>
        <v>1026.066</v>
      </c>
      <c r="J40" s="101">
        <f t="shared" si="8"/>
        <v>345.07627748079108</v>
      </c>
      <c r="K40" s="101">
        <f t="shared" si="9"/>
        <v>1371.1422774807911</v>
      </c>
      <c r="L40" s="102">
        <f t="shared" si="10"/>
        <v>680.98972251920895</v>
      </c>
      <c r="M40" s="103">
        <f t="shared" si="11"/>
        <v>916.3</v>
      </c>
      <c r="N40" s="99" t="str">
        <f t="shared" si="12"/>
        <v/>
      </c>
      <c r="O40" s="69">
        <f t="shared" si="13"/>
        <v>934.03</v>
      </c>
      <c r="P40" s="104">
        <f t="shared" si="14"/>
        <v>925.16499999999996</v>
      </c>
      <c r="Q40" s="107">
        <v>602.14</v>
      </c>
      <c r="R40" s="106">
        <f t="shared" si="15"/>
        <v>602.14</v>
      </c>
    </row>
    <row r="41" spans="1:18" ht="12.75" x14ac:dyDescent="0.2">
      <c r="A41" s="84">
        <v>37</v>
      </c>
      <c r="B41" s="97" t="s">
        <v>15</v>
      </c>
      <c r="C41" s="125" t="s">
        <v>31</v>
      </c>
      <c r="D41" s="134">
        <v>21182</v>
      </c>
      <c r="E41" s="135">
        <v>25000</v>
      </c>
      <c r="F41" s="135">
        <v>24367.5</v>
      </c>
      <c r="G41" s="135"/>
      <c r="H41" s="136"/>
      <c r="I41" s="100">
        <f t="shared" si="7"/>
        <v>23516.5</v>
      </c>
      <c r="J41" s="101">
        <f t="shared" si="8"/>
        <v>2046.3215167710082</v>
      </c>
      <c r="K41" s="101">
        <f t="shared" si="9"/>
        <v>25562.821516771008</v>
      </c>
      <c r="L41" s="102">
        <f t="shared" si="10"/>
        <v>21470.178483228992</v>
      </c>
      <c r="M41" s="103" t="str">
        <f t="shared" si="11"/>
        <v/>
      </c>
      <c r="N41" s="99">
        <f t="shared" si="12"/>
        <v>25000</v>
      </c>
      <c r="O41" s="69">
        <f t="shared" si="13"/>
        <v>24367.5</v>
      </c>
      <c r="P41" s="104">
        <f t="shared" si="14"/>
        <v>24683.75</v>
      </c>
      <c r="Q41" s="105"/>
      <c r="R41" s="106">
        <f t="shared" si="15"/>
        <v>24683.75</v>
      </c>
    </row>
    <row r="42" spans="1:18" ht="12.75" x14ac:dyDescent="0.2">
      <c r="A42" s="84">
        <v>38</v>
      </c>
      <c r="B42" s="97" t="s">
        <v>16</v>
      </c>
      <c r="C42" s="125" t="s">
        <v>31</v>
      </c>
      <c r="D42" s="134">
        <v>41650</v>
      </c>
      <c r="E42" s="135">
        <v>23000</v>
      </c>
      <c r="F42" s="135">
        <v>16245</v>
      </c>
      <c r="G42" s="135"/>
      <c r="H42" s="136"/>
      <c r="I42" s="100">
        <f t="shared" si="7"/>
        <v>26965</v>
      </c>
      <c r="J42" s="101">
        <f t="shared" si="8"/>
        <v>13158.43550730861</v>
      </c>
      <c r="K42" s="101">
        <f t="shared" si="9"/>
        <v>40123.435507308612</v>
      </c>
      <c r="L42" s="102">
        <f t="shared" si="10"/>
        <v>13806.56449269139</v>
      </c>
      <c r="M42" s="103" t="str">
        <f t="shared" si="11"/>
        <v/>
      </c>
      <c r="N42" s="99">
        <f t="shared" si="12"/>
        <v>23000</v>
      </c>
      <c r="O42" s="69">
        <f t="shared" si="13"/>
        <v>16245</v>
      </c>
      <c r="P42" s="104">
        <f t="shared" si="14"/>
        <v>19622.5</v>
      </c>
      <c r="Q42" s="105"/>
      <c r="R42" s="106">
        <f t="shared" si="15"/>
        <v>19622.5</v>
      </c>
    </row>
    <row r="43" spans="1:18" s="157" customFormat="1" ht="12.75" x14ac:dyDescent="0.2">
      <c r="A43" s="144">
        <v>39</v>
      </c>
      <c r="B43" s="108" t="s">
        <v>106</v>
      </c>
      <c r="C43" s="145" t="s">
        <v>24</v>
      </c>
      <c r="D43" s="146">
        <v>33022.5</v>
      </c>
      <c r="E43" s="147"/>
      <c r="F43" s="147"/>
      <c r="G43" s="147"/>
      <c r="H43" s="148"/>
      <c r="I43" s="149">
        <f t="shared" si="7"/>
        <v>33022.5</v>
      </c>
      <c r="J43" s="150" t="e">
        <f t="shared" si="8"/>
        <v>#DIV/0!</v>
      </c>
      <c r="K43" s="150" t="e">
        <f t="shared" si="9"/>
        <v>#DIV/0!</v>
      </c>
      <c r="L43" s="151" t="e">
        <f t="shared" si="10"/>
        <v>#DIV/0!</v>
      </c>
      <c r="M43" s="152" t="e">
        <f t="shared" si="11"/>
        <v>#DIV/0!</v>
      </c>
      <c r="N43" s="147" t="e">
        <f t="shared" si="12"/>
        <v>#DIV/0!</v>
      </c>
      <c r="O43" s="153" t="e">
        <f t="shared" si="13"/>
        <v>#DIV/0!</v>
      </c>
      <c r="P43" s="154" t="e">
        <f t="shared" si="14"/>
        <v>#DIV/0!</v>
      </c>
      <c r="Q43" s="155"/>
      <c r="R43" s="156" t="e">
        <f t="shared" si="15"/>
        <v>#DIV/0!</v>
      </c>
    </row>
    <row r="44" spans="1:18" ht="12.75" x14ac:dyDescent="0.2">
      <c r="A44" s="84">
        <v>40</v>
      </c>
      <c r="B44" s="97" t="s">
        <v>102</v>
      </c>
      <c r="C44" s="125" t="s">
        <v>24</v>
      </c>
      <c r="D44" s="134"/>
      <c r="E44" s="135">
        <v>3700</v>
      </c>
      <c r="F44" s="135"/>
      <c r="G44" s="135"/>
      <c r="H44" s="136">
        <v>3200</v>
      </c>
      <c r="I44" s="100">
        <f t="shared" si="7"/>
        <v>3450</v>
      </c>
      <c r="J44" s="101">
        <f t="shared" si="8"/>
        <v>353.55339059327378</v>
      </c>
      <c r="K44" s="101">
        <f t="shared" si="9"/>
        <v>3803.5533905932739</v>
      </c>
      <c r="L44" s="102">
        <f t="shared" si="10"/>
        <v>3096.4466094067261</v>
      </c>
      <c r="M44" s="103" t="str">
        <f t="shared" si="11"/>
        <v/>
      </c>
      <c r="N44" s="99">
        <f t="shared" si="12"/>
        <v>3700</v>
      </c>
      <c r="O44" s="69" t="str">
        <f t="shared" si="13"/>
        <v/>
      </c>
      <c r="P44" s="104">
        <f t="shared" si="14"/>
        <v>3700</v>
      </c>
      <c r="Q44" s="105"/>
      <c r="R44" s="106">
        <f t="shared" si="15"/>
        <v>3700</v>
      </c>
    </row>
    <row r="45" spans="1:18" ht="12.75" x14ac:dyDescent="0.2">
      <c r="A45" s="84">
        <v>41</v>
      </c>
      <c r="B45" s="97" t="s">
        <v>98</v>
      </c>
      <c r="C45" s="125" t="s">
        <v>24</v>
      </c>
      <c r="D45" s="134">
        <v>77.349999999999994</v>
      </c>
      <c r="E45" s="135">
        <v>52</v>
      </c>
      <c r="F45" s="135">
        <v>60.756300000000003</v>
      </c>
      <c r="G45" s="135">
        <v>57</v>
      </c>
      <c r="H45" s="136">
        <v>69.5</v>
      </c>
      <c r="I45" s="100">
        <f t="shared" si="7"/>
        <v>63.321260000000009</v>
      </c>
      <c r="J45" s="101">
        <f t="shared" si="8"/>
        <v>10.120408214988071</v>
      </c>
      <c r="K45" s="101">
        <f t="shared" si="9"/>
        <v>73.441668214988084</v>
      </c>
      <c r="L45" s="102">
        <f t="shared" si="10"/>
        <v>53.200851785011935</v>
      </c>
      <c r="M45" s="103" t="str">
        <f t="shared" si="11"/>
        <v/>
      </c>
      <c r="N45" s="99" t="str">
        <f t="shared" si="12"/>
        <v/>
      </c>
      <c r="O45" s="69">
        <f t="shared" si="13"/>
        <v>60.756300000000003</v>
      </c>
      <c r="P45" s="104">
        <f t="shared" si="14"/>
        <v>60.756300000000003</v>
      </c>
      <c r="Q45" s="105">
        <v>58.31</v>
      </c>
      <c r="R45" s="106">
        <f t="shared" si="15"/>
        <v>58.31</v>
      </c>
    </row>
    <row r="46" spans="1:18" ht="12.75" x14ac:dyDescent="0.2">
      <c r="A46" s="84">
        <v>42</v>
      </c>
      <c r="B46" s="97" t="s">
        <v>37</v>
      </c>
      <c r="C46" s="125" t="s">
        <v>38</v>
      </c>
      <c r="D46" s="134">
        <v>8115.7999999999993</v>
      </c>
      <c r="E46" s="135">
        <v>8200</v>
      </c>
      <c r="F46" s="135">
        <v>8262.61</v>
      </c>
      <c r="G46" s="135">
        <v>9758</v>
      </c>
      <c r="H46" s="136">
        <v>7450</v>
      </c>
      <c r="I46" s="100">
        <f t="shared" si="7"/>
        <v>8357.2820000000011</v>
      </c>
      <c r="J46" s="101">
        <f t="shared" si="8"/>
        <v>848.11342320470328</v>
      </c>
      <c r="K46" s="101">
        <f t="shared" si="9"/>
        <v>9205.3954232047035</v>
      </c>
      <c r="L46" s="102">
        <f t="shared" si="10"/>
        <v>7509.1685767952977</v>
      </c>
      <c r="M46" s="103">
        <f t="shared" si="11"/>
        <v>8115.7999999999993</v>
      </c>
      <c r="N46" s="99">
        <f t="shared" si="12"/>
        <v>8200</v>
      </c>
      <c r="O46" s="69">
        <f t="shared" si="13"/>
        <v>8262.61</v>
      </c>
      <c r="P46" s="104">
        <f t="shared" si="14"/>
        <v>8192.8033333333333</v>
      </c>
      <c r="Q46" s="107">
        <v>6247.5</v>
      </c>
      <c r="R46" s="106">
        <f t="shared" si="15"/>
        <v>6247.5</v>
      </c>
    </row>
    <row r="47" spans="1:18" ht="12.75" x14ac:dyDescent="0.2">
      <c r="A47" s="84">
        <v>43</v>
      </c>
      <c r="B47" s="97" t="s">
        <v>51</v>
      </c>
      <c r="C47" s="125" t="s">
        <v>26</v>
      </c>
      <c r="D47" s="134">
        <v>7735</v>
      </c>
      <c r="E47" s="135">
        <v>5500</v>
      </c>
      <c r="F47" s="135">
        <v>6753.78</v>
      </c>
      <c r="G47" s="135">
        <v>7259</v>
      </c>
      <c r="H47" s="136">
        <f>122.57*150</f>
        <v>18385.5</v>
      </c>
      <c r="I47" s="100">
        <f t="shared" si="7"/>
        <v>9126.655999999999</v>
      </c>
      <c r="J47" s="101">
        <f t="shared" si="8"/>
        <v>5242.4758422600289</v>
      </c>
      <c r="K47" s="101">
        <f t="shared" si="9"/>
        <v>14369.131842260027</v>
      </c>
      <c r="L47" s="102">
        <f t="shared" si="10"/>
        <v>3884.1801577399701</v>
      </c>
      <c r="M47" s="103">
        <f t="shared" si="11"/>
        <v>7735</v>
      </c>
      <c r="N47" s="99">
        <f t="shared" si="12"/>
        <v>5500</v>
      </c>
      <c r="O47" s="69">
        <f t="shared" si="13"/>
        <v>6753.78</v>
      </c>
      <c r="P47" s="104">
        <f t="shared" si="14"/>
        <v>6662.9266666666663</v>
      </c>
      <c r="Q47" s="107">
        <v>4837.3500000000004</v>
      </c>
      <c r="R47" s="106">
        <f t="shared" si="15"/>
        <v>4837.3500000000004</v>
      </c>
    </row>
    <row r="48" spans="1:18" ht="12.75" x14ac:dyDescent="0.2">
      <c r="A48" s="84">
        <v>44</v>
      </c>
      <c r="B48" s="97" t="s">
        <v>97</v>
      </c>
      <c r="C48" s="125" t="s">
        <v>45</v>
      </c>
      <c r="D48" s="134">
        <v>9597.35</v>
      </c>
      <c r="E48" s="135"/>
      <c r="F48" s="135">
        <v>9472.26</v>
      </c>
      <c r="G48" s="135">
        <v>11186</v>
      </c>
      <c r="H48" s="136">
        <f>90*100</f>
        <v>9000</v>
      </c>
      <c r="I48" s="100">
        <f t="shared" si="7"/>
        <v>9813.9025000000001</v>
      </c>
      <c r="J48" s="101">
        <f t="shared" si="8"/>
        <v>950.21110147079071</v>
      </c>
      <c r="K48" s="101">
        <f t="shared" si="9"/>
        <v>10764.113601470792</v>
      </c>
      <c r="L48" s="102">
        <f t="shared" si="10"/>
        <v>8863.6913985292085</v>
      </c>
      <c r="M48" s="103">
        <f t="shared" si="11"/>
        <v>9597.35</v>
      </c>
      <c r="N48" s="99" t="str">
        <f t="shared" si="12"/>
        <v/>
      </c>
      <c r="O48" s="69">
        <f t="shared" si="13"/>
        <v>9472.26</v>
      </c>
      <c r="P48" s="104">
        <f t="shared" si="14"/>
        <v>9534.8050000000003</v>
      </c>
      <c r="Q48" s="107">
        <v>7437.5</v>
      </c>
      <c r="R48" s="106">
        <f t="shared" si="15"/>
        <v>7437.5</v>
      </c>
    </row>
    <row r="49" spans="1:18" ht="15.75" x14ac:dyDescent="0.2">
      <c r="A49" s="84">
        <v>45</v>
      </c>
      <c r="B49" s="16" t="s">
        <v>88</v>
      </c>
      <c r="C49" s="125" t="s">
        <v>24</v>
      </c>
      <c r="D49" s="137">
        <v>84668.5</v>
      </c>
      <c r="E49" s="135">
        <v>89800</v>
      </c>
      <c r="F49" s="138">
        <v>80565.187999999995</v>
      </c>
      <c r="G49" s="138">
        <v>126235</v>
      </c>
      <c r="H49" s="139">
        <v>91900</v>
      </c>
      <c r="I49" s="100">
        <f t="shared" si="7"/>
        <v>94633.737599999993</v>
      </c>
      <c r="J49" s="101">
        <f t="shared" si="8"/>
        <v>18212.002731695145</v>
      </c>
      <c r="K49" s="101">
        <f t="shared" si="9"/>
        <v>112845.74033169514</v>
      </c>
      <c r="L49" s="102">
        <f t="shared" si="10"/>
        <v>76421.734868304848</v>
      </c>
      <c r="M49" s="103">
        <f t="shared" si="11"/>
        <v>84668.5</v>
      </c>
      <c r="N49" s="99">
        <f t="shared" si="12"/>
        <v>89800</v>
      </c>
      <c r="O49" s="69">
        <f t="shared" si="13"/>
        <v>80565.187999999995</v>
      </c>
      <c r="P49" s="104">
        <f t="shared" si="14"/>
        <v>85011.229333333336</v>
      </c>
      <c r="Q49" s="109"/>
      <c r="R49" s="106">
        <f t="shared" si="15"/>
        <v>85011.229333333336</v>
      </c>
    </row>
    <row r="50" spans="1:18" ht="12.75" x14ac:dyDescent="0.2">
      <c r="A50" s="84">
        <v>46</v>
      </c>
      <c r="B50" s="97" t="s">
        <v>110</v>
      </c>
      <c r="C50" s="125" t="s">
        <v>24</v>
      </c>
      <c r="D50" s="134"/>
      <c r="E50" s="135">
        <v>3900</v>
      </c>
      <c r="F50" s="135">
        <v>3253.55</v>
      </c>
      <c r="G50" s="135">
        <v>6843</v>
      </c>
      <c r="H50" s="136"/>
      <c r="I50" s="100">
        <f t="shared" si="7"/>
        <v>4665.5166666666664</v>
      </c>
      <c r="J50" s="101">
        <f t="shared" si="8"/>
        <v>1913.2562951244495</v>
      </c>
      <c r="K50" s="101">
        <f t="shared" si="9"/>
        <v>6578.7729617911154</v>
      </c>
      <c r="L50" s="102">
        <f t="shared" si="10"/>
        <v>2752.2603715422169</v>
      </c>
      <c r="M50" s="103" t="str">
        <f t="shared" si="11"/>
        <v/>
      </c>
      <c r="N50" s="99">
        <f t="shared" si="12"/>
        <v>3900</v>
      </c>
      <c r="O50" s="69">
        <f t="shared" si="13"/>
        <v>3253.55</v>
      </c>
      <c r="P50" s="104">
        <f t="shared" si="14"/>
        <v>3576.7750000000001</v>
      </c>
      <c r="Q50" s="105"/>
      <c r="R50" s="106">
        <f t="shared" si="15"/>
        <v>3576.7750000000001</v>
      </c>
    </row>
    <row r="51" spans="1:18" thickBot="1" x14ac:dyDescent="0.25">
      <c r="A51" s="111">
        <v>47</v>
      </c>
      <c r="B51" s="112" t="s">
        <v>105</v>
      </c>
      <c r="C51" s="126" t="s">
        <v>24</v>
      </c>
      <c r="D51" s="141">
        <v>5164.5999999999995</v>
      </c>
      <c r="E51" s="142">
        <v>9900</v>
      </c>
      <c r="F51" s="142">
        <v>4899.2860000000001</v>
      </c>
      <c r="G51" s="142">
        <v>9223</v>
      </c>
      <c r="H51" s="143">
        <v>5662</v>
      </c>
      <c r="I51" s="115">
        <f t="shared" si="7"/>
        <v>6969.7771999999995</v>
      </c>
      <c r="J51" s="116">
        <f t="shared" si="8"/>
        <v>2393.6947581926984</v>
      </c>
      <c r="K51" s="116">
        <f t="shared" si="9"/>
        <v>9363.4719581926984</v>
      </c>
      <c r="L51" s="117">
        <f t="shared" si="10"/>
        <v>4576.0824418073007</v>
      </c>
      <c r="M51" s="118">
        <f t="shared" si="11"/>
        <v>5164.5999999999995</v>
      </c>
      <c r="N51" s="114" t="str">
        <f t="shared" si="12"/>
        <v/>
      </c>
      <c r="O51" s="70">
        <f t="shared" si="13"/>
        <v>4899.2860000000001</v>
      </c>
      <c r="P51" s="119">
        <f t="shared" si="14"/>
        <v>5031.9429999999993</v>
      </c>
      <c r="Q51" s="120">
        <v>2491.86</v>
      </c>
      <c r="R51" s="121">
        <f t="shared" si="15"/>
        <v>2491.86</v>
      </c>
    </row>
  </sheetData>
  <autoFilter ref="A4:T51" xr:uid="{A7D0933A-EE44-4A0A-96EC-FC1A1569B7DD}"/>
  <sortState ref="A5:S51">
    <sortCondition ref="B5:B51"/>
  </sortState>
  <mergeCells count="4">
    <mergeCell ref="I3:L3"/>
    <mergeCell ref="M3:O3"/>
    <mergeCell ref="P3:Q3"/>
    <mergeCell ref="D3:H3"/>
  </mergeCells>
  <conditionalFormatting sqref="C28:C32 C49:C50 C24:C26 C11:C20 C5:C9">
    <cfRule type="expression" dxfId="54" priority="20">
      <formula>ISERROR(C5)</formula>
    </cfRule>
  </conditionalFormatting>
  <conditionalFormatting sqref="C10">
    <cfRule type="expression" dxfId="53" priority="19">
      <formula>ISERROR(C10)</formula>
    </cfRule>
  </conditionalFormatting>
  <conditionalFormatting sqref="C27">
    <cfRule type="expression" dxfId="52" priority="18">
      <formula>ISERROR(C27)</formula>
    </cfRule>
  </conditionalFormatting>
  <conditionalFormatting sqref="C22">
    <cfRule type="expression" dxfId="51" priority="16">
      <formula>ISERROR(C22)</formula>
    </cfRule>
  </conditionalFormatting>
  <conditionalFormatting sqref="C21">
    <cfRule type="expression" dxfId="50" priority="17">
      <formula>ISERROR(C21)</formula>
    </cfRule>
  </conditionalFormatting>
  <conditionalFormatting sqref="C35">
    <cfRule type="expression" dxfId="49" priority="4">
      <formula>ISERROR(C35)</formula>
    </cfRule>
  </conditionalFormatting>
  <conditionalFormatting sqref="C33:C34">
    <cfRule type="expression" dxfId="48" priority="15">
      <formula>ISERROR(C33)</formula>
    </cfRule>
  </conditionalFormatting>
  <conditionalFormatting sqref="C39:C40">
    <cfRule type="expression" dxfId="47" priority="13">
      <formula>ISERROR(C39)</formula>
    </cfRule>
  </conditionalFormatting>
  <conditionalFormatting sqref="C44:C46">
    <cfRule type="expression" dxfId="46" priority="9">
      <formula>ISERROR(C44)</formula>
    </cfRule>
  </conditionalFormatting>
  <conditionalFormatting sqref="C47">
    <cfRule type="expression" dxfId="45" priority="12">
      <formula>ISERROR(C47)</formula>
    </cfRule>
  </conditionalFormatting>
  <conditionalFormatting sqref="C48">
    <cfRule type="expression" dxfId="44" priority="8">
      <formula>ISERROR(C48)</formula>
    </cfRule>
  </conditionalFormatting>
  <conditionalFormatting sqref="C41">
    <cfRule type="expression" dxfId="43" priority="11">
      <formula>ISERROR(C41)</formula>
    </cfRule>
  </conditionalFormatting>
  <conditionalFormatting sqref="C43">
    <cfRule type="expression" dxfId="42" priority="10">
      <formula>ISERROR(C43)</formula>
    </cfRule>
  </conditionalFormatting>
  <conditionalFormatting sqref="C38">
    <cfRule type="expression" dxfId="41" priority="7">
      <formula>ISERROR(C38)</formula>
    </cfRule>
  </conditionalFormatting>
  <conditionalFormatting sqref="C36">
    <cfRule type="expression" dxfId="40" priority="6">
      <formula>ISERROR(C36)</formula>
    </cfRule>
  </conditionalFormatting>
  <conditionalFormatting sqref="C37">
    <cfRule type="expression" dxfId="39" priority="5">
      <formula>ISERROR(C37)</formula>
    </cfRule>
  </conditionalFormatting>
  <conditionalFormatting sqref="C42">
    <cfRule type="expression" dxfId="38" priority="3">
      <formula>ISERROR(C42)</formula>
    </cfRule>
  </conditionalFormatting>
  <conditionalFormatting sqref="C51">
    <cfRule type="expression" dxfId="37" priority="2">
      <formula>ISERROR(C51)</formula>
    </cfRule>
  </conditionalFormatting>
  <conditionalFormatting sqref="C23">
    <cfRule type="expression" dxfId="36" priority="1">
      <formula>ISERROR(C23)</formula>
    </cfRule>
  </conditionalFormatting>
  <printOptions horizontalCentered="1" verticalCentered="1"/>
  <pageMargins left="0" right="0" top="0.59055118110236227" bottom="0.59055118110236227" header="0" footer="0"/>
  <pageSetup scale="29" fitToHeight="2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C0583-CD45-47FF-B2DE-C135E04E24D7}">
  <sheetPr>
    <pageSetUpPr fitToPage="1"/>
  </sheetPr>
  <dimension ref="A2:W50"/>
  <sheetViews>
    <sheetView topLeftCell="H1" zoomScale="80" zoomScaleNormal="80" workbookViewId="0">
      <pane ySplit="4" topLeftCell="A5" activePane="bottomLeft" state="frozen"/>
      <selection activeCell="D1" sqref="D1"/>
      <selection pane="bottomLeft" activeCell="L26" sqref="L26"/>
    </sheetView>
  </sheetViews>
  <sheetFormatPr baseColWidth="10" defaultRowHeight="12.75" x14ac:dyDescent="0.2"/>
  <cols>
    <col min="1" max="1" width="5.7109375" style="72" bestFit="1" customWidth="1"/>
    <col min="2" max="2" width="56.5703125" style="72" customWidth="1"/>
    <col min="3" max="3" width="18.85546875" style="72" customWidth="1"/>
    <col min="4" max="4" width="15.85546875" style="73" customWidth="1"/>
    <col min="5" max="6" width="15.85546875" style="68" customWidth="1"/>
    <col min="7" max="7" width="18.5703125" style="71" customWidth="1"/>
    <col min="8" max="8" width="15.85546875" style="68" customWidth="1"/>
    <col min="9" max="9" width="11.5703125" style="68" customWidth="1"/>
    <col min="10" max="10" width="13" style="68" customWidth="1"/>
    <col min="11" max="11" width="12.85546875" style="68" customWidth="1"/>
    <col min="12" max="12" width="13.28515625" style="68" customWidth="1"/>
    <col min="13" max="14" width="15.5703125" style="68" customWidth="1"/>
    <col min="15" max="17" width="15.42578125" style="68" customWidth="1"/>
    <col min="18" max="18" width="15.140625" style="74" customWidth="1"/>
    <col min="19" max="20" width="15.7109375" style="74" customWidth="1"/>
    <col min="21" max="21" width="3.5703125" style="72" customWidth="1"/>
    <col min="22" max="22" width="18.140625" style="177" customWidth="1"/>
    <col min="23" max="23" width="19.28515625" style="72" customWidth="1"/>
    <col min="24" max="16384" width="11.42578125" style="72"/>
  </cols>
  <sheetData>
    <row r="2" spans="1:23" ht="13.5" thickBot="1" x14ac:dyDescent="0.25"/>
    <row r="3" spans="1:23" ht="13.5" customHeight="1" thickBot="1" x14ac:dyDescent="0.25">
      <c r="D3" s="210" t="s">
        <v>0</v>
      </c>
      <c r="E3" s="211"/>
      <c r="F3" s="211"/>
      <c r="G3" s="211"/>
      <c r="H3" s="212"/>
      <c r="I3" s="203" t="s">
        <v>1</v>
      </c>
      <c r="J3" s="203"/>
      <c r="K3" s="203"/>
      <c r="L3" s="203"/>
      <c r="M3" s="213" t="s">
        <v>2</v>
      </c>
      <c r="N3" s="214"/>
      <c r="O3" s="214"/>
      <c r="P3" s="214"/>
      <c r="Q3" s="215"/>
      <c r="R3" s="209" t="s">
        <v>118</v>
      </c>
      <c r="S3" s="209"/>
    </row>
    <row r="4" spans="1:23" ht="39" thickBot="1" x14ac:dyDescent="0.25">
      <c r="A4" s="76" t="s">
        <v>8</v>
      </c>
      <c r="B4" s="158" t="s">
        <v>94</v>
      </c>
      <c r="C4" s="159" t="s">
        <v>28</v>
      </c>
      <c r="D4" s="178" t="s">
        <v>46</v>
      </c>
      <c r="E4" s="179" t="s">
        <v>47</v>
      </c>
      <c r="F4" s="179" t="s">
        <v>65</v>
      </c>
      <c r="G4" s="180" t="s">
        <v>115</v>
      </c>
      <c r="H4" s="181" t="s">
        <v>114</v>
      </c>
      <c r="I4" s="78" t="s">
        <v>3</v>
      </c>
      <c r="J4" s="79" t="s">
        <v>4</v>
      </c>
      <c r="K4" s="79" t="s">
        <v>5</v>
      </c>
      <c r="L4" s="161" t="s">
        <v>6</v>
      </c>
      <c r="M4" s="182" t="str">
        <f>+D4</f>
        <v>AXSA TEXCHNOLOGY
901.075.981-0</v>
      </c>
      <c r="N4" s="183" t="str">
        <f>+E4</f>
        <v>GRAN PAPELERA BOLIVAR SAS</v>
      </c>
      <c r="O4" s="183" t="str">
        <f>+F4</f>
        <v>PAPELIST SAS
901.089.740-3</v>
      </c>
      <c r="P4" s="183" t="str">
        <f>+G4</f>
        <v>INSTITUCIONAL STAR SERVICE</v>
      </c>
      <c r="Q4" s="184" t="str">
        <f>+H4</f>
        <v>OFI.COM.CO</v>
      </c>
      <c r="R4" s="169" t="s">
        <v>9</v>
      </c>
      <c r="S4" s="82" t="s">
        <v>116</v>
      </c>
      <c r="T4" s="83" t="s">
        <v>9</v>
      </c>
      <c r="V4" s="191" t="s">
        <v>119</v>
      </c>
      <c r="W4" s="192" t="s">
        <v>120</v>
      </c>
    </row>
    <row r="5" spans="1:23" x14ac:dyDescent="0.2">
      <c r="A5" s="160">
        <v>1</v>
      </c>
      <c r="B5" s="85" t="s">
        <v>100</v>
      </c>
      <c r="C5" s="86" t="s">
        <v>113</v>
      </c>
      <c r="D5" s="131">
        <v>6295.0999999999995</v>
      </c>
      <c r="E5" s="132">
        <v>13400</v>
      </c>
      <c r="F5" s="132">
        <v>1274.1176</v>
      </c>
      <c r="G5" s="132">
        <v>2666</v>
      </c>
      <c r="H5" s="133">
        <v>2650</v>
      </c>
      <c r="I5" s="88">
        <f>+AVERAGE(D5,E5,F5,G5,H5)</f>
        <v>5257.0435200000002</v>
      </c>
      <c r="J5" s="89">
        <f>+STDEV(D5,E5,F5,G5,H5)</f>
        <v>4918.3122819916543</v>
      </c>
      <c r="K5" s="89">
        <f t="shared" ref="K5:K21" si="0">+I5+J5</f>
        <v>10175.355801991655</v>
      </c>
      <c r="L5" s="162">
        <f t="shared" ref="L5:L21" si="1">+I5-J5</f>
        <v>338.73123800834583</v>
      </c>
      <c r="M5" s="167">
        <f t="shared" ref="M5:Q21" si="2">IF(AND(D5&lt;=$K5,D5&gt;=$L5),D5,"")</f>
        <v>6295.0999999999995</v>
      </c>
      <c r="N5" s="87" t="str">
        <f t="shared" si="2"/>
        <v/>
      </c>
      <c r="O5" s="87">
        <f t="shared" si="2"/>
        <v>1274.1176</v>
      </c>
      <c r="P5" s="87">
        <f t="shared" si="2"/>
        <v>2666</v>
      </c>
      <c r="Q5" s="168">
        <f t="shared" si="2"/>
        <v>2650</v>
      </c>
      <c r="R5" s="174">
        <f>+AVERAGE(M5,N5,O5,P5,Q5)</f>
        <v>3221.3044</v>
      </c>
      <c r="S5" s="165"/>
      <c r="T5" s="96">
        <f t="shared" ref="T5:T49" si="3">+MIN(R5,S5)</f>
        <v>3221.3044</v>
      </c>
      <c r="V5" s="84">
        <v>190</v>
      </c>
      <c r="W5" s="193">
        <f>+V5*R5</f>
        <v>612047.83600000001</v>
      </c>
    </row>
    <row r="6" spans="1:23" x14ac:dyDescent="0.2">
      <c r="A6" s="84">
        <v>2</v>
      </c>
      <c r="B6" s="97" t="s">
        <v>63</v>
      </c>
      <c r="C6" s="98" t="s">
        <v>44</v>
      </c>
      <c r="D6" s="134">
        <v>4069.7999999999997</v>
      </c>
      <c r="E6" s="135">
        <v>3800</v>
      </c>
      <c r="F6" s="135">
        <v>3473.4875000000002</v>
      </c>
      <c r="G6" s="135">
        <v>3570</v>
      </c>
      <c r="H6" s="136">
        <v>4667</v>
      </c>
      <c r="I6" s="100">
        <f t="shared" ref="I6:I49" si="4">+AVERAGE(D6,E6,F6,G6,H6)</f>
        <v>3916.0574999999999</v>
      </c>
      <c r="J6" s="101">
        <f t="shared" ref="J6:J49" si="5">+STDEV(D6,E6,F6,G6,H6)</f>
        <v>478.70782741798973</v>
      </c>
      <c r="K6" s="101">
        <f t="shared" si="0"/>
        <v>4394.7653274179893</v>
      </c>
      <c r="L6" s="163">
        <f t="shared" si="1"/>
        <v>3437.34967258201</v>
      </c>
      <c r="M6" s="103">
        <f t="shared" si="2"/>
        <v>4069.7999999999997</v>
      </c>
      <c r="N6" s="99">
        <f t="shared" si="2"/>
        <v>3800</v>
      </c>
      <c r="O6" s="99">
        <f t="shared" si="2"/>
        <v>3473.4875000000002</v>
      </c>
      <c r="P6" s="101">
        <f t="shared" ref="P6:P49" si="6">IF(AND(G6&lt;=$K6,G6&gt;=$L6),G6,"")</f>
        <v>3570</v>
      </c>
      <c r="Q6" s="163" t="str">
        <f t="shared" ref="Q6:Q49" si="7">IF(AND(H6&lt;=$K6,H6&gt;=$L6),H6,"")</f>
        <v/>
      </c>
      <c r="R6" s="175">
        <f t="shared" ref="R6:R49" si="8">+AVERAGE(M6,N6,O6,P6,Q6)</f>
        <v>3728.3218749999996</v>
      </c>
      <c r="S6" s="166"/>
      <c r="T6" s="106">
        <f t="shared" si="3"/>
        <v>3728.3218749999996</v>
      </c>
      <c r="V6" s="84">
        <v>50</v>
      </c>
      <c r="W6" s="193">
        <f t="shared" ref="W6:W49" si="9">+V6*R6</f>
        <v>186416.09374999997</v>
      </c>
    </row>
    <row r="7" spans="1:23" x14ac:dyDescent="0.2">
      <c r="A7" s="84">
        <v>3</v>
      </c>
      <c r="B7" s="97" t="s">
        <v>117</v>
      </c>
      <c r="C7" s="98" t="s">
        <v>24</v>
      </c>
      <c r="D7" s="134">
        <v>347.47999999999996</v>
      </c>
      <c r="E7" s="135">
        <v>312</v>
      </c>
      <c r="F7" s="135">
        <v>333.69747999999998</v>
      </c>
      <c r="G7" s="135">
        <v>286</v>
      </c>
      <c r="H7" s="136">
        <v>490</v>
      </c>
      <c r="I7" s="100">
        <f t="shared" si="4"/>
        <v>353.83549600000003</v>
      </c>
      <c r="J7" s="101">
        <f t="shared" si="5"/>
        <v>79.590463327147688</v>
      </c>
      <c r="K7" s="101">
        <f t="shared" si="0"/>
        <v>433.42595932714772</v>
      </c>
      <c r="L7" s="163">
        <f t="shared" si="1"/>
        <v>274.24503267285235</v>
      </c>
      <c r="M7" s="103">
        <f t="shared" si="2"/>
        <v>347.47999999999996</v>
      </c>
      <c r="N7" s="99">
        <f t="shared" si="2"/>
        <v>312</v>
      </c>
      <c r="O7" s="99">
        <f t="shared" si="2"/>
        <v>333.69747999999998</v>
      </c>
      <c r="P7" s="101">
        <f t="shared" si="6"/>
        <v>286</v>
      </c>
      <c r="Q7" s="163" t="str">
        <f t="shared" si="7"/>
        <v/>
      </c>
      <c r="R7" s="175">
        <f t="shared" si="8"/>
        <v>319.79437000000001</v>
      </c>
      <c r="S7" s="170">
        <v>302.26</v>
      </c>
      <c r="T7" s="106">
        <f t="shared" si="3"/>
        <v>302.26</v>
      </c>
      <c r="V7" s="84">
        <v>200</v>
      </c>
      <c r="W7" s="193">
        <f t="shared" si="9"/>
        <v>63958.874000000003</v>
      </c>
    </row>
    <row r="8" spans="1:23" x14ac:dyDescent="0.2">
      <c r="A8" s="84">
        <v>4</v>
      </c>
      <c r="B8" s="97" t="s">
        <v>23</v>
      </c>
      <c r="C8" s="98" t="s">
        <v>24</v>
      </c>
      <c r="D8" s="134"/>
      <c r="E8" s="135"/>
      <c r="F8" s="135">
        <v>250.2731</v>
      </c>
      <c r="G8" s="135">
        <v>262</v>
      </c>
      <c r="H8" s="136">
        <v>342</v>
      </c>
      <c r="I8" s="100">
        <f t="shared" si="4"/>
        <v>284.7577</v>
      </c>
      <c r="J8" s="101">
        <f t="shared" si="5"/>
        <v>49.918841411535098</v>
      </c>
      <c r="K8" s="101">
        <f t="shared" si="0"/>
        <v>334.67654141153508</v>
      </c>
      <c r="L8" s="163">
        <f t="shared" si="1"/>
        <v>234.83885858846492</v>
      </c>
      <c r="M8" s="103" t="str">
        <f t="shared" si="2"/>
        <v/>
      </c>
      <c r="N8" s="99" t="str">
        <f t="shared" si="2"/>
        <v/>
      </c>
      <c r="O8" s="99">
        <f t="shared" si="2"/>
        <v>250.2731</v>
      </c>
      <c r="P8" s="101">
        <f t="shared" si="6"/>
        <v>262</v>
      </c>
      <c r="Q8" s="163" t="str">
        <f t="shared" si="7"/>
        <v/>
      </c>
      <c r="R8" s="175">
        <f t="shared" si="8"/>
        <v>256.13655</v>
      </c>
      <c r="S8" s="166"/>
      <c r="T8" s="106">
        <f t="shared" si="3"/>
        <v>256.13655</v>
      </c>
      <c r="V8" s="84">
        <v>22</v>
      </c>
      <c r="W8" s="193">
        <f t="shared" si="9"/>
        <v>5635.0041000000001</v>
      </c>
    </row>
    <row r="9" spans="1:23" x14ac:dyDescent="0.2">
      <c r="A9" s="84">
        <v>5</v>
      </c>
      <c r="B9" s="97" t="s">
        <v>22</v>
      </c>
      <c r="C9" s="98" t="s">
        <v>24</v>
      </c>
      <c r="D9" s="134"/>
      <c r="E9" s="135">
        <v>1100</v>
      </c>
      <c r="F9" s="135">
        <v>3113.1302599999999</v>
      </c>
      <c r="G9" s="135">
        <v>1614</v>
      </c>
      <c r="H9" s="136">
        <v>5424</v>
      </c>
      <c r="I9" s="100">
        <f t="shared" si="4"/>
        <v>2812.782565</v>
      </c>
      <c r="J9" s="101">
        <f t="shared" si="5"/>
        <v>1939.0177052531653</v>
      </c>
      <c r="K9" s="101">
        <f t="shared" si="0"/>
        <v>4751.8002702531649</v>
      </c>
      <c r="L9" s="163">
        <f t="shared" si="1"/>
        <v>873.76485974683465</v>
      </c>
      <c r="M9" s="103" t="str">
        <f t="shared" si="2"/>
        <v/>
      </c>
      <c r="N9" s="99">
        <f t="shared" si="2"/>
        <v>1100</v>
      </c>
      <c r="O9" s="99">
        <f t="shared" si="2"/>
        <v>3113.1302599999999</v>
      </c>
      <c r="P9" s="101">
        <f t="shared" si="6"/>
        <v>1614</v>
      </c>
      <c r="Q9" s="163" t="str">
        <f t="shared" si="7"/>
        <v/>
      </c>
      <c r="R9" s="175">
        <f t="shared" si="8"/>
        <v>1942.3767533333332</v>
      </c>
      <c r="S9" s="170"/>
      <c r="T9" s="106">
        <f>+MIN(R9,S9)</f>
        <v>1942.3767533333332</v>
      </c>
      <c r="V9" s="84">
        <v>200</v>
      </c>
      <c r="W9" s="193">
        <f t="shared" si="9"/>
        <v>388475.35066666664</v>
      </c>
    </row>
    <row r="10" spans="1:23" x14ac:dyDescent="0.2">
      <c r="A10" s="84">
        <v>6</v>
      </c>
      <c r="B10" s="97" t="s">
        <v>107</v>
      </c>
      <c r="C10" s="98" t="s">
        <v>24</v>
      </c>
      <c r="D10" s="134"/>
      <c r="E10" s="135"/>
      <c r="F10" s="135">
        <v>1478.8866</v>
      </c>
      <c r="G10" s="135">
        <v>309</v>
      </c>
      <c r="H10" s="136">
        <v>1340</v>
      </c>
      <c r="I10" s="100">
        <f t="shared" si="4"/>
        <v>1042.6288666666667</v>
      </c>
      <c r="J10" s="101">
        <f t="shared" si="5"/>
        <v>639.12507181290687</v>
      </c>
      <c r="K10" s="101">
        <f t="shared" si="0"/>
        <v>1681.7539384795737</v>
      </c>
      <c r="L10" s="163">
        <f t="shared" si="1"/>
        <v>403.50379485375981</v>
      </c>
      <c r="M10" s="103" t="str">
        <f t="shared" si="2"/>
        <v/>
      </c>
      <c r="N10" s="99" t="str">
        <f t="shared" si="2"/>
        <v/>
      </c>
      <c r="O10" s="99">
        <f t="shared" si="2"/>
        <v>1478.8866</v>
      </c>
      <c r="P10" s="101" t="str">
        <f t="shared" si="6"/>
        <v/>
      </c>
      <c r="Q10" s="163">
        <f t="shared" si="7"/>
        <v>1340</v>
      </c>
      <c r="R10" s="175">
        <f t="shared" si="8"/>
        <v>1409.4432999999999</v>
      </c>
      <c r="S10" s="166"/>
      <c r="T10" s="106">
        <f t="shared" si="3"/>
        <v>1409.4432999999999</v>
      </c>
      <c r="V10" s="84">
        <v>100</v>
      </c>
      <c r="W10" s="193">
        <f t="shared" si="9"/>
        <v>140944.32999999999</v>
      </c>
    </row>
    <row r="11" spans="1:23" x14ac:dyDescent="0.2">
      <c r="A11" s="84">
        <v>7</v>
      </c>
      <c r="B11" s="185" t="s">
        <v>10</v>
      </c>
      <c r="C11" s="98" t="s">
        <v>24</v>
      </c>
      <c r="D11" s="186">
        <v>856800</v>
      </c>
      <c r="E11" s="135">
        <v>578000</v>
      </c>
      <c r="F11" s="187"/>
      <c r="G11" s="187"/>
      <c r="H11" s="188"/>
      <c r="I11" s="100">
        <f t="shared" si="4"/>
        <v>717400</v>
      </c>
      <c r="J11" s="101">
        <f t="shared" si="5"/>
        <v>197141.37059480944</v>
      </c>
      <c r="K11" s="101">
        <f t="shared" si="0"/>
        <v>914541.37059480941</v>
      </c>
      <c r="L11" s="163">
        <f t="shared" si="1"/>
        <v>520258.62940519059</v>
      </c>
      <c r="M11" s="103">
        <f t="shared" si="2"/>
        <v>856800</v>
      </c>
      <c r="N11" s="99">
        <f t="shared" si="2"/>
        <v>578000</v>
      </c>
      <c r="O11" s="99" t="str">
        <f t="shared" si="2"/>
        <v/>
      </c>
      <c r="P11" s="101" t="str">
        <f t="shared" si="6"/>
        <v/>
      </c>
      <c r="Q11" s="163" t="str">
        <f t="shared" si="7"/>
        <v/>
      </c>
      <c r="R11" s="175">
        <f t="shared" si="8"/>
        <v>717400</v>
      </c>
      <c r="S11" s="171"/>
      <c r="T11" s="106">
        <f t="shared" si="3"/>
        <v>717400</v>
      </c>
      <c r="V11" s="84">
        <v>5</v>
      </c>
      <c r="W11" s="193">
        <f t="shared" si="9"/>
        <v>3587000</v>
      </c>
    </row>
    <row r="12" spans="1:23" x14ac:dyDescent="0.2">
      <c r="A12" s="84">
        <v>8</v>
      </c>
      <c r="B12" s="97" t="s">
        <v>49</v>
      </c>
      <c r="C12" s="98" t="s">
        <v>48</v>
      </c>
      <c r="D12" s="134">
        <v>38318</v>
      </c>
      <c r="E12" s="135">
        <v>36000</v>
      </c>
      <c r="F12" s="135">
        <v>14800.84</v>
      </c>
      <c r="G12" s="135">
        <v>65450</v>
      </c>
      <c r="H12" s="136">
        <v>63490</v>
      </c>
      <c r="I12" s="100">
        <f t="shared" si="4"/>
        <v>43611.767999999996</v>
      </c>
      <c r="J12" s="101">
        <f t="shared" si="5"/>
        <v>21142.877336567046</v>
      </c>
      <c r="K12" s="101">
        <f t="shared" si="0"/>
        <v>64754.645336567046</v>
      </c>
      <c r="L12" s="163">
        <f t="shared" si="1"/>
        <v>22468.890663432951</v>
      </c>
      <c r="M12" s="103">
        <f t="shared" si="2"/>
        <v>38318</v>
      </c>
      <c r="N12" s="99">
        <f t="shared" si="2"/>
        <v>36000</v>
      </c>
      <c r="O12" s="99" t="str">
        <f t="shared" si="2"/>
        <v/>
      </c>
      <c r="P12" s="101" t="str">
        <f t="shared" si="6"/>
        <v/>
      </c>
      <c r="Q12" s="163">
        <f t="shared" si="7"/>
        <v>63490</v>
      </c>
      <c r="R12" s="175">
        <f t="shared" si="8"/>
        <v>45936</v>
      </c>
      <c r="S12" s="170"/>
      <c r="T12" s="106">
        <f t="shared" si="3"/>
        <v>45936</v>
      </c>
      <c r="V12" s="84">
        <v>10</v>
      </c>
      <c r="W12" s="193">
        <f t="shared" si="9"/>
        <v>459360</v>
      </c>
    </row>
    <row r="13" spans="1:23" x14ac:dyDescent="0.2">
      <c r="A13" s="84">
        <v>9</v>
      </c>
      <c r="B13" s="97" t="s">
        <v>101</v>
      </c>
      <c r="C13" s="98" t="s">
        <v>31</v>
      </c>
      <c r="D13" s="134">
        <v>1588.6499999999999</v>
      </c>
      <c r="E13" s="135">
        <v>1200</v>
      </c>
      <c r="F13" s="135">
        <v>2859.181</v>
      </c>
      <c r="G13" s="135">
        <v>2223</v>
      </c>
      <c r="H13" s="136">
        <v>1590</v>
      </c>
      <c r="I13" s="100">
        <f t="shared" si="4"/>
        <v>1892.1662000000001</v>
      </c>
      <c r="J13" s="101">
        <f t="shared" si="5"/>
        <v>653.27811289465365</v>
      </c>
      <c r="K13" s="101">
        <f t="shared" si="0"/>
        <v>2545.4443128946536</v>
      </c>
      <c r="L13" s="163">
        <f t="shared" si="1"/>
        <v>1238.8880871053466</v>
      </c>
      <c r="M13" s="103">
        <f t="shared" si="2"/>
        <v>1588.6499999999999</v>
      </c>
      <c r="N13" s="99" t="str">
        <f t="shared" si="2"/>
        <v/>
      </c>
      <c r="O13" s="99" t="str">
        <f t="shared" si="2"/>
        <v/>
      </c>
      <c r="P13" s="101">
        <f t="shared" si="6"/>
        <v>2223</v>
      </c>
      <c r="Q13" s="163">
        <f t="shared" si="7"/>
        <v>1590</v>
      </c>
      <c r="R13" s="175">
        <f t="shared" si="8"/>
        <v>1800.55</v>
      </c>
      <c r="S13" s="166">
        <v>1451.8</v>
      </c>
      <c r="T13" s="106">
        <f t="shared" si="3"/>
        <v>1451.8</v>
      </c>
      <c r="V13" s="84">
        <v>50</v>
      </c>
      <c r="W13" s="193">
        <f t="shared" si="9"/>
        <v>90027.5</v>
      </c>
    </row>
    <row r="14" spans="1:23" x14ac:dyDescent="0.2">
      <c r="A14" s="84">
        <v>10</v>
      </c>
      <c r="B14" s="97" t="s">
        <v>99</v>
      </c>
      <c r="C14" s="98" t="s">
        <v>31</v>
      </c>
      <c r="D14" s="134">
        <v>5973.8</v>
      </c>
      <c r="E14" s="135">
        <v>5200</v>
      </c>
      <c r="F14" s="135">
        <v>7576.4490000000005</v>
      </c>
      <c r="G14" s="135">
        <v>8925</v>
      </c>
      <c r="H14" s="136">
        <v>8407</v>
      </c>
      <c r="I14" s="100">
        <f t="shared" si="4"/>
        <v>7216.4497999999994</v>
      </c>
      <c r="J14" s="101">
        <f t="shared" si="5"/>
        <v>1587.1673911406476</v>
      </c>
      <c r="K14" s="101">
        <f t="shared" si="0"/>
        <v>8803.6171911406473</v>
      </c>
      <c r="L14" s="163">
        <f t="shared" si="1"/>
        <v>5629.2824088593516</v>
      </c>
      <c r="M14" s="103">
        <f t="shared" si="2"/>
        <v>5973.8</v>
      </c>
      <c r="N14" s="99" t="str">
        <f t="shared" si="2"/>
        <v/>
      </c>
      <c r="O14" s="99">
        <f t="shared" si="2"/>
        <v>7576.4490000000005</v>
      </c>
      <c r="P14" s="101" t="str">
        <f t="shared" si="6"/>
        <v/>
      </c>
      <c r="Q14" s="163">
        <f t="shared" si="7"/>
        <v>8407</v>
      </c>
      <c r="R14" s="175">
        <f t="shared" si="8"/>
        <v>7319.0829999999996</v>
      </c>
      <c r="S14" s="170">
        <v>5212.2</v>
      </c>
      <c r="T14" s="106">
        <f t="shared" si="3"/>
        <v>5212.2</v>
      </c>
      <c r="V14" s="84">
        <v>50</v>
      </c>
      <c r="W14" s="193">
        <f t="shared" si="9"/>
        <v>365954.14999999997</v>
      </c>
    </row>
    <row r="15" spans="1:23" x14ac:dyDescent="0.2">
      <c r="A15" s="84">
        <v>11</v>
      </c>
      <c r="B15" s="97" t="s">
        <v>76</v>
      </c>
      <c r="C15" s="98" t="s">
        <v>31</v>
      </c>
      <c r="D15" s="134">
        <v>628.31999999999994</v>
      </c>
      <c r="E15" s="135">
        <v>600</v>
      </c>
      <c r="F15" s="135">
        <v>970.75699999999995</v>
      </c>
      <c r="G15" s="135">
        <v>762</v>
      </c>
      <c r="H15" s="136">
        <v>450</v>
      </c>
      <c r="I15" s="100">
        <f t="shared" si="4"/>
        <v>682.21539999999993</v>
      </c>
      <c r="J15" s="101">
        <f t="shared" si="5"/>
        <v>195.71019101160766</v>
      </c>
      <c r="K15" s="101">
        <f t="shared" si="0"/>
        <v>877.92559101160759</v>
      </c>
      <c r="L15" s="163">
        <f t="shared" si="1"/>
        <v>486.50520898839227</v>
      </c>
      <c r="M15" s="103">
        <f t="shared" si="2"/>
        <v>628.31999999999994</v>
      </c>
      <c r="N15" s="99">
        <f t="shared" si="2"/>
        <v>600</v>
      </c>
      <c r="O15" s="99" t="str">
        <f t="shared" si="2"/>
        <v/>
      </c>
      <c r="P15" s="101">
        <f t="shared" si="6"/>
        <v>762</v>
      </c>
      <c r="Q15" s="163" t="str">
        <f t="shared" si="7"/>
        <v/>
      </c>
      <c r="R15" s="175">
        <f t="shared" si="8"/>
        <v>663.43999999999994</v>
      </c>
      <c r="S15" s="170">
        <v>529.54999999999995</v>
      </c>
      <c r="T15" s="106">
        <f t="shared" si="3"/>
        <v>529.54999999999995</v>
      </c>
      <c r="V15" s="84">
        <v>50</v>
      </c>
      <c r="W15" s="193">
        <f t="shared" si="9"/>
        <v>33172</v>
      </c>
    </row>
    <row r="16" spans="1:23" x14ac:dyDescent="0.2">
      <c r="A16" s="84">
        <v>12</v>
      </c>
      <c r="B16" s="97" t="s">
        <v>95</v>
      </c>
      <c r="C16" s="98" t="s">
        <v>42</v>
      </c>
      <c r="D16" s="134">
        <v>1727.8799999999999</v>
      </c>
      <c r="E16" s="135">
        <v>1450</v>
      </c>
      <c r="F16" s="135">
        <v>1616.5966000000001</v>
      </c>
      <c r="G16" s="135">
        <v>2568</v>
      </c>
      <c r="H16" s="136">
        <v>1990</v>
      </c>
      <c r="I16" s="100">
        <f t="shared" si="4"/>
        <v>1870.49532</v>
      </c>
      <c r="J16" s="101">
        <f t="shared" si="5"/>
        <v>436.58165067431747</v>
      </c>
      <c r="K16" s="101">
        <f t="shared" si="0"/>
        <v>2307.0769706743176</v>
      </c>
      <c r="L16" s="163">
        <f t="shared" si="1"/>
        <v>1433.9136693256826</v>
      </c>
      <c r="M16" s="103">
        <f t="shared" si="2"/>
        <v>1727.8799999999999</v>
      </c>
      <c r="N16" s="99">
        <f t="shared" si="2"/>
        <v>1450</v>
      </c>
      <c r="O16" s="99">
        <f t="shared" si="2"/>
        <v>1616.5966000000001</v>
      </c>
      <c r="P16" s="101" t="str">
        <f t="shared" si="6"/>
        <v/>
      </c>
      <c r="Q16" s="163">
        <f t="shared" si="7"/>
        <v>1990</v>
      </c>
      <c r="R16" s="175">
        <f t="shared" si="8"/>
        <v>1696.11915</v>
      </c>
      <c r="S16" s="170">
        <v>402.22</v>
      </c>
      <c r="T16" s="106">
        <f t="shared" si="3"/>
        <v>402.22</v>
      </c>
      <c r="V16" s="84">
        <v>150</v>
      </c>
      <c r="W16" s="193">
        <f t="shared" si="9"/>
        <v>254417.8725</v>
      </c>
    </row>
    <row r="17" spans="1:23" x14ac:dyDescent="0.2">
      <c r="A17" s="84">
        <v>13</v>
      </c>
      <c r="B17" s="97" t="s">
        <v>96</v>
      </c>
      <c r="C17" s="98" t="s">
        <v>43</v>
      </c>
      <c r="D17" s="134">
        <v>1707.6499999999999</v>
      </c>
      <c r="E17" s="135">
        <v>2500</v>
      </c>
      <c r="F17" s="135">
        <v>3488.6556</v>
      </c>
      <c r="G17" s="135">
        <v>2568</v>
      </c>
      <c r="H17" s="136">
        <v>2244</v>
      </c>
      <c r="I17" s="100">
        <f t="shared" si="4"/>
        <v>2501.6611199999998</v>
      </c>
      <c r="J17" s="101">
        <f t="shared" si="5"/>
        <v>647.18710998309666</v>
      </c>
      <c r="K17" s="101">
        <f t="shared" si="0"/>
        <v>3148.8482299830966</v>
      </c>
      <c r="L17" s="163">
        <f t="shared" si="1"/>
        <v>1854.4740100169031</v>
      </c>
      <c r="M17" s="103" t="str">
        <f t="shared" si="2"/>
        <v/>
      </c>
      <c r="N17" s="99">
        <f t="shared" si="2"/>
        <v>2500</v>
      </c>
      <c r="O17" s="99" t="str">
        <f t="shared" si="2"/>
        <v/>
      </c>
      <c r="P17" s="101">
        <f t="shared" si="6"/>
        <v>2568</v>
      </c>
      <c r="Q17" s="163">
        <f t="shared" si="7"/>
        <v>2244</v>
      </c>
      <c r="R17" s="175">
        <f t="shared" si="8"/>
        <v>2437.3333333333335</v>
      </c>
      <c r="S17" s="170">
        <v>1333.99</v>
      </c>
      <c r="T17" s="106">
        <f t="shared" si="3"/>
        <v>1333.99</v>
      </c>
      <c r="V17" s="84">
        <v>150</v>
      </c>
      <c r="W17" s="193">
        <f t="shared" si="9"/>
        <v>365600</v>
      </c>
    </row>
    <row r="18" spans="1:23" x14ac:dyDescent="0.2">
      <c r="A18" s="84">
        <v>14</v>
      </c>
      <c r="B18" s="97" t="s">
        <v>77</v>
      </c>
      <c r="C18" s="98" t="s">
        <v>24</v>
      </c>
      <c r="D18" s="134">
        <v>17201.45</v>
      </c>
      <c r="E18" s="135">
        <v>6200</v>
      </c>
      <c r="F18" s="135">
        <v>5867.6469999999999</v>
      </c>
      <c r="G18" s="135">
        <v>8171</v>
      </c>
      <c r="H18" s="136">
        <v>7659</v>
      </c>
      <c r="I18" s="100">
        <f t="shared" si="4"/>
        <v>9019.8194000000003</v>
      </c>
      <c r="J18" s="101">
        <f t="shared" si="5"/>
        <v>4674.3709570386909</v>
      </c>
      <c r="K18" s="101">
        <f t="shared" si="0"/>
        <v>13694.190357038691</v>
      </c>
      <c r="L18" s="163">
        <f t="shared" si="1"/>
        <v>4345.4484429613094</v>
      </c>
      <c r="M18" s="103" t="str">
        <f t="shared" si="2"/>
        <v/>
      </c>
      <c r="N18" s="99">
        <f t="shared" si="2"/>
        <v>6200</v>
      </c>
      <c r="O18" s="99">
        <f t="shared" si="2"/>
        <v>5867.6469999999999</v>
      </c>
      <c r="P18" s="101">
        <f t="shared" si="6"/>
        <v>8171</v>
      </c>
      <c r="Q18" s="163">
        <f t="shared" si="7"/>
        <v>7659</v>
      </c>
      <c r="R18" s="175">
        <f t="shared" si="8"/>
        <v>6974.4117500000002</v>
      </c>
      <c r="S18" s="170">
        <v>5366.9</v>
      </c>
      <c r="T18" s="106">
        <f t="shared" si="3"/>
        <v>5366.9</v>
      </c>
      <c r="V18" s="84">
        <v>100</v>
      </c>
      <c r="W18" s="193">
        <f t="shared" si="9"/>
        <v>697441.17500000005</v>
      </c>
    </row>
    <row r="19" spans="1:23" x14ac:dyDescent="0.2">
      <c r="A19" s="84">
        <v>15</v>
      </c>
      <c r="B19" s="97" t="s">
        <v>89</v>
      </c>
      <c r="C19" s="98" t="s">
        <v>26</v>
      </c>
      <c r="D19" s="134">
        <v>37241.049999999996</v>
      </c>
      <c r="E19" s="135">
        <v>54000</v>
      </c>
      <c r="F19" s="135">
        <v>24660.080000000002</v>
      </c>
      <c r="G19" s="135">
        <v>32130</v>
      </c>
      <c r="H19" s="136">
        <v>47501</v>
      </c>
      <c r="I19" s="100">
        <f t="shared" si="4"/>
        <v>39106.425999999999</v>
      </c>
      <c r="J19" s="101">
        <f t="shared" si="5"/>
        <v>11759.405589160544</v>
      </c>
      <c r="K19" s="101">
        <f t="shared" si="0"/>
        <v>50865.831589160545</v>
      </c>
      <c r="L19" s="163">
        <f t="shared" si="1"/>
        <v>27347.020410839454</v>
      </c>
      <c r="M19" s="103">
        <f t="shared" si="2"/>
        <v>37241.049999999996</v>
      </c>
      <c r="N19" s="99" t="str">
        <f t="shared" si="2"/>
        <v/>
      </c>
      <c r="O19" s="99" t="str">
        <f t="shared" si="2"/>
        <v/>
      </c>
      <c r="P19" s="101">
        <f t="shared" si="6"/>
        <v>32130</v>
      </c>
      <c r="Q19" s="163">
        <f t="shared" si="7"/>
        <v>47501</v>
      </c>
      <c r="R19" s="175">
        <f t="shared" si="8"/>
        <v>38957.35</v>
      </c>
      <c r="S19" s="170">
        <v>27132</v>
      </c>
      <c r="T19" s="106">
        <f t="shared" si="3"/>
        <v>27132</v>
      </c>
      <c r="V19" s="84">
        <v>10</v>
      </c>
      <c r="W19" s="193">
        <f t="shared" si="9"/>
        <v>389573.5</v>
      </c>
    </row>
    <row r="20" spans="1:23" x14ac:dyDescent="0.2">
      <c r="A20" s="84">
        <v>16</v>
      </c>
      <c r="B20" s="97" t="s">
        <v>103</v>
      </c>
      <c r="C20" s="98" t="s">
        <v>24</v>
      </c>
      <c r="D20" s="134">
        <v>69020</v>
      </c>
      <c r="E20" s="135">
        <v>12000</v>
      </c>
      <c r="F20" s="135">
        <v>3895.7980000000002</v>
      </c>
      <c r="G20" s="135">
        <v>3801</v>
      </c>
      <c r="H20" s="136">
        <v>18600</v>
      </c>
      <c r="I20" s="100">
        <f t="shared" si="4"/>
        <v>21463.3596</v>
      </c>
      <c r="J20" s="101">
        <f t="shared" si="5"/>
        <v>27294.533410841828</v>
      </c>
      <c r="K20" s="101">
        <f t="shared" si="0"/>
        <v>48757.893010841828</v>
      </c>
      <c r="L20" s="163">
        <f t="shared" si="1"/>
        <v>-5831.1738108418285</v>
      </c>
      <c r="M20" s="103" t="str">
        <f t="shared" si="2"/>
        <v/>
      </c>
      <c r="N20" s="99">
        <f t="shared" si="2"/>
        <v>12000</v>
      </c>
      <c r="O20" s="99">
        <f t="shared" si="2"/>
        <v>3895.7980000000002</v>
      </c>
      <c r="P20" s="101">
        <f t="shared" si="6"/>
        <v>3801</v>
      </c>
      <c r="Q20" s="163">
        <f t="shared" si="7"/>
        <v>18600</v>
      </c>
      <c r="R20" s="175">
        <f t="shared" si="8"/>
        <v>9574.1995000000006</v>
      </c>
      <c r="S20" s="166"/>
      <c r="T20" s="106">
        <f t="shared" si="3"/>
        <v>9574.1995000000006</v>
      </c>
      <c r="V20" s="84">
        <v>5</v>
      </c>
      <c r="W20" s="193">
        <f t="shared" si="9"/>
        <v>47870.997500000005</v>
      </c>
    </row>
    <row r="21" spans="1:23" x14ac:dyDescent="0.2">
      <c r="A21" s="84">
        <v>17</v>
      </c>
      <c r="B21" s="97" t="s">
        <v>14</v>
      </c>
      <c r="C21" s="98" t="s">
        <v>27</v>
      </c>
      <c r="D21" s="134">
        <v>714</v>
      </c>
      <c r="E21" s="140"/>
      <c r="F21" s="135">
        <v>726.47</v>
      </c>
      <c r="G21" s="135">
        <v>1297</v>
      </c>
      <c r="H21" s="136">
        <v>927</v>
      </c>
      <c r="I21" s="100">
        <f t="shared" si="4"/>
        <v>916.11750000000006</v>
      </c>
      <c r="J21" s="101">
        <f t="shared" si="5"/>
        <v>272.03404546428851</v>
      </c>
      <c r="K21" s="101">
        <f t="shared" si="0"/>
        <v>1188.1515454642886</v>
      </c>
      <c r="L21" s="163">
        <f t="shared" si="1"/>
        <v>644.08345453571155</v>
      </c>
      <c r="M21" s="103">
        <f t="shared" si="2"/>
        <v>714</v>
      </c>
      <c r="N21" s="99" t="str">
        <f t="shared" si="2"/>
        <v/>
      </c>
      <c r="O21" s="99">
        <f t="shared" si="2"/>
        <v>726.47</v>
      </c>
      <c r="P21" s="101" t="str">
        <f t="shared" si="6"/>
        <v/>
      </c>
      <c r="Q21" s="163">
        <f t="shared" si="7"/>
        <v>927</v>
      </c>
      <c r="R21" s="175">
        <f t="shared" si="8"/>
        <v>789.15666666666675</v>
      </c>
      <c r="S21" s="166"/>
      <c r="T21" s="106">
        <f t="shared" si="3"/>
        <v>789.15666666666675</v>
      </c>
      <c r="V21" s="84">
        <v>200</v>
      </c>
      <c r="W21" s="193">
        <f t="shared" si="9"/>
        <v>157831.33333333334</v>
      </c>
    </row>
    <row r="22" spans="1:23" x14ac:dyDescent="0.2">
      <c r="A22" s="84">
        <v>18</v>
      </c>
      <c r="B22" s="97" t="s">
        <v>111</v>
      </c>
      <c r="C22" s="98" t="s">
        <v>112</v>
      </c>
      <c r="D22" s="134"/>
      <c r="E22" s="140"/>
      <c r="F22" s="135"/>
      <c r="G22" s="135">
        <v>3230</v>
      </c>
      <c r="H22" s="136">
        <v>2576</v>
      </c>
      <c r="I22" s="100">
        <f t="shared" si="4"/>
        <v>2903</v>
      </c>
      <c r="J22" s="101">
        <f t="shared" si="5"/>
        <v>462.44783489600206</v>
      </c>
      <c r="K22" s="101">
        <f t="shared" ref="K22" si="10">+I22+J22</f>
        <v>3365.447834896002</v>
      </c>
      <c r="L22" s="163">
        <f t="shared" ref="L22" si="11">+I22-J22</f>
        <v>2440.552165103998</v>
      </c>
      <c r="M22" s="103" t="str">
        <f t="shared" ref="M22" si="12">IF(AND(D22&lt;=$K22,D22&gt;=$L22),D22,"")</f>
        <v/>
      </c>
      <c r="N22" s="99" t="str">
        <f t="shared" ref="N22" si="13">IF(AND(E22&lt;=$K22,E22&gt;=$L22),E22,"")</f>
        <v/>
      </c>
      <c r="O22" s="99" t="str">
        <f t="shared" ref="O22" si="14">IF(AND(F22&lt;=$K22,F22&gt;=$L22),F22,"")</f>
        <v/>
      </c>
      <c r="P22" s="101">
        <f t="shared" ref="P22" si="15">IF(AND(G22&lt;=$K22,G22&gt;=$L22),G22,"")</f>
        <v>3230</v>
      </c>
      <c r="Q22" s="163">
        <f t="shared" ref="Q22" si="16">IF(AND(H22&lt;=$K22,H22&gt;=$L22),H22,"")</f>
        <v>2576</v>
      </c>
      <c r="R22" s="175">
        <f t="shared" si="8"/>
        <v>2903</v>
      </c>
      <c r="S22" s="170">
        <v>1582.7</v>
      </c>
      <c r="T22" s="106">
        <f t="shared" si="3"/>
        <v>1582.7</v>
      </c>
      <c r="V22" s="84">
        <v>50</v>
      </c>
      <c r="W22" s="193">
        <f t="shared" si="9"/>
        <v>145150</v>
      </c>
    </row>
    <row r="23" spans="1:23" x14ac:dyDescent="0.2">
      <c r="A23" s="84">
        <v>19</v>
      </c>
      <c r="B23" s="97" t="s">
        <v>78</v>
      </c>
      <c r="C23" s="98" t="s">
        <v>50</v>
      </c>
      <c r="D23" s="134">
        <v>58905</v>
      </c>
      <c r="E23" s="135">
        <v>3300</v>
      </c>
      <c r="F23" s="135">
        <v>3943.6974999999998</v>
      </c>
      <c r="G23" s="135">
        <v>5676</v>
      </c>
      <c r="H23" s="136">
        <v>3978</v>
      </c>
      <c r="I23" s="100">
        <f t="shared" si="4"/>
        <v>15160.539499999999</v>
      </c>
      <c r="J23" s="101">
        <f t="shared" si="5"/>
        <v>24469.743793694517</v>
      </c>
      <c r="K23" s="101">
        <f t="shared" ref="K23:K49" si="17">+I23+J23</f>
        <v>39630.28329369452</v>
      </c>
      <c r="L23" s="163">
        <f t="shared" ref="L23:L49" si="18">+I23-J23</f>
        <v>-9309.2042936945181</v>
      </c>
      <c r="M23" s="103" t="str">
        <f t="shared" ref="M23:O49" si="19">IF(AND(D23&lt;=$K23,D23&gt;=$L23),D23,"")</f>
        <v/>
      </c>
      <c r="N23" s="99">
        <f t="shared" si="19"/>
        <v>3300</v>
      </c>
      <c r="O23" s="99">
        <f t="shared" si="19"/>
        <v>3943.6974999999998</v>
      </c>
      <c r="P23" s="101">
        <f t="shared" si="6"/>
        <v>5676</v>
      </c>
      <c r="Q23" s="163">
        <f t="shared" si="7"/>
        <v>3978</v>
      </c>
      <c r="R23" s="175">
        <f t="shared" si="8"/>
        <v>4224.4243750000005</v>
      </c>
      <c r="S23" s="166"/>
      <c r="T23" s="106">
        <f t="shared" si="3"/>
        <v>4224.4243750000005</v>
      </c>
      <c r="V23" s="84">
        <v>50</v>
      </c>
      <c r="W23" s="193">
        <f t="shared" si="9"/>
        <v>211221.21875000003</v>
      </c>
    </row>
    <row r="24" spans="1:23" x14ac:dyDescent="0.2">
      <c r="A24" s="84">
        <v>20</v>
      </c>
      <c r="B24" s="97" t="s">
        <v>13</v>
      </c>
      <c r="C24" s="98" t="s">
        <v>24</v>
      </c>
      <c r="D24" s="134">
        <v>17017</v>
      </c>
      <c r="E24" s="135">
        <v>8400</v>
      </c>
      <c r="F24" s="135">
        <v>19047.900000000001</v>
      </c>
      <c r="G24" s="135">
        <v>12495</v>
      </c>
      <c r="H24" s="136">
        <v>9900</v>
      </c>
      <c r="I24" s="100">
        <f t="shared" si="4"/>
        <v>13371.98</v>
      </c>
      <c r="J24" s="101">
        <f t="shared" si="5"/>
        <v>4556.4943434618735</v>
      </c>
      <c r="K24" s="101">
        <f t="shared" si="17"/>
        <v>17928.474343461872</v>
      </c>
      <c r="L24" s="163">
        <f t="shared" si="18"/>
        <v>8815.4856565381269</v>
      </c>
      <c r="M24" s="103">
        <f t="shared" si="19"/>
        <v>17017</v>
      </c>
      <c r="N24" s="99" t="str">
        <f t="shared" si="19"/>
        <v/>
      </c>
      <c r="O24" s="99" t="str">
        <f t="shared" si="19"/>
        <v/>
      </c>
      <c r="P24" s="101">
        <f t="shared" si="6"/>
        <v>12495</v>
      </c>
      <c r="Q24" s="163">
        <f t="shared" si="7"/>
        <v>9900</v>
      </c>
      <c r="R24" s="175">
        <f t="shared" si="8"/>
        <v>13137.333333333334</v>
      </c>
      <c r="S24" s="170">
        <v>7259</v>
      </c>
      <c r="T24" s="106">
        <f t="shared" si="3"/>
        <v>7259</v>
      </c>
      <c r="V24" s="84">
        <v>10</v>
      </c>
      <c r="W24" s="193">
        <f t="shared" si="9"/>
        <v>131373.33333333334</v>
      </c>
    </row>
    <row r="25" spans="1:23" x14ac:dyDescent="0.2">
      <c r="A25" s="84">
        <v>21</v>
      </c>
      <c r="B25" s="97" t="s">
        <v>12</v>
      </c>
      <c r="C25" s="98" t="s">
        <v>30</v>
      </c>
      <c r="D25" s="134">
        <v>16065</v>
      </c>
      <c r="E25" s="135">
        <v>1100</v>
      </c>
      <c r="F25" s="135"/>
      <c r="G25" s="135"/>
      <c r="H25" s="136"/>
      <c r="I25" s="100">
        <f t="shared" si="4"/>
        <v>8582.5</v>
      </c>
      <c r="J25" s="101">
        <f t="shared" si="5"/>
        <v>10581.852980456684</v>
      </c>
      <c r="K25" s="101">
        <f t="shared" si="17"/>
        <v>19164.352980456686</v>
      </c>
      <c r="L25" s="163">
        <f t="shared" si="18"/>
        <v>-1999.3529804566842</v>
      </c>
      <c r="M25" s="103">
        <f t="shared" si="19"/>
        <v>16065</v>
      </c>
      <c r="N25" s="99">
        <f t="shared" si="19"/>
        <v>1100</v>
      </c>
      <c r="O25" s="99">
        <f t="shared" si="19"/>
        <v>0</v>
      </c>
      <c r="P25" s="101">
        <f t="shared" si="6"/>
        <v>0</v>
      </c>
      <c r="Q25" s="163">
        <f t="shared" si="7"/>
        <v>0</v>
      </c>
      <c r="R25" s="175">
        <f t="shared" si="8"/>
        <v>3433</v>
      </c>
      <c r="S25" s="166"/>
      <c r="T25" s="106">
        <f t="shared" si="3"/>
        <v>3433</v>
      </c>
      <c r="V25" s="84">
        <v>20</v>
      </c>
      <c r="W25" s="193">
        <f t="shared" si="9"/>
        <v>68660</v>
      </c>
    </row>
    <row r="26" spans="1:23" x14ac:dyDescent="0.2">
      <c r="A26" s="84">
        <v>22</v>
      </c>
      <c r="B26" s="97" t="s">
        <v>79</v>
      </c>
      <c r="C26" s="98" t="s">
        <v>24</v>
      </c>
      <c r="D26" s="134">
        <v>1505.35</v>
      </c>
      <c r="E26" s="135">
        <v>1100</v>
      </c>
      <c r="F26" s="135">
        <v>1532.77</v>
      </c>
      <c r="G26" s="135">
        <v>1535</v>
      </c>
      <c r="H26" s="136">
        <v>1497</v>
      </c>
      <c r="I26" s="100">
        <f t="shared" si="4"/>
        <v>1434.0239999999999</v>
      </c>
      <c r="J26" s="101">
        <f t="shared" si="5"/>
        <v>187.46488505850945</v>
      </c>
      <c r="K26" s="101">
        <f t="shared" si="17"/>
        <v>1621.4888850585094</v>
      </c>
      <c r="L26" s="163">
        <f t="shared" si="18"/>
        <v>1246.5591149414904</v>
      </c>
      <c r="M26" s="103">
        <f t="shared" si="19"/>
        <v>1505.35</v>
      </c>
      <c r="N26" s="99" t="str">
        <f t="shared" si="19"/>
        <v/>
      </c>
      <c r="O26" s="99">
        <f t="shared" si="19"/>
        <v>1532.77</v>
      </c>
      <c r="P26" s="101">
        <f t="shared" si="6"/>
        <v>1535</v>
      </c>
      <c r="Q26" s="163">
        <f t="shared" si="7"/>
        <v>1497</v>
      </c>
      <c r="R26" s="175">
        <f t="shared" si="8"/>
        <v>1517.53</v>
      </c>
      <c r="S26" s="170">
        <v>969.85</v>
      </c>
      <c r="T26" s="106">
        <f t="shared" si="3"/>
        <v>969.85</v>
      </c>
      <c r="V26" s="84">
        <v>348</v>
      </c>
      <c r="W26" s="193">
        <f t="shared" si="9"/>
        <v>528100.43999999994</v>
      </c>
    </row>
    <row r="27" spans="1:23" x14ac:dyDescent="0.2">
      <c r="A27" s="84">
        <v>23</v>
      </c>
      <c r="B27" s="97" t="s">
        <v>73</v>
      </c>
      <c r="C27" s="98" t="s">
        <v>24</v>
      </c>
      <c r="D27" s="134">
        <v>29750</v>
      </c>
      <c r="E27" s="135">
        <v>27500</v>
      </c>
      <c r="F27" s="135">
        <v>33991.639000000003</v>
      </c>
      <c r="G27" s="135">
        <v>64022</v>
      </c>
      <c r="H27" s="136">
        <v>39900</v>
      </c>
      <c r="I27" s="100">
        <f t="shared" si="4"/>
        <v>39032.727800000001</v>
      </c>
      <c r="J27" s="101">
        <f t="shared" si="5"/>
        <v>14746.197038235463</v>
      </c>
      <c r="K27" s="101">
        <f t="shared" si="17"/>
        <v>53778.924838235464</v>
      </c>
      <c r="L27" s="163">
        <f t="shared" si="18"/>
        <v>24286.530761764538</v>
      </c>
      <c r="M27" s="103">
        <f t="shared" si="19"/>
        <v>29750</v>
      </c>
      <c r="N27" s="99">
        <f t="shared" si="19"/>
        <v>27500</v>
      </c>
      <c r="O27" s="99">
        <f t="shared" si="19"/>
        <v>33991.639000000003</v>
      </c>
      <c r="P27" s="101" t="str">
        <f t="shared" si="6"/>
        <v/>
      </c>
      <c r="Q27" s="163">
        <f t="shared" si="7"/>
        <v>39900</v>
      </c>
      <c r="R27" s="175">
        <f t="shared" si="8"/>
        <v>32785.409749999999</v>
      </c>
      <c r="S27" s="166"/>
      <c r="T27" s="106">
        <f t="shared" si="3"/>
        <v>32785.409749999999</v>
      </c>
      <c r="V27" s="84">
        <v>30</v>
      </c>
      <c r="W27" s="193">
        <f t="shared" si="9"/>
        <v>983562.29249999998</v>
      </c>
    </row>
    <row r="28" spans="1:23" x14ac:dyDescent="0.2">
      <c r="A28" s="84">
        <v>24</v>
      </c>
      <c r="B28" s="97" t="s">
        <v>70</v>
      </c>
      <c r="C28" s="98" t="s">
        <v>29</v>
      </c>
      <c r="D28" s="134">
        <v>1582.6999999999998</v>
      </c>
      <c r="E28" s="135">
        <v>1550</v>
      </c>
      <c r="F28" s="135">
        <v>1486.4705999999999</v>
      </c>
      <c r="G28" s="135">
        <v>1833</v>
      </c>
      <c r="H28" s="136">
        <v>1979</v>
      </c>
      <c r="I28" s="100">
        <f t="shared" si="4"/>
        <v>1686.2341199999998</v>
      </c>
      <c r="J28" s="101">
        <f t="shared" si="5"/>
        <v>210.02178303897969</v>
      </c>
      <c r="K28" s="101">
        <f t="shared" si="17"/>
        <v>1896.2559030389796</v>
      </c>
      <c r="L28" s="163">
        <f t="shared" si="18"/>
        <v>1476.2123369610201</v>
      </c>
      <c r="M28" s="103">
        <f t="shared" si="19"/>
        <v>1582.6999999999998</v>
      </c>
      <c r="N28" s="99">
        <f t="shared" si="19"/>
        <v>1550</v>
      </c>
      <c r="O28" s="99">
        <f t="shared" si="19"/>
        <v>1486.4705999999999</v>
      </c>
      <c r="P28" s="101">
        <f t="shared" si="6"/>
        <v>1833</v>
      </c>
      <c r="Q28" s="163" t="str">
        <f t="shared" si="7"/>
        <v/>
      </c>
      <c r="R28" s="175">
        <f t="shared" si="8"/>
        <v>1613.0426499999999</v>
      </c>
      <c r="S28" s="166"/>
      <c r="T28" s="106">
        <f t="shared" si="3"/>
        <v>1613.0426499999999</v>
      </c>
      <c r="V28" s="84">
        <v>150</v>
      </c>
      <c r="W28" s="193">
        <f t="shared" si="9"/>
        <v>241956.39749999999</v>
      </c>
    </row>
    <row r="29" spans="1:23" x14ac:dyDescent="0.2">
      <c r="A29" s="84">
        <v>25</v>
      </c>
      <c r="B29" s="97" t="s">
        <v>121</v>
      </c>
      <c r="C29" s="98" t="s">
        <v>41</v>
      </c>
      <c r="D29" s="134">
        <v>8925</v>
      </c>
      <c r="E29" s="135">
        <v>4000</v>
      </c>
      <c r="F29" s="135"/>
      <c r="G29" s="135"/>
      <c r="H29" s="136"/>
      <c r="I29" s="100">
        <f t="shared" si="4"/>
        <v>6462.5</v>
      </c>
      <c r="J29" s="101">
        <f t="shared" si="5"/>
        <v>3482.5008973437466</v>
      </c>
      <c r="K29" s="101">
        <f t="shared" si="17"/>
        <v>9945.0008973437471</v>
      </c>
      <c r="L29" s="163">
        <f t="shared" si="18"/>
        <v>2979.9991026562534</v>
      </c>
      <c r="M29" s="103">
        <f t="shared" si="19"/>
        <v>8925</v>
      </c>
      <c r="N29" s="99">
        <f t="shared" si="19"/>
        <v>4000</v>
      </c>
      <c r="O29" s="99" t="str">
        <f t="shared" si="19"/>
        <v/>
      </c>
      <c r="P29" s="101" t="str">
        <f t="shared" si="6"/>
        <v/>
      </c>
      <c r="Q29" s="163" t="str">
        <f t="shared" si="7"/>
        <v/>
      </c>
      <c r="R29" s="175">
        <f t="shared" si="8"/>
        <v>6462.5</v>
      </c>
      <c r="S29" s="166"/>
      <c r="T29" s="106">
        <f t="shared" si="3"/>
        <v>6462.5</v>
      </c>
      <c r="V29" s="84">
        <v>10</v>
      </c>
      <c r="W29" s="193">
        <f t="shared" si="9"/>
        <v>64625</v>
      </c>
    </row>
    <row r="30" spans="1:23" ht="25.5" x14ac:dyDescent="0.2">
      <c r="A30" s="84">
        <v>26</v>
      </c>
      <c r="B30" s="97" t="s">
        <v>53</v>
      </c>
      <c r="C30" s="98" t="s">
        <v>24</v>
      </c>
      <c r="D30" s="134">
        <v>3629.5</v>
      </c>
      <c r="E30" s="135">
        <v>1850</v>
      </c>
      <c r="F30" s="135">
        <v>1372.7102</v>
      </c>
      <c r="G30" s="135">
        <v>1785</v>
      </c>
      <c r="H30" s="136">
        <v>1446</v>
      </c>
      <c r="I30" s="100">
        <f t="shared" si="4"/>
        <v>2016.64204</v>
      </c>
      <c r="J30" s="101">
        <f t="shared" si="5"/>
        <v>925.07012649139654</v>
      </c>
      <c r="K30" s="101">
        <f t="shared" si="17"/>
        <v>2941.7121664913966</v>
      </c>
      <c r="L30" s="163">
        <f t="shared" si="18"/>
        <v>1091.5719135086033</v>
      </c>
      <c r="M30" s="103" t="str">
        <f t="shared" si="19"/>
        <v/>
      </c>
      <c r="N30" s="99">
        <f t="shared" si="19"/>
        <v>1850</v>
      </c>
      <c r="O30" s="99">
        <f t="shared" si="19"/>
        <v>1372.7102</v>
      </c>
      <c r="P30" s="101">
        <f t="shared" si="6"/>
        <v>1785</v>
      </c>
      <c r="Q30" s="163">
        <f t="shared" si="7"/>
        <v>1446</v>
      </c>
      <c r="R30" s="175">
        <f t="shared" si="8"/>
        <v>1613.4275499999999</v>
      </c>
      <c r="S30" s="170">
        <v>1178.0999999999999</v>
      </c>
      <c r="T30" s="106">
        <f t="shared" si="3"/>
        <v>1178.0999999999999</v>
      </c>
      <c r="V30" s="84">
        <v>200</v>
      </c>
      <c r="W30" s="193">
        <f t="shared" si="9"/>
        <v>322685.50999999995</v>
      </c>
    </row>
    <row r="31" spans="1:23" x14ac:dyDescent="0.2">
      <c r="A31" s="84">
        <v>27</v>
      </c>
      <c r="B31" s="97" t="s">
        <v>56</v>
      </c>
      <c r="C31" s="98" t="s">
        <v>36</v>
      </c>
      <c r="D31" s="134">
        <v>104720</v>
      </c>
      <c r="E31" s="135">
        <f>8650*10</f>
        <v>86500</v>
      </c>
      <c r="F31" s="135">
        <f>8319.33*10</f>
        <v>83193.3</v>
      </c>
      <c r="G31" s="135">
        <v>18564</v>
      </c>
      <c r="H31" s="136">
        <f>14490*10</f>
        <v>144900</v>
      </c>
      <c r="I31" s="100">
        <f t="shared" si="4"/>
        <v>87575.459999999992</v>
      </c>
      <c r="J31" s="101">
        <f t="shared" si="5"/>
        <v>45724.664268401146</v>
      </c>
      <c r="K31" s="101">
        <f t="shared" si="17"/>
        <v>133300.12426840112</v>
      </c>
      <c r="L31" s="163">
        <f t="shared" si="18"/>
        <v>41850.795731598846</v>
      </c>
      <c r="M31" s="103">
        <f t="shared" si="19"/>
        <v>104720</v>
      </c>
      <c r="N31" s="99">
        <f t="shared" si="19"/>
        <v>86500</v>
      </c>
      <c r="O31" s="99">
        <f t="shared" si="19"/>
        <v>83193.3</v>
      </c>
      <c r="P31" s="101" t="str">
        <f t="shared" si="6"/>
        <v/>
      </c>
      <c r="Q31" s="163" t="str">
        <f t="shared" si="7"/>
        <v/>
      </c>
      <c r="R31" s="175">
        <f t="shared" si="8"/>
        <v>91471.099999999991</v>
      </c>
      <c r="S31" s="166">
        <v>92939</v>
      </c>
      <c r="T31" s="106">
        <f t="shared" si="3"/>
        <v>91471.099999999991</v>
      </c>
      <c r="V31" s="84">
        <v>10</v>
      </c>
      <c r="W31" s="193">
        <f t="shared" si="9"/>
        <v>914710.99999999988</v>
      </c>
    </row>
    <row r="32" spans="1:23" x14ac:dyDescent="0.2">
      <c r="A32" s="84">
        <v>28</v>
      </c>
      <c r="B32" s="97" t="s">
        <v>57</v>
      </c>
      <c r="C32" s="98" t="s">
        <v>36</v>
      </c>
      <c r="D32" s="134">
        <v>123165</v>
      </c>
      <c r="E32" s="135">
        <f>11400*10</f>
        <v>114000</v>
      </c>
      <c r="F32" s="135">
        <f>13084.03*10</f>
        <v>130840.3</v>
      </c>
      <c r="G32" s="135">
        <v>23324</v>
      </c>
      <c r="H32" s="136">
        <f>16250*10</f>
        <v>162500</v>
      </c>
      <c r="I32" s="100">
        <f t="shared" si="4"/>
        <v>110765.86000000002</v>
      </c>
      <c r="J32" s="101">
        <f t="shared" si="5"/>
        <v>52176.818601252373</v>
      </c>
      <c r="K32" s="101">
        <f t="shared" si="17"/>
        <v>162942.67860125238</v>
      </c>
      <c r="L32" s="163">
        <f t="shared" si="18"/>
        <v>58589.041398747642</v>
      </c>
      <c r="M32" s="103">
        <f t="shared" si="19"/>
        <v>123165</v>
      </c>
      <c r="N32" s="99">
        <f t="shared" si="19"/>
        <v>114000</v>
      </c>
      <c r="O32" s="99">
        <f t="shared" si="19"/>
        <v>130840.3</v>
      </c>
      <c r="P32" s="101" t="str">
        <f t="shared" si="6"/>
        <v/>
      </c>
      <c r="Q32" s="163">
        <f t="shared" si="7"/>
        <v>162500</v>
      </c>
      <c r="R32" s="175">
        <f t="shared" si="8"/>
        <v>132626.32500000001</v>
      </c>
      <c r="S32" s="170">
        <v>121796.5</v>
      </c>
      <c r="T32" s="106">
        <f t="shared" si="3"/>
        <v>121796.5</v>
      </c>
      <c r="V32" s="84">
        <v>10</v>
      </c>
      <c r="W32" s="193">
        <f t="shared" si="9"/>
        <v>1326263.25</v>
      </c>
    </row>
    <row r="33" spans="1:23" x14ac:dyDescent="0.2">
      <c r="A33" s="84">
        <v>29</v>
      </c>
      <c r="B33" s="97" t="s">
        <v>18</v>
      </c>
      <c r="C33" s="98" t="s">
        <v>104</v>
      </c>
      <c r="D33" s="134">
        <v>1570.8</v>
      </c>
      <c r="E33" s="135">
        <v>8500</v>
      </c>
      <c r="F33" s="135"/>
      <c r="G33" s="135">
        <v>22610</v>
      </c>
      <c r="H33" s="136">
        <v>7500</v>
      </c>
      <c r="I33" s="100">
        <f t="shared" si="4"/>
        <v>10045.200000000001</v>
      </c>
      <c r="J33" s="101">
        <f t="shared" si="5"/>
        <v>8917.3116367359635</v>
      </c>
      <c r="K33" s="101">
        <f t="shared" si="17"/>
        <v>18962.511636735966</v>
      </c>
      <c r="L33" s="163">
        <f t="shared" si="18"/>
        <v>1127.8883632640373</v>
      </c>
      <c r="M33" s="103">
        <f t="shared" si="19"/>
        <v>1570.8</v>
      </c>
      <c r="N33" s="99">
        <f t="shared" si="19"/>
        <v>8500</v>
      </c>
      <c r="O33" s="99" t="str">
        <f t="shared" si="19"/>
        <v/>
      </c>
      <c r="P33" s="101" t="str">
        <f t="shared" si="6"/>
        <v/>
      </c>
      <c r="Q33" s="163">
        <f t="shared" si="7"/>
        <v>7500</v>
      </c>
      <c r="R33" s="175">
        <f t="shared" si="8"/>
        <v>5856.9333333333334</v>
      </c>
      <c r="S33" s="166"/>
      <c r="T33" s="106">
        <f t="shared" si="3"/>
        <v>5856.9333333333334</v>
      </c>
      <c r="V33" s="84">
        <v>100</v>
      </c>
      <c r="W33" s="193">
        <f t="shared" si="9"/>
        <v>585693.33333333337</v>
      </c>
    </row>
    <row r="34" spans="1:23" x14ac:dyDescent="0.2">
      <c r="A34" s="84">
        <v>30</v>
      </c>
      <c r="B34" s="97" t="s">
        <v>59</v>
      </c>
      <c r="C34" s="98" t="s">
        <v>40</v>
      </c>
      <c r="D34" s="134">
        <v>10710</v>
      </c>
      <c r="E34" s="135">
        <v>22500</v>
      </c>
      <c r="F34" s="135"/>
      <c r="G34" s="135"/>
      <c r="H34" s="136"/>
      <c r="I34" s="100">
        <f t="shared" si="4"/>
        <v>16605</v>
      </c>
      <c r="J34" s="101">
        <f t="shared" si="5"/>
        <v>8336.7889501893951</v>
      </c>
      <c r="K34" s="101">
        <f t="shared" si="17"/>
        <v>24941.788950189395</v>
      </c>
      <c r="L34" s="163">
        <f t="shared" si="18"/>
        <v>8268.2110498106049</v>
      </c>
      <c r="M34" s="103">
        <f t="shared" si="19"/>
        <v>10710</v>
      </c>
      <c r="N34" s="99">
        <f t="shared" si="19"/>
        <v>22500</v>
      </c>
      <c r="O34" s="99" t="str">
        <f t="shared" si="19"/>
        <v/>
      </c>
      <c r="P34" s="101" t="str">
        <f t="shared" si="6"/>
        <v/>
      </c>
      <c r="Q34" s="163" t="str">
        <f t="shared" si="7"/>
        <v/>
      </c>
      <c r="R34" s="175">
        <f t="shared" si="8"/>
        <v>16605</v>
      </c>
      <c r="S34" s="166"/>
      <c r="T34" s="106">
        <f t="shared" si="3"/>
        <v>16605</v>
      </c>
      <c r="V34" s="84">
        <v>60</v>
      </c>
      <c r="W34" s="193">
        <f t="shared" si="9"/>
        <v>996300</v>
      </c>
    </row>
    <row r="35" spans="1:23" x14ac:dyDescent="0.2">
      <c r="A35" s="84">
        <v>31</v>
      </c>
      <c r="B35" s="97" t="s">
        <v>60</v>
      </c>
      <c r="C35" s="98" t="s">
        <v>40</v>
      </c>
      <c r="D35" s="134">
        <v>11305</v>
      </c>
      <c r="E35" s="135">
        <v>24500</v>
      </c>
      <c r="F35" s="135"/>
      <c r="G35" s="135"/>
      <c r="H35" s="136"/>
      <c r="I35" s="100">
        <f t="shared" si="4"/>
        <v>17902.5</v>
      </c>
      <c r="J35" s="101">
        <f t="shared" si="5"/>
        <v>9330.2739777564948</v>
      </c>
      <c r="K35" s="101">
        <f t="shared" si="17"/>
        <v>27232.773977756493</v>
      </c>
      <c r="L35" s="163">
        <f t="shared" si="18"/>
        <v>8572.2260222435052</v>
      </c>
      <c r="M35" s="103">
        <f t="shared" si="19"/>
        <v>11305</v>
      </c>
      <c r="N35" s="99">
        <f t="shared" si="19"/>
        <v>24500</v>
      </c>
      <c r="O35" s="99" t="str">
        <f t="shared" si="19"/>
        <v/>
      </c>
      <c r="P35" s="101" t="str">
        <f t="shared" si="6"/>
        <v/>
      </c>
      <c r="Q35" s="163" t="str">
        <f t="shared" si="7"/>
        <v/>
      </c>
      <c r="R35" s="175">
        <f t="shared" si="8"/>
        <v>17902.5</v>
      </c>
      <c r="S35" s="166"/>
      <c r="T35" s="106">
        <f t="shared" si="3"/>
        <v>17902.5</v>
      </c>
      <c r="V35" s="84">
        <v>60</v>
      </c>
      <c r="W35" s="193">
        <f t="shared" si="9"/>
        <v>1074150</v>
      </c>
    </row>
    <row r="36" spans="1:23" x14ac:dyDescent="0.2">
      <c r="A36" s="84">
        <v>32</v>
      </c>
      <c r="B36" s="97" t="s">
        <v>80</v>
      </c>
      <c r="C36" s="98" t="s">
        <v>24</v>
      </c>
      <c r="D36" s="134">
        <v>3677.1</v>
      </c>
      <c r="E36" s="135">
        <v>2900</v>
      </c>
      <c r="F36" s="135">
        <v>3541.7440000000001</v>
      </c>
      <c r="G36" s="135">
        <v>2523</v>
      </c>
      <c r="H36" s="136">
        <v>2790</v>
      </c>
      <c r="I36" s="100">
        <f t="shared" si="4"/>
        <v>3086.3688000000002</v>
      </c>
      <c r="J36" s="101">
        <f t="shared" si="5"/>
        <v>499.06966534462748</v>
      </c>
      <c r="K36" s="101">
        <f t="shared" si="17"/>
        <v>3585.4384653446277</v>
      </c>
      <c r="L36" s="163">
        <f t="shared" si="18"/>
        <v>2587.2991346553727</v>
      </c>
      <c r="M36" s="103" t="str">
        <f t="shared" si="19"/>
        <v/>
      </c>
      <c r="N36" s="99">
        <f t="shared" si="19"/>
        <v>2900</v>
      </c>
      <c r="O36" s="99">
        <f t="shared" si="19"/>
        <v>3541.7440000000001</v>
      </c>
      <c r="P36" s="101" t="str">
        <f t="shared" si="6"/>
        <v/>
      </c>
      <c r="Q36" s="163">
        <f t="shared" si="7"/>
        <v>2790</v>
      </c>
      <c r="R36" s="175">
        <f t="shared" si="8"/>
        <v>3077.248</v>
      </c>
      <c r="S36" s="170">
        <v>2261</v>
      </c>
      <c r="T36" s="106">
        <f t="shared" si="3"/>
        <v>2261</v>
      </c>
      <c r="V36" s="84">
        <v>100</v>
      </c>
      <c r="W36" s="193">
        <f t="shared" si="9"/>
        <v>307724.79999999999</v>
      </c>
    </row>
    <row r="37" spans="1:23" x14ac:dyDescent="0.2">
      <c r="A37" s="84">
        <v>33</v>
      </c>
      <c r="B37" s="97" t="s">
        <v>62</v>
      </c>
      <c r="C37" s="98" t="s">
        <v>52</v>
      </c>
      <c r="D37" s="134">
        <v>43982.400000000001</v>
      </c>
      <c r="E37" s="135">
        <f>90*200</f>
        <v>18000</v>
      </c>
      <c r="F37" s="135">
        <v>42470.584999999999</v>
      </c>
      <c r="G37" s="135">
        <v>9801</v>
      </c>
      <c r="H37" s="136">
        <v>42900</v>
      </c>
      <c r="I37" s="100">
        <f t="shared" si="4"/>
        <v>31430.796999999999</v>
      </c>
      <c r="J37" s="101">
        <f t="shared" si="5"/>
        <v>16272.651141763748</v>
      </c>
      <c r="K37" s="101">
        <f t="shared" si="17"/>
        <v>47703.448141763743</v>
      </c>
      <c r="L37" s="163">
        <f t="shared" si="18"/>
        <v>15158.14585823625</v>
      </c>
      <c r="M37" s="103">
        <f t="shared" si="19"/>
        <v>43982.400000000001</v>
      </c>
      <c r="N37" s="99">
        <f t="shared" si="19"/>
        <v>18000</v>
      </c>
      <c r="O37" s="99">
        <f t="shared" si="19"/>
        <v>42470.584999999999</v>
      </c>
      <c r="P37" s="101" t="str">
        <f t="shared" si="6"/>
        <v/>
      </c>
      <c r="Q37" s="163">
        <f t="shared" si="7"/>
        <v>42900</v>
      </c>
      <c r="R37" s="175">
        <f t="shared" si="8"/>
        <v>36838.246249999997</v>
      </c>
      <c r="S37" s="170">
        <f>17067*2</f>
        <v>34134</v>
      </c>
      <c r="T37" s="106">
        <f t="shared" si="3"/>
        <v>34134</v>
      </c>
      <c r="V37" s="84">
        <v>2</v>
      </c>
      <c r="W37" s="193">
        <f t="shared" si="9"/>
        <v>73676.492499999993</v>
      </c>
    </row>
    <row r="38" spans="1:23" x14ac:dyDescent="0.2">
      <c r="A38" s="84">
        <v>34</v>
      </c>
      <c r="B38" s="97" t="s">
        <v>33</v>
      </c>
      <c r="C38" s="98" t="s">
        <v>24</v>
      </c>
      <c r="D38" s="186">
        <v>602.14</v>
      </c>
      <c r="E38" s="135">
        <v>450</v>
      </c>
      <c r="F38" s="187">
        <v>943.21600000000001</v>
      </c>
      <c r="G38" s="187">
        <v>500</v>
      </c>
      <c r="H38" s="188">
        <v>343</v>
      </c>
      <c r="I38" s="100">
        <f t="shared" si="4"/>
        <v>567.6712</v>
      </c>
      <c r="J38" s="101">
        <f t="shared" si="5"/>
        <v>229.74172765782026</v>
      </c>
      <c r="K38" s="101">
        <f t="shared" si="17"/>
        <v>797.41292765782032</v>
      </c>
      <c r="L38" s="163">
        <f t="shared" si="18"/>
        <v>337.92947234217974</v>
      </c>
      <c r="M38" s="103">
        <f t="shared" si="19"/>
        <v>602.14</v>
      </c>
      <c r="N38" s="99">
        <f t="shared" si="19"/>
        <v>450</v>
      </c>
      <c r="O38" s="99" t="str">
        <f t="shared" si="19"/>
        <v/>
      </c>
      <c r="P38" s="101">
        <f t="shared" si="6"/>
        <v>500</v>
      </c>
      <c r="Q38" s="163">
        <f t="shared" si="7"/>
        <v>343</v>
      </c>
      <c r="R38" s="175">
        <f t="shared" si="8"/>
        <v>473.78499999999997</v>
      </c>
      <c r="S38" s="172">
        <v>450</v>
      </c>
      <c r="T38" s="106">
        <f t="shared" si="3"/>
        <v>450</v>
      </c>
      <c r="V38" s="84">
        <v>30</v>
      </c>
      <c r="W38" s="193">
        <f t="shared" si="9"/>
        <v>14213.55</v>
      </c>
    </row>
    <row r="39" spans="1:23" x14ac:dyDescent="0.2">
      <c r="A39" s="84">
        <v>35</v>
      </c>
      <c r="B39" s="97" t="s">
        <v>81</v>
      </c>
      <c r="C39" s="98" t="s">
        <v>24</v>
      </c>
      <c r="D39" s="134">
        <v>916.3</v>
      </c>
      <c r="E39" s="135">
        <v>655</v>
      </c>
      <c r="F39" s="135">
        <v>934.03</v>
      </c>
      <c r="G39" s="135">
        <v>1035</v>
      </c>
      <c r="H39" s="136">
        <v>1590</v>
      </c>
      <c r="I39" s="100">
        <f t="shared" si="4"/>
        <v>1026.066</v>
      </c>
      <c r="J39" s="101">
        <f t="shared" si="5"/>
        <v>345.07627748079108</v>
      </c>
      <c r="K39" s="101">
        <f t="shared" si="17"/>
        <v>1371.1422774807911</v>
      </c>
      <c r="L39" s="163">
        <f t="shared" si="18"/>
        <v>680.98972251920895</v>
      </c>
      <c r="M39" s="103">
        <f t="shared" si="19"/>
        <v>916.3</v>
      </c>
      <c r="N39" s="99" t="str">
        <f t="shared" si="19"/>
        <v/>
      </c>
      <c r="O39" s="99">
        <f t="shared" si="19"/>
        <v>934.03</v>
      </c>
      <c r="P39" s="101">
        <f t="shared" si="6"/>
        <v>1035</v>
      </c>
      <c r="Q39" s="163" t="str">
        <f t="shared" si="7"/>
        <v/>
      </c>
      <c r="R39" s="175">
        <f t="shared" si="8"/>
        <v>961.77666666666664</v>
      </c>
      <c r="S39" s="170">
        <v>602.14</v>
      </c>
      <c r="T39" s="106">
        <f t="shared" si="3"/>
        <v>602.14</v>
      </c>
      <c r="V39" s="84">
        <v>150</v>
      </c>
      <c r="W39" s="193">
        <f t="shared" si="9"/>
        <v>144266.5</v>
      </c>
    </row>
    <row r="40" spans="1:23" x14ac:dyDescent="0.2">
      <c r="A40" s="84">
        <v>36</v>
      </c>
      <c r="B40" s="97" t="s">
        <v>15</v>
      </c>
      <c r="C40" s="98" t="s">
        <v>31</v>
      </c>
      <c r="D40" s="134">
        <v>21182</v>
      </c>
      <c r="E40" s="135">
        <v>25000</v>
      </c>
      <c r="F40" s="135">
        <v>24367.5</v>
      </c>
      <c r="G40" s="135"/>
      <c r="H40" s="136"/>
      <c r="I40" s="100">
        <f t="shared" si="4"/>
        <v>23516.5</v>
      </c>
      <c r="J40" s="101">
        <f t="shared" si="5"/>
        <v>2046.3215167710082</v>
      </c>
      <c r="K40" s="101">
        <f t="shared" si="17"/>
        <v>25562.821516771008</v>
      </c>
      <c r="L40" s="163">
        <f t="shared" si="18"/>
        <v>21470.178483228992</v>
      </c>
      <c r="M40" s="103" t="str">
        <f t="shared" si="19"/>
        <v/>
      </c>
      <c r="N40" s="99">
        <f t="shared" si="19"/>
        <v>25000</v>
      </c>
      <c r="O40" s="99">
        <f t="shared" si="19"/>
        <v>24367.5</v>
      </c>
      <c r="P40" s="101" t="str">
        <f t="shared" si="6"/>
        <v/>
      </c>
      <c r="Q40" s="163" t="str">
        <f t="shared" si="7"/>
        <v/>
      </c>
      <c r="R40" s="175">
        <f t="shared" si="8"/>
        <v>24683.75</v>
      </c>
      <c r="S40" s="166"/>
      <c r="T40" s="106">
        <f t="shared" si="3"/>
        <v>24683.75</v>
      </c>
      <c r="V40" s="84">
        <v>5</v>
      </c>
      <c r="W40" s="193">
        <f t="shared" si="9"/>
        <v>123418.75</v>
      </c>
    </row>
    <row r="41" spans="1:23" x14ac:dyDescent="0.2">
      <c r="A41" s="84">
        <v>37</v>
      </c>
      <c r="B41" s="97" t="s">
        <v>16</v>
      </c>
      <c r="C41" s="98" t="s">
        <v>31</v>
      </c>
      <c r="D41" s="134">
        <v>41650</v>
      </c>
      <c r="E41" s="135">
        <v>23000</v>
      </c>
      <c r="F41" s="135">
        <v>16245</v>
      </c>
      <c r="G41" s="135"/>
      <c r="H41" s="136"/>
      <c r="I41" s="100">
        <f t="shared" si="4"/>
        <v>26965</v>
      </c>
      <c r="J41" s="101">
        <f t="shared" si="5"/>
        <v>13158.43550730861</v>
      </c>
      <c r="K41" s="101">
        <f t="shared" si="17"/>
        <v>40123.435507308612</v>
      </c>
      <c r="L41" s="163">
        <f t="shared" si="18"/>
        <v>13806.56449269139</v>
      </c>
      <c r="M41" s="103" t="str">
        <f t="shared" si="19"/>
        <v/>
      </c>
      <c r="N41" s="99">
        <f t="shared" si="19"/>
        <v>23000</v>
      </c>
      <c r="O41" s="99">
        <f t="shared" si="19"/>
        <v>16245</v>
      </c>
      <c r="P41" s="101" t="str">
        <f t="shared" si="6"/>
        <v/>
      </c>
      <c r="Q41" s="163" t="str">
        <f t="shared" si="7"/>
        <v/>
      </c>
      <c r="R41" s="175">
        <f t="shared" si="8"/>
        <v>19622.5</v>
      </c>
      <c r="S41" s="166"/>
      <c r="T41" s="106">
        <f t="shared" si="3"/>
        <v>19622.5</v>
      </c>
      <c r="V41" s="84">
        <v>5</v>
      </c>
      <c r="W41" s="193">
        <f t="shared" si="9"/>
        <v>98112.5</v>
      </c>
    </row>
    <row r="42" spans="1:23" x14ac:dyDescent="0.2">
      <c r="A42" s="84">
        <v>38</v>
      </c>
      <c r="B42" s="97" t="s">
        <v>102</v>
      </c>
      <c r="C42" s="98" t="s">
        <v>24</v>
      </c>
      <c r="D42" s="134"/>
      <c r="E42" s="135">
        <v>3700</v>
      </c>
      <c r="F42" s="135"/>
      <c r="G42" s="135"/>
      <c r="H42" s="136">
        <v>3200</v>
      </c>
      <c r="I42" s="100">
        <f t="shared" si="4"/>
        <v>3450</v>
      </c>
      <c r="J42" s="101">
        <f t="shared" si="5"/>
        <v>353.55339059327378</v>
      </c>
      <c r="K42" s="101">
        <f t="shared" si="17"/>
        <v>3803.5533905932739</v>
      </c>
      <c r="L42" s="163">
        <f t="shared" si="18"/>
        <v>3096.4466094067261</v>
      </c>
      <c r="M42" s="103" t="str">
        <f t="shared" si="19"/>
        <v/>
      </c>
      <c r="N42" s="99">
        <f t="shared" si="19"/>
        <v>3700</v>
      </c>
      <c r="O42" s="99" t="str">
        <f t="shared" si="19"/>
        <v/>
      </c>
      <c r="P42" s="101" t="str">
        <f t="shared" si="6"/>
        <v/>
      </c>
      <c r="Q42" s="163">
        <f t="shared" si="7"/>
        <v>3200</v>
      </c>
      <c r="R42" s="175">
        <f t="shared" si="8"/>
        <v>3450</v>
      </c>
      <c r="S42" s="166"/>
      <c r="T42" s="106">
        <f t="shared" si="3"/>
        <v>3450</v>
      </c>
      <c r="V42" s="84">
        <v>100</v>
      </c>
      <c r="W42" s="193">
        <f t="shared" si="9"/>
        <v>345000</v>
      </c>
    </row>
    <row r="43" spans="1:23" x14ac:dyDescent="0.2">
      <c r="A43" s="84">
        <v>39</v>
      </c>
      <c r="B43" s="97" t="s">
        <v>98</v>
      </c>
      <c r="C43" s="98" t="s">
        <v>24</v>
      </c>
      <c r="D43" s="134">
        <v>77.349999999999994</v>
      </c>
      <c r="E43" s="135">
        <v>52</v>
      </c>
      <c r="F43" s="135">
        <v>60.756300000000003</v>
      </c>
      <c r="G43" s="135">
        <v>57</v>
      </c>
      <c r="H43" s="136">
        <v>69.5</v>
      </c>
      <c r="I43" s="100">
        <f t="shared" si="4"/>
        <v>63.321260000000009</v>
      </c>
      <c r="J43" s="101">
        <f t="shared" si="5"/>
        <v>10.120408214988071</v>
      </c>
      <c r="K43" s="101">
        <f t="shared" si="17"/>
        <v>73.441668214988084</v>
      </c>
      <c r="L43" s="163">
        <f t="shared" si="18"/>
        <v>53.200851785011935</v>
      </c>
      <c r="M43" s="103" t="str">
        <f t="shared" si="19"/>
        <v/>
      </c>
      <c r="N43" s="99" t="str">
        <f t="shared" si="19"/>
        <v/>
      </c>
      <c r="O43" s="99">
        <f t="shared" si="19"/>
        <v>60.756300000000003</v>
      </c>
      <c r="P43" s="101">
        <f t="shared" si="6"/>
        <v>57</v>
      </c>
      <c r="Q43" s="163">
        <f t="shared" si="7"/>
        <v>69.5</v>
      </c>
      <c r="R43" s="175">
        <f t="shared" si="8"/>
        <v>62.41876666666667</v>
      </c>
      <c r="S43" s="166">
        <v>58.31</v>
      </c>
      <c r="T43" s="106">
        <f t="shared" si="3"/>
        <v>58.31</v>
      </c>
      <c r="V43" s="84">
        <v>203</v>
      </c>
      <c r="W43" s="193">
        <f t="shared" si="9"/>
        <v>12671.009633333335</v>
      </c>
    </row>
    <row r="44" spans="1:23" x14ac:dyDescent="0.2">
      <c r="A44" s="84">
        <v>40</v>
      </c>
      <c r="B44" s="97" t="s">
        <v>37</v>
      </c>
      <c r="C44" s="98" t="s">
        <v>38</v>
      </c>
      <c r="D44" s="134">
        <v>8115.7999999999993</v>
      </c>
      <c r="E44" s="135">
        <v>8200</v>
      </c>
      <c r="F44" s="135">
        <v>8262.61</v>
      </c>
      <c r="G44" s="135">
        <v>9758</v>
      </c>
      <c r="H44" s="136">
        <v>7450</v>
      </c>
      <c r="I44" s="100">
        <f t="shared" si="4"/>
        <v>8357.2820000000011</v>
      </c>
      <c r="J44" s="101">
        <f t="shared" si="5"/>
        <v>848.11342320470328</v>
      </c>
      <c r="K44" s="101">
        <f t="shared" si="17"/>
        <v>9205.3954232047035</v>
      </c>
      <c r="L44" s="163">
        <f t="shared" si="18"/>
        <v>7509.1685767952977</v>
      </c>
      <c r="M44" s="103">
        <f t="shared" si="19"/>
        <v>8115.7999999999993</v>
      </c>
      <c r="N44" s="99">
        <f t="shared" si="19"/>
        <v>8200</v>
      </c>
      <c r="O44" s="99">
        <f t="shared" si="19"/>
        <v>8262.61</v>
      </c>
      <c r="P44" s="101" t="str">
        <f t="shared" si="6"/>
        <v/>
      </c>
      <c r="Q44" s="163" t="str">
        <f t="shared" si="7"/>
        <v/>
      </c>
      <c r="R44" s="175">
        <f t="shared" si="8"/>
        <v>8192.8033333333333</v>
      </c>
      <c r="S44" s="170">
        <v>6247.5</v>
      </c>
      <c r="T44" s="106">
        <f t="shared" si="3"/>
        <v>6247.5</v>
      </c>
      <c r="V44" s="84">
        <v>10</v>
      </c>
      <c r="W44" s="193">
        <f t="shared" si="9"/>
        <v>81928.033333333326</v>
      </c>
    </row>
    <row r="45" spans="1:23" x14ac:dyDescent="0.2">
      <c r="A45" s="84">
        <v>41</v>
      </c>
      <c r="B45" s="97" t="s">
        <v>51</v>
      </c>
      <c r="C45" s="98" t="s">
        <v>26</v>
      </c>
      <c r="D45" s="134">
        <v>7735</v>
      </c>
      <c r="E45" s="135">
        <v>5500</v>
      </c>
      <c r="F45" s="135">
        <v>6753.78</v>
      </c>
      <c r="G45" s="135">
        <v>7259</v>
      </c>
      <c r="H45" s="136">
        <f>122.57*150</f>
        <v>18385.5</v>
      </c>
      <c r="I45" s="100">
        <f t="shared" si="4"/>
        <v>9126.655999999999</v>
      </c>
      <c r="J45" s="101">
        <f t="shared" si="5"/>
        <v>5242.4758422600289</v>
      </c>
      <c r="K45" s="101">
        <f t="shared" si="17"/>
        <v>14369.131842260027</v>
      </c>
      <c r="L45" s="163">
        <f t="shared" si="18"/>
        <v>3884.1801577399701</v>
      </c>
      <c r="M45" s="103">
        <f t="shared" si="19"/>
        <v>7735</v>
      </c>
      <c r="N45" s="99">
        <f t="shared" si="19"/>
        <v>5500</v>
      </c>
      <c r="O45" s="99">
        <f t="shared" si="19"/>
        <v>6753.78</v>
      </c>
      <c r="P45" s="101">
        <f t="shared" si="6"/>
        <v>7259</v>
      </c>
      <c r="Q45" s="163" t="str">
        <f t="shared" si="7"/>
        <v/>
      </c>
      <c r="R45" s="175">
        <f t="shared" si="8"/>
        <v>6811.9449999999997</v>
      </c>
      <c r="S45" s="170">
        <v>4837.3500000000004</v>
      </c>
      <c r="T45" s="106">
        <f t="shared" si="3"/>
        <v>4837.3500000000004</v>
      </c>
      <c r="V45" s="84">
        <v>10</v>
      </c>
      <c r="W45" s="193">
        <f t="shared" si="9"/>
        <v>68119.45</v>
      </c>
    </row>
    <row r="46" spans="1:23" x14ac:dyDescent="0.2">
      <c r="A46" s="84">
        <v>42</v>
      </c>
      <c r="B46" s="97" t="s">
        <v>97</v>
      </c>
      <c r="C46" s="98" t="s">
        <v>45</v>
      </c>
      <c r="D46" s="134">
        <v>9597.35</v>
      </c>
      <c r="E46" s="135"/>
      <c r="F46" s="135">
        <v>9472.26</v>
      </c>
      <c r="G46" s="135">
        <v>11186</v>
      </c>
      <c r="H46" s="136">
        <f>90*100</f>
        <v>9000</v>
      </c>
      <c r="I46" s="100">
        <f t="shared" si="4"/>
        <v>9813.9025000000001</v>
      </c>
      <c r="J46" s="101">
        <f t="shared" si="5"/>
        <v>950.21110147079071</v>
      </c>
      <c r="K46" s="101">
        <f t="shared" si="17"/>
        <v>10764.113601470792</v>
      </c>
      <c r="L46" s="163">
        <f t="shared" si="18"/>
        <v>8863.6913985292085</v>
      </c>
      <c r="M46" s="103">
        <f t="shared" si="19"/>
        <v>9597.35</v>
      </c>
      <c r="N46" s="99" t="str">
        <f t="shared" si="19"/>
        <v/>
      </c>
      <c r="O46" s="99">
        <f t="shared" si="19"/>
        <v>9472.26</v>
      </c>
      <c r="P46" s="101" t="str">
        <f t="shared" si="6"/>
        <v/>
      </c>
      <c r="Q46" s="163">
        <f t="shared" si="7"/>
        <v>9000</v>
      </c>
      <c r="R46" s="175">
        <f t="shared" si="8"/>
        <v>9356.5366666666669</v>
      </c>
      <c r="S46" s="170">
        <v>7437.5</v>
      </c>
      <c r="T46" s="106">
        <f t="shared" si="3"/>
        <v>7437.5</v>
      </c>
      <c r="V46" s="84">
        <v>10</v>
      </c>
      <c r="W46" s="193">
        <f t="shared" si="9"/>
        <v>93565.366666666669</v>
      </c>
    </row>
    <row r="47" spans="1:23" x14ac:dyDescent="0.2">
      <c r="A47" s="84">
        <v>43</v>
      </c>
      <c r="B47" s="185" t="s">
        <v>88</v>
      </c>
      <c r="C47" s="98" t="s">
        <v>24</v>
      </c>
      <c r="D47" s="186">
        <v>84668.5</v>
      </c>
      <c r="E47" s="135">
        <v>89800</v>
      </c>
      <c r="F47" s="187">
        <v>80565.187999999995</v>
      </c>
      <c r="G47" s="187">
        <v>126235</v>
      </c>
      <c r="H47" s="188">
        <v>91900</v>
      </c>
      <c r="I47" s="100">
        <f t="shared" si="4"/>
        <v>94633.737599999993</v>
      </c>
      <c r="J47" s="101">
        <f t="shared" si="5"/>
        <v>18212.002731695145</v>
      </c>
      <c r="K47" s="101">
        <f t="shared" si="17"/>
        <v>112845.74033169514</v>
      </c>
      <c r="L47" s="163">
        <f t="shared" si="18"/>
        <v>76421.734868304848</v>
      </c>
      <c r="M47" s="103">
        <f t="shared" si="19"/>
        <v>84668.5</v>
      </c>
      <c r="N47" s="99">
        <f t="shared" si="19"/>
        <v>89800</v>
      </c>
      <c r="O47" s="99">
        <f t="shared" si="19"/>
        <v>80565.187999999995</v>
      </c>
      <c r="P47" s="101" t="str">
        <f t="shared" si="6"/>
        <v/>
      </c>
      <c r="Q47" s="163">
        <f t="shared" si="7"/>
        <v>91900</v>
      </c>
      <c r="R47" s="175">
        <f t="shared" si="8"/>
        <v>86733.421999999991</v>
      </c>
      <c r="S47" s="171"/>
      <c r="T47" s="106">
        <f t="shared" si="3"/>
        <v>86733.421999999991</v>
      </c>
      <c r="V47" s="84">
        <v>10</v>
      </c>
      <c r="W47" s="193">
        <f t="shared" si="9"/>
        <v>867334.22</v>
      </c>
    </row>
    <row r="48" spans="1:23" x14ac:dyDescent="0.2">
      <c r="A48" s="84">
        <v>44</v>
      </c>
      <c r="B48" s="97" t="s">
        <v>110</v>
      </c>
      <c r="C48" s="98" t="s">
        <v>24</v>
      </c>
      <c r="D48" s="134"/>
      <c r="E48" s="135">
        <v>3900</v>
      </c>
      <c r="F48" s="135">
        <v>3253.55</v>
      </c>
      <c r="G48" s="135">
        <v>6843</v>
      </c>
      <c r="H48" s="136"/>
      <c r="I48" s="100">
        <f t="shared" si="4"/>
        <v>4665.5166666666664</v>
      </c>
      <c r="J48" s="101">
        <f t="shared" si="5"/>
        <v>1913.2562951244495</v>
      </c>
      <c r="K48" s="101">
        <f t="shared" si="17"/>
        <v>6578.7729617911154</v>
      </c>
      <c r="L48" s="163">
        <f t="shared" si="18"/>
        <v>2752.2603715422169</v>
      </c>
      <c r="M48" s="103" t="str">
        <f t="shared" si="19"/>
        <v/>
      </c>
      <c r="N48" s="99">
        <f t="shared" si="19"/>
        <v>3900</v>
      </c>
      <c r="O48" s="99">
        <f t="shared" si="19"/>
        <v>3253.55</v>
      </c>
      <c r="P48" s="101" t="str">
        <f t="shared" si="6"/>
        <v/>
      </c>
      <c r="Q48" s="163" t="str">
        <f t="shared" si="7"/>
        <v/>
      </c>
      <c r="R48" s="175">
        <f t="shared" si="8"/>
        <v>3576.7750000000001</v>
      </c>
      <c r="S48" s="166"/>
      <c r="T48" s="106">
        <f t="shared" si="3"/>
        <v>3576.7750000000001</v>
      </c>
      <c r="V48" s="84">
        <v>5</v>
      </c>
      <c r="W48" s="193">
        <f t="shared" si="9"/>
        <v>17883.875</v>
      </c>
    </row>
    <row r="49" spans="1:23" ht="13.5" thickBot="1" x14ac:dyDescent="0.25">
      <c r="A49" s="111">
        <v>45</v>
      </c>
      <c r="B49" s="112" t="s">
        <v>105</v>
      </c>
      <c r="C49" s="113" t="s">
        <v>24</v>
      </c>
      <c r="D49" s="141">
        <v>5164.5999999999995</v>
      </c>
      <c r="E49" s="142">
        <v>9900</v>
      </c>
      <c r="F49" s="142">
        <v>4899.2860000000001</v>
      </c>
      <c r="G49" s="142">
        <v>9223</v>
      </c>
      <c r="H49" s="143">
        <v>5662</v>
      </c>
      <c r="I49" s="115">
        <f t="shared" si="4"/>
        <v>6969.7771999999995</v>
      </c>
      <c r="J49" s="116">
        <f t="shared" si="5"/>
        <v>2393.6947581926984</v>
      </c>
      <c r="K49" s="116">
        <f t="shared" si="17"/>
        <v>9363.4719581926984</v>
      </c>
      <c r="L49" s="164">
        <f t="shared" si="18"/>
        <v>4576.0824418073007</v>
      </c>
      <c r="M49" s="118">
        <f t="shared" si="19"/>
        <v>5164.5999999999995</v>
      </c>
      <c r="N49" s="114" t="str">
        <f t="shared" si="19"/>
        <v/>
      </c>
      <c r="O49" s="114">
        <f t="shared" si="19"/>
        <v>4899.2860000000001</v>
      </c>
      <c r="P49" s="116">
        <f t="shared" si="6"/>
        <v>9223</v>
      </c>
      <c r="Q49" s="164">
        <f t="shared" si="7"/>
        <v>5662</v>
      </c>
      <c r="R49" s="176">
        <f t="shared" si="8"/>
        <v>6237.2214999999997</v>
      </c>
      <c r="S49" s="173">
        <v>2491.86</v>
      </c>
      <c r="T49" s="121">
        <f t="shared" si="3"/>
        <v>2491.86</v>
      </c>
      <c r="V49" s="111">
        <v>50</v>
      </c>
      <c r="W49" s="194">
        <f t="shared" si="9"/>
        <v>311861.07499999995</v>
      </c>
    </row>
    <row r="50" spans="1:23" ht="13.5" thickBot="1" x14ac:dyDescent="0.25">
      <c r="V50" s="189" t="s">
        <v>120</v>
      </c>
      <c r="W50" s="190">
        <f>SUM(W5:W49)</f>
        <v>17999953.414399996</v>
      </c>
    </row>
  </sheetData>
  <autoFilter ref="A4:V49" xr:uid="{A7D0933A-EE44-4A0A-96EC-FC1A1569B7DD}"/>
  <mergeCells count="4">
    <mergeCell ref="D3:H3"/>
    <mergeCell ref="I3:L3"/>
    <mergeCell ref="R3:S3"/>
    <mergeCell ref="M3:Q3"/>
  </mergeCells>
  <conditionalFormatting sqref="C27:C31 C47:C48 C23:C25 C10:C19 C5:C8">
    <cfRule type="expression" dxfId="35" priority="19">
      <formula>ISERROR(C5)</formula>
    </cfRule>
  </conditionalFormatting>
  <conditionalFormatting sqref="C9">
    <cfRule type="expression" dxfId="34" priority="18">
      <formula>ISERROR(C9)</formula>
    </cfRule>
  </conditionalFormatting>
  <conditionalFormatting sqref="C26">
    <cfRule type="expression" dxfId="33" priority="17">
      <formula>ISERROR(C26)</formula>
    </cfRule>
  </conditionalFormatting>
  <conditionalFormatting sqref="C21">
    <cfRule type="expression" dxfId="32" priority="15">
      <formula>ISERROR(C21)</formula>
    </cfRule>
  </conditionalFormatting>
  <conditionalFormatting sqref="C20">
    <cfRule type="expression" dxfId="31" priority="16">
      <formula>ISERROR(C20)</formula>
    </cfRule>
  </conditionalFormatting>
  <conditionalFormatting sqref="C34">
    <cfRule type="expression" dxfId="30" priority="4">
      <formula>ISERROR(C34)</formula>
    </cfRule>
  </conditionalFormatting>
  <conditionalFormatting sqref="C32:C33">
    <cfRule type="expression" dxfId="29" priority="14">
      <formula>ISERROR(C32)</formula>
    </cfRule>
  </conditionalFormatting>
  <conditionalFormatting sqref="C38:C39">
    <cfRule type="expression" dxfId="28" priority="13">
      <formula>ISERROR(C38)</formula>
    </cfRule>
  </conditionalFormatting>
  <conditionalFormatting sqref="C42:C44">
    <cfRule type="expression" dxfId="27" priority="9">
      <formula>ISERROR(C42)</formula>
    </cfRule>
  </conditionalFormatting>
  <conditionalFormatting sqref="C45">
    <cfRule type="expression" dxfId="26" priority="12">
      <formula>ISERROR(C45)</formula>
    </cfRule>
  </conditionalFormatting>
  <conditionalFormatting sqref="C46">
    <cfRule type="expression" dxfId="25" priority="8">
      <formula>ISERROR(C46)</formula>
    </cfRule>
  </conditionalFormatting>
  <conditionalFormatting sqref="C40">
    <cfRule type="expression" dxfId="24" priority="11">
      <formula>ISERROR(C40)</formula>
    </cfRule>
  </conditionalFormatting>
  <conditionalFormatting sqref="C37">
    <cfRule type="expression" dxfId="23" priority="7">
      <formula>ISERROR(C37)</formula>
    </cfRule>
  </conditionalFormatting>
  <conditionalFormatting sqref="C35">
    <cfRule type="expression" dxfId="22" priority="6">
      <formula>ISERROR(C35)</formula>
    </cfRule>
  </conditionalFormatting>
  <conditionalFormatting sqref="C36">
    <cfRule type="expression" dxfId="21" priority="5">
      <formula>ISERROR(C36)</formula>
    </cfRule>
  </conditionalFormatting>
  <conditionalFormatting sqref="C41">
    <cfRule type="expression" dxfId="20" priority="3">
      <formula>ISERROR(C41)</formula>
    </cfRule>
  </conditionalFormatting>
  <conditionalFormatting sqref="C49">
    <cfRule type="expression" dxfId="19" priority="2">
      <formula>ISERROR(C49)</formula>
    </cfRule>
  </conditionalFormatting>
  <conditionalFormatting sqref="C22">
    <cfRule type="expression" dxfId="18" priority="1">
      <formula>ISERROR(C22)</formula>
    </cfRule>
  </conditionalFormatting>
  <printOptions horizontalCentered="1" verticalCentered="1"/>
  <pageMargins left="0" right="0" top="0.59055118110236227" bottom="0.59055118110236227" header="0" footer="0"/>
  <pageSetup scale="29" fitToHeight="2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EEFDB-E4DD-49F2-B5DB-00D4F6DC50C9}">
  <sheetPr>
    <pageSetUpPr fitToPage="1"/>
  </sheetPr>
  <dimension ref="A1:U50"/>
  <sheetViews>
    <sheetView tabSelected="1" topLeftCell="C1" zoomScale="80" zoomScaleNormal="80" workbookViewId="0">
      <pane ySplit="4" topLeftCell="A13" activePane="bottomLeft" state="frozen"/>
      <selection activeCell="D1" sqref="D1"/>
      <selection pane="bottomLeft" activeCell="G19" sqref="G19"/>
    </sheetView>
  </sheetViews>
  <sheetFormatPr baseColWidth="10" defaultRowHeight="12.75" x14ac:dyDescent="0.2"/>
  <cols>
    <col min="1" max="1" width="5.7109375" style="72" bestFit="1" customWidth="1"/>
    <col min="2" max="2" width="56.5703125" style="72" customWidth="1"/>
    <col min="3" max="3" width="18.85546875" style="72" customWidth="1"/>
    <col min="4" max="4" width="15.85546875" style="73" customWidth="1"/>
    <col min="5" max="6" width="15.85546875" style="68" customWidth="1"/>
    <col min="7" max="7" width="18.5703125" style="71" customWidth="1"/>
    <col min="8" max="8" width="15.85546875" style="68" customWidth="1"/>
    <col min="9" max="9" width="11.5703125" style="68" customWidth="1"/>
    <col min="10" max="10" width="13" style="68" customWidth="1"/>
    <col min="11" max="11" width="12.85546875" style="68" customWidth="1"/>
    <col min="12" max="12" width="13.28515625" style="68" customWidth="1"/>
    <col min="13" max="14" width="15.5703125" style="68" customWidth="1"/>
    <col min="15" max="17" width="15.42578125" style="68" customWidth="1"/>
    <col min="18" max="18" width="15.140625" style="74" customWidth="1"/>
    <col min="19" max="19" width="3.5703125" style="72" customWidth="1"/>
    <col min="20" max="20" width="18.140625" style="177" customWidth="1"/>
    <col min="21" max="21" width="19.28515625" style="72" customWidth="1"/>
    <col min="22" max="16384" width="11.42578125" style="72"/>
  </cols>
  <sheetData>
    <row r="1" spans="1:21" ht="45" customHeight="1" x14ac:dyDescent="0.2">
      <c r="A1" s="216" t="s">
        <v>122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</row>
    <row r="2" spans="1:21" ht="13.5" thickBot="1" x14ac:dyDescent="0.25"/>
    <row r="3" spans="1:21" ht="13.5" customHeight="1" thickBot="1" x14ac:dyDescent="0.25">
      <c r="D3" s="210" t="s">
        <v>0</v>
      </c>
      <c r="E3" s="211"/>
      <c r="F3" s="211"/>
      <c r="G3" s="211"/>
      <c r="H3" s="212"/>
      <c r="I3" s="203" t="s">
        <v>1</v>
      </c>
      <c r="J3" s="203"/>
      <c r="K3" s="203"/>
      <c r="L3" s="203"/>
      <c r="M3" s="213" t="s">
        <v>2</v>
      </c>
      <c r="N3" s="214"/>
      <c r="O3" s="214"/>
      <c r="P3" s="214"/>
      <c r="Q3" s="215"/>
      <c r="R3" s="75" t="s">
        <v>118</v>
      </c>
    </row>
    <row r="4" spans="1:21" ht="39" thickBot="1" x14ac:dyDescent="0.25">
      <c r="A4" s="76" t="s">
        <v>8</v>
      </c>
      <c r="B4" s="158" t="s">
        <v>94</v>
      </c>
      <c r="C4" s="159" t="s">
        <v>28</v>
      </c>
      <c r="D4" s="178" t="s">
        <v>46</v>
      </c>
      <c r="E4" s="179" t="s">
        <v>47</v>
      </c>
      <c r="F4" s="179" t="s">
        <v>65</v>
      </c>
      <c r="G4" s="180" t="s">
        <v>115</v>
      </c>
      <c r="H4" s="181" t="s">
        <v>114</v>
      </c>
      <c r="I4" s="78" t="s">
        <v>3</v>
      </c>
      <c r="J4" s="79" t="s">
        <v>4</v>
      </c>
      <c r="K4" s="79" t="s">
        <v>5</v>
      </c>
      <c r="L4" s="161" t="s">
        <v>6</v>
      </c>
      <c r="M4" s="182" t="str">
        <f>+D4</f>
        <v>AXSA TEXCHNOLOGY
901.075.981-0</v>
      </c>
      <c r="N4" s="183" t="str">
        <f>+E4</f>
        <v>GRAN PAPELERA BOLIVAR SAS</v>
      </c>
      <c r="O4" s="183" t="str">
        <f>+F4</f>
        <v>PAPELIST SAS
901.089.740-3</v>
      </c>
      <c r="P4" s="183" t="str">
        <f>+G4</f>
        <v>INSTITUCIONAL STAR SERVICE</v>
      </c>
      <c r="Q4" s="184" t="str">
        <f>+H4</f>
        <v>OFI.COM.CO</v>
      </c>
      <c r="R4" s="169" t="s">
        <v>9</v>
      </c>
      <c r="T4" s="191" t="s">
        <v>119</v>
      </c>
      <c r="U4" s="192" t="s">
        <v>120</v>
      </c>
    </row>
    <row r="5" spans="1:21" x14ac:dyDescent="0.2">
      <c r="A5" s="160">
        <v>1</v>
      </c>
      <c r="B5" s="85" t="s">
        <v>100</v>
      </c>
      <c r="C5" s="86" t="s">
        <v>113</v>
      </c>
      <c r="D5" s="131">
        <v>6295.0999999999995</v>
      </c>
      <c r="E5" s="132">
        <v>13400</v>
      </c>
      <c r="F5" s="132">
        <v>1274.1176</v>
      </c>
      <c r="G5" s="132">
        <v>2666</v>
      </c>
      <c r="H5" s="133">
        <v>2650</v>
      </c>
      <c r="I5" s="88">
        <f>+AVERAGE(D5,E5,F5,G5,H5)</f>
        <v>5257.0435200000002</v>
      </c>
      <c r="J5" s="89">
        <f>+STDEV(D5,E5,F5,G5,H5)</f>
        <v>4918.3122819916543</v>
      </c>
      <c r="K5" s="89">
        <f t="shared" ref="K5:K49" si="0">+I5+J5</f>
        <v>10175.355801991655</v>
      </c>
      <c r="L5" s="162">
        <f t="shared" ref="L5:L49" si="1">+I5-J5</f>
        <v>338.73123800834583</v>
      </c>
      <c r="M5" s="167">
        <f t="shared" ref="M5:Q21" si="2">IF(AND(D5&lt;=$K5,D5&gt;=$L5),D5,"")</f>
        <v>6295.0999999999995</v>
      </c>
      <c r="N5" s="87" t="str">
        <f t="shared" si="2"/>
        <v/>
      </c>
      <c r="O5" s="87">
        <f t="shared" si="2"/>
        <v>1274.1176</v>
      </c>
      <c r="P5" s="87">
        <f t="shared" si="2"/>
        <v>2666</v>
      </c>
      <c r="Q5" s="168">
        <f t="shared" si="2"/>
        <v>2650</v>
      </c>
      <c r="R5" s="174">
        <f>+AVERAGE(M5,N5,O5,P5,Q5)</f>
        <v>3221.3044</v>
      </c>
      <c r="T5" s="84">
        <v>190</v>
      </c>
      <c r="U5" s="193">
        <f t="shared" ref="U5:U49" si="3">+T5*R5</f>
        <v>612047.83600000001</v>
      </c>
    </row>
    <row r="6" spans="1:21" x14ac:dyDescent="0.2">
      <c r="A6" s="84">
        <v>2</v>
      </c>
      <c r="B6" s="97" t="s">
        <v>63</v>
      </c>
      <c r="C6" s="98" t="s">
        <v>44</v>
      </c>
      <c r="D6" s="134">
        <v>4069.7999999999997</v>
      </c>
      <c r="E6" s="135">
        <v>3800</v>
      </c>
      <c r="F6" s="135">
        <v>3473.4875000000002</v>
      </c>
      <c r="G6" s="135">
        <v>3570</v>
      </c>
      <c r="H6" s="136">
        <v>4667</v>
      </c>
      <c r="I6" s="100">
        <f t="shared" ref="I6:I49" si="4">+AVERAGE(D6,E6,F6,G6,H6)</f>
        <v>3916.0574999999999</v>
      </c>
      <c r="J6" s="101">
        <f t="shared" ref="J6:J49" si="5">+STDEV(D6,E6,F6,G6,H6)</f>
        <v>478.70782741798973</v>
      </c>
      <c r="K6" s="101">
        <f t="shared" si="0"/>
        <v>4394.7653274179893</v>
      </c>
      <c r="L6" s="163">
        <f t="shared" si="1"/>
        <v>3437.34967258201</v>
      </c>
      <c r="M6" s="103">
        <f t="shared" si="2"/>
        <v>4069.7999999999997</v>
      </c>
      <c r="N6" s="99">
        <f t="shared" si="2"/>
        <v>3800</v>
      </c>
      <c r="O6" s="99">
        <f t="shared" si="2"/>
        <v>3473.4875000000002</v>
      </c>
      <c r="P6" s="101">
        <f t="shared" si="2"/>
        <v>3570</v>
      </c>
      <c r="Q6" s="163" t="str">
        <f t="shared" si="2"/>
        <v/>
      </c>
      <c r="R6" s="175">
        <f t="shared" ref="R6:R49" si="6">+AVERAGE(M6,N6,O6,P6,Q6)</f>
        <v>3728.3218749999996</v>
      </c>
      <c r="T6" s="84">
        <v>50</v>
      </c>
      <c r="U6" s="193">
        <f t="shared" si="3"/>
        <v>186416.09374999997</v>
      </c>
    </row>
    <row r="7" spans="1:21" x14ac:dyDescent="0.2">
      <c r="A7" s="84">
        <v>3</v>
      </c>
      <c r="B7" s="97" t="s">
        <v>117</v>
      </c>
      <c r="C7" s="98" t="s">
        <v>24</v>
      </c>
      <c r="D7" s="134">
        <v>347.47999999999996</v>
      </c>
      <c r="E7" s="135">
        <v>312</v>
      </c>
      <c r="F7" s="135">
        <v>333.69747999999998</v>
      </c>
      <c r="G7" s="135">
        <v>286</v>
      </c>
      <c r="H7" s="136">
        <v>490</v>
      </c>
      <c r="I7" s="100">
        <f t="shared" si="4"/>
        <v>353.83549600000003</v>
      </c>
      <c r="J7" s="101">
        <f t="shared" si="5"/>
        <v>79.590463327147688</v>
      </c>
      <c r="K7" s="101">
        <f t="shared" si="0"/>
        <v>433.42595932714772</v>
      </c>
      <c r="L7" s="163">
        <f t="shared" si="1"/>
        <v>274.24503267285235</v>
      </c>
      <c r="M7" s="103">
        <f t="shared" si="2"/>
        <v>347.47999999999996</v>
      </c>
      <c r="N7" s="99">
        <f t="shared" si="2"/>
        <v>312</v>
      </c>
      <c r="O7" s="99">
        <f t="shared" si="2"/>
        <v>333.69747999999998</v>
      </c>
      <c r="P7" s="101">
        <f t="shared" si="2"/>
        <v>286</v>
      </c>
      <c r="Q7" s="163" t="str">
        <f t="shared" si="2"/>
        <v/>
      </c>
      <c r="R7" s="175">
        <f t="shared" si="6"/>
        <v>319.79437000000001</v>
      </c>
      <c r="T7" s="84">
        <v>200</v>
      </c>
      <c r="U7" s="193">
        <f t="shared" si="3"/>
        <v>63958.874000000003</v>
      </c>
    </row>
    <row r="8" spans="1:21" x14ac:dyDescent="0.2">
      <c r="A8" s="84">
        <v>4</v>
      </c>
      <c r="B8" s="97" t="s">
        <v>23</v>
      </c>
      <c r="C8" s="98" t="s">
        <v>24</v>
      </c>
      <c r="D8" s="134"/>
      <c r="E8" s="135"/>
      <c r="F8" s="135">
        <v>250.2731</v>
      </c>
      <c r="G8" s="135">
        <v>262</v>
      </c>
      <c r="H8" s="136">
        <v>342</v>
      </c>
      <c r="I8" s="100">
        <f t="shared" si="4"/>
        <v>284.7577</v>
      </c>
      <c r="J8" s="101">
        <f t="shared" si="5"/>
        <v>49.918841411535098</v>
      </c>
      <c r="K8" s="101">
        <f t="shared" si="0"/>
        <v>334.67654141153508</v>
      </c>
      <c r="L8" s="163">
        <f t="shared" si="1"/>
        <v>234.83885858846492</v>
      </c>
      <c r="M8" s="103" t="str">
        <f t="shared" si="2"/>
        <v/>
      </c>
      <c r="N8" s="99" t="str">
        <f t="shared" si="2"/>
        <v/>
      </c>
      <c r="O8" s="99">
        <f t="shared" si="2"/>
        <v>250.2731</v>
      </c>
      <c r="P8" s="101">
        <f t="shared" si="2"/>
        <v>262</v>
      </c>
      <c r="Q8" s="163" t="str">
        <f t="shared" si="2"/>
        <v/>
      </c>
      <c r="R8" s="175">
        <f t="shared" si="6"/>
        <v>256.13655</v>
      </c>
      <c r="T8" s="84">
        <v>22</v>
      </c>
      <c r="U8" s="193">
        <f t="shared" si="3"/>
        <v>5635.0041000000001</v>
      </c>
    </row>
    <row r="9" spans="1:21" x14ac:dyDescent="0.2">
      <c r="A9" s="84">
        <v>5</v>
      </c>
      <c r="B9" s="97" t="s">
        <v>22</v>
      </c>
      <c r="C9" s="98" t="s">
        <v>24</v>
      </c>
      <c r="D9" s="134"/>
      <c r="E9" s="135">
        <v>1100</v>
      </c>
      <c r="F9" s="135">
        <v>3113.1302599999999</v>
      </c>
      <c r="G9" s="135">
        <v>1614</v>
      </c>
      <c r="H9" s="136">
        <v>5424</v>
      </c>
      <c r="I9" s="100">
        <f t="shared" si="4"/>
        <v>2812.782565</v>
      </c>
      <c r="J9" s="101">
        <f t="shared" si="5"/>
        <v>1939.0177052531653</v>
      </c>
      <c r="K9" s="101">
        <f t="shared" si="0"/>
        <v>4751.8002702531649</v>
      </c>
      <c r="L9" s="163">
        <f t="shared" si="1"/>
        <v>873.76485974683465</v>
      </c>
      <c r="M9" s="103" t="str">
        <f t="shared" si="2"/>
        <v/>
      </c>
      <c r="N9" s="99">
        <f t="shared" si="2"/>
        <v>1100</v>
      </c>
      <c r="O9" s="99">
        <f t="shared" si="2"/>
        <v>3113.1302599999999</v>
      </c>
      <c r="P9" s="101">
        <f t="shared" si="2"/>
        <v>1614</v>
      </c>
      <c r="Q9" s="163" t="str">
        <f t="shared" si="2"/>
        <v/>
      </c>
      <c r="R9" s="175">
        <f t="shared" si="6"/>
        <v>1942.3767533333332</v>
      </c>
      <c r="T9" s="84">
        <v>200</v>
      </c>
      <c r="U9" s="193">
        <f t="shared" si="3"/>
        <v>388475.35066666664</v>
      </c>
    </row>
    <row r="10" spans="1:21" x14ac:dyDescent="0.2">
      <c r="A10" s="84">
        <v>6</v>
      </c>
      <c r="B10" s="97" t="s">
        <v>107</v>
      </c>
      <c r="C10" s="98" t="s">
        <v>24</v>
      </c>
      <c r="D10" s="134"/>
      <c r="E10" s="135"/>
      <c r="F10" s="135">
        <v>1478.8866</v>
      </c>
      <c r="G10" s="135">
        <v>309</v>
      </c>
      <c r="H10" s="136">
        <v>1340</v>
      </c>
      <c r="I10" s="100">
        <f t="shared" si="4"/>
        <v>1042.6288666666667</v>
      </c>
      <c r="J10" s="101">
        <f t="shared" si="5"/>
        <v>639.12507181290687</v>
      </c>
      <c r="K10" s="101">
        <f t="shared" si="0"/>
        <v>1681.7539384795737</v>
      </c>
      <c r="L10" s="163">
        <f t="shared" si="1"/>
        <v>403.50379485375981</v>
      </c>
      <c r="M10" s="103" t="str">
        <f t="shared" si="2"/>
        <v/>
      </c>
      <c r="N10" s="99" t="str">
        <f t="shared" si="2"/>
        <v/>
      </c>
      <c r="O10" s="99">
        <f t="shared" si="2"/>
        <v>1478.8866</v>
      </c>
      <c r="P10" s="101" t="str">
        <f t="shared" si="2"/>
        <v/>
      </c>
      <c r="Q10" s="163">
        <f t="shared" si="2"/>
        <v>1340</v>
      </c>
      <c r="R10" s="175">
        <f t="shared" si="6"/>
        <v>1409.4432999999999</v>
      </c>
      <c r="T10" s="84">
        <v>100</v>
      </c>
      <c r="U10" s="193">
        <f t="shared" si="3"/>
        <v>140944.32999999999</v>
      </c>
    </row>
    <row r="11" spans="1:21" x14ac:dyDescent="0.2">
      <c r="A11" s="84">
        <v>7</v>
      </c>
      <c r="B11" s="185" t="s">
        <v>10</v>
      </c>
      <c r="C11" s="98" t="s">
        <v>24</v>
      </c>
      <c r="D11" s="186">
        <v>856800</v>
      </c>
      <c r="E11" s="135">
        <v>578000</v>
      </c>
      <c r="F11" s="187"/>
      <c r="G11" s="187"/>
      <c r="H11" s="188"/>
      <c r="I11" s="100">
        <f t="shared" si="4"/>
        <v>717400</v>
      </c>
      <c r="J11" s="101">
        <f t="shared" si="5"/>
        <v>197141.37059480944</v>
      </c>
      <c r="K11" s="101">
        <f t="shared" si="0"/>
        <v>914541.37059480941</v>
      </c>
      <c r="L11" s="163">
        <f t="shared" si="1"/>
        <v>520258.62940519059</v>
      </c>
      <c r="M11" s="103">
        <f t="shared" si="2"/>
        <v>856800</v>
      </c>
      <c r="N11" s="99">
        <f t="shared" si="2"/>
        <v>578000</v>
      </c>
      <c r="O11" s="99" t="str">
        <f t="shared" si="2"/>
        <v/>
      </c>
      <c r="P11" s="101" t="str">
        <f t="shared" si="2"/>
        <v/>
      </c>
      <c r="Q11" s="163" t="str">
        <f t="shared" si="2"/>
        <v/>
      </c>
      <c r="R11" s="175">
        <f t="shared" si="6"/>
        <v>717400</v>
      </c>
      <c r="T11" s="84">
        <v>5</v>
      </c>
      <c r="U11" s="193">
        <f t="shared" si="3"/>
        <v>3587000</v>
      </c>
    </row>
    <row r="12" spans="1:21" x14ac:dyDescent="0.2">
      <c r="A12" s="84">
        <v>8</v>
      </c>
      <c r="B12" s="97" t="s">
        <v>49</v>
      </c>
      <c r="C12" s="98" t="s">
        <v>48</v>
      </c>
      <c r="D12" s="134">
        <v>38318</v>
      </c>
      <c r="E12" s="135">
        <v>36000</v>
      </c>
      <c r="F12" s="135">
        <v>14800.84</v>
      </c>
      <c r="G12" s="135">
        <v>65450</v>
      </c>
      <c r="H12" s="136">
        <v>63490</v>
      </c>
      <c r="I12" s="100">
        <f t="shared" si="4"/>
        <v>43611.767999999996</v>
      </c>
      <c r="J12" s="101">
        <f t="shared" si="5"/>
        <v>21142.877336567046</v>
      </c>
      <c r="K12" s="101">
        <f t="shared" si="0"/>
        <v>64754.645336567046</v>
      </c>
      <c r="L12" s="163">
        <f t="shared" si="1"/>
        <v>22468.890663432951</v>
      </c>
      <c r="M12" s="103">
        <f t="shared" si="2"/>
        <v>38318</v>
      </c>
      <c r="N12" s="99">
        <f t="shared" si="2"/>
        <v>36000</v>
      </c>
      <c r="O12" s="99" t="str">
        <f t="shared" si="2"/>
        <v/>
      </c>
      <c r="P12" s="101" t="str">
        <f t="shared" si="2"/>
        <v/>
      </c>
      <c r="Q12" s="163">
        <f t="shared" si="2"/>
        <v>63490</v>
      </c>
      <c r="R12" s="175">
        <f t="shared" si="6"/>
        <v>45936</v>
      </c>
      <c r="T12" s="84">
        <v>10</v>
      </c>
      <c r="U12" s="193">
        <f t="shared" si="3"/>
        <v>459360</v>
      </c>
    </row>
    <row r="13" spans="1:21" x14ac:dyDescent="0.2">
      <c r="A13" s="84">
        <v>9</v>
      </c>
      <c r="B13" s="97" t="s">
        <v>101</v>
      </c>
      <c r="C13" s="98" t="s">
        <v>31</v>
      </c>
      <c r="D13" s="134">
        <v>1588.6499999999999</v>
      </c>
      <c r="E13" s="135">
        <v>1200</v>
      </c>
      <c r="F13" s="135">
        <v>2859.181</v>
      </c>
      <c r="G13" s="135">
        <v>2223</v>
      </c>
      <c r="H13" s="136">
        <v>1590</v>
      </c>
      <c r="I13" s="100">
        <f t="shared" si="4"/>
        <v>1892.1662000000001</v>
      </c>
      <c r="J13" s="101">
        <f t="shared" si="5"/>
        <v>653.27811289465365</v>
      </c>
      <c r="K13" s="101">
        <f t="shared" si="0"/>
        <v>2545.4443128946536</v>
      </c>
      <c r="L13" s="163">
        <f t="shared" si="1"/>
        <v>1238.8880871053466</v>
      </c>
      <c r="M13" s="103">
        <f t="shared" si="2"/>
        <v>1588.6499999999999</v>
      </c>
      <c r="N13" s="99" t="str">
        <f t="shared" si="2"/>
        <v/>
      </c>
      <c r="O13" s="99" t="str">
        <f t="shared" si="2"/>
        <v/>
      </c>
      <c r="P13" s="101">
        <f t="shared" si="2"/>
        <v>2223</v>
      </c>
      <c r="Q13" s="163">
        <f t="shared" si="2"/>
        <v>1590</v>
      </c>
      <c r="R13" s="175">
        <f t="shared" si="6"/>
        <v>1800.55</v>
      </c>
      <c r="T13" s="84">
        <v>50</v>
      </c>
      <c r="U13" s="193">
        <f t="shared" si="3"/>
        <v>90027.5</v>
      </c>
    </row>
    <row r="14" spans="1:21" x14ac:dyDescent="0.2">
      <c r="A14" s="84">
        <v>10</v>
      </c>
      <c r="B14" s="97" t="s">
        <v>99</v>
      </c>
      <c r="C14" s="98" t="s">
        <v>31</v>
      </c>
      <c r="D14" s="134">
        <v>5973.8</v>
      </c>
      <c r="E14" s="135">
        <v>5200</v>
      </c>
      <c r="F14" s="135">
        <v>7576.4490000000005</v>
      </c>
      <c r="G14" s="135">
        <v>8925</v>
      </c>
      <c r="H14" s="136">
        <v>8407</v>
      </c>
      <c r="I14" s="100">
        <f t="shared" si="4"/>
        <v>7216.4497999999994</v>
      </c>
      <c r="J14" s="101">
        <f t="shared" si="5"/>
        <v>1587.1673911406476</v>
      </c>
      <c r="K14" s="101">
        <f t="shared" si="0"/>
        <v>8803.6171911406473</v>
      </c>
      <c r="L14" s="163">
        <f t="shared" si="1"/>
        <v>5629.2824088593516</v>
      </c>
      <c r="M14" s="103">
        <f t="shared" si="2"/>
        <v>5973.8</v>
      </c>
      <c r="N14" s="99" t="str">
        <f t="shared" si="2"/>
        <v/>
      </c>
      <c r="O14" s="99">
        <f t="shared" si="2"/>
        <v>7576.4490000000005</v>
      </c>
      <c r="P14" s="101" t="str">
        <f t="shared" si="2"/>
        <v/>
      </c>
      <c r="Q14" s="163">
        <f t="shared" si="2"/>
        <v>8407</v>
      </c>
      <c r="R14" s="175">
        <f t="shared" si="6"/>
        <v>7319.0829999999996</v>
      </c>
      <c r="T14" s="84">
        <v>50</v>
      </c>
      <c r="U14" s="193">
        <f t="shared" si="3"/>
        <v>365954.14999999997</v>
      </c>
    </row>
    <row r="15" spans="1:21" x14ac:dyDescent="0.2">
      <c r="A15" s="84">
        <v>11</v>
      </c>
      <c r="B15" s="97" t="s">
        <v>76</v>
      </c>
      <c r="C15" s="98" t="s">
        <v>31</v>
      </c>
      <c r="D15" s="134">
        <v>628.31999999999994</v>
      </c>
      <c r="E15" s="135">
        <v>600</v>
      </c>
      <c r="F15" s="135">
        <v>970.75699999999995</v>
      </c>
      <c r="G15" s="135">
        <v>762</v>
      </c>
      <c r="H15" s="136">
        <v>450</v>
      </c>
      <c r="I15" s="100">
        <f t="shared" si="4"/>
        <v>682.21539999999993</v>
      </c>
      <c r="J15" s="101">
        <f t="shared" si="5"/>
        <v>195.71019101160766</v>
      </c>
      <c r="K15" s="101">
        <f t="shared" si="0"/>
        <v>877.92559101160759</v>
      </c>
      <c r="L15" s="163">
        <f t="shared" si="1"/>
        <v>486.50520898839227</v>
      </c>
      <c r="M15" s="103">
        <f t="shared" si="2"/>
        <v>628.31999999999994</v>
      </c>
      <c r="N15" s="99">
        <f t="shared" si="2"/>
        <v>600</v>
      </c>
      <c r="O15" s="99" t="str">
        <f t="shared" si="2"/>
        <v/>
      </c>
      <c r="P15" s="101">
        <f t="shared" si="2"/>
        <v>762</v>
      </c>
      <c r="Q15" s="163" t="str">
        <f t="shared" si="2"/>
        <v/>
      </c>
      <c r="R15" s="175">
        <f t="shared" si="6"/>
        <v>663.43999999999994</v>
      </c>
      <c r="T15" s="84">
        <v>50</v>
      </c>
      <c r="U15" s="193">
        <f t="shared" si="3"/>
        <v>33172</v>
      </c>
    </row>
    <row r="16" spans="1:21" x14ac:dyDescent="0.2">
      <c r="A16" s="84">
        <v>12</v>
      </c>
      <c r="B16" s="97" t="s">
        <v>95</v>
      </c>
      <c r="C16" s="98" t="s">
        <v>42</v>
      </c>
      <c r="D16" s="134">
        <v>1727.8799999999999</v>
      </c>
      <c r="E16" s="135">
        <v>1450</v>
      </c>
      <c r="F16" s="135">
        <v>1616.5966000000001</v>
      </c>
      <c r="G16" s="135">
        <v>2568</v>
      </c>
      <c r="H16" s="136">
        <v>1990</v>
      </c>
      <c r="I16" s="100">
        <f t="shared" si="4"/>
        <v>1870.49532</v>
      </c>
      <c r="J16" s="101">
        <f t="shared" si="5"/>
        <v>436.58165067431747</v>
      </c>
      <c r="K16" s="101">
        <f t="shared" si="0"/>
        <v>2307.0769706743176</v>
      </c>
      <c r="L16" s="163">
        <f t="shared" si="1"/>
        <v>1433.9136693256826</v>
      </c>
      <c r="M16" s="103">
        <f t="shared" si="2"/>
        <v>1727.8799999999999</v>
      </c>
      <c r="N16" s="99">
        <f t="shared" si="2"/>
        <v>1450</v>
      </c>
      <c r="O16" s="99">
        <f t="shared" si="2"/>
        <v>1616.5966000000001</v>
      </c>
      <c r="P16" s="101" t="str">
        <f t="shared" si="2"/>
        <v/>
      </c>
      <c r="Q16" s="163">
        <f t="shared" si="2"/>
        <v>1990</v>
      </c>
      <c r="R16" s="175">
        <f t="shared" si="6"/>
        <v>1696.11915</v>
      </c>
      <c r="T16" s="84">
        <v>150</v>
      </c>
      <c r="U16" s="193">
        <f t="shared" si="3"/>
        <v>254417.8725</v>
      </c>
    </row>
    <row r="17" spans="1:21" x14ac:dyDescent="0.2">
      <c r="A17" s="84">
        <v>13</v>
      </c>
      <c r="B17" s="97" t="s">
        <v>96</v>
      </c>
      <c r="C17" s="98" t="s">
        <v>43</v>
      </c>
      <c r="D17" s="134">
        <v>1707.6499999999999</v>
      </c>
      <c r="E17" s="135">
        <v>2500</v>
      </c>
      <c r="F17" s="135">
        <v>3488.6556</v>
      </c>
      <c r="G17" s="135">
        <v>2568</v>
      </c>
      <c r="H17" s="136">
        <v>2244</v>
      </c>
      <c r="I17" s="100">
        <f t="shared" si="4"/>
        <v>2501.6611199999998</v>
      </c>
      <c r="J17" s="101">
        <f t="shared" si="5"/>
        <v>647.18710998309666</v>
      </c>
      <c r="K17" s="101">
        <f t="shared" si="0"/>
        <v>3148.8482299830966</v>
      </c>
      <c r="L17" s="163">
        <f t="shared" si="1"/>
        <v>1854.4740100169031</v>
      </c>
      <c r="M17" s="103" t="str">
        <f t="shared" si="2"/>
        <v/>
      </c>
      <c r="N17" s="99">
        <f t="shared" si="2"/>
        <v>2500</v>
      </c>
      <c r="O17" s="99" t="str">
        <f t="shared" si="2"/>
        <v/>
      </c>
      <c r="P17" s="101">
        <f t="shared" si="2"/>
        <v>2568</v>
      </c>
      <c r="Q17" s="163">
        <f t="shared" si="2"/>
        <v>2244</v>
      </c>
      <c r="R17" s="175">
        <f t="shared" si="6"/>
        <v>2437.3333333333335</v>
      </c>
      <c r="T17" s="84">
        <v>150</v>
      </c>
      <c r="U17" s="193">
        <f t="shared" si="3"/>
        <v>365600</v>
      </c>
    </row>
    <row r="18" spans="1:21" x14ac:dyDescent="0.2">
      <c r="A18" s="84">
        <v>14</v>
      </c>
      <c r="B18" s="97" t="s">
        <v>77</v>
      </c>
      <c r="C18" s="98" t="s">
        <v>24</v>
      </c>
      <c r="D18" s="134">
        <v>17201.45</v>
      </c>
      <c r="E18" s="135">
        <v>6200</v>
      </c>
      <c r="F18" s="135">
        <v>5867.6469999999999</v>
      </c>
      <c r="G18" s="135">
        <v>8171</v>
      </c>
      <c r="H18" s="136">
        <v>7659</v>
      </c>
      <c r="I18" s="100">
        <f t="shared" si="4"/>
        <v>9019.8194000000003</v>
      </c>
      <c r="J18" s="101">
        <f t="shared" si="5"/>
        <v>4674.3709570386909</v>
      </c>
      <c r="K18" s="101">
        <f t="shared" si="0"/>
        <v>13694.190357038691</v>
      </c>
      <c r="L18" s="163">
        <f t="shared" si="1"/>
        <v>4345.4484429613094</v>
      </c>
      <c r="M18" s="103" t="str">
        <f t="shared" si="2"/>
        <v/>
      </c>
      <c r="N18" s="99">
        <f t="shared" si="2"/>
        <v>6200</v>
      </c>
      <c r="O18" s="99">
        <f t="shared" si="2"/>
        <v>5867.6469999999999</v>
      </c>
      <c r="P18" s="101">
        <f t="shared" si="2"/>
        <v>8171</v>
      </c>
      <c r="Q18" s="163">
        <f t="shared" si="2"/>
        <v>7659</v>
      </c>
      <c r="R18" s="175">
        <f t="shared" si="6"/>
        <v>6974.4117500000002</v>
      </c>
      <c r="T18" s="84">
        <v>100</v>
      </c>
      <c r="U18" s="193">
        <f t="shared" si="3"/>
        <v>697441.17500000005</v>
      </c>
    </row>
    <row r="19" spans="1:21" x14ac:dyDescent="0.2">
      <c r="A19" s="84">
        <v>15</v>
      </c>
      <c r="B19" s="97" t="s">
        <v>89</v>
      </c>
      <c r="C19" s="98" t="s">
        <v>26</v>
      </c>
      <c r="D19" s="134">
        <v>37241.049999999996</v>
      </c>
      <c r="E19" s="135">
        <v>54000</v>
      </c>
      <c r="F19" s="135">
        <v>24660.080000000002</v>
      </c>
      <c r="G19" s="135">
        <v>32130</v>
      </c>
      <c r="H19" s="136">
        <v>47501</v>
      </c>
      <c r="I19" s="100">
        <f t="shared" si="4"/>
        <v>39106.425999999999</v>
      </c>
      <c r="J19" s="101">
        <f t="shared" si="5"/>
        <v>11759.405589160544</v>
      </c>
      <c r="K19" s="101">
        <f t="shared" si="0"/>
        <v>50865.831589160545</v>
      </c>
      <c r="L19" s="163">
        <f t="shared" si="1"/>
        <v>27347.020410839454</v>
      </c>
      <c r="M19" s="103">
        <f t="shared" si="2"/>
        <v>37241.049999999996</v>
      </c>
      <c r="N19" s="99" t="str">
        <f t="shared" si="2"/>
        <v/>
      </c>
      <c r="O19" s="99" t="str">
        <f t="shared" si="2"/>
        <v/>
      </c>
      <c r="P19" s="101">
        <f t="shared" si="2"/>
        <v>32130</v>
      </c>
      <c r="Q19" s="163">
        <f t="shared" si="2"/>
        <v>47501</v>
      </c>
      <c r="R19" s="175">
        <f t="shared" si="6"/>
        <v>38957.35</v>
      </c>
      <c r="T19" s="84">
        <v>10</v>
      </c>
      <c r="U19" s="193">
        <f t="shared" si="3"/>
        <v>389573.5</v>
      </c>
    </row>
    <row r="20" spans="1:21" x14ac:dyDescent="0.2">
      <c r="A20" s="84">
        <v>16</v>
      </c>
      <c r="B20" s="97" t="s">
        <v>103</v>
      </c>
      <c r="C20" s="98" t="s">
        <v>24</v>
      </c>
      <c r="D20" s="134">
        <v>69020</v>
      </c>
      <c r="E20" s="135">
        <v>12000</v>
      </c>
      <c r="F20" s="135">
        <v>3895.7980000000002</v>
      </c>
      <c r="G20" s="135">
        <v>3801</v>
      </c>
      <c r="H20" s="136">
        <v>18600</v>
      </c>
      <c r="I20" s="100">
        <f t="shared" si="4"/>
        <v>21463.3596</v>
      </c>
      <c r="J20" s="101">
        <f t="shared" si="5"/>
        <v>27294.533410841828</v>
      </c>
      <c r="K20" s="101">
        <f t="shared" si="0"/>
        <v>48757.893010841828</v>
      </c>
      <c r="L20" s="163">
        <f t="shared" si="1"/>
        <v>-5831.1738108418285</v>
      </c>
      <c r="M20" s="103" t="str">
        <f t="shared" si="2"/>
        <v/>
      </c>
      <c r="N20" s="99">
        <f t="shared" si="2"/>
        <v>12000</v>
      </c>
      <c r="O20" s="99">
        <f t="shared" si="2"/>
        <v>3895.7980000000002</v>
      </c>
      <c r="P20" s="101">
        <f t="shared" si="2"/>
        <v>3801</v>
      </c>
      <c r="Q20" s="163">
        <f t="shared" si="2"/>
        <v>18600</v>
      </c>
      <c r="R20" s="175">
        <f t="shared" si="6"/>
        <v>9574.1995000000006</v>
      </c>
      <c r="T20" s="84">
        <v>5</v>
      </c>
      <c r="U20" s="193">
        <f t="shared" si="3"/>
        <v>47870.997500000005</v>
      </c>
    </row>
    <row r="21" spans="1:21" x14ac:dyDescent="0.2">
      <c r="A21" s="84">
        <v>17</v>
      </c>
      <c r="B21" s="97" t="s">
        <v>14</v>
      </c>
      <c r="C21" s="98" t="s">
        <v>27</v>
      </c>
      <c r="D21" s="134">
        <v>714</v>
      </c>
      <c r="E21" s="140"/>
      <c r="F21" s="135">
        <v>726.47</v>
      </c>
      <c r="G21" s="135">
        <v>1297</v>
      </c>
      <c r="H21" s="136">
        <v>927</v>
      </c>
      <c r="I21" s="100">
        <f t="shared" si="4"/>
        <v>916.11750000000006</v>
      </c>
      <c r="J21" s="101">
        <f t="shared" si="5"/>
        <v>272.03404546428851</v>
      </c>
      <c r="K21" s="101">
        <f t="shared" si="0"/>
        <v>1188.1515454642886</v>
      </c>
      <c r="L21" s="163">
        <f t="shared" si="1"/>
        <v>644.08345453571155</v>
      </c>
      <c r="M21" s="103">
        <f t="shared" si="2"/>
        <v>714</v>
      </c>
      <c r="N21" s="99" t="str">
        <f t="shared" si="2"/>
        <v/>
      </c>
      <c r="O21" s="99">
        <f t="shared" si="2"/>
        <v>726.47</v>
      </c>
      <c r="P21" s="101" t="str">
        <f t="shared" si="2"/>
        <v/>
      </c>
      <c r="Q21" s="163">
        <f t="shared" si="2"/>
        <v>927</v>
      </c>
      <c r="R21" s="175">
        <f t="shared" si="6"/>
        <v>789.15666666666675</v>
      </c>
      <c r="T21" s="84">
        <v>200</v>
      </c>
      <c r="U21" s="193">
        <f t="shared" si="3"/>
        <v>157831.33333333334</v>
      </c>
    </row>
    <row r="22" spans="1:21" x14ac:dyDescent="0.2">
      <c r="A22" s="84">
        <v>18</v>
      </c>
      <c r="B22" s="97" t="s">
        <v>111</v>
      </c>
      <c r="C22" s="98" t="s">
        <v>112</v>
      </c>
      <c r="D22" s="134"/>
      <c r="E22" s="140"/>
      <c r="F22" s="135"/>
      <c r="G22" s="135">
        <v>3230</v>
      </c>
      <c r="H22" s="136">
        <v>2576</v>
      </c>
      <c r="I22" s="100">
        <f t="shared" si="4"/>
        <v>2903</v>
      </c>
      <c r="J22" s="101">
        <f t="shared" si="5"/>
        <v>462.44783489600206</v>
      </c>
      <c r="K22" s="101">
        <f t="shared" si="0"/>
        <v>3365.447834896002</v>
      </c>
      <c r="L22" s="163">
        <f t="shared" si="1"/>
        <v>2440.552165103998</v>
      </c>
      <c r="M22" s="103" t="str">
        <f t="shared" ref="M22:Q37" si="7">IF(AND(D22&lt;=$K22,D22&gt;=$L22),D22,"")</f>
        <v/>
      </c>
      <c r="N22" s="99" t="str">
        <f t="shared" si="7"/>
        <v/>
      </c>
      <c r="O22" s="99" t="str">
        <f t="shared" si="7"/>
        <v/>
      </c>
      <c r="P22" s="101">
        <f t="shared" si="7"/>
        <v>3230</v>
      </c>
      <c r="Q22" s="163">
        <f t="shared" si="7"/>
        <v>2576</v>
      </c>
      <c r="R22" s="175">
        <f t="shared" si="6"/>
        <v>2903</v>
      </c>
      <c r="T22" s="84">
        <v>50</v>
      </c>
      <c r="U22" s="193">
        <f t="shared" si="3"/>
        <v>145150</v>
      </c>
    </row>
    <row r="23" spans="1:21" x14ac:dyDescent="0.2">
      <c r="A23" s="84">
        <v>19</v>
      </c>
      <c r="B23" s="97" t="s">
        <v>78</v>
      </c>
      <c r="C23" s="98" t="s">
        <v>50</v>
      </c>
      <c r="D23" s="134">
        <v>58905</v>
      </c>
      <c r="E23" s="135">
        <v>3300</v>
      </c>
      <c r="F23" s="135">
        <v>3943.6974999999998</v>
      </c>
      <c r="G23" s="135">
        <v>5676</v>
      </c>
      <c r="H23" s="136">
        <v>3978</v>
      </c>
      <c r="I23" s="100">
        <f t="shared" si="4"/>
        <v>15160.539499999999</v>
      </c>
      <c r="J23" s="101">
        <f t="shared" si="5"/>
        <v>24469.743793694517</v>
      </c>
      <c r="K23" s="101">
        <f t="shared" si="0"/>
        <v>39630.28329369452</v>
      </c>
      <c r="L23" s="163">
        <f t="shared" si="1"/>
        <v>-9309.2042936945181</v>
      </c>
      <c r="M23" s="103" t="str">
        <f t="shared" si="7"/>
        <v/>
      </c>
      <c r="N23" s="99">
        <f t="shared" si="7"/>
        <v>3300</v>
      </c>
      <c r="O23" s="99">
        <f t="shared" si="7"/>
        <v>3943.6974999999998</v>
      </c>
      <c r="P23" s="101">
        <f t="shared" si="7"/>
        <v>5676</v>
      </c>
      <c r="Q23" s="163">
        <f t="shared" si="7"/>
        <v>3978</v>
      </c>
      <c r="R23" s="175">
        <f t="shared" si="6"/>
        <v>4224.4243750000005</v>
      </c>
      <c r="T23" s="84">
        <v>50</v>
      </c>
      <c r="U23" s="193">
        <f t="shared" si="3"/>
        <v>211221.21875000003</v>
      </c>
    </row>
    <row r="24" spans="1:21" x14ac:dyDescent="0.2">
      <c r="A24" s="84">
        <v>20</v>
      </c>
      <c r="B24" s="97" t="s">
        <v>13</v>
      </c>
      <c r="C24" s="98" t="s">
        <v>24</v>
      </c>
      <c r="D24" s="134">
        <v>17017</v>
      </c>
      <c r="E24" s="135">
        <v>8400</v>
      </c>
      <c r="F24" s="135">
        <v>19047.900000000001</v>
      </c>
      <c r="G24" s="135">
        <v>12495</v>
      </c>
      <c r="H24" s="136">
        <v>9900</v>
      </c>
      <c r="I24" s="100">
        <f t="shared" si="4"/>
        <v>13371.98</v>
      </c>
      <c r="J24" s="101">
        <f t="shared" si="5"/>
        <v>4556.4943434618735</v>
      </c>
      <c r="K24" s="101">
        <f t="shared" si="0"/>
        <v>17928.474343461872</v>
      </c>
      <c r="L24" s="163">
        <f t="shared" si="1"/>
        <v>8815.4856565381269</v>
      </c>
      <c r="M24" s="103">
        <f t="shared" si="7"/>
        <v>17017</v>
      </c>
      <c r="N24" s="99" t="str">
        <f t="shared" si="7"/>
        <v/>
      </c>
      <c r="O24" s="99" t="str">
        <f t="shared" si="7"/>
        <v/>
      </c>
      <c r="P24" s="101">
        <f t="shared" si="7"/>
        <v>12495</v>
      </c>
      <c r="Q24" s="163">
        <f t="shared" si="7"/>
        <v>9900</v>
      </c>
      <c r="R24" s="175">
        <f t="shared" si="6"/>
        <v>13137.333333333334</v>
      </c>
      <c r="T24" s="84">
        <v>10</v>
      </c>
      <c r="U24" s="193">
        <f t="shared" si="3"/>
        <v>131373.33333333334</v>
      </c>
    </row>
    <row r="25" spans="1:21" x14ac:dyDescent="0.2">
      <c r="A25" s="84">
        <v>21</v>
      </c>
      <c r="B25" s="97" t="s">
        <v>12</v>
      </c>
      <c r="C25" s="98" t="s">
        <v>30</v>
      </c>
      <c r="D25" s="134">
        <v>16065</v>
      </c>
      <c r="E25" s="135">
        <v>1100</v>
      </c>
      <c r="F25" s="135"/>
      <c r="G25" s="135"/>
      <c r="H25" s="136"/>
      <c r="I25" s="100">
        <f t="shared" si="4"/>
        <v>8582.5</v>
      </c>
      <c r="J25" s="101">
        <f t="shared" si="5"/>
        <v>10581.852980456684</v>
      </c>
      <c r="K25" s="101">
        <f t="shared" si="0"/>
        <v>19164.352980456686</v>
      </c>
      <c r="L25" s="163">
        <f t="shared" si="1"/>
        <v>-1999.3529804566842</v>
      </c>
      <c r="M25" s="103">
        <f t="shared" si="7"/>
        <v>16065</v>
      </c>
      <c r="N25" s="99">
        <f t="shared" si="7"/>
        <v>1100</v>
      </c>
      <c r="O25" s="99">
        <f t="shared" si="7"/>
        <v>0</v>
      </c>
      <c r="P25" s="101">
        <f t="shared" si="7"/>
        <v>0</v>
      </c>
      <c r="Q25" s="163">
        <f t="shared" si="7"/>
        <v>0</v>
      </c>
      <c r="R25" s="175">
        <f t="shared" si="6"/>
        <v>3433</v>
      </c>
      <c r="T25" s="84">
        <v>20</v>
      </c>
      <c r="U25" s="193">
        <f t="shared" si="3"/>
        <v>68660</v>
      </c>
    </row>
    <row r="26" spans="1:21" x14ac:dyDescent="0.2">
      <c r="A26" s="84">
        <v>22</v>
      </c>
      <c r="B26" s="97" t="s">
        <v>79</v>
      </c>
      <c r="C26" s="98" t="s">
        <v>24</v>
      </c>
      <c r="D26" s="134">
        <v>1505.35</v>
      </c>
      <c r="E26" s="135">
        <v>1100</v>
      </c>
      <c r="F26" s="135">
        <v>1532.77</v>
      </c>
      <c r="G26" s="135">
        <v>1535</v>
      </c>
      <c r="H26" s="136">
        <v>1497</v>
      </c>
      <c r="I26" s="100">
        <f t="shared" si="4"/>
        <v>1434.0239999999999</v>
      </c>
      <c r="J26" s="101">
        <f t="shared" si="5"/>
        <v>187.46488505850945</v>
      </c>
      <c r="K26" s="101">
        <f t="shared" si="0"/>
        <v>1621.4888850585094</v>
      </c>
      <c r="L26" s="163">
        <f t="shared" si="1"/>
        <v>1246.5591149414904</v>
      </c>
      <c r="M26" s="103">
        <f t="shared" si="7"/>
        <v>1505.35</v>
      </c>
      <c r="N26" s="99" t="str">
        <f t="shared" si="7"/>
        <v/>
      </c>
      <c r="O26" s="99">
        <f t="shared" si="7"/>
        <v>1532.77</v>
      </c>
      <c r="P26" s="101">
        <f t="shared" si="7"/>
        <v>1535</v>
      </c>
      <c r="Q26" s="163">
        <f t="shared" si="7"/>
        <v>1497</v>
      </c>
      <c r="R26" s="175">
        <f t="shared" si="6"/>
        <v>1517.53</v>
      </c>
      <c r="T26" s="84">
        <v>348</v>
      </c>
      <c r="U26" s="193">
        <f t="shared" si="3"/>
        <v>528100.43999999994</v>
      </c>
    </row>
    <row r="27" spans="1:21" x14ac:dyDescent="0.2">
      <c r="A27" s="84">
        <v>23</v>
      </c>
      <c r="B27" s="97" t="s">
        <v>73</v>
      </c>
      <c r="C27" s="98" t="s">
        <v>24</v>
      </c>
      <c r="D27" s="134">
        <v>29750</v>
      </c>
      <c r="E27" s="135">
        <v>27500</v>
      </c>
      <c r="F27" s="135">
        <v>33991.639000000003</v>
      </c>
      <c r="G27" s="135">
        <v>64022</v>
      </c>
      <c r="H27" s="136">
        <v>39900</v>
      </c>
      <c r="I27" s="100">
        <f t="shared" si="4"/>
        <v>39032.727800000001</v>
      </c>
      <c r="J27" s="101">
        <f t="shared" si="5"/>
        <v>14746.197038235463</v>
      </c>
      <c r="K27" s="101">
        <f t="shared" si="0"/>
        <v>53778.924838235464</v>
      </c>
      <c r="L27" s="163">
        <f t="shared" si="1"/>
        <v>24286.530761764538</v>
      </c>
      <c r="M27" s="103">
        <f t="shared" si="7"/>
        <v>29750</v>
      </c>
      <c r="N27" s="99">
        <f t="shared" si="7"/>
        <v>27500</v>
      </c>
      <c r="O27" s="99">
        <f t="shared" si="7"/>
        <v>33991.639000000003</v>
      </c>
      <c r="P27" s="101" t="str">
        <f t="shared" si="7"/>
        <v/>
      </c>
      <c r="Q27" s="163">
        <f t="shared" si="7"/>
        <v>39900</v>
      </c>
      <c r="R27" s="175">
        <f t="shared" si="6"/>
        <v>32785.409749999999</v>
      </c>
      <c r="T27" s="84">
        <v>30</v>
      </c>
      <c r="U27" s="193">
        <f t="shared" si="3"/>
        <v>983562.29249999998</v>
      </c>
    </row>
    <row r="28" spans="1:21" x14ac:dyDescent="0.2">
      <c r="A28" s="84">
        <v>24</v>
      </c>
      <c r="B28" s="97" t="s">
        <v>70</v>
      </c>
      <c r="C28" s="98" t="s">
        <v>29</v>
      </c>
      <c r="D28" s="134">
        <v>1582.6999999999998</v>
      </c>
      <c r="E28" s="135">
        <v>1550</v>
      </c>
      <c r="F28" s="135">
        <v>1486.4705999999999</v>
      </c>
      <c r="G28" s="135">
        <v>1833</v>
      </c>
      <c r="H28" s="136">
        <v>1979</v>
      </c>
      <c r="I28" s="100">
        <f t="shared" si="4"/>
        <v>1686.2341199999998</v>
      </c>
      <c r="J28" s="101">
        <f t="shared" si="5"/>
        <v>210.02178303897969</v>
      </c>
      <c r="K28" s="101">
        <f t="shared" si="0"/>
        <v>1896.2559030389796</v>
      </c>
      <c r="L28" s="163">
        <f t="shared" si="1"/>
        <v>1476.2123369610201</v>
      </c>
      <c r="M28" s="103">
        <f t="shared" si="7"/>
        <v>1582.6999999999998</v>
      </c>
      <c r="N28" s="99">
        <f t="shared" si="7"/>
        <v>1550</v>
      </c>
      <c r="O28" s="99">
        <f t="shared" si="7"/>
        <v>1486.4705999999999</v>
      </c>
      <c r="P28" s="101">
        <f t="shared" si="7"/>
        <v>1833</v>
      </c>
      <c r="Q28" s="163" t="str">
        <f t="shared" si="7"/>
        <v/>
      </c>
      <c r="R28" s="175">
        <f t="shared" si="6"/>
        <v>1613.0426499999999</v>
      </c>
      <c r="T28" s="84">
        <v>150</v>
      </c>
      <c r="U28" s="193">
        <f t="shared" si="3"/>
        <v>241956.39749999999</v>
      </c>
    </row>
    <row r="29" spans="1:21" x14ac:dyDescent="0.2">
      <c r="A29" s="84">
        <v>25</v>
      </c>
      <c r="B29" s="97" t="s">
        <v>121</v>
      </c>
      <c r="C29" s="98" t="s">
        <v>41</v>
      </c>
      <c r="D29" s="134">
        <v>8925</v>
      </c>
      <c r="E29" s="135">
        <v>4000</v>
      </c>
      <c r="F29" s="135"/>
      <c r="G29" s="135"/>
      <c r="H29" s="136"/>
      <c r="I29" s="100">
        <f t="shared" si="4"/>
        <v>6462.5</v>
      </c>
      <c r="J29" s="101">
        <f t="shared" si="5"/>
        <v>3482.5008973437466</v>
      </c>
      <c r="K29" s="101">
        <f t="shared" si="0"/>
        <v>9945.0008973437471</v>
      </c>
      <c r="L29" s="163">
        <f t="shared" si="1"/>
        <v>2979.9991026562534</v>
      </c>
      <c r="M29" s="103">
        <f t="shared" si="7"/>
        <v>8925</v>
      </c>
      <c r="N29" s="99">
        <f t="shared" si="7"/>
        <v>4000</v>
      </c>
      <c r="O29" s="99" t="str">
        <f t="shared" si="7"/>
        <v/>
      </c>
      <c r="P29" s="101" t="str">
        <f t="shared" si="7"/>
        <v/>
      </c>
      <c r="Q29" s="163" t="str">
        <f t="shared" si="7"/>
        <v/>
      </c>
      <c r="R29" s="175">
        <f t="shared" si="6"/>
        <v>6462.5</v>
      </c>
      <c r="T29" s="84">
        <v>10</v>
      </c>
      <c r="U29" s="193">
        <f t="shared" si="3"/>
        <v>64625</v>
      </c>
    </row>
    <row r="30" spans="1:21" ht="25.5" x14ac:dyDescent="0.2">
      <c r="A30" s="84">
        <v>26</v>
      </c>
      <c r="B30" s="97" t="s">
        <v>53</v>
      </c>
      <c r="C30" s="98" t="s">
        <v>24</v>
      </c>
      <c r="D30" s="134">
        <v>3629.5</v>
      </c>
      <c r="E30" s="135">
        <v>1850</v>
      </c>
      <c r="F30" s="135">
        <v>1372.7102</v>
      </c>
      <c r="G30" s="135">
        <v>1785</v>
      </c>
      <c r="H30" s="136">
        <v>1446</v>
      </c>
      <c r="I30" s="100">
        <f t="shared" si="4"/>
        <v>2016.64204</v>
      </c>
      <c r="J30" s="101">
        <f t="shared" si="5"/>
        <v>925.07012649139654</v>
      </c>
      <c r="K30" s="101">
        <f t="shared" si="0"/>
        <v>2941.7121664913966</v>
      </c>
      <c r="L30" s="163">
        <f t="shared" si="1"/>
        <v>1091.5719135086033</v>
      </c>
      <c r="M30" s="103" t="str">
        <f t="shared" si="7"/>
        <v/>
      </c>
      <c r="N30" s="99">
        <f t="shared" si="7"/>
        <v>1850</v>
      </c>
      <c r="O30" s="99">
        <f t="shared" si="7"/>
        <v>1372.7102</v>
      </c>
      <c r="P30" s="101">
        <f t="shared" si="7"/>
        <v>1785</v>
      </c>
      <c r="Q30" s="163">
        <f t="shared" si="7"/>
        <v>1446</v>
      </c>
      <c r="R30" s="175">
        <f t="shared" si="6"/>
        <v>1613.4275499999999</v>
      </c>
      <c r="T30" s="84">
        <v>200</v>
      </c>
      <c r="U30" s="193">
        <f t="shared" si="3"/>
        <v>322685.50999999995</v>
      </c>
    </row>
    <row r="31" spans="1:21" x14ac:dyDescent="0.2">
      <c r="A31" s="84">
        <v>27</v>
      </c>
      <c r="B31" s="97" t="s">
        <v>56</v>
      </c>
      <c r="C31" s="98" t="s">
        <v>36</v>
      </c>
      <c r="D31" s="134">
        <v>104720</v>
      </c>
      <c r="E31" s="135">
        <f>8650*10</f>
        <v>86500</v>
      </c>
      <c r="F31" s="135">
        <f>8319.33*10</f>
        <v>83193.3</v>
      </c>
      <c r="G31" s="135">
        <v>18564</v>
      </c>
      <c r="H31" s="136">
        <f>14490*10</f>
        <v>144900</v>
      </c>
      <c r="I31" s="100">
        <f t="shared" si="4"/>
        <v>87575.459999999992</v>
      </c>
      <c r="J31" s="101">
        <f t="shared" si="5"/>
        <v>45724.664268401146</v>
      </c>
      <c r="K31" s="101">
        <f t="shared" si="0"/>
        <v>133300.12426840112</v>
      </c>
      <c r="L31" s="163">
        <f t="shared" si="1"/>
        <v>41850.795731598846</v>
      </c>
      <c r="M31" s="103">
        <f t="shared" si="7"/>
        <v>104720</v>
      </c>
      <c r="N31" s="99">
        <f t="shared" si="7"/>
        <v>86500</v>
      </c>
      <c r="O31" s="99">
        <f t="shared" si="7"/>
        <v>83193.3</v>
      </c>
      <c r="P31" s="101" t="str">
        <f t="shared" si="7"/>
        <v/>
      </c>
      <c r="Q31" s="163" t="str">
        <f t="shared" si="7"/>
        <v/>
      </c>
      <c r="R31" s="175">
        <f t="shared" si="6"/>
        <v>91471.099999999991</v>
      </c>
      <c r="T31" s="84">
        <v>10</v>
      </c>
      <c r="U31" s="193">
        <f t="shared" si="3"/>
        <v>914710.99999999988</v>
      </c>
    </row>
    <row r="32" spans="1:21" x14ac:dyDescent="0.2">
      <c r="A32" s="84">
        <v>28</v>
      </c>
      <c r="B32" s="97" t="s">
        <v>57</v>
      </c>
      <c r="C32" s="98" t="s">
        <v>36</v>
      </c>
      <c r="D32" s="134">
        <v>123165</v>
      </c>
      <c r="E32" s="135">
        <f>11400*10</f>
        <v>114000</v>
      </c>
      <c r="F32" s="135">
        <f>13084.03*10</f>
        <v>130840.3</v>
      </c>
      <c r="G32" s="135">
        <v>23324</v>
      </c>
      <c r="H32" s="136">
        <f>16250*10</f>
        <v>162500</v>
      </c>
      <c r="I32" s="100">
        <f t="shared" si="4"/>
        <v>110765.86000000002</v>
      </c>
      <c r="J32" s="101">
        <f t="shared" si="5"/>
        <v>52176.818601252373</v>
      </c>
      <c r="K32" s="101">
        <f t="shared" si="0"/>
        <v>162942.67860125238</v>
      </c>
      <c r="L32" s="163">
        <f t="shared" si="1"/>
        <v>58589.041398747642</v>
      </c>
      <c r="M32" s="103">
        <f t="shared" si="7"/>
        <v>123165</v>
      </c>
      <c r="N32" s="99">
        <f t="shared" si="7"/>
        <v>114000</v>
      </c>
      <c r="O32" s="99">
        <f t="shared" si="7"/>
        <v>130840.3</v>
      </c>
      <c r="P32" s="101" t="str">
        <f t="shared" si="7"/>
        <v/>
      </c>
      <c r="Q32" s="163">
        <f t="shared" si="7"/>
        <v>162500</v>
      </c>
      <c r="R32" s="175">
        <f t="shared" si="6"/>
        <v>132626.32500000001</v>
      </c>
      <c r="T32" s="84">
        <v>10</v>
      </c>
      <c r="U32" s="193">
        <f t="shared" si="3"/>
        <v>1326263.25</v>
      </c>
    </row>
    <row r="33" spans="1:21" x14ac:dyDescent="0.2">
      <c r="A33" s="84">
        <v>29</v>
      </c>
      <c r="B33" s="97" t="s">
        <v>18</v>
      </c>
      <c r="C33" s="98" t="s">
        <v>104</v>
      </c>
      <c r="D33" s="134">
        <v>1570.8</v>
      </c>
      <c r="E33" s="135">
        <v>8500</v>
      </c>
      <c r="F33" s="135"/>
      <c r="G33" s="135">
        <v>22610</v>
      </c>
      <c r="H33" s="136">
        <v>7500</v>
      </c>
      <c r="I33" s="100">
        <f t="shared" si="4"/>
        <v>10045.200000000001</v>
      </c>
      <c r="J33" s="101">
        <f t="shared" si="5"/>
        <v>8917.3116367359635</v>
      </c>
      <c r="K33" s="101">
        <f t="shared" si="0"/>
        <v>18962.511636735966</v>
      </c>
      <c r="L33" s="163">
        <f t="shared" si="1"/>
        <v>1127.8883632640373</v>
      </c>
      <c r="M33" s="103">
        <f t="shared" si="7"/>
        <v>1570.8</v>
      </c>
      <c r="N33" s="99">
        <f t="shared" si="7"/>
        <v>8500</v>
      </c>
      <c r="O33" s="99" t="str">
        <f t="shared" si="7"/>
        <v/>
      </c>
      <c r="P33" s="101" t="str">
        <f t="shared" si="7"/>
        <v/>
      </c>
      <c r="Q33" s="163">
        <f t="shared" si="7"/>
        <v>7500</v>
      </c>
      <c r="R33" s="175">
        <f t="shared" si="6"/>
        <v>5856.9333333333334</v>
      </c>
      <c r="T33" s="84">
        <v>100</v>
      </c>
      <c r="U33" s="193">
        <f t="shared" si="3"/>
        <v>585693.33333333337</v>
      </c>
    </row>
    <row r="34" spans="1:21" x14ac:dyDescent="0.2">
      <c r="A34" s="84">
        <v>30</v>
      </c>
      <c r="B34" s="97" t="s">
        <v>59</v>
      </c>
      <c r="C34" s="98" t="s">
        <v>40</v>
      </c>
      <c r="D34" s="134">
        <v>10710</v>
      </c>
      <c r="E34" s="135">
        <v>22500</v>
      </c>
      <c r="F34" s="135"/>
      <c r="G34" s="135"/>
      <c r="H34" s="136"/>
      <c r="I34" s="100">
        <f t="shared" si="4"/>
        <v>16605</v>
      </c>
      <c r="J34" s="101">
        <f t="shared" si="5"/>
        <v>8336.7889501893951</v>
      </c>
      <c r="K34" s="101">
        <f t="shared" si="0"/>
        <v>24941.788950189395</v>
      </c>
      <c r="L34" s="163">
        <f t="shared" si="1"/>
        <v>8268.2110498106049</v>
      </c>
      <c r="M34" s="103">
        <f t="shared" si="7"/>
        <v>10710</v>
      </c>
      <c r="N34" s="99">
        <f t="shared" si="7"/>
        <v>22500</v>
      </c>
      <c r="O34" s="99" t="str">
        <f t="shared" si="7"/>
        <v/>
      </c>
      <c r="P34" s="101" t="str">
        <f t="shared" si="7"/>
        <v/>
      </c>
      <c r="Q34" s="163" t="str">
        <f t="shared" si="7"/>
        <v/>
      </c>
      <c r="R34" s="175">
        <f t="shared" si="6"/>
        <v>16605</v>
      </c>
      <c r="T34" s="84">
        <v>60</v>
      </c>
      <c r="U34" s="193">
        <f t="shared" si="3"/>
        <v>996300</v>
      </c>
    </row>
    <row r="35" spans="1:21" x14ac:dyDescent="0.2">
      <c r="A35" s="84">
        <v>31</v>
      </c>
      <c r="B35" s="97" t="s">
        <v>60</v>
      </c>
      <c r="C35" s="98" t="s">
        <v>40</v>
      </c>
      <c r="D35" s="134">
        <v>11305</v>
      </c>
      <c r="E35" s="135">
        <v>24500</v>
      </c>
      <c r="F35" s="135"/>
      <c r="G35" s="135"/>
      <c r="H35" s="136"/>
      <c r="I35" s="100">
        <f t="shared" si="4"/>
        <v>17902.5</v>
      </c>
      <c r="J35" s="101">
        <f t="shared" si="5"/>
        <v>9330.2739777564948</v>
      </c>
      <c r="K35" s="101">
        <f t="shared" si="0"/>
        <v>27232.773977756493</v>
      </c>
      <c r="L35" s="163">
        <f t="shared" si="1"/>
        <v>8572.2260222435052</v>
      </c>
      <c r="M35" s="103">
        <f t="shared" si="7"/>
        <v>11305</v>
      </c>
      <c r="N35" s="99">
        <f t="shared" si="7"/>
        <v>24500</v>
      </c>
      <c r="O35" s="99" t="str">
        <f t="shared" si="7"/>
        <v/>
      </c>
      <c r="P35" s="101" t="str">
        <f t="shared" si="7"/>
        <v/>
      </c>
      <c r="Q35" s="163" t="str">
        <f t="shared" si="7"/>
        <v/>
      </c>
      <c r="R35" s="175">
        <f t="shared" si="6"/>
        <v>17902.5</v>
      </c>
      <c r="T35" s="84">
        <v>60</v>
      </c>
      <c r="U35" s="193">
        <f t="shared" si="3"/>
        <v>1074150</v>
      </c>
    </row>
    <row r="36" spans="1:21" x14ac:dyDescent="0.2">
      <c r="A36" s="84">
        <v>32</v>
      </c>
      <c r="B36" s="97" t="s">
        <v>80</v>
      </c>
      <c r="C36" s="98" t="s">
        <v>24</v>
      </c>
      <c r="D36" s="134">
        <v>3677.1</v>
      </c>
      <c r="E36" s="135">
        <v>2900</v>
      </c>
      <c r="F36" s="135">
        <v>3541.7440000000001</v>
      </c>
      <c r="G36" s="135">
        <v>2523</v>
      </c>
      <c r="H36" s="136">
        <v>2790</v>
      </c>
      <c r="I36" s="100">
        <f t="shared" si="4"/>
        <v>3086.3688000000002</v>
      </c>
      <c r="J36" s="101">
        <f t="shared" si="5"/>
        <v>499.06966534462748</v>
      </c>
      <c r="K36" s="101">
        <f t="shared" si="0"/>
        <v>3585.4384653446277</v>
      </c>
      <c r="L36" s="163">
        <f t="shared" si="1"/>
        <v>2587.2991346553727</v>
      </c>
      <c r="M36" s="103" t="str">
        <f t="shared" si="7"/>
        <v/>
      </c>
      <c r="N36" s="99">
        <f t="shared" si="7"/>
        <v>2900</v>
      </c>
      <c r="O36" s="99">
        <f t="shared" si="7"/>
        <v>3541.7440000000001</v>
      </c>
      <c r="P36" s="101" t="str">
        <f t="shared" si="7"/>
        <v/>
      </c>
      <c r="Q36" s="163">
        <f t="shared" si="7"/>
        <v>2790</v>
      </c>
      <c r="R36" s="175">
        <f t="shared" si="6"/>
        <v>3077.248</v>
      </c>
      <c r="T36" s="84">
        <v>100</v>
      </c>
      <c r="U36" s="193">
        <f t="shared" si="3"/>
        <v>307724.79999999999</v>
      </c>
    </row>
    <row r="37" spans="1:21" x14ac:dyDescent="0.2">
      <c r="A37" s="84">
        <v>33</v>
      </c>
      <c r="B37" s="97" t="s">
        <v>62</v>
      </c>
      <c r="C37" s="98" t="s">
        <v>52</v>
      </c>
      <c r="D37" s="134">
        <v>43982.400000000001</v>
      </c>
      <c r="E37" s="135">
        <f>90*200</f>
        <v>18000</v>
      </c>
      <c r="F37" s="135">
        <v>42470.584999999999</v>
      </c>
      <c r="G37" s="135">
        <v>9801</v>
      </c>
      <c r="H37" s="136">
        <v>42900</v>
      </c>
      <c r="I37" s="100">
        <f t="shared" si="4"/>
        <v>31430.796999999999</v>
      </c>
      <c r="J37" s="101">
        <f t="shared" si="5"/>
        <v>16272.651141763748</v>
      </c>
      <c r="K37" s="101">
        <f t="shared" si="0"/>
        <v>47703.448141763743</v>
      </c>
      <c r="L37" s="163">
        <f t="shared" si="1"/>
        <v>15158.14585823625</v>
      </c>
      <c r="M37" s="103">
        <f t="shared" si="7"/>
        <v>43982.400000000001</v>
      </c>
      <c r="N37" s="99">
        <f t="shared" si="7"/>
        <v>18000</v>
      </c>
      <c r="O37" s="99">
        <f t="shared" si="7"/>
        <v>42470.584999999999</v>
      </c>
      <c r="P37" s="101" t="str">
        <f t="shared" si="7"/>
        <v/>
      </c>
      <c r="Q37" s="163">
        <f t="shared" si="7"/>
        <v>42900</v>
      </c>
      <c r="R37" s="175">
        <f t="shared" si="6"/>
        <v>36838.246249999997</v>
      </c>
      <c r="T37" s="84">
        <v>2</v>
      </c>
      <c r="U37" s="193">
        <f t="shared" si="3"/>
        <v>73676.492499999993</v>
      </c>
    </row>
    <row r="38" spans="1:21" x14ac:dyDescent="0.2">
      <c r="A38" s="84">
        <v>34</v>
      </c>
      <c r="B38" s="97" t="s">
        <v>33</v>
      </c>
      <c r="C38" s="98" t="s">
        <v>24</v>
      </c>
      <c r="D38" s="186">
        <v>602.14</v>
      </c>
      <c r="E38" s="135">
        <v>450</v>
      </c>
      <c r="F38" s="187">
        <v>943.21600000000001</v>
      </c>
      <c r="G38" s="187">
        <v>500</v>
      </c>
      <c r="H38" s="188">
        <v>343</v>
      </c>
      <c r="I38" s="100">
        <f t="shared" si="4"/>
        <v>567.6712</v>
      </c>
      <c r="J38" s="101">
        <f t="shared" si="5"/>
        <v>229.74172765782026</v>
      </c>
      <c r="K38" s="101">
        <f t="shared" si="0"/>
        <v>797.41292765782032</v>
      </c>
      <c r="L38" s="163">
        <f t="shared" si="1"/>
        <v>337.92947234217974</v>
      </c>
      <c r="M38" s="103">
        <f t="shared" ref="M38:Q49" si="8">IF(AND(D38&lt;=$K38,D38&gt;=$L38),D38,"")</f>
        <v>602.14</v>
      </c>
      <c r="N38" s="99">
        <f t="shared" si="8"/>
        <v>450</v>
      </c>
      <c r="O38" s="99" t="str">
        <f t="shared" si="8"/>
        <v/>
      </c>
      <c r="P38" s="101">
        <f t="shared" si="8"/>
        <v>500</v>
      </c>
      <c r="Q38" s="163">
        <f t="shared" si="8"/>
        <v>343</v>
      </c>
      <c r="R38" s="175">
        <f t="shared" si="6"/>
        <v>473.78499999999997</v>
      </c>
      <c r="T38" s="84">
        <v>30</v>
      </c>
      <c r="U38" s="193">
        <f t="shared" si="3"/>
        <v>14213.55</v>
      </c>
    </row>
    <row r="39" spans="1:21" x14ac:dyDescent="0.2">
      <c r="A39" s="84">
        <v>35</v>
      </c>
      <c r="B39" s="97" t="s">
        <v>81</v>
      </c>
      <c r="C39" s="98" t="s">
        <v>24</v>
      </c>
      <c r="D39" s="134">
        <v>916.3</v>
      </c>
      <c r="E39" s="135">
        <v>655</v>
      </c>
      <c r="F39" s="135">
        <v>934.03</v>
      </c>
      <c r="G39" s="135">
        <v>1035</v>
      </c>
      <c r="H39" s="136">
        <v>1590</v>
      </c>
      <c r="I39" s="100">
        <f t="shared" si="4"/>
        <v>1026.066</v>
      </c>
      <c r="J39" s="101">
        <f t="shared" si="5"/>
        <v>345.07627748079108</v>
      </c>
      <c r="K39" s="101">
        <f t="shared" si="0"/>
        <v>1371.1422774807911</v>
      </c>
      <c r="L39" s="163">
        <f t="shared" si="1"/>
        <v>680.98972251920895</v>
      </c>
      <c r="M39" s="103">
        <f t="shared" si="8"/>
        <v>916.3</v>
      </c>
      <c r="N39" s="99" t="str">
        <f t="shared" si="8"/>
        <v/>
      </c>
      <c r="O39" s="99">
        <f t="shared" si="8"/>
        <v>934.03</v>
      </c>
      <c r="P39" s="101">
        <f t="shared" si="8"/>
        <v>1035</v>
      </c>
      <c r="Q39" s="163" t="str">
        <f t="shared" si="8"/>
        <v/>
      </c>
      <c r="R39" s="175">
        <f t="shared" si="6"/>
        <v>961.77666666666664</v>
      </c>
      <c r="T39" s="84">
        <v>150</v>
      </c>
      <c r="U39" s="193">
        <f t="shared" si="3"/>
        <v>144266.5</v>
      </c>
    </row>
    <row r="40" spans="1:21" x14ac:dyDescent="0.2">
      <c r="A40" s="84">
        <v>36</v>
      </c>
      <c r="B40" s="97" t="s">
        <v>15</v>
      </c>
      <c r="C40" s="98" t="s">
        <v>31</v>
      </c>
      <c r="D40" s="134">
        <v>21182</v>
      </c>
      <c r="E40" s="135">
        <v>25000</v>
      </c>
      <c r="F40" s="135">
        <v>24367.5</v>
      </c>
      <c r="G40" s="135"/>
      <c r="H40" s="136"/>
      <c r="I40" s="100">
        <f t="shared" si="4"/>
        <v>23516.5</v>
      </c>
      <c r="J40" s="101">
        <f t="shared" si="5"/>
        <v>2046.3215167710082</v>
      </c>
      <c r="K40" s="101">
        <f t="shared" si="0"/>
        <v>25562.821516771008</v>
      </c>
      <c r="L40" s="163">
        <f t="shared" si="1"/>
        <v>21470.178483228992</v>
      </c>
      <c r="M40" s="103" t="str">
        <f t="shared" si="8"/>
        <v/>
      </c>
      <c r="N40" s="99">
        <f t="shared" si="8"/>
        <v>25000</v>
      </c>
      <c r="O40" s="99">
        <f t="shared" si="8"/>
        <v>24367.5</v>
      </c>
      <c r="P40" s="101" t="str">
        <f t="shared" si="8"/>
        <v/>
      </c>
      <c r="Q40" s="163" t="str">
        <f t="shared" si="8"/>
        <v/>
      </c>
      <c r="R40" s="175">
        <f t="shared" si="6"/>
        <v>24683.75</v>
      </c>
      <c r="T40" s="84">
        <v>5</v>
      </c>
      <c r="U40" s="193">
        <f t="shared" si="3"/>
        <v>123418.75</v>
      </c>
    </row>
    <row r="41" spans="1:21" x14ac:dyDescent="0.2">
      <c r="A41" s="84">
        <v>37</v>
      </c>
      <c r="B41" s="97" t="s">
        <v>16</v>
      </c>
      <c r="C41" s="98" t="s">
        <v>31</v>
      </c>
      <c r="D41" s="134">
        <v>41650</v>
      </c>
      <c r="E41" s="135">
        <v>23000</v>
      </c>
      <c r="F41" s="135">
        <v>16245</v>
      </c>
      <c r="G41" s="135"/>
      <c r="H41" s="136"/>
      <c r="I41" s="100">
        <f t="shared" si="4"/>
        <v>26965</v>
      </c>
      <c r="J41" s="101">
        <f t="shared" si="5"/>
        <v>13158.43550730861</v>
      </c>
      <c r="K41" s="101">
        <f t="shared" si="0"/>
        <v>40123.435507308612</v>
      </c>
      <c r="L41" s="163">
        <f t="shared" si="1"/>
        <v>13806.56449269139</v>
      </c>
      <c r="M41" s="103" t="str">
        <f t="shared" si="8"/>
        <v/>
      </c>
      <c r="N41" s="99">
        <f t="shared" si="8"/>
        <v>23000</v>
      </c>
      <c r="O41" s="99">
        <f t="shared" si="8"/>
        <v>16245</v>
      </c>
      <c r="P41" s="101" t="str">
        <f t="shared" si="8"/>
        <v/>
      </c>
      <c r="Q41" s="163" t="str">
        <f t="shared" si="8"/>
        <v/>
      </c>
      <c r="R41" s="175">
        <f t="shared" si="6"/>
        <v>19622.5</v>
      </c>
      <c r="T41" s="84">
        <v>5</v>
      </c>
      <c r="U41" s="193">
        <f t="shared" si="3"/>
        <v>98112.5</v>
      </c>
    </row>
    <row r="42" spans="1:21" x14ac:dyDescent="0.2">
      <c r="A42" s="84">
        <v>38</v>
      </c>
      <c r="B42" s="97" t="s">
        <v>102</v>
      </c>
      <c r="C42" s="98" t="s">
        <v>24</v>
      </c>
      <c r="D42" s="134"/>
      <c r="E42" s="135">
        <v>3700</v>
      </c>
      <c r="F42" s="135"/>
      <c r="G42" s="135"/>
      <c r="H42" s="136">
        <v>3200</v>
      </c>
      <c r="I42" s="100">
        <f t="shared" si="4"/>
        <v>3450</v>
      </c>
      <c r="J42" s="101">
        <f t="shared" si="5"/>
        <v>353.55339059327378</v>
      </c>
      <c r="K42" s="101">
        <f t="shared" si="0"/>
        <v>3803.5533905932739</v>
      </c>
      <c r="L42" s="163">
        <f t="shared" si="1"/>
        <v>3096.4466094067261</v>
      </c>
      <c r="M42" s="103" t="str">
        <f t="shared" si="8"/>
        <v/>
      </c>
      <c r="N42" s="99">
        <f t="shared" si="8"/>
        <v>3700</v>
      </c>
      <c r="O42" s="99" t="str">
        <f t="shared" si="8"/>
        <v/>
      </c>
      <c r="P42" s="101" t="str">
        <f t="shared" si="8"/>
        <v/>
      </c>
      <c r="Q42" s="163">
        <f t="shared" si="8"/>
        <v>3200</v>
      </c>
      <c r="R42" s="175">
        <f t="shared" si="6"/>
        <v>3450</v>
      </c>
      <c r="T42" s="84">
        <v>100</v>
      </c>
      <c r="U42" s="193">
        <f t="shared" si="3"/>
        <v>345000</v>
      </c>
    </row>
    <row r="43" spans="1:21" x14ac:dyDescent="0.2">
      <c r="A43" s="84">
        <v>39</v>
      </c>
      <c r="B43" s="97" t="s">
        <v>98</v>
      </c>
      <c r="C43" s="98" t="s">
        <v>24</v>
      </c>
      <c r="D43" s="134">
        <v>77.349999999999994</v>
      </c>
      <c r="E43" s="135">
        <v>52</v>
      </c>
      <c r="F43" s="135">
        <v>60.756300000000003</v>
      </c>
      <c r="G43" s="135">
        <v>57</v>
      </c>
      <c r="H43" s="136">
        <v>69.5</v>
      </c>
      <c r="I43" s="100">
        <f t="shared" si="4"/>
        <v>63.321260000000009</v>
      </c>
      <c r="J43" s="101">
        <f t="shared" si="5"/>
        <v>10.120408214988071</v>
      </c>
      <c r="K43" s="101">
        <f t="shared" si="0"/>
        <v>73.441668214988084</v>
      </c>
      <c r="L43" s="163">
        <f t="shared" si="1"/>
        <v>53.200851785011935</v>
      </c>
      <c r="M43" s="103" t="str">
        <f t="shared" si="8"/>
        <v/>
      </c>
      <c r="N43" s="99" t="str">
        <f t="shared" si="8"/>
        <v/>
      </c>
      <c r="O43" s="99">
        <f t="shared" si="8"/>
        <v>60.756300000000003</v>
      </c>
      <c r="P43" s="101">
        <f t="shared" si="8"/>
        <v>57</v>
      </c>
      <c r="Q43" s="163">
        <f t="shared" si="8"/>
        <v>69.5</v>
      </c>
      <c r="R43" s="175">
        <f t="shared" si="6"/>
        <v>62.41876666666667</v>
      </c>
      <c r="T43" s="84">
        <v>203</v>
      </c>
      <c r="U43" s="193">
        <f t="shared" si="3"/>
        <v>12671.009633333335</v>
      </c>
    </row>
    <row r="44" spans="1:21" x14ac:dyDescent="0.2">
      <c r="A44" s="84">
        <v>40</v>
      </c>
      <c r="B44" s="97" t="s">
        <v>37</v>
      </c>
      <c r="C44" s="98" t="s">
        <v>38</v>
      </c>
      <c r="D44" s="134">
        <v>8115.7999999999993</v>
      </c>
      <c r="E44" s="135">
        <v>8200</v>
      </c>
      <c r="F44" s="135">
        <v>8262.61</v>
      </c>
      <c r="G44" s="135">
        <v>9758</v>
      </c>
      <c r="H44" s="136">
        <v>7450</v>
      </c>
      <c r="I44" s="100">
        <f t="shared" si="4"/>
        <v>8357.2820000000011</v>
      </c>
      <c r="J44" s="101">
        <f t="shared" si="5"/>
        <v>848.11342320470328</v>
      </c>
      <c r="K44" s="101">
        <f t="shared" si="0"/>
        <v>9205.3954232047035</v>
      </c>
      <c r="L44" s="163">
        <f t="shared" si="1"/>
        <v>7509.1685767952977</v>
      </c>
      <c r="M44" s="103">
        <f t="shared" si="8"/>
        <v>8115.7999999999993</v>
      </c>
      <c r="N44" s="99">
        <f t="shared" si="8"/>
        <v>8200</v>
      </c>
      <c r="O44" s="99">
        <f t="shared" si="8"/>
        <v>8262.61</v>
      </c>
      <c r="P44" s="101" t="str">
        <f t="shared" si="8"/>
        <v/>
      </c>
      <c r="Q44" s="163" t="str">
        <f t="shared" si="8"/>
        <v/>
      </c>
      <c r="R44" s="175">
        <f t="shared" si="6"/>
        <v>8192.8033333333333</v>
      </c>
      <c r="T44" s="84">
        <v>10</v>
      </c>
      <c r="U44" s="193">
        <f t="shared" si="3"/>
        <v>81928.033333333326</v>
      </c>
    </row>
    <row r="45" spans="1:21" x14ac:dyDescent="0.2">
      <c r="A45" s="84">
        <v>41</v>
      </c>
      <c r="B45" s="97" t="s">
        <v>51</v>
      </c>
      <c r="C45" s="98" t="s">
        <v>26</v>
      </c>
      <c r="D45" s="134">
        <v>7735</v>
      </c>
      <c r="E45" s="135">
        <v>5500</v>
      </c>
      <c r="F45" s="135">
        <v>6753.78</v>
      </c>
      <c r="G45" s="135">
        <v>7259</v>
      </c>
      <c r="H45" s="136">
        <f>122.57*150</f>
        <v>18385.5</v>
      </c>
      <c r="I45" s="100">
        <f t="shared" si="4"/>
        <v>9126.655999999999</v>
      </c>
      <c r="J45" s="101">
        <f t="shared" si="5"/>
        <v>5242.4758422600289</v>
      </c>
      <c r="K45" s="101">
        <f t="shared" si="0"/>
        <v>14369.131842260027</v>
      </c>
      <c r="L45" s="163">
        <f t="shared" si="1"/>
        <v>3884.1801577399701</v>
      </c>
      <c r="M45" s="103">
        <f t="shared" si="8"/>
        <v>7735</v>
      </c>
      <c r="N45" s="99">
        <f t="shared" si="8"/>
        <v>5500</v>
      </c>
      <c r="O45" s="99">
        <f t="shared" si="8"/>
        <v>6753.78</v>
      </c>
      <c r="P45" s="101">
        <f t="shared" si="8"/>
        <v>7259</v>
      </c>
      <c r="Q45" s="163" t="str">
        <f t="shared" si="8"/>
        <v/>
      </c>
      <c r="R45" s="175">
        <f t="shared" si="6"/>
        <v>6811.9449999999997</v>
      </c>
      <c r="T45" s="84">
        <v>10</v>
      </c>
      <c r="U45" s="193">
        <f t="shared" si="3"/>
        <v>68119.45</v>
      </c>
    </row>
    <row r="46" spans="1:21" x14ac:dyDescent="0.2">
      <c r="A46" s="84">
        <v>42</v>
      </c>
      <c r="B46" s="97" t="s">
        <v>97</v>
      </c>
      <c r="C46" s="98" t="s">
        <v>45</v>
      </c>
      <c r="D46" s="134">
        <v>9597.35</v>
      </c>
      <c r="E46" s="135"/>
      <c r="F46" s="135">
        <v>9472.26</v>
      </c>
      <c r="G46" s="135">
        <v>11186</v>
      </c>
      <c r="H46" s="136">
        <f>90*100</f>
        <v>9000</v>
      </c>
      <c r="I46" s="100">
        <f t="shared" si="4"/>
        <v>9813.9025000000001</v>
      </c>
      <c r="J46" s="101">
        <f t="shared" si="5"/>
        <v>950.21110147079071</v>
      </c>
      <c r="K46" s="101">
        <f t="shared" si="0"/>
        <v>10764.113601470792</v>
      </c>
      <c r="L46" s="163">
        <f t="shared" si="1"/>
        <v>8863.6913985292085</v>
      </c>
      <c r="M46" s="103">
        <f t="shared" si="8"/>
        <v>9597.35</v>
      </c>
      <c r="N46" s="99" t="str">
        <f t="shared" si="8"/>
        <v/>
      </c>
      <c r="O46" s="99">
        <f t="shared" si="8"/>
        <v>9472.26</v>
      </c>
      <c r="P46" s="101" t="str">
        <f t="shared" si="8"/>
        <v/>
      </c>
      <c r="Q46" s="163">
        <f t="shared" si="8"/>
        <v>9000</v>
      </c>
      <c r="R46" s="175">
        <f t="shared" si="6"/>
        <v>9356.5366666666669</v>
      </c>
      <c r="T46" s="84">
        <v>10</v>
      </c>
      <c r="U46" s="193">
        <f t="shared" si="3"/>
        <v>93565.366666666669</v>
      </c>
    </row>
    <row r="47" spans="1:21" x14ac:dyDescent="0.2">
      <c r="A47" s="84">
        <v>43</v>
      </c>
      <c r="B47" s="185" t="s">
        <v>88</v>
      </c>
      <c r="C47" s="98" t="s">
        <v>24</v>
      </c>
      <c r="D47" s="186">
        <v>84668.5</v>
      </c>
      <c r="E47" s="135">
        <v>89800</v>
      </c>
      <c r="F47" s="187">
        <v>80565.187999999995</v>
      </c>
      <c r="G47" s="187">
        <v>126235</v>
      </c>
      <c r="H47" s="188">
        <v>91900</v>
      </c>
      <c r="I47" s="100">
        <f t="shared" si="4"/>
        <v>94633.737599999993</v>
      </c>
      <c r="J47" s="101">
        <f t="shared" si="5"/>
        <v>18212.002731695145</v>
      </c>
      <c r="K47" s="101">
        <f t="shared" si="0"/>
        <v>112845.74033169514</v>
      </c>
      <c r="L47" s="163">
        <f t="shared" si="1"/>
        <v>76421.734868304848</v>
      </c>
      <c r="M47" s="103">
        <f t="shared" si="8"/>
        <v>84668.5</v>
      </c>
      <c r="N47" s="99">
        <f t="shared" si="8"/>
        <v>89800</v>
      </c>
      <c r="O47" s="99">
        <f t="shared" si="8"/>
        <v>80565.187999999995</v>
      </c>
      <c r="P47" s="101" t="str">
        <f t="shared" si="8"/>
        <v/>
      </c>
      <c r="Q47" s="163">
        <f t="shared" si="8"/>
        <v>91900</v>
      </c>
      <c r="R47" s="175">
        <f t="shared" si="6"/>
        <v>86733.421999999991</v>
      </c>
      <c r="T47" s="84">
        <v>10</v>
      </c>
      <c r="U47" s="193">
        <f t="shared" si="3"/>
        <v>867334.22</v>
      </c>
    </row>
    <row r="48" spans="1:21" x14ac:dyDescent="0.2">
      <c r="A48" s="84">
        <v>44</v>
      </c>
      <c r="B48" s="97" t="s">
        <v>110</v>
      </c>
      <c r="C48" s="98" t="s">
        <v>24</v>
      </c>
      <c r="D48" s="134"/>
      <c r="E48" s="135">
        <v>3900</v>
      </c>
      <c r="F48" s="135">
        <v>3253.55</v>
      </c>
      <c r="G48" s="135">
        <v>6843</v>
      </c>
      <c r="H48" s="136"/>
      <c r="I48" s="100">
        <f t="shared" si="4"/>
        <v>4665.5166666666664</v>
      </c>
      <c r="J48" s="101">
        <f t="shared" si="5"/>
        <v>1913.2562951244495</v>
      </c>
      <c r="K48" s="101">
        <f t="shared" si="0"/>
        <v>6578.7729617911154</v>
      </c>
      <c r="L48" s="163">
        <f t="shared" si="1"/>
        <v>2752.2603715422169</v>
      </c>
      <c r="M48" s="103" t="str">
        <f t="shared" si="8"/>
        <v/>
      </c>
      <c r="N48" s="99">
        <f t="shared" si="8"/>
        <v>3900</v>
      </c>
      <c r="O48" s="99">
        <f t="shared" si="8"/>
        <v>3253.55</v>
      </c>
      <c r="P48" s="101" t="str">
        <f t="shared" si="8"/>
        <v/>
      </c>
      <c r="Q48" s="163" t="str">
        <f t="shared" si="8"/>
        <v/>
      </c>
      <c r="R48" s="175">
        <f t="shared" si="6"/>
        <v>3576.7750000000001</v>
      </c>
      <c r="T48" s="84">
        <v>5</v>
      </c>
      <c r="U48" s="193">
        <f t="shared" si="3"/>
        <v>17883.875</v>
      </c>
    </row>
    <row r="49" spans="1:21" ht="13.5" thickBot="1" x14ac:dyDescent="0.25">
      <c r="A49" s="111">
        <v>45</v>
      </c>
      <c r="B49" s="112" t="s">
        <v>105</v>
      </c>
      <c r="C49" s="113" t="s">
        <v>24</v>
      </c>
      <c r="D49" s="141">
        <v>5164.5999999999995</v>
      </c>
      <c r="E49" s="142">
        <v>9900</v>
      </c>
      <c r="F49" s="142">
        <v>4899.2860000000001</v>
      </c>
      <c r="G49" s="142">
        <v>9223</v>
      </c>
      <c r="H49" s="143">
        <v>5662</v>
      </c>
      <c r="I49" s="115">
        <f t="shared" si="4"/>
        <v>6969.7771999999995</v>
      </c>
      <c r="J49" s="116">
        <f t="shared" si="5"/>
        <v>2393.6947581926984</v>
      </c>
      <c r="K49" s="116">
        <f t="shared" si="0"/>
        <v>9363.4719581926984</v>
      </c>
      <c r="L49" s="164">
        <f t="shared" si="1"/>
        <v>4576.0824418073007</v>
      </c>
      <c r="M49" s="118">
        <f t="shared" si="8"/>
        <v>5164.5999999999995</v>
      </c>
      <c r="N49" s="114" t="str">
        <f t="shared" si="8"/>
        <v/>
      </c>
      <c r="O49" s="114">
        <f t="shared" si="8"/>
        <v>4899.2860000000001</v>
      </c>
      <c r="P49" s="116">
        <f t="shared" si="8"/>
        <v>9223</v>
      </c>
      <c r="Q49" s="164">
        <f t="shared" si="8"/>
        <v>5662</v>
      </c>
      <c r="R49" s="176">
        <f t="shared" si="6"/>
        <v>6237.2214999999997</v>
      </c>
      <c r="T49" s="111">
        <v>50</v>
      </c>
      <c r="U49" s="194">
        <f t="shared" si="3"/>
        <v>311861.07499999995</v>
      </c>
    </row>
    <row r="50" spans="1:21" ht="13.5" thickBot="1" x14ac:dyDescent="0.25">
      <c r="T50" s="189" t="s">
        <v>120</v>
      </c>
      <c r="U50" s="190">
        <f>SUM(U5:U49)</f>
        <v>17999953.414399996</v>
      </c>
    </row>
  </sheetData>
  <autoFilter ref="A4:T49" xr:uid="{A7D0933A-EE44-4A0A-96EC-FC1A1569B7DD}"/>
  <mergeCells count="4">
    <mergeCell ref="D3:H3"/>
    <mergeCell ref="I3:L3"/>
    <mergeCell ref="M3:Q3"/>
    <mergeCell ref="A1:U1"/>
  </mergeCells>
  <conditionalFormatting sqref="C27:C31 C47:C48 C23:C25 C10:C19 C5:C8">
    <cfRule type="expression" dxfId="17" priority="18">
      <formula>ISERROR(C5)</formula>
    </cfRule>
  </conditionalFormatting>
  <conditionalFormatting sqref="C9">
    <cfRule type="expression" dxfId="16" priority="17">
      <formula>ISERROR(C9)</formula>
    </cfRule>
  </conditionalFormatting>
  <conditionalFormatting sqref="C26">
    <cfRule type="expression" dxfId="15" priority="16">
      <formula>ISERROR(C26)</formula>
    </cfRule>
  </conditionalFormatting>
  <conditionalFormatting sqref="C21">
    <cfRule type="expression" dxfId="14" priority="14">
      <formula>ISERROR(C21)</formula>
    </cfRule>
  </conditionalFormatting>
  <conditionalFormatting sqref="C20">
    <cfRule type="expression" dxfId="13" priority="15">
      <formula>ISERROR(C20)</formula>
    </cfRule>
  </conditionalFormatting>
  <conditionalFormatting sqref="C34">
    <cfRule type="expression" dxfId="12" priority="4">
      <formula>ISERROR(C34)</formula>
    </cfRule>
  </conditionalFormatting>
  <conditionalFormatting sqref="C32:C33">
    <cfRule type="expression" dxfId="11" priority="13">
      <formula>ISERROR(C32)</formula>
    </cfRule>
  </conditionalFormatting>
  <conditionalFormatting sqref="C38:C39">
    <cfRule type="expression" dxfId="10" priority="12">
      <formula>ISERROR(C38)</formula>
    </cfRule>
  </conditionalFormatting>
  <conditionalFormatting sqref="C42:C44">
    <cfRule type="expression" dxfId="9" priority="9">
      <formula>ISERROR(C42)</formula>
    </cfRule>
  </conditionalFormatting>
  <conditionalFormatting sqref="C45">
    <cfRule type="expression" dxfId="8" priority="11">
      <formula>ISERROR(C45)</formula>
    </cfRule>
  </conditionalFormatting>
  <conditionalFormatting sqref="C46">
    <cfRule type="expression" dxfId="7" priority="8">
      <formula>ISERROR(C46)</formula>
    </cfRule>
  </conditionalFormatting>
  <conditionalFormatting sqref="C40">
    <cfRule type="expression" dxfId="6" priority="10">
      <formula>ISERROR(C40)</formula>
    </cfRule>
  </conditionalFormatting>
  <conditionalFormatting sqref="C37">
    <cfRule type="expression" dxfId="5" priority="7">
      <formula>ISERROR(C37)</formula>
    </cfRule>
  </conditionalFormatting>
  <conditionalFormatting sqref="C35">
    <cfRule type="expression" dxfId="4" priority="6">
      <formula>ISERROR(C35)</formula>
    </cfRule>
  </conditionalFormatting>
  <conditionalFormatting sqref="C36">
    <cfRule type="expression" dxfId="3" priority="5">
      <formula>ISERROR(C36)</formula>
    </cfRule>
  </conditionalFormatting>
  <conditionalFormatting sqref="C41">
    <cfRule type="expression" dxfId="2" priority="3">
      <formula>ISERROR(C41)</formula>
    </cfRule>
  </conditionalFormatting>
  <conditionalFormatting sqref="C49">
    <cfRule type="expression" dxfId="1" priority="2">
      <formula>ISERROR(C49)</formula>
    </cfRule>
  </conditionalFormatting>
  <conditionalFormatting sqref="C22">
    <cfRule type="expression" dxfId="0" priority="1">
      <formula>ISERROR(C22)</formula>
    </cfRule>
  </conditionalFormatting>
  <printOptions horizontalCentered="1" verticalCentered="1"/>
  <pageMargins left="0" right="0" top="0.59055118110236227" bottom="0.59055118110236227" header="0" footer="0"/>
  <pageSetup paperSize="5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1</vt:lpstr>
      <vt:lpstr>1 final</vt:lpstr>
      <vt:lpstr>INICAL</vt:lpstr>
      <vt:lpstr>FINAL</vt:lpstr>
      <vt:lpstr>'1'!Área_de_impresión</vt:lpstr>
      <vt:lpstr>'1 final'!Área_de_impresión</vt:lpstr>
      <vt:lpstr>FINAL!Área_de_impresión</vt:lpstr>
      <vt:lpstr>INICAL!Área_de_impresión</vt:lpstr>
      <vt:lpstr>'1'!Títulos_a_imprimir</vt:lpstr>
      <vt:lpstr>'1 final'!Títulos_a_imprimir</vt:lpstr>
      <vt:lpstr>FINAL!Títulos_a_imprimir</vt:lpstr>
      <vt:lpstr>INICAL!Títulos_a_imprimir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Andrea Viasus Rojas</dc:creator>
  <cp:lastModifiedBy>Nohemy Benavides Barbosa</cp:lastModifiedBy>
  <cp:lastPrinted>2018-12-06T00:36:57Z</cp:lastPrinted>
  <dcterms:created xsi:type="dcterms:W3CDTF">2018-05-04T20:58:00Z</dcterms:created>
  <dcterms:modified xsi:type="dcterms:W3CDTF">2018-12-06T00:37:22Z</dcterms:modified>
</cp:coreProperties>
</file>