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JoseM-General\Desktop\PROCESOS 2022\(alcaldia) SAMC-SOP-002-2022 - JARDIN NACIONAL\"/>
    </mc:Choice>
  </mc:AlternateContent>
  <workbookProtection workbookPassword="C109" lockStructure="1"/>
  <bookViews>
    <workbookView xWindow="0" yWindow="0" windowWidth="21600" windowHeight="9330"/>
  </bookViews>
  <sheets>
    <sheet name="LISTADO DE UNITARIOS" sheetId="4" r:id="rId1"/>
    <sheet name="EDIFICACION" sheetId="2" r:id="rId2"/>
    <sheet name="URBANISMO" sheetId="24" r:id="rId3"/>
    <sheet name="REDES ALCANTARILLADO" sheetId="26" r:id="rId4"/>
    <sheet name="VIAS RURALES" sheetId="27" r:id="rId5"/>
    <sheet name="BASICOS" sheetId="6" r:id="rId6"/>
    <sheet name="INSUMOS" sheetId="15" r:id="rId7"/>
    <sheet name="VALOR CUADRILLAS MO" sheetId="8" r:id="rId8"/>
    <sheet name="CONCRETO PREMEZCLADO" sheetId="20" r:id="rId9"/>
    <sheet name="TABLAS" sheetId="17" r:id="rId10"/>
    <sheet name="IPC" sheetId="19" r:id="rId11"/>
    <sheet name="FACTOR MULTIPLICADOR" sheetId="21" r:id="rId12"/>
    <sheet name="RES 747 TARIFAS PROF." sheetId="22" r:id="rId13"/>
  </sheets>
  <externalReferences>
    <externalReference r:id="rId14"/>
    <externalReference r:id="rId15"/>
  </externalReferences>
  <definedNames>
    <definedName name="_EST1">#REF!</definedName>
    <definedName name="_EST10" localSheetId="3">#REF!</definedName>
    <definedName name="_EST10" localSheetId="2">#REF!</definedName>
    <definedName name="_EST10" localSheetId="4">#REF!</definedName>
    <definedName name="_EST10">#REF!</definedName>
    <definedName name="_EST11" localSheetId="3">#REF!</definedName>
    <definedName name="_EST11" localSheetId="2">#REF!</definedName>
    <definedName name="_EST11" localSheetId="4">#REF!</definedName>
    <definedName name="_EST11">#REF!</definedName>
    <definedName name="_EST12" localSheetId="3">#REF!</definedName>
    <definedName name="_EST12" localSheetId="2">#REF!</definedName>
    <definedName name="_EST12" localSheetId="4">#REF!</definedName>
    <definedName name="_EST12">#REF!</definedName>
    <definedName name="_EST13" localSheetId="3">#REF!</definedName>
    <definedName name="_EST13" localSheetId="2">#REF!</definedName>
    <definedName name="_EST13" localSheetId="4">#REF!</definedName>
    <definedName name="_EST13">#REF!</definedName>
    <definedName name="_EST14" localSheetId="3">#REF!</definedName>
    <definedName name="_EST14" localSheetId="2">#REF!</definedName>
    <definedName name="_EST14" localSheetId="4">#REF!</definedName>
    <definedName name="_EST14">#REF!</definedName>
    <definedName name="_EST15" localSheetId="3">#REF!</definedName>
    <definedName name="_EST15" localSheetId="2">#REF!</definedName>
    <definedName name="_EST15" localSheetId="4">#REF!</definedName>
    <definedName name="_EST15">#REF!</definedName>
    <definedName name="_EST16" localSheetId="3">#REF!</definedName>
    <definedName name="_EST16" localSheetId="2">#REF!</definedName>
    <definedName name="_EST16" localSheetId="4">#REF!</definedName>
    <definedName name="_EST16">#REF!</definedName>
    <definedName name="_EST17" localSheetId="3">#REF!</definedName>
    <definedName name="_EST17" localSheetId="2">#REF!</definedName>
    <definedName name="_EST17" localSheetId="4">#REF!</definedName>
    <definedName name="_EST17">#REF!</definedName>
    <definedName name="_EST18" localSheetId="3">#REF!</definedName>
    <definedName name="_EST18" localSheetId="2">#REF!</definedName>
    <definedName name="_EST18" localSheetId="4">#REF!</definedName>
    <definedName name="_EST18">#REF!</definedName>
    <definedName name="_EST19" localSheetId="3">#REF!</definedName>
    <definedName name="_EST19" localSheetId="2">#REF!</definedName>
    <definedName name="_EST19" localSheetId="4">#REF!</definedName>
    <definedName name="_EST19">#REF!</definedName>
    <definedName name="_EST2" localSheetId="3">#REF!</definedName>
    <definedName name="_EST2" localSheetId="2">#REF!</definedName>
    <definedName name="_EST2" localSheetId="4">#REF!</definedName>
    <definedName name="_EST2">#REF!</definedName>
    <definedName name="_EST3">#REF!</definedName>
    <definedName name="_EST4" localSheetId="3">#REF!</definedName>
    <definedName name="_EST4" localSheetId="2">#REF!</definedName>
    <definedName name="_EST4" localSheetId="4">#REF!</definedName>
    <definedName name="_EST4">#REF!</definedName>
    <definedName name="_EST5" localSheetId="3">#REF!</definedName>
    <definedName name="_EST5" localSheetId="2">#REF!</definedName>
    <definedName name="_EST5" localSheetId="4">#REF!</definedName>
    <definedName name="_EST5">#REF!</definedName>
    <definedName name="_EST6" localSheetId="3">#REF!</definedName>
    <definedName name="_EST6" localSheetId="2">#REF!</definedName>
    <definedName name="_EST6" localSheetId="4">#REF!</definedName>
    <definedName name="_EST6">#REF!</definedName>
    <definedName name="_EST7" localSheetId="3">#REF!</definedName>
    <definedName name="_EST7" localSheetId="2">#REF!</definedName>
    <definedName name="_EST7" localSheetId="4">#REF!</definedName>
    <definedName name="_EST7">#REF!</definedName>
    <definedName name="_EST8" localSheetId="3">#REF!</definedName>
    <definedName name="_EST8" localSheetId="2">#REF!</definedName>
    <definedName name="_EST8" localSheetId="4">#REF!</definedName>
    <definedName name="_EST8">#REF!</definedName>
    <definedName name="_EST9" localSheetId="3">#REF!</definedName>
    <definedName name="_EST9" localSheetId="2">#REF!</definedName>
    <definedName name="_EST9" localSheetId="4">#REF!</definedName>
    <definedName name="_EST9">#REF!</definedName>
    <definedName name="_EXC1" localSheetId="3">#REF!</definedName>
    <definedName name="_EXC1" localSheetId="2">#REF!</definedName>
    <definedName name="_EXC1" localSheetId="4">#REF!</definedName>
    <definedName name="_EXC1">#REF!</definedName>
    <definedName name="_EXC10" localSheetId="3">#REF!</definedName>
    <definedName name="_EXC10" localSheetId="2">#REF!</definedName>
    <definedName name="_EXC10" localSheetId="4">#REF!</definedName>
    <definedName name="_EXC10">#REF!</definedName>
    <definedName name="_EXC11" localSheetId="3">#REF!</definedName>
    <definedName name="_EXC11" localSheetId="2">#REF!</definedName>
    <definedName name="_EXC11" localSheetId="4">#REF!</definedName>
    <definedName name="_EXC11">#REF!</definedName>
    <definedName name="_EXC12" localSheetId="3">#REF!</definedName>
    <definedName name="_EXC12" localSheetId="2">#REF!</definedName>
    <definedName name="_EXC12" localSheetId="4">#REF!</definedName>
    <definedName name="_EXC12">#REF!</definedName>
    <definedName name="_EXC2" localSheetId="3">#REF!</definedName>
    <definedName name="_EXC2" localSheetId="2">#REF!</definedName>
    <definedName name="_EXC2" localSheetId="4">#REF!</definedName>
    <definedName name="_EXC2">#REF!</definedName>
    <definedName name="_EXC3" localSheetId="3">#REF!</definedName>
    <definedName name="_EXC3" localSheetId="2">#REF!</definedName>
    <definedName name="_EXC3" localSheetId="4">#REF!</definedName>
    <definedName name="_EXC3">#REF!</definedName>
    <definedName name="_EXC4" localSheetId="3">#REF!</definedName>
    <definedName name="_EXC4" localSheetId="2">#REF!</definedName>
    <definedName name="_EXC4" localSheetId="4">#REF!</definedName>
    <definedName name="_EXC4">#REF!</definedName>
    <definedName name="_EXC5" localSheetId="3">#REF!</definedName>
    <definedName name="_EXC5" localSheetId="2">#REF!</definedName>
    <definedName name="_EXC5" localSheetId="4">#REF!</definedName>
    <definedName name="_EXC5">#REF!</definedName>
    <definedName name="_EXC6" localSheetId="3">#REF!</definedName>
    <definedName name="_EXC6" localSheetId="2">#REF!</definedName>
    <definedName name="_EXC6" localSheetId="4">#REF!</definedName>
    <definedName name="_EXC6">#REF!</definedName>
    <definedName name="_EXC7" localSheetId="3">#REF!</definedName>
    <definedName name="_EXC7" localSheetId="2">#REF!</definedName>
    <definedName name="_EXC7" localSheetId="4">#REF!</definedName>
    <definedName name="_EXC7">#REF!</definedName>
    <definedName name="_EXC8" localSheetId="3">#REF!</definedName>
    <definedName name="_EXC8" localSheetId="2">#REF!</definedName>
    <definedName name="_EXC8" localSheetId="4">#REF!</definedName>
    <definedName name="_EXC8">#REF!</definedName>
    <definedName name="_EXC9" localSheetId="3">#REF!</definedName>
    <definedName name="_EXC9" localSheetId="2">#REF!</definedName>
    <definedName name="_EXC9" localSheetId="4">#REF!</definedName>
    <definedName name="_EXC9">#REF!</definedName>
    <definedName name="_xlnm.Print_Area" localSheetId="5">BASICOS!$A$1:$U$322</definedName>
    <definedName name="_xlnm.Print_Area" localSheetId="8">'CONCRETO PREMEZCLADO'!$A$1:$D$27</definedName>
    <definedName name="_xlnm.Print_Area" localSheetId="1">EDIFICACION!$A$1:$G$645</definedName>
    <definedName name="_xlnm.Print_Area" localSheetId="11">'FACTOR MULTIPLICADOR'!$A$1:$H$44</definedName>
    <definedName name="_xlnm.Print_Area" localSheetId="6">INSUMOS!$A$1:$D$293</definedName>
    <definedName name="_xlnm.Print_Area" localSheetId="10">IPC!$A$1:$F$800</definedName>
    <definedName name="_xlnm.Print_Area" localSheetId="0">'LISTADO DE UNITARIOS'!$A$1:$G$273</definedName>
    <definedName name="_xlnm.Print_Area" localSheetId="3">'REDES ALCANTARILLADO'!$A$1:$L$712</definedName>
    <definedName name="_xlnm.Print_Area" localSheetId="12">'RES 747 TARIFAS PROF.'!$A$1:$Y$176</definedName>
    <definedName name="_xlnm.Print_Area" localSheetId="9">TABLAS!$A$1:$K$89</definedName>
    <definedName name="_xlnm.Print_Area" localSheetId="2">URBANISMO!$A$1:$I$1559</definedName>
    <definedName name="_xlnm.Print_Area" localSheetId="7">'VALOR CUADRILLAS MO'!$A$1:$E$128</definedName>
    <definedName name="_xlnm.Print_Area" localSheetId="4">'VIAS RURALES'!$A$1:$F$367</definedName>
    <definedName name="Excel_BuiltIn_Print_Titles_3" localSheetId="3">'[1]COSTOS OFICINA'!#REF!</definedName>
    <definedName name="Excel_BuiltIn_Print_Titles_3" localSheetId="2">'[1]COSTOS OFICINA'!#REF!</definedName>
    <definedName name="Excel_BuiltIn_Print_Titles_3" localSheetId="4">'[1]COSTOS OFICINA'!#REF!</definedName>
    <definedName name="Excel_BuiltIn_Print_Titles_3">'[1]COSTOS OFICINA'!#REF!</definedName>
    <definedName name="Excel_BuiltIn_Print_Titles_4" localSheetId="3">'[1]COSTOS CAMPAMENTO'!#REF!</definedName>
    <definedName name="Excel_BuiltIn_Print_Titles_4" localSheetId="2">'[1]COSTOS CAMPAMENTO'!#REF!</definedName>
    <definedName name="Excel_BuiltIn_Print_Titles_4" localSheetId="4">'[1]COSTOS CAMPAMENTO'!#REF!</definedName>
    <definedName name="Excel_BuiltIn_Print_Titles_4">'[1]COSTOS CAMPAMENTO'!#REF!</definedName>
    <definedName name="K0F1" localSheetId="3">#REF!</definedName>
    <definedName name="K0F1" localSheetId="2">#REF!</definedName>
    <definedName name="K0F1" localSheetId="4">#REF!</definedName>
    <definedName name="K0F1">#REF!</definedName>
    <definedName name="K0F2" localSheetId="3">#REF!</definedName>
    <definedName name="K0F2" localSheetId="2">#REF!</definedName>
    <definedName name="K0F2" localSheetId="4">#REF!</definedName>
    <definedName name="K0F2">#REF!</definedName>
    <definedName name="K10ALO">#REF!</definedName>
    <definedName name="K11ALO">#REF!</definedName>
    <definedName name="K1F1" localSheetId="3">#REF!</definedName>
    <definedName name="K1F1" localSheetId="2">#REF!</definedName>
    <definedName name="K1F1" localSheetId="4">#REF!</definedName>
    <definedName name="K1F1">#REF!</definedName>
    <definedName name="K1F2" localSheetId="3">#REF!</definedName>
    <definedName name="K1F2" localSheetId="2">#REF!</definedName>
    <definedName name="K1F2" localSheetId="4">#REF!</definedName>
    <definedName name="K1F2">#REF!</definedName>
    <definedName name="K2F1" localSheetId="3">#REF!</definedName>
    <definedName name="K2F1" localSheetId="2">#REF!</definedName>
    <definedName name="K2F1" localSheetId="4">#REF!</definedName>
    <definedName name="K2F1">#REF!</definedName>
    <definedName name="K2F2" localSheetId="3">#REF!</definedName>
    <definedName name="K2F2" localSheetId="2">#REF!</definedName>
    <definedName name="K2F2" localSheetId="4">#REF!</definedName>
    <definedName name="K2F2">#REF!</definedName>
    <definedName name="K3F1" localSheetId="3">#REF!</definedName>
    <definedName name="K3F1" localSheetId="2">#REF!</definedName>
    <definedName name="K3F1" localSheetId="4">#REF!</definedName>
    <definedName name="K3F1">#REF!</definedName>
    <definedName name="K3F2" localSheetId="3">#REF!</definedName>
    <definedName name="K3F2" localSheetId="2">#REF!</definedName>
    <definedName name="K3F2" localSheetId="4">#REF!</definedName>
    <definedName name="K3F2">#REF!</definedName>
    <definedName name="K4F1" localSheetId="3">#REF!</definedName>
    <definedName name="K4F1" localSheetId="2">#REF!</definedName>
    <definedName name="K4F1" localSheetId="4">#REF!</definedName>
    <definedName name="K4F1">#REF!</definedName>
    <definedName name="K4F2">#REF!</definedName>
    <definedName name="K5F1" localSheetId="3">#REF!</definedName>
    <definedName name="K5F1" localSheetId="2">#REF!</definedName>
    <definedName name="K5F1" localSheetId="4">#REF!</definedName>
    <definedName name="K5F1">#REF!</definedName>
    <definedName name="K5F2" localSheetId="3">#REF!</definedName>
    <definedName name="K5F2" localSheetId="2">#REF!</definedName>
    <definedName name="K5F2" localSheetId="4">#REF!</definedName>
    <definedName name="K5F2">#REF!</definedName>
    <definedName name="K6F1" localSheetId="3">#REF!</definedName>
    <definedName name="K6F1" localSheetId="2">#REF!</definedName>
    <definedName name="K6F1" localSheetId="4">#REF!</definedName>
    <definedName name="K6F1">#REF!</definedName>
    <definedName name="K6F2" localSheetId="3">#REF!</definedName>
    <definedName name="K6F2" localSheetId="2">#REF!</definedName>
    <definedName name="K6F2" localSheetId="4">#REF!</definedName>
    <definedName name="K6F2">#REF!</definedName>
    <definedName name="K7F1" localSheetId="3">#REF!</definedName>
    <definedName name="K7F1" localSheetId="2">#REF!</definedName>
    <definedName name="K7F1" localSheetId="4">#REF!</definedName>
    <definedName name="K7F1">#REF!</definedName>
    <definedName name="K7F2" localSheetId="3">#REF!</definedName>
    <definedName name="K7F2" localSheetId="2">#REF!</definedName>
    <definedName name="K7F2" localSheetId="4">#REF!</definedName>
    <definedName name="K7F2">#REF!</definedName>
    <definedName name="K8ALO">#REF!</definedName>
    <definedName name="K8F1" localSheetId="3">#REF!</definedName>
    <definedName name="K8F1" localSheetId="2">#REF!</definedName>
    <definedName name="K8F1" localSheetId="4">#REF!</definedName>
    <definedName name="K8F1">#REF!</definedName>
    <definedName name="K8F2">#REF!</definedName>
    <definedName name="K9ALO">#REF!</definedName>
    <definedName name="_xlnm.Print_Titles" localSheetId="5">BASICOS!$1:$4</definedName>
    <definedName name="_xlnm.Print_Titles" localSheetId="1">EDIFICACION!$1:$5</definedName>
    <definedName name="_xlnm.Print_Titles" localSheetId="6">INSUMOS!$1:$4</definedName>
    <definedName name="_xlnm.Print_Titles" localSheetId="10">IPC!$1:$10</definedName>
    <definedName name="_xlnm.Print_Titles" localSheetId="0">'LISTADO DE UNITARIOS'!$1:$8</definedName>
    <definedName name="_xlnm.Print_Titles" localSheetId="3">'REDES ALCANTARILLADO'!$1:$4</definedName>
    <definedName name="_xlnm.Print_Titles" localSheetId="2">URBANISMO!$1:$4</definedName>
    <definedName name="_xlnm.Print_Titles" localSheetId="7">'VALOR CUADRILLAS MO'!$1:$3</definedName>
    <definedName name="_xlnm.Print_Titles" localSheetId="4">'VIAS RURALES'!$1:$4</definedName>
  </definedNames>
  <calcPr calcId="162913"/>
</workbook>
</file>

<file path=xl/calcChain.xml><?xml version="1.0" encoding="utf-8"?>
<calcChain xmlns="http://schemas.openxmlformats.org/spreadsheetml/2006/main">
  <c r="F262" i="4" l="1"/>
  <c r="D22" i="4" l="1"/>
  <c r="B121" i="4" l="1"/>
  <c r="C121" i="4"/>
  <c r="B124" i="4"/>
  <c r="C124" i="4"/>
  <c r="A124" i="4"/>
  <c r="A121" i="4"/>
  <c r="C82" i="4"/>
  <c r="B82" i="4"/>
  <c r="A82" i="4"/>
  <c r="E316" i="2"/>
  <c r="F316" i="2" s="1"/>
  <c r="E314" i="2"/>
  <c r="F314" i="2" s="1"/>
  <c r="E313" i="2"/>
  <c r="E312" i="2"/>
  <c r="F312" i="2" s="1"/>
  <c r="E311" i="2"/>
  <c r="F311" i="2" s="1"/>
  <c r="F313" i="2"/>
  <c r="F315" i="2"/>
  <c r="D280" i="15"/>
  <c r="D279" i="15"/>
  <c r="E323" i="2"/>
  <c r="F323" i="2" s="1"/>
  <c r="E322" i="2"/>
  <c r="E321" i="2"/>
  <c r="F321" i="2" s="1"/>
  <c r="E324" i="2" s="1"/>
  <c r="F324" i="2" s="1"/>
  <c r="F322" i="2"/>
  <c r="F325" i="2"/>
  <c r="F185" i="2"/>
  <c r="E183" i="2"/>
  <c r="F183" i="2" s="1"/>
  <c r="E182" i="2"/>
  <c r="F182" i="2" s="1"/>
  <c r="E181" i="2"/>
  <c r="F181" i="2" s="1"/>
  <c r="D274" i="15"/>
  <c r="E180" i="2" s="1"/>
  <c r="F180" i="2" s="1"/>
  <c r="E184" i="2" l="1"/>
  <c r="F184" i="2" s="1"/>
  <c r="B64" i="4" l="1"/>
  <c r="C64" i="4"/>
  <c r="A64" i="4"/>
  <c r="E115" i="2"/>
  <c r="F115" i="2" s="1"/>
  <c r="E116" i="2"/>
  <c r="E118" i="2"/>
  <c r="F118" i="2" s="1"/>
  <c r="E119" i="2"/>
  <c r="E117" i="2"/>
  <c r="F117" i="2" s="1"/>
  <c r="F119" i="2"/>
  <c r="E114" i="2"/>
  <c r="F114" i="2" s="1"/>
  <c r="B114" i="2"/>
  <c r="E113" i="2"/>
  <c r="F113" i="2" s="1"/>
  <c r="B113" i="2"/>
  <c r="E112" i="2"/>
  <c r="D62" i="15"/>
  <c r="E111" i="2"/>
  <c r="D109" i="2"/>
  <c r="D260" i="6"/>
  <c r="D259" i="6"/>
  <c r="D254" i="6"/>
  <c r="D255" i="6"/>
  <c r="D199" i="6"/>
  <c r="D17" i="6"/>
  <c r="D16" i="6"/>
  <c r="D12" i="6"/>
  <c r="D6" i="6"/>
  <c r="D18" i="6"/>
  <c r="F112" i="2" l="1"/>
  <c r="F111" i="2"/>
  <c r="E110" i="2"/>
  <c r="F110" i="2" s="1"/>
  <c r="D243" i="15" l="1"/>
  <c r="C455" i="2"/>
  <c r="C456" i="2"/>
  <c r="C457" i="2"/>
  <c r="E457" i="2"/>
  <c r="F457" i="2" s="1"/>
  <c r="C458" i="2"/>
  <c r="C459" i="2"/>
  <c r="B459" i="2"/>
  <c r="B458" i="2"/>
  <c r="B457" i="2"/>
  <c r="B456" i="2"/>
  <c r="B455" i="2"/>
  <c r="D271" i="15"/>
  <c r="E459" i="2" s="1"/>
  <c r="F459" i="2" s="1"/>
  <c r="D270" i="15"/>
  <c r="E458" i="2" s="1"/>
  <c r="F458" i="2" s="1"/>
  <c r="C429" i="2" l="1"/>
  <c r="C430" i="2"/>
  <c r="B430" i="2"/>
  <c r="B429" i="2"/>
  <c r="C428" i="2"/>
  <c r="E428" i="2"/>
  <c r="F428" i="2" s="1"/>
  <c r="B428" i="2"/>
  <c r="D268" i="15"/>
  <c r="E456" i="2" s="1"/>
  <c r="F456" i="2" s="1"/>
  <c r="D267" i="15"/>
  <c r="E455" i="2" s="1"/>
  <c r="F455" i="2" s="1"/>
  <c r="D266" i="15"/>
  <c r="D265" i="15"/>
  <c r="D244" i="15"/>
  <c r="D169" i="4"/>
  <c r="E429" i="2" l="1"/>
  <c r="F429" i="2" s="1"/>
  <c r="E430" i="2"/>
  <c r="F430" i="2" s="1"/>
  <c r="M229" i="4"/>
  <c r="B217" i="4"/>
  <c r="C217" i="4"/>
  <c r="B220" i="4"/>
  <c r="C220" i="4"/>
  <c r="A220" i="4"/>
  <c r="A217" i="4"/>
  <c r="E566" i="2"/>
  <c r="F566" i="2" s="1"/>
  <c r="E567" i="2" s="1"/>
  <c r="F567" i="2" s="1"/>
  <c r="E565" i="2"/>
  <c r="F565" i="2" s="1"/>
  <c r="E564" i="2"/>
  <c r="F564" i="2" s="1"/>
  <c r="B565" i="2"/>
  <c r="B564" i="2"/>
  <c r="F560" i="2"/>
  <c r="E559" i="2"/>
  <c r="F559" i="2" s="1"/>
  <c r="E558" i="2"/>
  <c r="F558" i="2" s="1"/>
  <c r="B558" i="2"/>
  <c r="B205" i="4"/>
  <c r="C205" i="4"/>
  <c r="A205" i="4"/>
  <c r="E536" i="2"/>
  <c r="F536" i="2" s="1"/>
  <c r="B536" i="2"/>
  <c r="E534" i="2"/>
  <c r="F534" i="2" s="1"/>
  <c r="E535" i="2" s="1"/>
  <c r="F535" i="2" s="1"/>
  <c r="B169" i="4"/>
  <c r="C169" i="4"/>
  <c r="A169" i="4"/>
  <c r="BU163" i="4"/>
  <c r="AQ163" i="4"/>
  <c r="BU115" i="4"/>
  <c r="B112" i="4" l="1"/>
  <c r="C112" i="4"/>
  <c r="A112" i="4"/>
  <c r="D112" i="4"/>
  <c r="E282" i="2"/>
  <c r="F282" i="2" s="1"/>
  <c r="E286" i="2"/>
  <c r="F286" i="2" s="1"/>
  <c r="CZ115" i="4" l="1"/>
  <c r="D106" i="4"/>
  <c r="D28" i="4"/>
  <c r="D25" i="4"/>
  <c r="AQ175" i="4" l="1"/>
  <c r="M175" i="4"/>
  <c r="BU85" i="4"/>
  <c r="D154" i="4"/>
  <c r="D148" i="4"/>
  <c r="D133" i="4"/>
  <c r="D142" i="4" s="1"/>
  <c r="D145" i="4"/>
  <c r="D130" i="4"/>
  <c r="D136" i="4" s="1"/>
  <c r="D139" i="4" s="1"/>
  <c r="D55" i="4"/>
  <c r="B55" i="4"/>
  <c r="C55" i="4"/>
  <c r="A55" i="4"/>
  <c r="D92" i="2"/>
  <c r="CZ58" i="4"/>
  <c r="D109" i="4"/>
  <c r="B109" i="4"/>
  <c r="C109" i="4"/>
  <c r="A109" i="4"/>
  <c r="E273" i="2"/>
  <c r="F273" i="2" s="1"/>
  <c r="D103" i="4"/>
  <c r="D118" i="4"/>
  <c r="D166" i="4"/>
  <c r="D181" i="4"/>
  <c r="E453" i="2"/>
  <c r="E454" i="2" l="1"/>
  <c r="F454" i="2" s="1"/>
  <c r="D184" i="4"/>
  <c r="E547" i="2"/>
  <c r="E572" i="2"/>
  <c r="E527" i="2"/>
  <c r="E529" i="2"/>
  <c r="B529" i="2"/>
  <c r="B526" i="2"/>
  <c r="D235" i="4"/>
  <c r="B214" i="4" l="1"/>
  <c r="C214" i="4"/>
  <c r="A214" i="4"/>
  <c r="E553" i="2"/>
  <c r="F553" i="2" s="1"/>
  <c r="E552" i="2"/>
  <c r="F552" i="2" s="1"/>
  <c r="B552" i="2"/>
  <c r="E396" i="2" l="1"/>
  <c r="E514" i="2"/>
  <c r="E54" i="2" l="1"/>
  <c r="B54" i="2"/>
  <c r="B366" i="2" l="1"/>
  <c r="D232" i="15"/>
  <c r="D116" i="15"/>
  <c r="D118" i="15"/>
  <c r="D117" i="15"/>
  <c r="D119" i="15"/>
  <c r="D151" i="15"/>
  <c r="D155" i="15"/>
  <c r="D157" i="15" l="1"/>
  <c r="E366" i="2" s="1"/>
  <c r="F366" i="2" s="1"/>
  <c r="CZ247" i="4" l="1"/>
  <c r="CZ238" i="4"/>
  <c r="CZ229" i="4"/>
  <c r="CZ187" i="4"/>
  <c r="CZ175" i="4"/>
  <c r="CZ163" i="4"/>
  <c r="CZ151" i="4"/>
  <c r="CZ97" i="4"/>
  <c r="CZ85" i="4"/>
  <c r="CZ49" i="4"/>
  <c r="CZ19" i="4"/>
  <c r="A232" i="4"/>
  <c r="A231" i="4"/>
  <c r="E377" i="2" l="1"/>
  <c r="F377" i="2" s="1"/>
  <c r="B377" i="2"/>
  <c r="E376" i="2"/>
  <c r="B376" i="2"/>
  <c r="E375" i="2"/>
  <c r="B375" i="2"/>
  <c r="E374" i="2"/>
  <c r="B374" i="2"/>
  <c r="E493" i="2" l="1"/>
  <c r="E469" i="2"/>
  <c r="E546" i="2" l="1"/>
  <c r="BU58" i="4"/>
  <c r="AQ58" i="4"/>
  <c r="BU127" i="4"/>
  <c r="M127" i="4"/>
  <c r="E583" i="2"/>
  <c r="E579" i="2"/>
  <c r="E582" i="2"/>
  <c r="E574" i="2"/>
  <c r="B571" i="2"/>
  <c r="D225" i="15"/>
  <c r="E541" i="2"/>
  <c r="E522" i="2"/>
  <c r="E517" i="2"/>
  <c r="E509" i="2"/>
  <c r="E506" i="2"/>
  <c r="E501" i="2"/>
  <c r="E499" i="2"/>
  <c r="E507" i="2" s="1"/>
  <c r="E482" i="2"/>
  <c r="E483" i="2"/>
  <c r="E466" i="2"/>
  <c r="D108" i="15"/>
  <c r="E490" i="2" s="1"/>
  <c r="E491" i="2"/>
  <c r="E467" i="2" s="1"/>
  <c r="E484" i="2" s="1"/>
  <c r="D193" i="15"/>
  <c r="D192" i="15"/>
  <c r="E427" i="2"/>
  <c r="F427" i="2" s="1"/>
  <c r="B427" i="2"/>
  <c r="E422" i="2" l="1"/>
  <c r="C422" i="2"/>
  <c r="B422" i="2"/>
  <c r="D183" i="15"/>
  <c r="D180" i="15"/>
  <c r="E403" i="2" s="1"/>
  <c r="E397" i="2" s="1"/>
  <c r="D181" i="15"/>
  <c r="E584" i="2" s="1"/>
  <c r="E406" i="2"/>
  <c r="E415" i="2"/>
  <c r="E414" i="2"/>
  <c r="E405" i="2"/>
  <c r="E395" i="2"/>
  <c r="E413" i="2"/>
  <c r="E404" i="2"/>
  <c r="E394" i="2"/>
  <c r="E412" i="2"/>
  <c r="D144" i="15"/>
  <c r="C339" i="2"/>
  <c r="B339" i="2"/>
  <c r="E629" i="2"/>
  <c r="E628" i="2"/>
  <c r="E627" i="2"/>
  <c r="E626" i="2"/>
  <c r="E625" i="2"/>
  <c r="E624" i="2"/>
  <c r="E623" i="2"/>
  <c r="E622" i="2"/>
  <c r="E615" i="2"/>
  <c r="E614" i="2"/>
  <c r="E613" i="2"/>
  <c r="E612" i="2"/>
  <c r="E611" i="2"/>
  <c r="E610" i="2"/>
  <c r="F54" i="2" l="1"/>
  <c r="D253" i="2"/>
  <c r="C253" i="2"/>
  <c r="B253" i="2"/>
  <c r="B100" i="4"/>
  <c r="C100" i="4"/>
  <c r="A100" i="4"/>
  <c r="D246" i="2" l="1"/>
  <c r="D110" i="15" l="1"/>
  <c r="D55" i="15"/>
  <c r="D53" i="15"/>
  <c r="D51" i="15"/>
  <c r="D24" i="15"/>
  <c r="BU243" i="4" l="1"/>
  <c r="AQ246" i="4"/>
  <c r="M246" i="4"/>
  <c r="M243" i="4"/>
  <c r="B244" i="4"/>
  <c r="C244" i="4"/>
  <c r="A244" i="4"/>
  <c r="B241" i="4"/>
  <c r="C241" i="4"/>
  <c r="A241" i="4"/>
  <c r="B240" i="4"/>
  <c r="B31" i="4"/>
  <c r="C31" i="4"/>
  <c r="A31" i="4"/>
  <c r="M247" i="4" l="1"/>
  <c r="F629" i="2"/>
  <c r="F628" i="2"/>
  <c r="D627" i="2"/>
  <c r="F626" i="2"/>
  <c r="F625" i="2"/>
  <c r="F624" i="2"/>
  <c r="F623" i="2"/>
  <c r="F622" i="2"/>
  <c r="F615" i="2"/>
  <c r="F614" i="2"/>
  <c r="D613" i="2"/>
  <c r="F612" i="2"/>
  <c r="F611" i="2"/>
  <c r="F610" i="2"/>
  <c r="E11" i="2"/>
  <c r="B10" i="2"/>
  <c r="B8" i="2"/>
  <c r="E9" i="2"/>
  <c r="B9" i="2"/>
  <c r="AQ102" i="4"/>
  <c r="M105" i="4"/>
  <c r="AQ144" i="4"/>
  <c r="F613" i="2" l="1"/>
  <c r="E616" i="2" s="1"/>
  <c r="F616" i="2" s="1"/>
  <c r="F627" i="2"/>
  <c r="E630" i="2" s="1"/>
  <c r="F630" i="2" s="1"/>
  <c r="E617" i="2"/>
  <c r="F617" i="2" s="1"/>
  <c r="E631" i="2" l="1"/>
  <c r="F631" i="2" s="1"/>
  <c r="CZ127" i="4"/>
  <c r="CZ249" i="4" s="1"/>
  <c r="AQ187" i="4" l="1"/>
  <c r="M187" i="4"/>
  <c r="M151" i="4"/>
  <c r="BU97" i="4"/>
  <c r="M97" i="4"/>
  <c r="M18" i="4" l="1"/>
  <c r="AQ24" i="4"/>
  <c r="BU24" i="4"/>
  <c r="B22" i="4"/>
  <c r="C22" i="4"/>
  <c r="A22" i="4"/>
  <c r="AQ237" i="4" l="1"/>
  <c r="M237" i="4"/>
  <c r="BU48" i="4"/>
  <c r="AQ48" i="4"/>
  <c r="BU45" i="4"/>
  <c r="AQ45" i="4"/>
  <c r="BU42" i="4"/>
  <c r="AQ42" i="4"/>
  <c r="BU39" i="4"/>
  <c r="AQ39" i="4"/>
  <c r="BU36" i="4"/>
  <c r="AQ36" i="4"/>
  <c r="BU30" i="4"/>
  <c r="AQ30" i="4"/>
  <c r="BU27" i="4"/>
  <c r="AQ27" i="4"/>
  <c r="BU234" i="4"/>
  <c r="AQ234" i="4"/>
  <c r="BU18" i="4"/>
  <c r="BU15" i="4"/>
  <c r="BU12" i="4"/>
  <c r="AQ15" i="4"/>
  <c r="AQ12" i="4"/>
  <c r="B130" i="4"/>
  <c r="C130" i="4"/>
  <c r="B133" i="4"/>
  <c r="C133" i="4"/>
  <c r="B136" i="4"/>
  <c r="C136" i="4"/>
  <c r="B139" i="4"/>
  <c r="C139" i="4"/>
  <c r="B142" i="4"/>
  <c r="C142" i="4"/>
  <c r="B145" i="4"/>
  <c r="C145" i="4"/>
  <c r="B148" i="4"/>
  <c r="C148" i="4"/>
  <c r="B118" i="4"/>
  <c r="C118" i="4"/>
  <c r="B103" i="4"/>
  <c r="C103" i="4"/>
  <c r="B106" i="4"/>
  <c r="C106" i="4"/>
  <c r="B91" i="4"/>
  <c r="C91" i="4"/>
  <c r="B94" i="4"/>
  <c r="C94" i="4"/>
  <c r="B88" i="4"/>
  <c r="C88" i="4"/>
  <c r="C61" i="4"/>
  <c r="B61" i="4"/>
  <c r="B67" i="4"/>
  <c r="B70" i="4"/>
  <c r="B73" i="4"/>
  <c r="B76" i="4"/>
  <c r="B79" i="4"/>
  <c r="B52" i="4"/>
  <c r="B232" i="4"/>
  <c r="B25" i="4"/>
  <c r="B28" i="4"/>
  <c r="B34" i="4"/>
  <c r="B37" i="4"/>
  <c r="B40" i="4"/>
  <c r="B43" i="4"/>
  <c r="B46" i="4"/>
  <c r="B235" i="4"/>
  <c r="B13" i="4"/>
  <c r="B16" i="4"/>
  <c r="B10" i="4"/>
  <c r="D88" i="4"/>
  <c r="D202" i="4"/>
  <c r="B190" i="4"/>
  <c r="C190" i="4"/>
  <c r="B193" i="4"/>
  <c r="C193" i="4"/>
  <c r="B196" i="4"/>
  <c r="C196" i="4"/>
  <c r="B199" i="4"/>
  <c r="C199" i="4"/>
  <c r="B202" i="4"/>
  <c r="C202" i="4"/>
  <c r="B208" i="4"/>
  <c r="C208" i="4"/>
  <c r="B211" i="4"/>
  <c r="C211" i="4"/>
  <c r="B223" i="4"/>
  <c r="C223" i="4"/>
  <c r="B226" i="4"/>
  <c r="C226" i="4"/>
  <c r="A226" i="4"/>
  <c r="A223" i="4"/>
  <c r="A211" i="4"/>
  <c r="A208" i="4"/>
  <c r="A202" i="4"/>
  <c r="A199" i="4"/>
  <c r="A196" i="4"/>
  <c r="A193" i="4"/>
  <c r="A190" i="4"/>
  <c r="B189" i="4"/>
  <c r="A189" i="4"/>
  <c r="B181" i="4"/>
  <c r="C181" i="4"/>
  <c r="A181" i="4"/>
  <c r="B178" i="4"/>
  <c r="C178" i="4"/>
  <c r="A178" i="4"/>
  <c r="B184" i="4"/>
  <c r="C184" i="4"/>
  <c r="A184" i="4"/>
  <c r="B177" i="4"/>
  <c r="A177" i="4"/>
  <c r="B166" i="4"/>
  <c r="C166" i="4"/>
  <c r="B172" i="4"/>
  <c r="C172" i="4"/>
  <c r="A172" i="4"/>
  <c r="A166" i="4"/>
  <c r="B165" i="4"/>
  <c r="A165" i="4"/>
  <c r="B160" i="4"/>
  <c r="C160" i="4"/>
  <c r="B157" i="4"/>
  <c r="C157" i="4"/>
  <c r="B154" i="4"/>
  <c r="C154" i="4"/>
  <c r="A160" i="4"/>
  <c r="A157" i="4"/>
  <c r="A154" i="4"/>
  <c r="B153" i="4"/>
  <c r="A153" i="4"/>
  <c r="BU49" i="4" l="1"/>
  <c r="AQ238" i="4"/>
  <c r="AQ49" i="4"/>
  <c r="BU19" i="4"/>
  <c r="F584" i="2"/>
  <c r="E585" i="2" s="1"/>
  <c r="F585" i="2" s="1"/>
  <c r="F583" i="2"/>
  <c r="F582" i="2"/>
  <c r="F579" i="2"/>
  <c r="F574" i="2"/>
  <c r="F546" i="2"/>
  <c r="F541" i="2"/>
  <c r="F529" i="2"/>
  <c r="F522" i="2"/>
  <c r="F517" i="2"/>
  <c r="D511" i="2"/>
  <c r="F509" i="2"/>
  <c r="F507" i="2"/>
  <c r="F506" i="2"/>
  <c r="F501" i="2"/>
  <c r="F499" i="2"/>
  <c r="E500" i="2" s="1"/>
  <c r="F500" i="2" s="1"/>
  <c r="D487" i="2"/>
  <c r="F484" i="2"/>
  <c r="F483" i="2"/>
  <c r="F482" i="2"/>
  <c r="F469" i="2"/>
  <c r="F467" i="2"/>
  <c r="F466" i="2"/>
  <c r="D495" i="2"/>
  <c r="F493" i="2"/>
  <c r="F491" i="2"/>
  <c r="F490" i="2"/>
  <c r="F453" i="2"/>
  <c r="D433" i="2"/>
  <c r="D424" i="2"/>
  <c r="F422" i="2"/>
  <c r="F415" i="2"/>
  <c r="F414" i="2"/>
  <c r="F413" i="2"/>
  <c r="F412" i="2"/>
  <c r="F406" i="2"/>
  <c r="F405" i="2"/>
  <c r="F404" i="2"/>
  <c r="F403" i="2"/>
  <c r="F397" i="2"/>
  <c r="F396" i="2"/>
  <c r="F395" i="2"/>
  <c r="F394" i="2"/>
  <c r="D46" i="4"/>
  <c r="A142" i="4"/>
  <c r="A99" i="4"/>
  <c r="B99" i="4"/>
  <c r="A87" i="4"/>
  <c r="B87" i="4"/>
  <c r="A60" i="4"/>
  <c r="B60" i="4"/>
  <c r="B51" i="4"/>
  <c r="E98" i="2"/>
  <c r="F98" i="2" s="1"/>
  <c r="D99" i="2"/>
  <c r="E99" i="2"/>
  <c r="E100" i="2"/>
  <c r="F100" i="2" s="1"/>
  <c r="E102" i="2"/>
  <c r="F102" i="2" s="1"/>
  <c r="D105" i="2"/>
  <c r="D52" i="4"/>
  <c r="D13" i="4"/>
  <c r="D10" i="4"/>
  <c r="D43" i="4"/>
  <c r="D67" i="4"/>
  <c r="D34" i="4"/>
  <c r="E460" i="2" l="1"/>
  <c r="F460" i="2" s="1"/>
  <c r="E431" i="2"/>
  <c r="F431" i="2" s="1"/>
  <c r="E508" i="2"/>
  <c r="F508" i="2" s="1"/>
  <c r="E492" i="2"/>
  <c r="F492" i="2" s="1"/>
  <c r="E468" i="2"/>
  <c r="F468" i="2" s="1"/>
  <c r="E485" i="2"/>
  <c r="F485" i="2" s="1"/>
  <c r="E398" i="2"/>
  <c r="F398" i="2" s="1"/>
  <c r="E407" i="2"/>
  <c r="F407" i="2" s="1"/>
  <c r="E416" i="2"/>
  <c r="F416" i="2" s="1"/>
  <c r="F99" i="2"/>
  <c r="D143" i="15"/>
  <c r="D115" i="15"/>
  <c r="D111" i="15"/>
  <c r="D49" i="15"/>
  <c r="D47" i="15"/>
  <c r="D99" i="15" l="1"/>
  <c r="D98" i="15"/>
  <c r="D97" i="15"/>
  <c r="D96" i="15"/>
  <c r="D95" i="15"/>
  <c r="D94" i="15"/>
  <c r="D93" i="15"/>
  <c r="D92" i="15"/>
  <c r="D87" i="15" l="1"/>
  <c r="D88" i="15"/>
  <c r="D85" i="15"/>
  <c r="D83" i="15"/>
  <c r="D75" i="15"/>
  <c r="D79" i="15"/>
  <c r="D72" i="15"/>
  <c r="D63" i="15"/>
  <c r="D61" i="15"/>
  <c r="L14" i="21" l="1"/>
  <c r="B1" i="24"/>
  <c r="E1341" i="24"/>
  <c r="F1341" i="24" s="1"/>
  <c r="E1139" i="24"/>
  <c r="F1139" i="24" s="1"/>
  <c r="E266" i="27"/>
  <c r="F266" i="27" s="1"/>
  <c r="E52" i="27"/>
  <c r="F52" i="27" s="1"/>
  <c r="E301" i="26"/>
  <c r="F301" i="26" s="1"/>
  <c r="D60" i="15"/>
  <c r="D59" i="15"/>
  <c r="D36" i="15"/>
  <c r="D30" i="15"/>
  <c r="E241" i="24" s="1"/>
  <c r="D23" i="15"/>
  <c r="E66" i="27" s="1"/>
  <c r="C27" i="20"/>
  <c r="D27" i="20" s="1"/>
  <c r="C26" i="20"/>
  <c r="D26" i="20" s="1"/>
  <c r="C24" i="20"/>
  <c r="D24" i="20" s="1"/>
  <c r="C23" i="20"/>
  <c r="D23" i="20" s="1"/>
  <c r="C21" i="20"/>
  <c r="D21" i="20" s="1"/>
  <c r="E504" i="26" s="1"/>
  <c r="C20" i="20"/>
  <c r="D20" i="20"/>
  <c r="C18" i="20"/>
  <c r="D18" i="20" s="1"/>
  <c r="C17" i="20"/>
  <c r="D17" i="20"/>
  <c r="C14" i="20"/>
  <c r="D14" i="20" s="1"/>
  <c r="C15" i="20"/>
  <c r="D15" i="20"/>
  <c r="B11" i="20"/>
  <c r="D47" i="6"/>
  <c r="F229" i="15"/>
  <c r="F228" i="15"/>
  <c r="F227" i="15"/>
  <c r="F226" i="15"/>
  <c r="F225" i="15"/>
  <c r="F224" i="15"/>
  <c r="F223" i="15"/>
  <c r="F222" i="15"/>
  <c r="F220" i="15"/>
  <c r="F219" i="15"/>
  <c r="F218" i="15"/>
  <c r="F217" i="15"/>
  <c r="F216" i="15"/>
  <c r="F215" i="15"/>
  <c r="F214" i="15"/>
  <c r="F213" i="15"/>
  <c r="F212" i="15"/>
  <c r="F211" i="15"/>
  <c r="F210" i="15"/>
  <c r="F209" i="15"/>
  <c r="F208" i="15"/>
  <c r="F204" i="15"/>
  <c r="F196" i="15"/>
  <c r="F193" i="15"/>
  <c r="F192" i="15"/>
  <c r="F191" i="15"/>
  <c r="F190" i="15"/>
  <c r="F189" i="15"/>
  <c r="F188" i="15"/>
  <c r="F187" i="15"/>
  <c r="F186" i="15"/>
  <c r="F185" i="15"/>
  <c r="F183" i="15"/>
  <c r="F181" i="15"/>
  <c r="F180" i="15"/>
  <c r="F178" i="15"/>
  <c r="F175" i="15"/>
  <c r="F170" i="15"/>
  <c r="F167" i="15"/>
  <c r="F159" i="15"/>
  <c r="F157" i="15"/>
  <c r="F156" i="15"/>
  <c r="F155" i="15"/>
  <c r="F152" i="15"/>
  <c r="F151" i="15"/>
  <c r="F150" i="15"/>
  <c r="F149" i="15"/>
  <c r="F146" i="15"/>
  <c r="F145" i="15"/>
  <c r="F144" i="15"/>
  <c r="F143" i="15"/>
  <c r="F139" i="15"/>
  <c r="F121" i="15"/>
  <c r="F118" i="15"/>
  <c r="F117" i="15"/>
  <c r="F116" i="15"/>
  <c r="F115" i="15"/>
  <c r="F114" i="15"/>
  <c r="F113" i="15"/>
  <c r="F112" i="15"/>
  <c r="F111" i="15"/>
  <c r="F110" i="15"/>
  <c r="F109" i="15"/>
  <c r="F63" i="15"/>
  <c r="F61" i="15"/>
  <c r="F60" i="15"/>
  <c r="F59" i="15"/>
  <c r="F58" i="15"/>
  <c r="F57" i="15"/>
  <c r="F56" i="15"/>
  <c r="F54" i="15"/>
  <c r="F41" i="15"/>
  <c r="F36" i="15"/>
  <c r="C10" i="20"/>
  <c r="D10" i="20"/>
  <c r="J25" i="20"/>
  <c r="K25" i="20"/>
  <c r="J22" i="20"/>
  <c r="K22" i="20" s="1"/>
  <c r="J19" i="20"/>
  <c r="K19" i="20"/>
  <c r="J16" i="20"/>
  <c r="K16" i="20"/>
  <c r="J13" i="20"/>
  <c r="K13" i="20"/>
  <c r="J12" i="20"/>
  <c r="K12" i="20" s="1"/>
  <c r="J11" i="20"/>
  <c r="K11" i="20"/>
  <c r="J9" i="20"/>
  <c r="K9" i="20"/>
  <c r="J8" i="20"/>
  <c r="K8" i="20"/>
  <c r="J7" i="20"/>
  <c r="K7" i="20" s="1"/>
  <c r="J6" i="20"/>
  <c r="K6" i="20"/>
  <c r="J5" i="20"/>
  <c r="K5" i="20"/>
  <c r="J4" i="20"/>
  <c r="K4" i="20" s="1"/>
  <c r="S8" i="8"/>
  <c r="E1130" i="24"/>
  <c r="F1130" i="24" s="1"/>
  <c r="E1319" i="24"/>
  <c r="F1319" i="24" s="1"/>
  <c r="E1327" i="24"/>
  <c r="F1327" i="24" s="1"/>
  <c r="E1328" i="24" s="1"/>
  <c r="F1328" i="24" s="1"/>
  <c r="D148" i="6"/>
  <c r="E148" i="6" s="1"/>
  <c r="G148" i="6" s="1"/>
  <c r="D153" i="6"/>
  <c r="E1311" i="24"/>
  <c r="F1311" i="24" s="1"/>
  <c r="E1303" i="24"/>
  <c r="F1303" i="24" s="1"/>
  <c r="E1295" i="24"/>
  <c r="F1295" i="24" s="1"/>
  <c r="E1287" i="24"/>
  <c r="F1287" i="24" s="1"/>
  <c r="E1279" i="24"/>
  <c r="F1279" i="24" s="1"/>
  <c r="E1271" i="24"/>
  <c r="F1271" i="24" s="1"/>
  <c r="A10" i="24"/>
  <c r="A18" i="24" s="1"/>
  <c r="A28" i="24" s="1"/>
  <c r="A37" i="24" s="1"/>
  <c r="A41" i="24" s="1"/>
  <c r="A45" i="24" s="1"/>
  <c r="A49" i="24" s="1"/>
  <c r="A53" i="24" s="1"/>
  <c r="A57" i="24" s="1"/>
  <c r="A61" i="24" s="1"/>
  <c r="A65" i="24" s="1"/>
  <c r="A69" i="24" s="1"/>
  <c r="A73" i="24" s="1"/>
  <c r="A79" i="24" s="1"/>
  <c r="A85" i="24" s="1"/>
  <c r="A89" i="24" s="1"/>
  <c r="A92" i="24" s="1"/>
  <c r="A96" i="24" s="1"/>
  <c r="A101" i="24" s="1"/>
  <c r="A106" i="24" s="1"/>
  <c r="A111" i="24" s="1"/>
  <c r="A118" i="24" s="1"/>
  <c r="A125" i="24" s="1"/>
  <c r="A135" i="24" s="1"/>
  <c r="A139" i="24" s="1"/>
  <c r="A144" i="24" s="1"/>
  <c r="A148" i="24" s="1"/>
  <c r="A152" i="24" s="1"/>
  <c r="A156" i="24" s="1"/>
  <c r="A160" i="24" s="1"/>
  <c r="A168" i="24" s="1"/>
  <c r="A180" i="24" s="1"/>
  <c r="A185" i="24" s="1"/>
  <c r="A193" i="24" s="1"/>
  <c r="A201" i="24" s="1"/>
  <c r="A211" i="24" s="1"/>
  <c r="A221" i="24" s="1"/>
  <c r="A231" i="24" s="1"/>
  <c r="A238" i="24" s="1"/>
  <c r="A247" i="24" s="1"/>
  <c r="A252" i="24" s="1"/>
  <c r="A257" i="24" s="1"/>
  <c r="A270" i="24" s="1"/>
  <c r="A282" i="24" s="1"/>
  <c r="A292" i="24" s="1"/>
  <c r="A301" i="24" s="1"/>
  <c r="A305" i="24" s="1"/>
  <c r="A313" i="24" s="1"/>
  <c r="A332" i="24" s="1"/>
  <c r="A351" i="24" s="1"/>
  <c r="A363" i="24" s="1"/>
  <c r="A373" i="24" s="1"/>
  <c r="A384" i="24" s="1"/>
  <c r="A392" i="24" s="1"/>
  <c r="A396" i="24" s="1"/>
  <c r="A405" i="24" s="1"/>
  <c r="A419" i="24" s="1"/>
  <c r="A430" i="24" s="1"/>
  <c r="A441" i="24" s="1"/>
  <c r="A452" i="24" s="1"/>
  <c r="A470" i="24" s="1"/>
  <c r="A481" i="24" s="1"/>
  <c r="A489" i="24" s="1"/>
  <c r="A500" i="24" s="1"/>
  <c r="A510" i="24" s="1"/>
  <c r="A520" i="24" s="1"/>
  <c r="A529" i="24" s="1"/>
  <c r="A537" i="24" s="1"/>
  <c r="A546" i="24" s="1"/>
  <c r="A555" i="24" s="1"/>
  <c r="A564" i="24" s="1"/>
  <c r="A573" i="24" s="1"/>
  <c r="A581" i="24" s="1"/>
  <c r="A590" i="24" s="1"/>
  <c r="A598" i="24" s="1"/>
  <c r="A606" i="24" s="1"/>
  <c r="A614" i="24" s="1"/>
  <c r="A622" i="24" s="1"/>
  <c r="A630" i="24" s="1"/>
  <c r="A638" i="24" s="1"/>
  <c r="A646" i="24" s="1"/>
  <c r="A654" i="24" s="1"/>
  <c r="A662" i="24" s="1"/>
  <c r="A671" i="24" s="1"/>
  <c r="A680" i="24" s="1"/>
  <c r="A688" i="24" s="1"/>
  <c r="A698" i="24" s="1"/>
  <c r="A708" i="24" s="1"/>
  <c r="A717" i="24" s="1"/>
  <c r="A726" i="24" s="1"/>
  <c r="A735" i="24" s="1"/>
  <c r="A743" i="24" s="1"/>
  <c r="A751" i="24" s="1"/>
  <c r="A759" i="24" s="1"/>
  <c r="A768" i="24" s="1"/>
  <c r="A777" i="24" s="1"/>
  <c r="A783" i="24" s="1"/>
  <c r="A793" i="24" s="1"/>
  <c r="A800" i="24" s="1"/>
  <c r="A807" i="24" s="1"/>
  <c r="A815" i="24" s="1"/>
  <c r="A821" i="24" s="1"/>
  <c r="A832" i="24" s="1"/>
  <c r="A838" i="24" s="1"/>
  <c r="A843" i="24" s="1"/>
  <c r="A848" i="24" s="1"/>
  <c r="A857" i="24" s="1"/>
  <c r="A866" i="24" s="1"/>
  <c r="A874" i="24" s="1"/>
  <c r="A884" i="24" s="1"/>
  <c r="A893" i="24" s="1"/>
  <c r="A900" i="24" s="1"/>
  <c r="A909" i="24" s="1"/>
  <c r="A917" i="24" s="1"/>
  <c r="A928" i="24" s="1"/>
  <c r="A932" i="24" s="1"/>
  <c r="A936" i="24" s="1"/>
  <c r="A947" i="24" s="1"/>
  <c r="A955" i="24" s="1"/>
  <c r="A963" i="24" s="1"/>
  <c r="A971" i="24" s="1"/>
  <c r="A979" i="24" s="1"/>
  <c r="A987" i="24" s="1"/>
  <c r="A993" i="24" s="1"/>
  <c r="A1011" i="24" s="1"/>
  <c r="A1019" i="24" s="1"/>
  <c r="A1028" i="24" s="1"/>
  <c r="A1038" i="24" s="1"/>
  <c r="A1046" i="24" s="1"/>
  <c r="A1053" i="24" s="1"/>
  <c r="A1064" i="24" s="1"/>
  <c r="A1074" i="24" s="1"/>
  <c r="A1088" i="24" s="1"/>
  <c r="A1098" i="24" s="1"/>
  <c r="A1108" i="24" s="1"/>
  <c r="A1118" i="24" s="1"/>
  <c r="A1126" i="24" s="1"/>
  <c r="A1137" i="24" s="1"/>
  <c r="A1146" i="24" s="1"/>
  <c r="A1157" i="24" s="1"/>
  <c r="A1166" i="24" s="1"/>
  <c r="A1174" i="24" s="1"/>
  <c r="A1182" i="24" s="1"/>
  <c r="A1190" i="24" s="1"/>
  <c r="A1198" i="24" s="1"/>
  <c r="A1206" i="24" s="1"/>
  <c r="A1214" i="24" s="1"/>
  <c r="A1222" i="24" s="1"/>
  <c r="A1230" i="24" s="1"/>
  <c r="A1238" i="24" s="1"/>
  <c r="A1246" i="24" s="1"/>
  <c r="A1254" i="24" s="1"/>
  <c r="A1262" i="24" s="1"/>
  <c r="A1270" i="24" s="1"/>
  <c r="A1278" i="24" s="1"/>
  <c r="A1286" i="24" s="1"/>
  <c r="A1294" i="24" s="1"/>
  <c r="A1302" i="24" s="1"/>
  <c r="A1310" i="24" s="1"/>
  <c r="A1318" i="24" s="1"/>
  <c r="A1326" i="24" s="1"/>
  <c r="A1332" i="24" s="1"/>
  <c r="A1340" i="24" s="1"/>
  <c r="A1348" i="24" s="1"/>
  <c r="A1356" i="24" s="1"/>
  <c r="A1364" i="24" s="1"/>
  <c r="F1306" i="24"/>
  <c r="F1305" i="24"/>
  <c r="A1" i="22"/>
  <c r="E1554" i="24"/>
  <c r="F1554" i="24" s="1"/>
  <c r="E1540" i="24"/>
  <c r="F1540" i="24" s="1"/>
  <c r="E823" i="24"/>
  <c r="F823" i="24" s="1"/>
  <c r="E822" i="24"/>
  <c r="F822" i="24" s="1"/>
  <c r="E824" i="24"/>
  <c r="F824" i="24" s="1"/>
  <c r="E827" i="24"/>
  <c r="F827" i="24" s="1"/>
  <c r="AH12" i="2"/>
  <c r="AI12" i="2" s="1"/>
  <c r="AH13" i="2"/>
  <c r="AI13" i="2" s="1"/>
  <c r="AH14" i="2"/>
  <c r="AI14" i="2" s="1"/>
  <c r="AH15" i="2"/>
  <c r="AI15" i="2" s="1"/>
  <c r="AH16" i="2"/>
  <c r="AI16" i="2" s="1"/>
  <c r="AH17" i="2"/>
  <c r="AI17" i="2" s="1"/>
  <c r="AF17" i="2"/>
  <c r="AF16" i="2"/>
  <c r="AF15" i="2"/>
  <c r="AF14" i="2"/>
  <c r="AF13" i="2"/>
  <c r="AF12" i="2"/>
  <c r="E1532" i="24"/>
  <c r="F1532" i="24" s="1"/>
  <c r="E1525" i="24"/>
  <c r="E1517" i="24"/>
  <c r="F1517" i="24" s="1"/>
  <c r="E1509" i="24"/>
  <c r="F1509" i="24" s="1"/>
  <c r="E1501" i="24"/>
  <c r="F1501" i="24" s="1"/>
  <c r="E1493" i="24"/>
  <c r="F1493" i="24" s="1"/>
  <c r="E1485" i="24"/>
  <c r="F1485" i="24" s="1"/>
  <c r="E1477" i="24"/>
  <c r="F1477" i="24" s="1"/>
  <c r="E1469" i="24"/>
  <c r="F1469" i="24" s="1"/>
  <c r="E1461" i="24"/>
  <c r="F1461" i="24" s="1"/>
  <c r="E1453" i="24"/>
  <c r="F1453" i="24" s="1"/>
  <c r="E1445" i="24"/>
  <c r="F1445" i="24" s="1"/>
  <c r="E1437" i="24"/>
  <c r="F1437" i="24" s="1"/>
  <c r="E1429" i="24"/>
  <c r="F1429" i="24" s="1"/>
  <c r="E1421" i="24"/>
  <c r="F1421" i="24" s="1"/>
  <c r="E1413" i="24"/>
  <c r="F1413" i="24" s="1"/>
  <c r="E1405" i="24"/>
  <c r="F1405" i="24" s="1"/>
  <c r="E1397" i="24"/>
  <c r="F1397" i="24" s="1"/>
  <c r="E1389" i="24"/>
  <c r="F1389" i="24" s="1"/>
  <c r="E1381" i="24"/>
  <c r="F1381" i="24" s="1"/>
  <c r="E1373" i="24"/>
  <c r="F1373" i="24" s="1"/>
  <c r="E1365" i="24"/>
  <c r="F1365" i="24" s="1"/>
  <c r="E1357" i="24"/>
  <c r="F1357" i="24" s="1"/>
  <c r="F1349" i="24"/>
  <c r="E1333" i="24"/>
  <c r="F1333" i="24" s="1"/>
  <c r="E1263" i="24"/>
  <c r="F1263" i="24" s="1"/>
  <c r="E1255" i="24"/>
  <c r="F1255" i="24" s="1"/>
  <c r="E1247" i="24"/>
  <c r="F1247" i="24" s="1"/>
  <c r="E1239" i="24"/>
  <c r="F1239" i="24" s="1"/>
  <c r="E1231" i="24"/>
  <c r="F1231" i="24" s="1"/>
  <c r="E1223" i="24"/>
  <c r="F1223" i="24" s="1"/>
  <c r="E1215" i="24"/>
  <c r="F1215" i="24" s="1"/>
  <c r="E1207" i="24"/>
  <c r="F1207" i="24" s="1"/>
  <c r="E1199" i="24"/>
  <c r="F1199" i="24" s="1"/>
  <c r="E1191" i="24"/>
  <c r="F1191" i="24" s="1"/>
  <c r="E1183" i="24"/>
  <c r="F1183" i="24" s="1"/>
  <c r="E1175" i="24"/>
  <c r="F1175" i="24" s="1"/>
  <c r="E1167" i="24"/>
  <c r="F1167" i="24" s="1"/>
  <c r="E1158" i="24"/>
  <c r="F1158" i="24" s="1"/>
  <c r="E1152" i="24"/>
  <c r="F1152" i="24" s="1"/>
  <c r="E1150" i="24"/>
  <c r="F1150" i="24" s="1"/>
  <c r="E1149" i="24"/>
  <c r="F1149" i="24" s="1"/>
  <c r="E1132" i="24"/>
  <c r="F1132" i="24" s="1"/>
  <c r="E1128" i="24"/>
  <c r="F1128" i="24" s="1"/>
  <c r="E1127" i="24"/>
  <c r="F1127" i="24" s="1"/>
  <c r="E1119" i="24"/>
  <c r="F1119" i="24" s="1"/>
  <c r="E1094" i="24"/>
  <c r="F1094" i="24" s="1"/>
  <c r="E1076" i="24"/>
  <c r="F1076" i="24" s="1"/>
  <c r="E1077" i="24"/>
  <c r="F1077" i="24" s="1"/>
  <c r="E1078" i="24"/>
  <c r="F1078" i="24" s="1"/>
  <c r="E1075" i="24"/>
  <c r="F1075" i="24" s="1"/>
  <c r="D228" i="6"/>
  <c r="E228" i="6" s="1"/>
  <c r="D221" i="6"/>
  <c r="D75" i="6"/>
  <c r="E75" i="6" s="1"/>
  <c r="D72" i="6"/>
  <c r="E72" i="6" s="1"/>
  <c r="E1056" i="24"/>
  <c r="F1056" i="24" s="1"/>
  <c r="E1048" i="24"/>
  <c r="F1048" i="24" s="1"/>
  <c r="E1003" i="24"/>
  <c r="F1003" i="24" s="1"/>
  <c r="E998" i="24"/>
  <c r="F998" i="24" s="1"/>
  <c r="E988" i="24"/>
  <c r="F988" i="24" s="1"/>
  <c r="E989" i="24" s="1"/>
  <c r="F989" i="24" s="1"/>
  <c r="E942" i="24"/>
  <c r="F942" i="24" s="1"/>
  <c r="E939" i="24"/>
  <c r="F939" i="24" s="1"/>
  <c r="E921" i="24"/>
  <c r="F921" i="24" s="1"/>
  <c r="E920" i="24"/>
  <c r="F920" i="24" s="1"/>
  <c r="E880" i="24"/>
  <c r="E889" i="24" s="1"/>
  <c r="F889" i="24" s="1"/>
  <c r="E844" i="24"/>
  <c r="F844" i="24" s="1"/>
  <c r="E816" i="24"/>
  <c r="F816" i="24" s="1"/>
  <c r="E817" i="24" s="1"/>
  <c r="F817" i="24" s="1"/>
  <c r="E809" i="24"/>
  <c r="F809" i="24" s="1"/>
  <c r="E810" i="24" s="1"/>
  <c r="F810" i="24" s="1"/>
  <c r="E808" i="24"/>
  <c r="F808" i="24" s="1"/>
  <c r="E804" i="24"/>
  <c r="F804" i="24" s="1"/>
  <c r="E788" i="24"/>
  <c r="F788" i="24" s="1"/>
  <c r="E789" i="24"/>
  <c r="F789" i="24" s="1"/>
  <c r="E785" i="24"/>
  <c r="F785" i="24" s="1"/>
  <c r="E786" i="24" s="1"/>
  <c r="F786" i="24" s="1"/>
  <c r="E732" i="24"/>
  <c r="F732" i="24" s="1"/>
  <c r="E723" i="24"/>
  <c r="F723" i="24" s="1"/>
  <c r="E714" i="24"/>
  <c r="F714" i="24" s="1"/>
  <c r="E700" i="24"/>
  <c r="F700" i="24" s="1"/>
  <c r="E689" i="24"/>
  <c r="F689" i="24" s="1"/>
  <c r="E681" i="24"/>
  <c r="F681" i="24" s="1"/>
  <c r="E672" i="24"/>
  <c r="F672" i="24" s="1"/>
  <c r="E663" i="24"/>
  <c r="F663" i="24" s="1"/>
  <c r="E655" i="24"/>
  <c r="F655" i="24" s="1"/>
  <c r="E647" i="24"/>
  <c r="F647" i="24" s="1"/>
  <c r="E639" i="24"/>
  <c r="F639" i="24" s="1"/>
  <c r="E631" i="24"/>
  <c r="F631" i="24" s="1"/>
  <c r="E623" i="24"/>
  <c r="F623" i="24" s="1"/>
  <c r="E615" i="24"/>
  <c r="F615" i="24" s="1"/>
  <c r="E607" i="24"/>
  <c r="F607" i="24" s="1"/>
  <c r="E609" i="24" s="1"/>
  <c r="F609" i="24" s="1"/>
  <c r="E599" i="24"/>
  <c r="F599" i="24" s="1"/>
  <c r="E601" i="24" s="1"/>
  <c r="F601" i="24" s="1"/>
  <c r="E591" i="24"/>
  <c r="F591" i="24" s="1"/>
  <c r="E593" i="24" s="1"/>
  <c r="F593" i="24" s="1"/>
  <c r="E584" i="24"/>
  <c r="F584" i="24" s="1"/>
  <c r="E582" i="24"/>
  <c r="F582" i="24" s="1"/>
  <c r="E583" i="24"/>
  <c r="F583" i="24" s="1"/>
  <c r="E542" i="24"/>
  <c r="F542" i="24" s="1"/>
  <c r="E538" i="24"/>
  <c r="F538" i="24" s="1"/>
  <c r="E471" i="24"/>
  <c r="F471" i="24" s="1"/>
  <c r="E709" i="24"/>
  <c r="F709" i="24" s="1"/>
  <c r="E473" i="24"/>
  <c r="F473" i="24" s="1"/>
  <c r="E492" i="24"/>
  <c r="F492" i="24" s="1"/>
  <c r="E326" i="26"/>
  <c r="F326" i="26" s="1"/>
  <c r="E352" i="27"/>
  <c r="F352" i="27" s="1"/>
  <c r="E351" i="27"/>
  <c r="F351" i="27" s="1"/>
  <c r="E349" i="27"/>
  <c r="F349" i="27" s="1"/>
  <c r="E341" i="27"/>
  <c r="F341" i="27" s="1"/>
  <c r="E340" i="27"/>
  <c r="F340" i="27" s="1"/>
  <c r="E338" i="27"/>
  <c r="F338" i="27" s="1"/>
  <c r="E332" i="27"/>
  <c r="F332" i="27" s="1"/>
  <c r="E325" i="27"/>
  <c r="F325" i="27" s="1"/>
  <c r="E307" i="27"/>
  <c r="F307" i="27" s="1"/>
  <c r="E280" i="27"/>
  <c r="F280" i="27" s="1"/>
  <c r="E240" i="27"/>
  <c r="E226" i="27"/>
  <c r="F226" i="27" s="1"/>
  <c r="E215" i="27"/>
  <c r="F215" i="27" s="1"/>
  <c r="E138" i="27"/>
  <c r="F138" i="27" s="1"/>
  <c r="E87" i="27"/>
  <c r="F87" i="27" s="1"/>
  <c r="E12" i="27"/>
  <c r="F12" i="27" s="1"/>
  <c r="E315" i="26"/>
  <c r="F315" i="26" s="1"/>
  <c r="E304" i="26"/>
  <c r="F304" i="26" s="1"/>
  <c r="E293" i="26"/>
  <c r="F293" i="26" s="1"/>
  <c r="E283" i="26"/>
  <c r="F283" i="26" s="1"/>
  <c r="E273" i="26"/>
  <c r="F273" i="26" s="1"/>
  <c r="E263" i="26"/>
  <c r="F263" i="26" s="1"/>
  <c r="E253" i="26"/>
  <c r="F253" i="26" s="1"/>
  <c r="E243" i="26"/>
  <c r="F243" i="26" s="1"/>
  <c r="E325" i="26"/>
  <c r="F325" i="26" s="1"/>
  <c r="E314" i="26"/>
  <c r="F314" i="26" s="1"/>
  <c r="E303" i="26"/>
  <c r="F303" i="26" s="1"/>
  <c r="E292" i="26"/>
  <c r="F292" i="26" s="1"/>
  <c r="E282" i="26"/>
  <c r="F282" i="26" s="1"/>
  <c r="E272" i="26"/>
  <c r="F272" i="26" s="1"/>
  <c r="E262" i="26"/>
  <c r="F262" i="26" s="1"/>
  <c r="E252" i="26"/>
  <c r="F252" i="26" s="1"/>
  <c r="E242" i="26"/>
  <c r="F242" i="26" s="1"/>
  <c r="E241" i="26"/>
  <c r="F241" i="26" s="1"/>
  <c r="E324" i="26"/>
  <c r="F324" i="26" s="1"/>
  <c r="E313" i="26"/>
  <c r="F313" i="26" s="1"/>
  <c r="E302" i="26"/>
  <c r="F302" i="26" s="1"/>
  <c r="E291" i="26"/>
  <c r="F291" i="26" s="1"/>
  <c r="E281" i="26"/>
  <c r="F281" i="26" s="1"/>
  <c r="E271" i="26"/>
  <c r="F271" i="26" s="1"/>
  <c r="E261" i="26"/>
  <c r="F261" i="26" s="1"/>
  <c r="E251" i="26"/>
  <c r="F251" i="26" s="1"/>
  <c r="E233" i="26"/>
  <c r="F233" i="26" s="1"/>
  <c r="E232" i="26"/>
  <c r="F232" i="26" s="1"/>
  <c r="E231" i="26"/>
  <c r="F231" i="26" s="1"/>
  <c r="E223" i="26"/>
  <c r="F223" i="26" s="1"/>
  <c r="E222" i="26"/>
  <c r="F222" i="26" s="1"/>
  <c r="E221" i="26"/>
  <c r="F221" i="26" s="1"/>
  <c r="E213" i="26"/>
  <c r="F213" i="26" s="1"/>
  <c r="E140" i="26"/>
  <c r="F140" i="26" s="1"/>
  <c r="E107" i="26"/>
  <c r="F107" i="26" s="1"/>
  <c r="E106" i="26"/>
  <c r="F106" i="26" s="1"/>
  <c r="E101" i="26"/>
  <c r="F101" i="26" s="1"/>
  <c r="E8" i="26"/>
  <c r="F8" i="26" s="1"/>
  <c r="E76" i="26"/>
  <c r="F76" i="26" s="1"/>
  <c r="F75" i="26" s="1"/>
  <c r="E518" i="26"/>
  <c r="F518" i="26" s="1"/>
  <c r="E505" i="26"/>
  <c r="F505" i="26" s="1"/>
  <c r="E472" i="26"/>
  <c r="F472" i="26" s="1"/>
  <c r="E461" i="26"/>
  <c r="F461" i="26" s="1"/>
  <c r="E77" i="27"/>
  <c r="F77" i="27" s="1"/>
  <c r="E67" i="27"/>
  <c r="F67" i="27" s="1"/>
  <c r="E464" i="24"/>
  <c r="F464" i="24" s="1"/>
  <c r="E458" i="24"/>
  <c r="F458" i="24" s="1"/>
  <c r="E456" i="24"/>
  <c r="F456" i="24" s="1"/>
  <c r="E462" i="24"/>
  <c r="F462" i="24" s="1"/>
  <c r="E461" i="24"/>
  <c r="F461" i="24" s="1"/>
  <c r="E460" i="24"/>
  <c r="F460" i="24" s="1"/>
  <c r="E459" i="24"/>
  <c r="F459" i="24" s="1"/>
  <c r="E457" i="24"/>
  <c r="F457" i="24" s="1"/>
  <c r="E455" i="24"/>
  <c r="F455" i="24" s="1"/>
  <c r="E454" i="24"/>
  <c r="F454" i="24" s="1"/>
  <c r="E453" i="24"/>
  <c r="F453" i="24" s="1"/>
  <c r="E443" i="24"/>
  <c r="F443" i="24" s="1"/>
  <c r="E444" i="24"/>
  <c r="F444" i="24" s="1"/>
  <c r="E445" i="24"/>
  <c r="F445" i="24" s="1"/>
  <c r="E446" i="24"/>
  <c r="F446" i="24" s="1"/>
  <c r="E442" i="24"/>
  <c r="F442" i="24" s="1"/>
  <c r="E432" i="24"/>
  <c r="F432" i="24" s="1"/>
  <c r="E433" i="24"/>
  <c r="F433" i="24" s="1"/>
  <c r="E431" i="24"/>
  <c r="F431" i="24" s="1"/>
  <c r="E434" i="24"/>
  <c r="F434" i="24" s="1"/>
  <c r="E422" i="24"/>
  <c r="F422" i="24" s="1"/>
  <c r="E420" i="24"/>
  <c r="F420" i="24" s="1"/>
  <c r="E424" i="24"/>
  <c r="F424" i="24" s="1"/>
  <c r="E423" i="24"/>
  <c r="F423" i="24" s="1"/>
  <c r="E421" i="24"/>
  <c r="F421" i="24" s="1"/>
  <c r="E411" i="24"/>
  <c r="F411" i="24" s="1"/>
  <c r="E413" i="24"/>
  <c r="F413" i="24" s="1"/>
  <c r="E412" i="24"/>
  <c r="F412" i="24" s="1"/>
  <c r="E407" i="24"/>
  <c r="F407" i="24" s="1"/>
  <c r="E408" i="24"/>
  <c r="F408" i="24" s="1"/>
  <c r="E409" i="24"/>
  <c r="F409" i="24" s="1"/>
  <c r="E406" i="24"/>
  <c r="F406" i="24" s="1"/>
  <c r="E80" i="24"/>
  <c r="F80" i="24" s="1"/>
  <c r="C235" i="4"/>
  <c r="E604" i="2"/>
  <c r="F604" i="2" s="1"/>
  <c r="E334" i="24"/>
  <c r="F334" i="24" s="1"/>
  <c r="E335" i="24"/>
  <c r="E336" i="24"/>
  <c r="F336" i="24" s="1"/>
  <c r="E337" i="24"/>
  <c r="F337" i="24" s="1"/>
  <c r="E338" i="24"/>
  <c r="F338" i="24" s="1"/>
  <c r="E339" i="24"/>
  <c r="F339" i="24" s="1"/>
  <c r="E340" i="24"/>
  <c r="F340" i="24" s="1"/>
  <c r="E341" i="24"/>
  <c r="F341" i="24" s="1"/>
  <c r="E342" i="24"/>
  <c r="F342" i="24" s="1"/>
  <c r="E343" i="24"/>
  <c r="F343" i="24" s="1"/>
  <c r="E333" i="24"/>
  <c r="F333" i="24" s="1"/>
  <c r="E315" i="24"/>
  <c r="F315" i="24" s="1"/>
  <c r="E316" i="24"/>
  <c r="F316" i="24" s="1"/>
  <c r="E317" i="24"/>
  <c r="F317" i="24" s="1"/>
  <c r="E318" i="24"/>
  <c r="F318" i="24" s="1"/>
  <c r="E319" i="24"/>
  <c r="F319" i="24" s="1"/>
  <c r="E320" i="24"/>
  <c r="F320" i="24" s="1"/>
  <c r="E321" i="24"/>
  <c r="F321" i="24" s="1"/>
  <c r="E322" i="24"/>
  <c r="F322" i="24" s="1"/>
  <c r="E323" i="24"/>
  <c r="F323" i="24" s="1"/>
  <c r="E324" i="24"/>
  <c r="F324" i="24" s="1"/>
  <c r="E314" i="24"/>
  <c r="F314" i="24" s="1"/>
  <c r="E287" i="24"/>
  <c r="E277" i="24"/>
  <c r="F277" i="24" s="1"/>
  <c r="E259" i="24"/>
  <c r="F259" i="24" s="1"/>
  <c r="E114" i="24"/>
  <c r="F114" i="24" s="1"/>
  <c r="E81" i="24"/>
  <c r="F81" i="24" s="1"/>
  <c r="E75" i="24"/>
  <c r="F75" i="24" s="1"/>
  <c r="E22" i="24"/>
  <c r="F22" i="24" s="1"/>
  <c r="F11" i="2"/>
  <c r="E115" i="27"/>
  <c r="F115" i="27" s="1"/>
  <c r="E90" i="27"/>
  <c r="F90" i="27" s="1"/>
  <c r="E114" i="27"/>
  <c r="F114" i="27" s="1"/>
  <c r="E89" i="27"/>
  <c r="F89" i="27" s="1"/>
  <c r="E113" i="27"/>
  <c r="F113" i="27" s="1"/>
  <c r="E88" i="27"/>
  <c r="F88" i="27" s="1"/>
  <c r="D30" i="21"/>
  <c r="F37" i="21" s="1"/>
  <c r="G38" i="21" s="1"/>
  <c r="H40" i="21" s="1"/>
  <c r="H41" i="21" s="1"/>
  <c r="F22" i="21"/>
  <c r="G23" i="21"/>
  <c r="C46" i="4"/>
  <c r="C43" i="4"/>
  <c r="F1531" i="24"/>
  <c r="E919" i="24"/>
  <c r="F919" i="24" s="1"/>
  <c r="E918" i="24"/>
  <c r="F918" i="24" s="1"/>
  <c r="D1004" i="24"/>
  <c r="D466" i="24"/>
  <c r="E265" i="2"/>
  <c r="F265" i="2" s="1"/>
  <c r="E972" i="24"/>
  <c r="F972" i="24" s="1"/>
  <c r="E956" i="24"/>
  <c r="F956" i="24" s="1"/>
  <c r="E784" i="24"/>
  <c r="F784" i="24" s="1"/>
  <c r="E175" i="24"/>
  <c r="E174" i="24"/>
  <c r="E172" i="24"/>
  <c r="D175" i="24"/>
  <c r="D174" i="24"/>
  <c r="D172" i="24"/>
  <c r="D170" i="24"/>
  <c r="D171" i="24" s="1"/>
  <c r="E242" i="24"/>
  <c r="D242" i="24"/>
  <c r="D241" i="24"/>
  <c r="E765" i="24"/>
  <c r="F765" i="24" s="1"/>
  <c r="E769" i="24"/>
  <c r="F769" i="24" s="1"/>
  <c r="E773" i="24"/>
  <c r="F773" i="24" s="1"/>
  <c r="E401" i="24"/>
  <c r="F401" i="24" s="1"/>
  <c r="D398" i="24"/>
  <c r="E326" i="24"/>
  <c r="F326" i="24" s="1"/>
  <c r="E701" i="24"/>
  <c r="F701" i="24" s="1"/>
  <c r="B702" i="24"/>
  <c r="E702" i="24"/>
  <c r="F702" i="24" s="1"/>
  <c r="B701" i="24"/>
  <c r="E1029" i="24"/>
  <c r="F1029" i="24" s="1"/>
  <c r="E1030" i="24"/>
  <c r="F1030" i="24" s="1"/>
  <c r="E1031" i="24" s="1"/>
  <c r="F1031" i="24" s="1"/>
  <c r="E1032" i="24"/>
  <c r="F1032" i="24" s="1"/>
  <c r="D69" i="8"/>
  <c r="D108" i="8" s="1"/>
  <c r="D65" i="8"/>
  <c r="D116" i="8" s="1"/>
  <c r="D1036" i="24"/>
  <c r="E1047" i="24"/>
  <c r="F1047" i="24" s="1"/>
  <c r="E1080" i="24"/>
  <c r="F1080" i="24" s="1"/>
  <c r="D147" i="6"/>
  <c r="E147" i="6" s="1"/>
  <c r="D109" i="6"/>
  <c r="D119" i="6" s="1"/>
  <c r="C153" i="6"/>
  <c r="F1086" i="24"/>
  <c r="E1085" i="24" s="1"/>
  <c r="F1085" i="24" s="1"/>
  <c r="D1066" i="24"/>
  <c r="D1067" i="24"/>
  <c r="D1068" i="24"/>
  <c r="E1013" i="24"/>
  <c r="F1013" i="24" s="1"/>
  <c r="D97" i="6"/>
  <c r="E97" i="6" s="1"/>
  <c r="C102" i="6"/>
  <c r="D102" i="6"/>
  <c r="D81" i="6"/>
  <c r="E81" i="6" s="1"/>
  <c r="C85" i="6"/>
  <c r="D85" i="6"/>
  <c r="D1070" i="24"/>
  <c r="C208" i="6"/>
  <c r="E208" i="6" s="1"/>
  <c r="D208" i="6"/>
  <c r="E1054" i="24"/>
  <c r="F1054" i="24" s="1"/>
  <c r="E1039" i="24"/>
  <c r="F1039" i="24" s="1"/>
  <c r="E1040" i="24"/>
  <c r="F1040" i="24" s="1"/>
  <c r="D1044" i="24"/>
  <c r="E1020" i="24"/>
  <c r="F1020" i="24" s="1"/>
  <c r="D24" i="22"/>
  <c r="E24" i="22" s="1"/>
  <c r="F24" i="22" s="1"/>
  <c r="G24" i="22" s="1"/>
  <c r="H24" i="22" s="1"/>
  <c r="I24" i="22" s="1"/>
  <c r="J24" i="22" s="1"/>
  <c r="K24" i="22" s="1"/>
  <c r="L24" i="22" s="1"/>
  <c r="M24" i="22" s="1"/>
  <c r="N24" i="22" s="1"/>
  <c r="O24" i="22" s="1"/>
  <c r="P24" i="22" s="1"/>
  <c r="Q24" i="22" s="1"/>
  <c r="R24" i="22" s="1"/>
  <c r="S24" i="22" s="1"/>
  <c r="T24" i="22" s="1"/>
  <c r="U24" i="22" s="1"/>
  <c r="V24" i="22" s="1"/>
  <c r="W24" i="22" s="1"/>
  <c r="X24" i="22" s="1"/>
  <c r="Y24" i="22" s="1"/>
  <c r="D973" i="24"/>
  <c r="C143" i="6"/>
  <c r="D143" i="6"/>
  <c r="D965" i="24"/>
  <c r="E393" i="24"/>
  <c r="F393" i="24" s="1"/>
  <c r="E307" i="24"/>
  <c r="F307" i="24" s="1"/>
  <c r="D11" i="22"/>
  <c r="E11" i="22" s="1"/>
  <c r="F11" i="22" s="1"/>
  <c r="G11" i="22" s="1"/>
  <c r="H11" i="22" s="1"/>
  <c r="I11" i="22" s="1"/>
  <c r="J11" i="22" s="1"/>
  <c r="K11" i="22" s="1"/>
  <c r="L11" i="22" s="1"/>
  <c r="M11" i="22" s="1"/>
  <c r="N11" i="22" s="1"/>
  <c r="O11" i="22" s="1"/>
  <c r="P11" i="22" s="1"/>
  <c r="Q11" i="22" s="1"/>
  <c r="R11" i="22" s="1"/>
  <c r="S11" i="22" s="1"/>
  <c r="T11" i="22" s="1"/>
  <c r="U11" i="22" s="1"/>
  <c r="V11" i="22" s="1"/>
  <c r="W11" i="22" s="1"/>
  <c r="X11" i="22" s="1"/>
  <c r="Y11" i="22" s="1"/>
  <c r="D12" i="22"/>
  <c r="E12" i="22" s="1"/>
  <c r="F12" i="22" s="1"/>
  <c r="G12" i="22" s="1"/>
  <c r="H12" i="22" s="1"/>
  <c r="I12" i="22" s="1"/>
  <c r="J12" i="22" s="1"/>
  <c r="K12" i="22" s="1"/>
  <c r="L12" i="22" s="1"/>
  <c r="M12" i="22" s="1"/>
  <c r="N12" i="22" s="1"/>
  <c r="O12" i="22" s="1"/>
  <c r="P12" i="22" s="1"/>
  <c r="Q12" i="22" s="1"/>
  <c r="R12" i="22" s="1"/>
  <c r="S12" i="22" s="1"/>
  <c r="T12" i="22" s="1"/>
  <c r="U12" i="22" s="1"/>
  <c r="V12" i="22" s="1"/>
  <c r="W12" i="22" s="1"/>
  <c r="X12" i="22" s="1"/>
  <c r="Y12" i="22" s="1"/>
  <c r="D13" i="22"/>
  <c r="E13" i="22" s="1"/>
  <c r="F13" i="22" s="1"/>
  <c r="G13" i="22" s="1"/>
  <c r="H13" i="22" s="1"/>
  <c r="I13" i="22" s="1"/>
  <c r="J13" i="22" s="1"/>
  <c r="K13" i="22" s="1"/>
  <c r="L13" i="22" s="1"/>
  <c r="M13" i="22" s="1"/>
  <c r="N13" i="22" s="1"/>
  <c r="O13" i="22" s="1"/>
  <c r="P13" i="22" s="1"/>
  <c r="Q13" i="22" s="1"/>
  <c r="R13" i="22" s="1"/>
  <c r="S13" i="22" s="1"/>
  <c r="T13" i="22" s="1"/>
  <c r="U13" i="22" s="1"/>
  <c r="V13" i="22" s="1"/>
  <c r="W13" i="22" s="1"/>
  <c r="X13" i="22" s="1"/>
  <c r="Y13" i="22" s="1"/>
  <c r="D14" i="22"/>
  <c r="E14" i="22"/>
  <c r="F14" i="22" s="1"/>
  <c r="G14" i="22" s="1"/>
  <c r="H14" i="22" s="1"/>
  <c r="I14" i="22" s="1"/>
  <c r="J14" i="22" s="1"/>
  <c r="K14" i="22" s="1"/>
  <c r="L14" i="22" s="1"/>
  <c r="M14" i="22" s="1"/>
  <c r="N14" i="22" s="1"/>
  <c r="O14" i="22" s="1"/>
  <c r="P14" i="22" s="1"/>
  <c r="Q14" i="22" s="1"/>
  <c r="R14" i="22" s="1"/>
  <c r="S14" i="22" s="1"/>
  <c r="T14" i="22" s="1"/>
  <c r="U14" i="22" s="1"/>
  <c r="V14" i="22" s="1"/>
  <c r="W14" i="22" s="1"/>
  <c r="X14" i="22" s="1"/>
  <c r="Y14" i="22" s="1"/>
  <c r="D15" i="22"/>
  <c r="E15" i="22" s="1"/>
  <c r="F15" i="22" s="1"/>
  <c r="G15" i="22" s="1"/>
  <c r="H15" i="22" s="1"/>
  <c r="I15" i="22" s="1"/>
  <c r="J15" i="22" s="1"/>
  <c r="K15" i="22" s="1"/>
  <c r="L15" i="22" s="1"/>
  <c r="M15" i="22" s="1"/>
  <c r="N15" i="22" s="1"/>
  <c r="O15" i="22" s="1"/>
  <c r="P15" i="22" s="1"/>
  <c r="Q15" i="22" s="1"/>
  <c r="R15" i="22" s="1"/>
  <c r="S15" i="22" s="1"/>
  <c r="T15" i="22" s="1"/>
  <c r="U15" i="22" s="1"/>
  <c r="V15" i="22" s="1"/>
  <c r="W15" i="22" s="1"/>
  <c r="X15" i="22" s="1"/>
  <c r="Y15" i="22" s="1"/>
  <c r="D16" i="22"/>
  <c r="E16" i="22" s="1"/>
  <c r="F16" i="22" s="1"/>
  <c r="G16" i="22" s="1"/>
  <c r="H16" i="22" s="1"/>
  <c r="I16" i="22" s="1"/>
  <c r="J16" i="22" s="1"/>
  <c r="K16" i="22" s="1"/>
  <c r="L16" i="22" s="1"/>
  <c r="M16" i="22" s="1"/>
  <c r="N16" i="22" s="1"/>
  <c r="O16" i="22" s="1"/>
  <c r="P16" i="22" s="1"/>
  <c r="Q16" i="22" s="1"/>
  <c r="R16" i="22" s="1"/>
  <c r="S16" i="22" s="1"/>
  <c r="T16" i="22" s="1"/>
  <c r="U16" i="22" s="1"/>
  <c r="V16" i="22" s="1"/>
  <c r="W16" i="22" s="1"/>
  <c r="X16" i="22" s="1"/>
  <c r="Y16" i="22" s="1"/>
  <c r="D17" i="22"/>
  <c r="E17" i="22" s="1"/>
  <c r="F17" i="22" s="1"/>
  <c r="G17" i="22" s="1"/>
  <c r="H17" i="22" s="1"/>
  <c r="I17" i="22" s="1"/>
  <c r="J17" i="22" s="1"/>
  <c r="K17" i="22" s="1"/>
  <c r="L17" i="22" s="1"/>
  <c r="M17" i="22" s="1"/>
  <c r="N17" i="22" s="1"/>
  <c r="O17" i="22" s="1"/>
  <c r="P17" i="22" s="1"/>
  <c r="Q17" i="22" s="1"/>
  <c r="R17" i="22" s="1"/>
  <c r="S17" i="22" s="1"/>
  <c r="T17" i="22" s="1"/>
  <c r="U17" i="22" s="1"/>
  <c r="V17" i="22" s="1"/>
  <c r="W17" i="22" s="1"/>
  <c r="X17" i="22" s="1"/>
  <c r="Y17" i="22" s="1"/>
  <c r="D18" i="22"/>
  <c r="E18" i="22" s="1"/>
  <c r="F18" i="22" s="1"/>
  <c r="G18" i="22" s="1"/>
  <c r="H18" i="22" s="1"/>
  <c r="I18" i="22" s="1"/>
  <c r="J18" i="22" s="1"/>
  <c r="K18" i="22" s="1"/>
  <c r="L18" i="22" s="1"/>
  <c r="M18" i="22" s="1"/>
  <c r="N18" i="22" s="1"/>
  <c r="O18" i="22" s="1"/>
  <c r="P18" i="22" s="1"/>
  <c r="Q18" i="22" s="1"/>
  <c r="R18" i="22" s="1"/>
  <c r="S18" i="22" s="1"/>
  <c r="T18" i="22" s="1"/>
  <c r="U18" i="22" s="1"/>
  <c r="V18" i="22" s="1"/>
  <c r="W18" i="22" s="1"/>
  <c r="X18" i="22" s="1"/>
  <c r="Y18" i="22" s="1"/>
  <c r="D20" i="22"/>
  <c r="E20" i="22" s="1"/>
  <c r="F20" i="22" s="1"/>
  <c r="G20" i="22" s="1"/>
  <c r="H20" i="22" s="1"/>
  <c r="I20" i="22" s="1"/>
  <c r="J20" i="22" s="1"/>
  <c r="K20" i="22" s="1"/>
  <c r="L20" i="22" s="1"/>
  <c r="M20" i="22" s="1"/>
  <c r="N20" i="22" s="1"/>
  <c r="O20" i="22" s="1"/>
  <c r="P20" i="22" s="1"/>
  <c r="Q20" i="22" s="1"/>
  <c r="R20" i="22" s="1"/>
  <c r="S20" i="22" s="1"/>
  <c r="T20" i="22" s="1"/>
  <c r="U20" i="22" s="1"/>
  <c r="V20" i="22" s="1"/>
  <c r="W20" i="22" s="1"/>
  <c r="X20" i="22" s="1"/>
  <c r="Y20" i="22" s="1"/>
  <c r="D21" i="22"/>
  <c r="E21" i="22"/>
  <c r="F21" i="22" s="1"/>
  <c r="G21" i="22" s="1"/>
  <c r="H21" i="22" s="1"/>
  <c r="I21" i="22" s="1"/>
  <c r="J21" i="22" s="1"/>
  <c r="K21" i="22" s="1"/>
  <c r="L21" i="22" s="1"/>
  <c r="M21" i="22" s="1"/>
  <c r="N21" i="22" s="1"/>
  <c r="O21" i="22" s="1"/>
  <c r="P21" i="22" s="1"/>
  <c r="Q21" i="22" s="1"/>
  <c r="R21" i="22" s="1"/>
  <c r="S21" i="22" s="1"/>
  <c r="T21" i="22" s="1"/>
  <c r="U21" i="22" s="1"/>
  <c r="V21" i="22" s="1"/>
  <c r="W21" i="22" s="1"/>
  <c r="X21" i="22" s="1"/>
  <c r="Y21" i="22" s="1"/>
  <c r="D22" i="22"/>
  <c r="E22" i="22" s="1"/>
  <c r="F22" i="22" s="1"/>
  <c r="G22" i="22" s="1"/>
  <c r="H22" i="22" s="1"/>
  <c r="I22" i="22" s="1"/>
  <c r="J22" i="22" s="1"/>
  <c r="K22" i="22" s="1"/>
  <c r="L22" i="22" s="1"/>
  <c r="M22" i="22" s="1"/>
  <c r="N22" i="22" s="1"/>
  <c r="O22" i="22" s="1"/>
  <c r="P22" i="22" s="1"/>
  <c r="Q22" i="22" s="1"/>
  <c r="R22" i="22" s="1"/>
  <c r="S22" i="22" s="1"/>
  <c r="T22" i="22" s="1"/>
  <c r="U22" i="22" s="1"/>
  <c r="V22" i="22" s="1"/>
  <c r="W22" i="22" s="1"/>
  <c r="X22" i="22" s="1"/>
  <c r="Y22" i="22" s="1"/>
  <c r="D23" i="22"/>
  <c r="E23" i="22" s="1"/>
  <c r="F23" i="22" s="1"/>
  <c r="G23" i="22" s="1"/>
  <c r="H23" i="22" s="1"/>
  <c r="I23" i="22" s="1"/>
  <c r="J23" i="22" s="1"/>
  <c r="K23" i="22" s="1"/>
  <c r="L23" i="22" s="1"/>
  <c r="M23" i="22" s="1"/>
  <c r="N23" i="22" s="1"/>
  <c r="O23" i="22" s="1"/>
  <c r="P23" i="22" s="1"/>
  <c r="Q23" i="22" s="1"/>
  <c r="R23" i="22" s="1"/>
  <c r="S23" i="22" s="1"/>
  <c r="T23" i="22" s="1"/>
  <c r="U23" i="22" s="1"/>
  <c r="V23" i="22" s="1"/>
  <c r="W23" i="22" s="1"/>
  <c r="X23" i="22" s="1"/>
  <c r="Y23" i="22" s="1"/>
  <c r="D25" i="22"/>
  <c r="E25" i="22" s="1"/>
  <c r="F25" i="22" s="1"/>
  <c r="G25" i="22" s="1"/>
  <c r="H25" i="22" s="1"/>
  <c r="I25" i="22" s="1"/>
  <c r="J25" i="22" s="1"/>
  <c r="K25" i="22" s="1"/>
  <c r="L25" i="22" s="1"/>
  <c r="M25" i="22" s="1"/>
  <c r="N25" i="22" s="1"/>
  <c r="O25" i="22" s="1"/>
  <c r="P25" i="22" s="1"/>
  <c r="Q25" i="22" s="1"/>
  <c r="R25" i="22" s="1"/>
  <c r="S25" i="22" s="1"/>
  <c r="T25" i="22" s="1"/>
  <c r="U25" i="22" s="1"/>
  <c r="V25" i="22" s="1"/>
  <c r="W25" i="22" s="1"/>
  <c r="X25" i="22" s="1"/>
  <c r="Y25" i="22" s="1"/>
  <c r="D26" i="22"/>
  <c r="E26" i="22" s="1"/>
  <c r="F26" i="22" s="1"/>
  <c r="G26" i="22" s="1"/>
  <c r="H26" i="22" s="1"/>
  <c r="I26" i="22" s="1"/>
  <c r="J26" i="22" s="1"/>
  <c r="K26" i="22" s="1"/>
  <c r="L26" i="22" s="1"/>
  <c r="M26" i="22" s="1"/>
  <c r="N26" i="22" s="1"/>
  <c r="O26" i="22" s="1"/>
  <c r="P26" i="22" s="1"/>
  <c r="Q26" i="22" s="1"/>
  <c r="R26" i="22" s="1"/>
  <c r="S26" i="22" s="1"/>
  <c r="T26" i="22" s="1"/>
  <c r="U26" i="22" s="1"/>
  <c r="V26" i="22" s="1"/>
  <c r="W26" i="22" s="1"/>
  <c r="X26" i="22" s="1"/>
  <c r="Y26" i="22" s="1"/>
  <c r="D27" i="22"/>
  <c r="E27" i="22" s="1"/>
  <c r="F27" i="22" s="1"/>
  <c r="G27" i="22" s="1"/>
  <c r="H27" i="22" s="1"/>
  <c r="I27" i="22" s="1"/>
  <c r="J27" i="22" s="1"/>
  <c r="K27" i="22" s="1"/>
  <c r="L27" i="22" s="1"/>
  <c r="M27" i="22" s="1"/>
  <c r="N27" i="22" s="1"/>
  <c r="O27" i="22" s="1"/>
  <c r="P27" i="22" s="1"/>
  <c r="Q27" i="22" s="1"/>
  <c r="R27" i="22" s="1"/>
  <c r="S27" i="22" s="1"/>
  <c r="T27" i="22" s="1"/>
  <c r="U27" i="22" s="1"/>
  <c r="V27" i="22" s="1"/>
  <c r="W27" i="22" s="1"/>
  <c r="X27" i="22" s="1"/>
  <c r="Y27" i="22" s="1"/>
  <c r="D28" i="22"/>
  <c r="E28" i="22" s="1"/>
  <c r="F28" i="22" s="1"/>
  <c r="G28" i="22" s="1"/>
  <c r="H28" i="22" s="1"/>
  <c r="I28" i="22" s="1"/>
  <c r="J28" i="22" s="1"/>
  <c r="K28" i="22" s="1"/>
  <c r="L28" i="22" s="1"/>
  <c r="M28" i="22" s="1"/>
  <c r="N28" i="22" s="1"/>
  <c r="O28" i="22" s="1"/>
  <c r="P28" i="22" s="1"/>
  <c r="Q28" i="22" s="1"/>
  <c r="R28" i="22" s="1"/>
  <c r="S28" i="22" s="1"/>
  <c r="T28" i="22" s="1"/>
  <c r="U28" i="22" s="1"/>
  <c r="V28" i="22" s="1"/>
  <c r="W28" i="22" s="1"/>
  <c r="X28" i="22" s="1"/>
  <c r="Y28" i="22" s="1"/>
  <c r="D29" i="22"/>
  <c r="E29" i="22" s="1"/>
  <c r="F29" i="22" s="1"/>
  <c r="G29" i="22" s="1"/>
  <c r="H29" i="22" s="1"/>
  <c r="I29" i="22" s="1"/>
  <c r="J29" i="22" s="1"/>
  <c r="K29" i="22" s="1"/>
  <c r="L29" i="22" s="1"/>
  <c r="M29" i="22" s="1"/>
  <c r="N29" i="22" s="1"/>
  <c r="O29" i="22" s="1"/>
  <c r="P29" i="22" s="1"/>
  <c r="Q29" i="22" s="1"/>
  <c r="R29" i="22" s="1"/>
  <c r="S29" i="22" s="1"/>
  <c r="T29" i="22" s="1"/>
  <c r="U29" i="22" s="1"/>
  <c r="V29" i="22" s="1"/>
  <c r="W29" i="22" s="1"/>
  <c r="X29" i="22" s="1"/>
  <c r="Y29" i="22" s="1"/>
  <c r="D30" i="22"/>
  <c r="E30" i="22" s="1"/>
  <c r="F30" i="22" s="1"/>
  <c r="G30" i="22" s="1"/>
  <c r="H30" i="22" s="1"/>
  <c r="I30" i="22" s="1"/>
  <c r="J30" i="22" s="1"/>
  <c r="K30" i="22" s="1"/>
  <c r="L30" i="22" s="1"/>
  <c r="M30" i="22" s="1"/>
  <c r="N30" i="22" s="1"/>
  <c r="O30" i="22" s="1"/>
  <c r="P30" i="22" s="1"/>
  <c r="Q30" i="22" s="1"/>
  <c r="R30" i="22" s="1"/>
  <c r="S30" i="22" s="1"/>
  <c r="T30" i="22" s="1"/>
  <c r="U30" i="22" s="1"/>
  <c r="V30" i="22" s="1"/>
  <c r="W30" i="22" s="1"/>
  <c r="X30" i="22" s="1"/>
  <c r="Y30" i="22" s="1"/>
  <c r="D31" i="22"/>
  <c r="E31" i="22" s="1"/>
  <c r="F31" i="22" s="1"/>
  <c r="G31" i="22" s="1"/>
  <c r="H31" i="22" s="1"/>
  <c r="I31" i="22" s="1"/>
  <c r="J31" i="22" s="1"/>
  <c r="K31" i="22" s="1"/>
  <c r="L31" i="22" s="1"/>
  <c r="M31" i="22" s="1"/>
  <c r="N31" i="22" s="1"/>
  <c r="O31" i="22" s="1"/>
  <c r="P31" i="22" s="1"/>
  <c r="Q31" i="22" s="1"/>
  <c r="R31" i="22" s="1"/>
  <c r="S31" i="22" s="1"/>
  <c r="T31" i="22" s="1"/>
  <c r="U31" i="22" s="1"/>
  <c r="V31" i="22" s="1"/>
  <c r="W31" i="22" s="1"/>
  <c r="X31" i="22" s="1"/>
  <c r="Y31" i="22" s="1"/>
  <c r="D32" i="22"/>
  <c r="E32" i="22" s="1"/>
  <c r="F32" i="22" s="1"/>
  <c r="G32" i="22" s="1"/>
  <c r="H32" i="22" s="1"/>
  <c r="I32" i="22" s="1"/>
  <c r="J32" i="22" s="1"/>
  <c r="K32" i="22" s="1"/>
  <c r="L32" i="22" s="1"/>
  <c r="M32" i="22" s="1"/>
  <c r="N32" i="22" s="1"/>
  <c r="O32" i="22" s="1"/>
  <c r="P32" i="22" s="1"/>
  <c r="Q32" i="22" s="1"/>
  <c r="R32" i="22" s="1"/>
  <c r="S32" i="22" s="1"/>
  <c r="T32" i="22" s="1"/>
  <c r="U32" i="22" s="1"/>
  <c r="V32" i="22" s="1"/>
  <c r="W32" i="22" s="1"/>
  <c r="X32" i="22" s="1"/>
  <c r="Y32" i="22" s="1"/>
  <c r="D33" i="22"/>
  <c r="E33" i="22" s="1"/>
  <c r="F33" i="22" s="1"/>
  <c r="G33" i="22" s="1"/>
  <c r="H33" i="22" s="1"/>
  <c r="I33" i="22" s="1"/>
  <c r="J33" i="22" s="1"/>
  <c r="K33" i="22" s="1"/>
  <c r="L33" i="22" s="1"/>
  <c r="M33" i="22" s="1"/>
  <c r="N33" i="22" s="1"/>
  <c r="O33" i="22" s="1"/>
  <c r="P33" i="22" s="1"/>
  <c r="Q33" i="22" s="1"/>
  <c r="R33" i="22" s="1"/>
  <c r="S33" i="22" s="1"/>
  <c r="T33" i="22" s="1"/>
  <c r="U33" i="22" s="1"/>
  <c r="V33" i="22" s="1"/>
  <c r="W33" i="22" s="1"/>
  <c r="X33" i="22" s="1"/>
  <c r="Y33" i="22" s="1"/>
  <c r="D35" i="22"/>
  <c r="E35" i="22" s="1"/>
  <c r="F35" i="22" s="1"/>
  <c r="G35" i="22" s="1"/>
  <c r="H35" i="22" s="1"/>
  <c r="I35" i="22" s="1"/>
  <c r="J35" i="22" s="1"/>
  <c r="K35" i="22" s="1"/>
  <c r="L35" i="22" s="1"/>
  <c r="M35" i="22" s="1"/>
  <c r="N35" i="22" s="1"/>
  <c r="O35" i="22" s="1"/>
  <c r="P35" i="22" s="1"/>
  <c r="Q35" i="22" s="1"/>
  <c r="R35" i="22" s="1"/>
  <c r="S35" i="22" s="1"/>
  <c r="T35" i="22" s="1"/>
  <c r="U35" i="22" s="1"/>
  <c r="V35" i="22" s="1"/>
  <c r="W35" i="22" s="1"/>
  <c r="X35" i="22" s="1"/>
  <c r="Y35" i="22" s="1"/>
  <c r="D36" i="22"/>
  <c r="E36" i="22" s="1"/>
  <c r="F36" i="22" s="1"/>
  <c r="G36" i="22" s="1"/>
  <c r="H36" i="22" s="1"/>
  <c r="I36" i="22" s="1"/>
  <c r="J36" i="22" s="1"/>
  <c r="K36" i="22" s="1"/>
  <c r="L36" i="22" s="1"/>
  <c r="M36" i="22" s="1"/>
  <c r="N36" i="22" s="1"/>
  <c r="O36" i="22" s="1"/>
  <c r="P36" i="22" s="1"/>
  <c r="Q36" i="22" s="1"/>
  <c r="R36" i="22" s="1"/>
  <c r="S36" i="22" s="1"/>
  <c r="T36" i="22" s="1"/>
  <c r="U36" i="22" s="1"/>
  <c r="V36" i="22" s="1"/>
  <c r="W36" i="22" s="1"/>
  <c r="X36" i="22" s="1"/>
  <c r="Y36" i="22" s="1"/>
  <c r="D37" i="22"/>
  <c r="E37" i="22" s="1"/>
  <c r="F37" i="22" s="1"/>
  <c r="G37" i="22" s="1"/>
  <c r="H37" i="22" s="1"/>
  <c r="I37" i="22" s="1"/>
  <c r="J37" i="22" s="1"/>
  <c r="K37" i="22" s="1"/>
  <c r="L37" i="22" s="1"/>
  <c r="M37" i="22" s="1"/>
  <c r="N37" i="22" s="1"/>
  <c r="O37" i="22" s="1"/>
  <c r="P37" i="22" s="1"/>
  <c r="Q37" i="22" s="1"/>
  <c r="R37" i="22" s="1"/>
  <c r="S37" i="22" s="1"/>
  <c r="T37" i="22" s="1"/>
  <c r="U37" i="22" s="1"/>
  <c r="V37" i="22" s="1"/>
  <c r="W37" i="22" s="1"/>
  <c r="X37" i="22" s="1"/>
  <c r="Y37" i="22" s="1"/>
  <c r="D38" i="22"/>
  <c r="E38" i="22" s="1"/>
  <c r="F38" i="22" s="1"/>
  <c r="G38" i="22" s="1"/>
  <c r="H38" i="22" s="1"/>
  <c r="I38" i="22" s="1"/>
  <c r="J38" i="22" s="1"/>
  <c r="K38" i="22" s="1"/>
  <c r="L38" i="22" s="1"/>
  <c r="M38" i="22" s="1"/>
  <c r="N38" i="22" s="1"/>
  <c r="O38" i="22" s="1"/>
  <c r="P38" i="22" s="1"/>
  <c r="Q38" i="22" s="1"/>
  <c r="R38" i="22" s="1"/>
  <c r="S38" i="22" s="1"/>
  <c r="T38" i="22" s="1"/>
  <c r="U38" i="22" s="1"/>
  <c r="V38" i="22" s="1"/>
  <c r="W38" i="22" s="1"/>
  <c r="X38" i="22" s="1"/>
  <c r="Y38" i="22" s="1"/>
  <c r="D40" i="22"/>
  <c r="E40" i="22"/>
  <c r="F40" i="22" s="1"/>
  <c r="G40" i="22" s="1"/>
  <c r="H40" i="22" s="1"/>
  <c r="I40" i="22" s="1"/>
  <c r="J40" i="22" s="1"/>
  <c r="K40" i="22" s="1"/>
  <c r="L40" i="22" s="1"/>
  <c r="M40" i="22" s="1"/>
  <c r="N40" i="22" s="1"/>
  <c r="O40" i="22" s="1"/>
  <c r="P40" i="22" s="1"/>
  <c r="Q40" i="22" s="1"/>
  <c r="R40" i="22" s="1"/>
  <c r="S40" i="22" s="1"/>
  <c r="T40" i="22" s="1"/>
  <c r="U40" i="22" s="1"/>
  <c r="V40" i="22" s="1"/>
  <c r="W40" i="22" s="1"/>
  <c r="X40" i="22" s="1"/>
  <c r="Y40" i="22" s="1"/>
  <c r="D41" i="22"/>
  <c r="E41" i="22" s="1"/>
  <c r="F41" i="22" s="1"/>
  <c r="G41" i="22" s="1"/>
  <c r="H41" i="22" s="1"/>
  <c r="I41" i="22" s="1"/>
  <c r="J41" i="22" s="1"/>
  <c r="K41" i="22" s="1"/>
  <c r="L41" i="22" s="1"/>
  <c r="M41" i="22" s="1"/>
  <c r="N41" i="22" s="1"/>
  <c r="O41" i="22" s="1"/>
  <c r="P41" i="22" s="1"/>
  <c r="Q41" i="22" s="1"/>
  <c r="R41" i="22" s="1"/>
  <c r="S41" i="22" s="1"/>
  <c r="T41" i="22" s="1"/>
  <c r="U41" i="22" s="1"/>
  <c r="V41" i="22" s="1"/>
  <c r="W41" i="22" s="1"/>
  <c r="X41" i="22" s="1"/>
  <c r="Y41" i="22" s="1"/>
  <c r="D42" i="22"/>
  <c r="E42" i="22"/>
  <c r="F42" i="22" s="1"/>
  <c r="G42" i="22" s="1"/>
  <c r="H42" i="22" s="1"/>
  <c r="I42" i="22" s="1"/>
  <c r="J42" i="22" s="1"/>
  <c r="K42" i="22" s="1"/>
  <c r="L42" i="22" s="1"/>
  <c r="M42" i="22" s="1"/>
  <c r="N42" i="22" s="1"/>
  <c r="O42" i="22" s="1"/>
  <c r="P42" i="22" s="1"/>
  <c r="Q42" i="22" s="1"/>
  <c r="R42" i="22" s="1"/>
  <c r="S42" i="22" s="1"/>
  <c r="T42" i="22" s="1"/>
  <c r="U42" i="22" s="1"/>
  <c r="V42" i="22" s="1"/>
  <c r="W42" i="22" s="1"/>
  <c r="X42" i="22" s="1"/>
  <c r="Y42" i="22" s="1"/>
  <c r="D45" i="22"/>
  <c r="E45" i="22" s="1"/>
  <c r="F45" i="22" s="1"/>
  <c r="G45" i="22" s="1"/>
  <c r="H45" i="22" s="1"/>
  <c r="I45" i="22" s="1"/>
  <c r="J45" i="22" s="1"/>
  <c r="K45" i="22" s="1"/>
  <c r="L45" i="22" s="1"/>
  <c r="M45" i="22" s="1"/>
  <c r="N45" i="22" s="1"/>
  <c r="O45" i="22" s="1"/>
  <c r="P45" i="22" s="1"/>
  <c r="Q45" i="22" s="1"/>
  <c r="R45" i="22" s="1"/>
  <c r="S45" i="22" s="1"/>
  <c r="T45" i="22" s="1"/>
  <c r="U45" i="22" s="1"/>
  <c r="V45" i="22" s="1"/>
  <c r="W45" i="22" s="1"/>
  <c r="X45" i="22" s="1"/>
  <c r="Y45" i="22" s="1"/>
  <c r="C46" i="22"/>
  <c r="D46" i="22" s="1"/>
  <c r="E46" i="22" s="1"/>
  <c r="F46" i="22" s="1"/>
  <c r="G46" i="22" s="1"/>
  <c r="H46" i="22" s="1"/>
  <c r="I46" i="22" s="1"/>
  <c r="J46" i="22" s="1"/>
  <c r="K46" i="22" s="1"/>
  <c r="L46" i="22" s="1"/>
  <c r="M46" i="22" s="1"/>
  <c r="N46" i="22" s="1"/>
  <c r="O46" i="22" s="1"/>
  <c r="P46" i="22" s="1"/>
  <c r="Q46" i="22" s="1"/>
  <c r="R46" i="22" s="1"/>
  <c r="S46" i="22" s="1"/>
  <c r="T46" i="22" s="1"/>
  <c r="U46" i="22" s="1"/>
  <c r="V46" i="22" s="1"/>
  <c r="W46" i="22" s="1"/>
  <c r="X46" i="22" s="1"/>
  <c r="Y46" i="22" s="1"/>
  <c r="D48" i="22"/>
  <c r="E48" i="22"/>
  <c r="F48" i="22" s="1"/>
  <c r="G48" i="22" s="1"/>
  <c r="H48" i="22" s="1"/>
  <c r="I48" i="22" s="1"/>
  <c r="J48" i="22" s="1"/>
  <c r="K48" i="22" s="1"/>
  <c r="L48" i="22" s="1"/>
  <c r="M48" i="22" s="1"/>
  <c r="N48" i="22" s="1"/>
  <c r="O48" i="22" s="1"/>
  <c r="P48" i="22" s="1"/>
  <c r="Q48" i="22" s="1"/>
  <c r="R48" i="22" s="1"/>
  <c r="S48" i="22" s="1"/>
  <c r="T48" i="22" s="1"/>
  <c r="U48" i="22" s="1"/>
  <c r="V48" i="22" s="1"/>
  <c r="W48" i="22" s="1"/>
  <c r="X48" i="22" s="1"/>
  <c r="Y48" i="22" s="1"/>
  <c r="D49" i="22"/>
  <c r="E49" i="22" s="1"/>
  <c r="F49" i="22" s="1"/>
  <c r="G49" i="22" s="1"/>
  <c r="H49" i="22" s="1"/>
  <c r="I49" i="22" s="1"/>
  <c r="J49" i="22" s="1"/>
  <c r="K49" i="22" s="1"/>
  <c r="L49" i="22" s="1"/>
  <c r="M49" i="22" s="1"/>
  <c r="N49" i="22" s="1"/>
  <c r="O49" i="22" s="1"/>
  <c r="P49" i="22" s="1"/>
  <c r="Q49" i="22" s="1"/>
  <c r="R49" i="22" s="1"/>
  <c r="S49" i="22" s="1"/>
  <c r="T49" i="22" s="1"/>
  <c r="U49" i="22" s="1"/>
  <c r="V49" i="22" s="1"/>
  <c r="W49" i="22" s="1"/>
  <c r="X49" i="22" s="1"/>
  <c r="Y49" i="22" s="1"/>
  <c r="D51" i="22"/>
  <c r="E51" i="22"/>
  <c r="F51" i="22" s="1"/>
  <c r="G51" i="22" s="1"/>
  <c r="H51" i="22" s="1"/>
  <c r="I51" i="22" s="1"/>
  <c r="J51" i="22" s="1"/>
  <c r="K51" i="22" s="1"/>
  <c r="L51" i="22" s="1"/>
  <c r="M51" i="22" s="1"/>
  <c r="N51" i="22" s="1"/>
  <c r="O51" i="22" s="1"/>
  <c r="P51" i="22" s="1"/>
  <c r="Q51" i="22" s="1"/>
  <c r="R51" i="22" s="1"/>
  <c r="S51" i="22" s="1"/>
  <c r="T51" i="22" s="1"/>
  <c r="U51" i="22" s="1"/>
  <c r="V51" i="22" s="1"/>
  <c r="W51" i="22" s="1"/>
  <c r="X51" i="22" s="1"/>
  <c r="Y51" i="22" s="1"/>
  <c r="D52" i="22"/>
  <c r="E52" i="22" s="1"/>
  <c r="F52" i="22" s="1"/>
  <c r="G52" i="22" s="1"/>
  <c r="H52" i="22" s="1"/>
  <c r="I52" i="22" s="1"/>
  <c r="J52" i="22" s="1"/>
  <c r="K52" i="22" s="1"/>
  <c r="L52" i="22" s="1"/>
  <c r="M52" i="22" s="1"/>
  <c r="N52" i="22" s="1"/>
  <c r="O52" i="22" s="1"/>
  <c r="P52" i="22" s="1"/>
  <c r="Q52" i="22" s="1"/>
  <c r="R52" i="22" s="1"/>
  <c r="S52" i="22" s="1"/>
  <c r="T52" i="22" s="1"/>
  <c r="U52" i="22" s="1"/>
  <c r="V52" i="22" s="1"/>
  <c r="W52" i="22" s="1"/>
  <c r="X52" i="22" s="1"/>
  <c r="Y52" i="22" s="1"/>
  <c r="D54" i="22"/>
  <c r="E54" i="22" s="1"/>
  <c r="F54" i="22" s="1"/>
  <c r="G54" i="22" s="1"/>
  <c r="H54" i="22" s="1"/>
  <c r="I54" i="22" s="1"/>
  <c r="J54" i="22" s="1"/>
  <c r="K54" i="22" s="1"/>
  <c r="L54" i="22" s="1"/>
  <c r="M54" i="22" s="1"/>
  <c r="N54" i="22" s="1"/>
  <c r="O54" i="22" s="1"/>
  <c r="P54" i="22" s="1"/>
  <c r="Q54" i="22" s="1"/>
  <c r="R54" i="22" s="1"/>
  <c r="S54" i="22" s="1"/>
  <c r="T54" i="22" s="1"/>
  <c r="U54" i="22" s="1"/>
  <c r="V54" i="22" s="1"/>
  <c r="W54" i="22" s="1"/>
  <c r="X54" i="22" s="1"/>
  <c r="Y54" i="22" s="1"/>
  <c r="D55" i="22"/>
  <c r="E55" i="22" s="1"/>
  <c r="F55" i="22" s="1"/>
  <c r="G55" i="22" s="1"/>
  <c r="H55" i="22" s="1"/>
  <c r="I55" i="22" s="1"/>
  <c r="J55" i="22" s="1"/>
  <c r="K55" i="22" s="1"/>
  <c r="L55" i="22" s="1"/>
  <c r="M55" i="22" s="1"/>
  <c r="N55" i="22" s="1"/>
  <c r="O55" i="22" s="1"/>
  <c r="P55" i="22" s="1"/>
  <c r="Q55" i="22" s="1"/>
  <c r="R55" i="22" s="1"/>
  <c r="S55" i="22" s="1"/>
  <c r="T55" i="22" s="1"/>
  <c r="U55" i="22" s="1"/>
  <c r="V55" i="22" s="1"/>
  <c r="W55" i="22" s="1"/>
  <c r="X55" i="22" s="1"/>
  <c r="Y55" i="22" s="1"/>
  <c r="D57" i="22"/>
  <c r="E57" i="22" s="1"/>
  <c r="F57" i="22" s="1"/>
  <c r="G57" i="22" s="1"/>
  <c r="H57" i="22" s="1"/>
  <c r="I57" i="22" s="1"/>
  <c r="J57" i="22" s="1"/>
  <c r="K57" i="22" s="1"/>
  <c r="L57" i="22" s="1"/>
  <c r="M57" i="22" s="1"/>
  <c r="N57" i="22" s="1"/>
  <c r="O57" i="22" s="1"/>
  <c r="P57" i="22" s="1"/>
  <c r="Q57" i="22" s="1"/>
  <c r="R57" i="22" s="1"/>
  <c r="S57" i="22" s="1"/>
  <c r="T57" i="22" s="1"/>
  <c r="U57" i="22" s="1"/>
  <c r="V57" i="22" s="1"/>
  <c r="W57" i="22" s="1"/>
  <c r="X57" i="22" s="1"/>
  <c r="Y57" i="22" s="1"/>
  <c r="D58" i="22"/>
  <c r="E58" i="22" s="1"/>
  <c r="F58" i="22" s="1"/>
  <c r="G58" i="22" s="1"/>
  <c r="H58" i="22" s="1"/>
  <c r="I58" i="22" s="1"/>
  <c r="J58" i="22" s="1"/>
  <c r="K58" i="22" s="1"/>
  <c r="L58" i="22" s="1"/>
  <c r="M58" i="22" s="1"/>
  <c r="N58" i="22" s="1"/>
  <c r="O58" i="22" s="1"/>
  <c r="P58" i="22" s="1"/>
  <c r="Q58" i="22" s="1"/>
  <c r="R58" i="22" s="1"/>
  <c r="S58" i="22" s="1"/>
  <c r="T58" i="22" s="1"/>
  <c r="U58" i="22" s="1"/>
  <c r="V58" i="22" s="1"/>
  <c r="W58" i="22" s="1"/>
  <c r="X58" i="22" s="1"/>
  <c r="Y58" i="22" s="1"/>
  <c r="D60" i="22"/>
  <c r="E60" i="22" s="1"/>
  <c r="F60" i="22" s="1"/>
  <c r="G60" i="22" s="1"/>
  <c r="H60" i="22" s="1"/>
  <c r="I60" i="22" s="1"/>
  <c r="J60" i="22" s="1"/>
  <c r="K60" i="22" s="1"/>
  <c r="L60" i="22" s="1"/>
  <c r="M60" i="22" s="1"/>
  <c r="N60" i="22" s="1"/>
  <c r="O60" i="22" s="1"/>
  <c r="P60" i="22" s="1"/>
  <c r="Q60" i="22" s="1"/>
  <c r="R60" i="22" s="1"/>
  <c r="S60" i="22" s="1"/>
  <c r="T60" i="22" s="1"/>
  <c r="U60" i="22" s="1"/>
  <c r="V60" i="22" s="1"/>
  <c r="W60" i="22" s="1"/>
  <c r="X60" i="22" s="1"/>
  <c r="Y60" i="22" s="1"/>
  <c r="D61" i="22"/>
  <c r="E61" i="22" s="1"/>
  <c r="F61" i="22" s="1"/>
  <c r="G61" i="22" s="1"/>
  <c r="H61" i="22" s="1"/>
  <c r="I61" i="22" s="1"/>
  <c r="J61" i="22" s="1"/>
  <c r="K61" i="22" s="1"/>
  <c r="L61" i="22" s="1"/>
  <c r="M61" i="22" s="1"/>
  <c r="N61" i="22" s="1"/>
  <c r="O61" i="22" s="1"/>
  <c r="P61" i="22" s="1"/>
  <c r="Q61" i="22" s="1"/>
  <c r="R61" i="22" s="1"/>
  <c r="S61" i="22" s="1"/>
  <c r="T61" i="22" s="1"/>
  <c r="U61" i="22" s="1"/>
  <c r="V61" i="22" s="1"/>
  <c r="W61" i="22" s="1"/>
  <c r="X61" i="22" s="1"/>
  <c r="Y61" i="22" s="1"/>
  <c r="D63" i="22"/>
  <c r="E63" i="22" s="1"/>
  <c r="F63" i="22" s="1"/>
  <c r="G63" i="22" s="1"/>
  <c r="H63" i="22" s="1"/>
  <c r="I63" i="22" s="1"/>
  <c r="J63" i="22" s="1"/>
  <c r="K63" i="22" s="1"/>
  <c r="L63" i="22" s="1"/>
  <c r="M63" i="22" s="1"/>
  <c r="N63" i="22" s="1"/>
  <c r="O63" i="22" s="1"/>
  <c r="P63" i="22" s="1"/>
  <c r="Q63" i="22" s="1"/>
  <c r="R63" i="22" s="1"/>
  <c r="S63" i="22" s="1"/>
  <c r="T63" i="22" s="1"/>
  <c r="U63" i="22" s="1"/>
  <c r="V63" i="22" s="1"/>
  <c r="W63" i="22" s="1"/>
  <c r="X63" i="22" s="1"/>
  <c r="Y63" i="22" s="1"/>
  <c r="D64" i="22"/>
  <c r="E64" i="22" s="1"/>
  <c r="F64" i="22" s="1"/>
  <c r="G64" i="22" s="1"/>
  <c r="H64" i="22" s="1"/>
  <c r="I64" i="22" s="1"/>
  <c r="J64" i="22" s="1"/>
  <c r="K64" i="22" s="1"/>
  <c r="L64" i="22" s="1"/>
  <c r="M64" i="22" s="1"/>
  <c r="N64" i="22" s="1"/>
  <c r="O64" i="22" s="1"/>
  <c r="P64" i="22" s="1"/>
  <c r="Q64" i="22" s="1"/>
  <c r="R64" i="22" s="1"/>
  <c r="S64" i="22" s="1"/>
  <c r="T64" i="22" s="1"/>
  <c r="U64" i="22" s="1"/>
  <c r="V64" i="22" s="1"/>
  <c r="W64" i="22" s="1"/>
  <c r="X64" i="22" s="1"/>
  <c r="Y64" i="22" s="1"/>
  <c r="D66" i="22"/>
  <c r="E66" i="22" s="1"/>
  <c r="F66" i="22" s="1"/>
  <c r="G66" i="22" s="1"/>
  <c r="H66" i="22" s="1"/>
  <c r="I66" i="22" s="1"/>
  <c r="J66" i="22" s="1"/>
  <c r="K66" i="22" s="1"/>
  <c r="L66" i="22" s="1"/>
  <c r="M66" i="22" s="1"/>
  <c r="N66" i="22" s="1"/>
  <c r="O66" i="22" s="1"/>
  <c r="P66" i="22" s="1"/>
  <c r="Q66" i="22" s="1"/>
  <c r="R66" i="22" s="1"/>
  <c r="S66" i="22" s="1"/>
  <c r="T66" i="22" s="1"/>
  <c r="U66" i="22" s="1"/>
  <c r="V66" i="22" s="1"/>
  <c r="W66" i="22" s="1"/>
  <c r="X66" i="22" s="1"/>
  <c r="Y66" i="22" s="1"/>
  <c r="D67" i="22"/>
  <c r="E67" i="22" s="1"/>
  <c r="F67" i="22" s="1"/>
  <c r="G67" i="22" s="1"/>
  <c r="H67" i="22" s="1"/>
  <c r="I67" i="22" s="1"/>
  <c r="J67" i="22" s="1"/>
  <c r="K67" i="22" s="1"/>
  <c r="L67" i="22" s="1"/>
  <c r="M67" i="22" s="1"/>
  <c r="N67" i="22" s="1"/>
  <c r="O67" i="22" s="1"/>
  <c r="P67" i="22" s="1"/>
  <c r="Q67" i="22" s="1"/>
  <c r="R67" i="22" s="1"/>
  <c r="S67" i="22" s="1"/>
  <c r="T67" i="22" s="1"/>
  <c r="U67" i="22" s="1"/>
  <c r="V67" i="22" s="1"/>
  <c r="W67" i="22" s="1"/>
  <c r="X67" i="22" s="1"/>
  <c r="Y67" i="22" s="1"/>
  <c r="C80" i="17"/>
  <c r="D80" i="17"/>
  <c r="E80" i="17"/>
  <c r="F80" i="17"/>
  <c r="G80" i="17"/>
  <c r="H80" i="17"/>
  <c r="I80" i="17"/>
  <c r="J80" i="17"/>
  <c r="K80" i="17"/>
  <c r="C81" i="17"/>
  <c r="D81" i="17"/>
  <c r="E81" i="17"/>
  <c r="F81" i="17"/>
  <c r="G81" i="17"/>
  <c r="H81" i="17"/>
  <c r="I81" i="17"/>
  <c r="J81" i="17"/>
  <c r="K81" i="17"/>
  <c r="C82" i="17"/>
  <c r="D82" i="17"/>
  <c r="E82" i="17"/>
  <c r="F82" i="17"/>
  <c r="G82" i="17"/>
  <c r="H82" i="17"/>
  <c r="I82" i="17"/>
  <c r="J82" i="17"/>
  <c r="K82" i="17"/>
  <c r="C83" i="17"/>
  <c r="D83" i="17"/>
  <c r="E83" i="17"/>
  <c r="F83" i="17"/>
  <c r="G83" i="17"/>
  <c r="H83" i="17"/>
  <c r="I83" i="17"/>
  <c r="J83" i="17"/>
  <c r="K83" i="17"/>
  <c r="C84" i="17"/>
  <c r="D84" i="17"/>
  <c r="E84" i="17"/>
  <c r="F84" i="17"/>
  <c r="G84" i="17"/>
  <c r="H84" i="17"/>
  <c r="I84" i="17"/>
  <c r="J84" i="17"/>
  <c r="K84" i="17"/>
  <c r="C85" i="17"/>
  <c r="D85" i="17"/>
  <c r="E85" i="17"/>
  <c r="F85" i="17"/>
  <c r="G85" i="17"/>
  <c r="H85" i="17"/>
  <c r="I85" i="17"/>
  <c r="J85" i="17"/>
  <c r="K85" i="17"/>
  <c r="C86" i="17"/>
  <c r="D86" i="17"/>
  <c r="E86" i="17"/>
  <c r="F86" i="17"/>
  <c r="G86" i="17"/>
  <c r="H86" i="17"/>
  <c r="I86" i="17"/>
  <c r="J86" i="17"/>
  <c r="K86" i="17"/>
  <c r="C87" i="17"/>
  <c r="D87" i="17"/>
  <c r="E87" i="17"/>
  <c r="F87" i="17"/>
  <c r="G87" i="17"/>
  <c r="H87" i="17"/>
  <c r="I87" i="17"/>
  <c r="J87" i="17"/>
  <c r="K87" i="17"/>
  <c r="C88" i="17"/>
  <c r="D88" i="17"/>
  <c r="E88" i="17"/>
  <c r="F88" i="17"/>
  <c r="G88" i="17"/>
  <c r="H88" i="17"/>
  <c r="I88" i="17"/>
  <c r="J88" i="17"/>
  <c r="K88" i="17"/>
  <c r="C89" i="17"/>
  <c r="D89" i="17"/>
  <c r="E89" i="17"/>
  <c r="F89" i="17"/>
  <c r="G89" i="17"/>
  <c r="H89" i="17"/>
  <c r="I89" i="17"/>
  <c r="J89" i="17"/>
  <c r="K89" i="17"/>
  <c r="C4" i="20"/>
  <c r="D4" i="20" s="1"/>
  <c r="C5" i="20"/>
  <c r="D5" i="20" s="1"/>
  <c r="C6" i="20"/>
  <c r="D6" i="20" s="1"/>
  <c r="C7" i="20"/>
  <c r="D7" i="20" s="1"/>
  <c r="C8" i="20"/>
  <c r="D8" i="20" s="1"/>
  <c r="C9" i="20"/>
  <c r="D9" i="20" s="1"/>
  <c r="C11" i="20"/>
  <c r="D11" i="20"/>
  <c r="C12" i="20"/>
  <c r="D12" i="20" s="1"/>
  <c r="C13" i="20"/>
  <c r="D13" i="20" s="1"/>
  <c r="C16" i="20"/>
  <c r="D16" i="20"/>
  <c r="C19" i="20"/>
  <c r="D19" i="20" s="1"/>
  <c r="E517" i="26" s="1"/>
  <c r="F517" i="26" s="1"/>
  <c r="C22" i="20"/>
  <c r="D22" i="20"/>
  <c r="C25" i="20"/>
  <c r="D25" i="20" s="1"/>
  <c r="B34" i="20"/>
  <c r="C34" i="20"/>
  <c r="D34" i="20"/>
  <c r="E34" i="20"/>
  <c r="B35" i="20"/>
  <c r="D35" i="20"/>
  <c r="E35" i="20"/>
  <c r="B36" i="20"/>
  <c r="C36" i="20"/>
  <c r="D36" i="20"/>
  <c r="E36" i="20"/>
  <c r="B37" i="20"/>
  <c r="C37" i="20"/>
  <c r="D37" i="20"/>
  <c r="E37" i="20"/>
  <c r="B38" i="20"/>
  <c r="C38" i="20"/>
  <c r="D38" i="20"/>
  <c r="E38" i="20"/>
  <c r="B39" i="20"/>
  <c r="C39" i="20"/>
  <c r="D39" i="20"/>
  <c r="E39" i="20"/>
  <c r="B40" i="20"/>
  <c r="C40" i="20"/>
  <c r="D40" i="20"/>
  <c r="E40" i="20"/>
  <c r="B41" i="20"/>
  <c r="C41" i="20"/>
  <c r="D41" i="20"/>
  <c r="E41" i="20"/>
  <c r="C8" i="8"/>
  <c r="D17" i="8" s="1"/>
  <c r="E17" i="8" s="1"/>
  <c r="C9" i="8"/>
  <c r="D26" i="8" s="1"/>
  <c r="E26" i="8" s="1"/>
  <c r="C10" i="8"/>
  <c r="D30" i="8"/>
  <c r="E30" i="8" s="1"/>
  <c r="B15" i="8"/>
  <c r="D16" i="8"/>
  <c r="D20" i="8"/>
  <c r="L28" i="8"/>
  <c r="L32" i="8"/>
  <c r="L33" i="8" s="1"/>
  <c r="L50" i="8"/>
  <c r="L36" i="15"/>
  <c r="L40" i="15"/>
  <c r="L42" i="15"/>
  <c r="E346" i="26"/>
  <c r="F346" i="26" s="1"/>
  <c r="L63" i="15"/>
  <c r="Q72" i="15"/>
  <c r="N83" i="15"/>
  <c r="K102" i="15"/>
  <c r="D140" i="6"/>
  <c r="E449" i="26"/>
  <c r="F449" i="26" s="1"/>
  <c r="E276" i="27"/>
  <c r="F276" i="27" s="1"/>
  <c r="E397" i="24"/>
  <c r="F397" i="24" s="1"/>
  <c r="M120" i="15"/>
  <c r="D121" i="15"/>
  <c r="D139" i="15"/>
  <c r="E303" i="2" s="1"/>
  <c r="F303" i="2" s="1"/>
  <c r="L142" i="15"/>
  <c r="D145" i="15"/>
  <c r="D146" i="15"/>
  <c r="L150" i="15"/>
  <c r="D150" i="15" s="1"/>
  <c r="E348" i="2" s="1"/>
  <c r="F348" i="2" s="1"/>
  <c r="D152" i="15"/>
  <c r="E349" i="2" s="1"/>
  <c r="F349" i="2" s="1"/>
  <c r="L156" i="15"/>
  <c r="D156" i="15" s="1"/>
  <c r="D159" i="15"/>
  <c r="L167" i="15"/>
  <c r="L170" i="15"/>
  <c r="L175" i="15"/>
  <c r="L178" i="15"/>
  <c r="L180" i="15"/>
  <c r="L181" i="15"/>
  <c r="L183" i="15"/>
  <c r="D187" i="15"/>
  <c r="D189" i="15"/>
  <c r="L193" i="15"/>
  <c r="E995" i="24"/>
  <c r="F995" i="24" s="1"/>
  <c r="D196" i="15"/>
  <c r="E301" i="2" s="1"/>
  <c r="F301" i="2" s="1"/>
  <c r="L197" i="15"/>
  <c r="L202" i="15"/>
  <c r="L204" i="15"/>
  <c r="D204" i="15" s="1"/>
  <c r="E761" i="24"/>
  <c r="F761" i="24" s="1"/>
  <c r="E720" i="24"/>
  <c r="D212" i="15"/>
  <c r="E581" i="2" s="1"/>
  <c r="F581" i="2" s="1"/>
  <c r="D215" i="15"/>
  <c r="E515" i="2" s="1"/>
  <c r="F515" i="2" s="1"/>
  <c r="D216" i="15"/>
  <c r="D219" i="15"/>
  <c r="L225" i="15"/>
  <c r="L226" i="15"/>
  <c r="D226" i="15" s="1"/>
  <c r="D228" i="15"/>
  <c r="E580" i="2" s="1"/>
  <c r="F580" i="2" s="1"/>
  <c r="E575" i="24"/>
  <c r="F575" i="24" s="1"/>
  <c r="E576" i="24" s="1"/>
  <c r="F576" i="24" s="1"/>
  <c r="L7" i="6"/>
  <c r="D285" i="27"/>
  <c r="D244" i="6"/>
  <c r="E244" i="6" s="1"/>
  <c r="E1547" i="24"/>
  <c r="F1547" i="24" s="1"/>
  <c r="E387" i="26"/>
  <c r="F387" i="26" s="1"/>
  <c r="E259" i="6"/>
  <c r="E95" i="27"/>
  <c r="E96" i="27" s="1"/>
  <c r="F96" i="27" s="1"/>
  <c r="F95" i="27"/>
  <c r="D198" i="6"/>
  <c r="D226" i="6"/>
  <c r="D41" i="6"/>
  <c r="D212" i="6"/>
  <c r="E212" i="6" s="1"/>
  <c r="D45" i="6"/>
  <c r="E201" i="27"/>
  <c r="F201" i="27" s="1"/>
  <c r="D64" i="6"/>
  <c r="E64" i="6" s="1"/>
  <c r="C68" i="6"/>
  <c r="D68" i="6"/>
  <c r="C77" i="6"/>
  <c r="D77" i="6"/>
  <c r="D89" i="6"/>
  <c r="E89" i="6" s="1"/>
  <c r="D91" i="6"/>
  <c r="E91" i="6" s="1"/>
  <c r="C93" i="6"/>
  <c r="D93" i="6"/>
  <c r="E93" i="6" s="1"/>
  <c r="D106" i="6"/>
  <c r="E106" i="6" s="1"/>
  <c r="C112" i="6"/>
  <c r="D112" i="6"/>
  <c r="D116" i="6"/>
  <c r="E116" i="6" s="1"/>
  <c r="C122" i="6"/>
  <c r="D122" i="6"/>
  <c r="D126" i="6"/>
  <c r="E126" i="6" s="1"/>
  <c r="C132" i="6"/>
  <c r="D132" i="6"/>
  <c r="D136" i="6"/>
  <c r="E136" i="6" s="1"/>
  <c r="C140" i="6"/>
  <c r="M147" i="6"/>
  <c r="M148" i="6"/>
  <c r="M149" i="6"/>
  <c r="M150" i="6"/>
  <c r="M151" i="6"/>
  <c r="M152" i="6"/>
  <c r="M154" i="6"/>
  <c r="D157" i="6"/>
  <c r="E157" i="6" s="1"/>
  <c r="C163" i="6"/>
  <c r="D163" i="6"/>
  <c r="D167" i="6"/>
  <c r="E167" i="6" s="1"/>
  <c r="C173" i="6"/>
  <c r="D173" i="6"/>
  <c r="E173" i="6" s="1"/>
  <c r="D177" i="6"/>
  <c r="E177" i="6" s="1"/>
  <c r="C183" i="6"/>
  <c r="D183" i="6"/>
  <c r="D187" i="6"/>
  <c r="E187" i="6" s="1"/>
  <c r="D189" i="6"/>
  <c r="E189" i="6" s="1"/>
  <c r="C193" i="6"/>
  <c r="D193" i="6"/>
  <c r="E193" i="6" s="1"/>
  <c r="C197" i="6"/>
  <c r="D197" i="6"/>
  <c r="C198" i="6"/>
  <c r="C199" i="6"/>
  <c r="D202" i="6"/>
  <c r="D203" i="6"/>
  <c r="C215" i="6"/>
  <c r="C216" i="6"/>
  <c r="D216" i="6"/>
  <c r="C219" i="6"/>
  <c r="D219" i="6"/>
  <c r="C220" i="6"/>
  <c r="C221" i="6"/>
  <c r="C224" i="6"/>
  <c r="E224" i="6" s="1"/>
  <c r="D224" i="6"/>
  <c r="C225" i="6"/>
  <c r="D225" i="6"/>
  <c r="C226" i="6"/>
  <c r="C227" i="6"/>
  <c r="D231" i="6"/>
  <c r="E231" i="6" s="1"/>
  <c r="D232" i="6"/>
  <c r="E232" i="6" s="1"/>
  <c r="C235" i="6"/>
  <c r="D235" i="6"/>
  <c r="C236" i="6"/>
  <c r="D236" i="6"/>
  <c r="C239" i="6"/>
  <c r="C240" i="6"/>
  <c r="D240" i="6"/>
  <c r="C241" i="6"/>
  <c r="D241" i="6"/>
  <c r="D245" i="6"/>
  <c r="E245" i="6" s="1"/>
  <c r="C246" i="6"/>
  <c r="D246" i="6"/>
  <c r="D249" i="6"/>
  <c r="E249" i="6" s="1"/>
  <c r="D250" i="6"/>
  <c r="E250" i="6" s="1"/>
  <c r="C251" i="6"/>
  <c r="D251" i="6"/>
  <c r="E254" i="6"/>
  <c r="E255" i="6"/>
  <c r="C256" i="6"/>
  <c r="D256" i="6"/>
  <c r="E260" i="6"/>
  <c r="C292" i="6"/>
  <c r="D292" i="6"/>
  <c r="D295" i="6"/>
  <c r="E295" i="6" s="1"/>
  <c r="D298" i="6"/>
  <c r="E298" i="6" s="1"/>
  <c r="C301" i="6"/>
  <c r="D301" i="6"/>
  <c r="D305" i="6"/>
  <c r="E305" i="6" s="1"/>
  <c r="P305" i="6"/>
  <c r="D307" i="6"/>
  <c r="E307" i="6" s="1"/>
  <c r="C311" i="6"/>
  <c r="D311" i="6"/>
  <c r="D315" i="6"/>
  <c r="E315" i="6" s="1"/>
  <c r="C321" i="6"/>
  <c r="D321" i="6"/>
  <c r="S323" i="6"/>
  <c r="S324" i="6"/>
  <c r="E349" i="6"/>
  <c r="F349" i="6" s="1"/>
  <c r="E351" i="6"/>
  <c r="F351" i="6" s="1"/>
  <c r="E353" i="6"/>
  <c r="F353" i="6" s="1"/>
  <c r="G353" i="6"/>
  <c r="H353" i="6"/>
  <c r="I353" i="6"/>
  <c r="J353" i="6"/>
  <c r="E355" i="6"/>
  <c r="F355" i="6" s="1"/>
  <c r="G355" i="6"/>
  <c r="H355" i="6"/>
  <c r="I355" i="6"/>
  <c r="J355" i="6"/>
  <c r="E357" i="6"/>
  <c r="F357" i="6" s="1"/>
  <c r="H357" i="6"/>
  <c r="E359" i="6"/>
  <c r="F359" i="6"/>
  <c r="E361" i="6"/>
  <c r="F361" i="6" s="1"/>
  <c r="D8" i="27"/>
  <c r="A10" i="27"/>
  <c r="A19" i="27" s="1"/>
  <c r="A28" i="27" s="1"/>
  <c r="A32" i="27" s="1"/>
  <c r="A37" i="27" s="1"/>
  <c r="A41" i="27" s="1"/>
  <c r="A45" i="27" s="1"/>
  <c r="A51" i="27" s="1"/>
  <c r="A59" i="27" s="1"/>
  <c r="E11" i="27"/>
  <c r="F11" i="27" s="1"/>
  <c r="E20" i="27"/>
  <c r="F20" i="27" s="1"/>
  <c r="D30" i="27"/>
  <c r="B33" i="27"/>
  <c r="E33" i="27"/>
  <c r="F33" i="27" s="1"/>
  <c r="E34" i="27"/>
  <c r="F34" i="27" s="1"/>
  <c r="E35" i="27"/>
  <c r="F35" i="27" s="1"/>
  <c r="B35" i="27"/>
  <c r="B42" i="27"/>
  <c r="E42" i="27"/>
  <c r="F42" i="27" s="1"/>
  <c r="D43" i="27"/>
  <c r="E46" i="27"/>
  <c r="F46" i="27" s="1"/>
  <c r="B47" i="27"/>
  <c r="E47" i="27"/>
  <c r="F47" i="27" s="1"/>
  <c r="D49" i="27"/>
  <c r="B52" i="27"/>
  <c r="B53" i="27"/>
  <c r="E53" i="27"/>
  <c r="F53" i="27" s="1"/>
  <c r="B54" i="27"/>
  <c r="E54" i="27"/>
  <c r="F54" i="27" s="1"/>
  <c r="B55" i="27"/>
  <c r="E55" i="27"/>
  <c r="F55" i="27" s="1"/>
  <c r="D57" i="27"/>
  <c r="E65" i="27"/>
  <c r="F65" i="27" s="1"/>
  <c r="D66" i="27"/>
  <c r="B68" i="27"/>
  <c r="E68" i="27"/>
  <c r="F68" i="27" s="1"/>
  <c r="B69" i="27"/>
  <c r="E69" i="27"/>
  <c r="F69" i="27" s="1"/>
  <c r="B70" i="27"/>
  <c r="E70" i="27"/>
  <c r="F70" i="27" s="1"/>
  <c r="D76" i="27"/>
  <c r="B78" i="27"/>
  <c r="E78" i="27"/>
  <c r="F78" i="27" s="1"/>
  <c r="B79" i="27"/>
  <c r="E79" i="27"/>
  <c r="F79" i="27" s="1"/>
  <c r="B80" i="27"/>
  <c r="E80" i="27"/>
  <c r="F80" i="27" s="1"/>
  <c r="D97" i="27"/>
  <c r="D105" i="27"/>
  <c r="E121" i="27"/>
  <c r="F121" i="27" s="1"/>
  <c r="B122" i="27"/>
  <c r="E122" i="27"/>
  <c r="F122" i="27" s="1"/>
  <c r="E129" i="27"/>
  <c r="F129" i="27" s="1"/>
  <c r="F128" i="27" s="1"/>
  <c r="D133" i="27"/>
  <c r="E136" i="27"/>
  <c r="F136" i="27" s="1"/>
  <c r="E144" i="27"/>
  <c r="F144" i="27" s="1"/>
  <c r="E145" i="27"/>
  <c r="F145" i="27" s="1"/>
  <c r="D169" i="27"/>
  <c r="E170" i="27"/>
  <c r="F170" i="27" s="1"/>
  <c r="E174" i="27"/>
  <c r="F174" i="27"/>
  <c r="D179" i="27"/>
  <c r="E180" i="27"/>
  <c r="F180" i="27" s="1"/>
  <c r="D188" i="27"/>
  <c r="E189" i="27"/>
  <c r="F189" i="27" s="1"/>
  <c r="D197" i="27"/>
  <c r="E198" i="27"/>
  <c r="F198" i="27" s="1"/>
  <c r="E223" i="27"/>
  <c r="F223" i="27" s="1"/>
  <c r="E224" i="27"/>
  <c r="F224" i="27" s="1"/>
  <c r="D232" i="27"/>
  <c r="D233" i="27"/>
  <c r="D240" i="27"/>
  <c r="D241" i="27"/>
  <c r="D248" i="27"/>
  <c r="D249" i="27"/>
  <c r="D250" i="27"/>
  <c r="D257" i="27"/>
  <c r="D258" i="27"/>
  <c r="D259" i="27"/>
  <c r="E267" i="27"/>
  <c r="F267" i="27" s="1"/>
  <c r="E268" i="27"/>
  <c r="F268" i="27" s="1"/>
  <c r="D286" i="27"/>
  <c r="D294" i="27"/>
  <c r="E321" i="27"/>
  <c r="F321" i="27" s="1"/>
  <c r="E359" i="27"/>
  <c r="F359" i="27" s="1"/>
  <c r="E360" i="27"/>
  <c r="F360" i="27" s="1"/>
  <c r="E361" i="27"/>
  <c r="F361" i="27" s="1"/>
  <c r="E7" i="26"/>
  <c r="F7" i="26" s="1"/>
  <c r="A15" i="26"/>
  <c r="A19" i="26" s="1"/>
  <c r="A24" i="26" s="1"/>
  <c r="A28" i="26" s="1"/>
  <c r="A34" i="26" s="1"/>
  <c r="A38" i="26" s="1"/>
  <c r="A43" i="26" s="1"/>
  <c r="A51" i="26" s="1"/>
  <c r="A59" i="26" s="1"/>
  <c r="A67" i="26" s="1"/>
  <c r="A71" i="26" s="1"/>
  <c r="A75" i="26" s="1"/>
  <c r="A79" i="26" s="1"/>
  <c r="A83" i="26" s="1"/>
  <c r="A87" i="26" s="1"/>
  <c r="D17" i="26"/>
  <c r="B25" i="26"/>
  <c r="E25" i="26"/>
  <c r="F25" i="26" s="1"/>
  <c r="D26" i="26"/>
  <c r="E29" i="26"/>
  <c r="F29" i="26" s="1"/>
  <c r="E30" i="26"/>
  <c r="F30" i="26" s="1"/>
  <c r="B30" i="26"/>
  <c r="D32" i="26"/>
  <c r="B35" i="26"/>
  <c r="E35" i="26"/>
  <c r="F35" i="26" s="1"/>
  <c r="D36" i="26"/>
  <c r="D46" i="26"/>
  <c r="D54" i="26"/>
  <c r="E60" i="26"/>
  <c r="F60" i="26" s="1"/>
  <c r="D61" i="26"/>
  <c r="E68" i="26"/>
  <c r="F68" i="26" s="1"/>
  <c r="E69" i="26"/>
  <c r="F69" i="26" s="1"/>
  <c r="B69" i="26"/>
  <c r="E100" i="26"/>
  <c r="F100" i="26" s="1"/>
  <c r="I100" i="26" s="1"/>
  <c r="D113" i="26"/>
  <c r="E116" i="26"/>
  <c r="F116" i="26" s="1"/>
  <c r="F115" i="26" s="1"/>
  <c r="D120" i="26"/>
  <c r="E123" i="26"/>
  <c r="F123" i="26" s="1"/>
  <c r="E128" i="26"/>
  <c r="F128" i="26" s="1"/>
  <c r="E133" i="26"/>
  <c r="F133" i="26" s="1"/>
  <c r="E138" i="26"/>
  <c r="F138" i="26" s="1"/>
  <c r="E139" i="26" s="1"/>
  <c r="F139" i="26" s="1"/>
  <c r="E145" i="26"/>
  <c r="F145" i="26" s="1"/>
  <c r="E146" i="26"/>
  <c r="F146" i="26" s="1"/>
  <c r="H157" i="26"/>
  <c r="D163" i="26"/>
  <c r="E163" i="26"/>
  <c r="E164" i="26"/>
  <c r="F164" i="26" s="1"/>
  <c r="E165" i="26"/>
  <c r="F165" i="26" s="1"/>
  <c r="E167" i="26"/>
  <c r="F167" i="26" s="1"/>
  <c r="D170" i="26"/>
  <c r="E175" i="26"/>
  <c r="F175" i="26" s="1"/>
  <c r="D176" i="26"/>
  <c r="E176" i="26"/>
  <c r="E177" i="26"/>
  <c r="F177" i="26" s="1"/>
  <c r="E179" i="26"/>
  <c r="F179" i="26" s="1"/>
  <c r="D182" i="26"/>
  <c r="D187" i="26"/>
  <c r="E188" i="26"/>
  <c r="F188" i="26" s="1"/>
  <c r="E191" i="26" s="1"/>
  <c r="F191" i="26" s="1"/>
  <c r="E189" i="26"/>
  <c r="F189" i="26" s="1"/>
  <c r="D193" i="26"/>
  <c r="D198" i="26"/>
  <c r="E199" i="26"/>
  <c r="F199" i="26" s="1"/>
  <c r="E202" i="26" s="1"/>
  <c r="F202" i="26" s="1"/>
  <c r="E200" i="26"/>
  <c r="F200" i="26" s="1"/>
  <c r="D204" i="26"/>
  <c r="E208" i="26"/>
  <c r="F208" i="26" s="1"/>
  <c r="E209" i="26"/>
  <c r="F209" i="26" s="1"/>
  <c r="E210" i="26"/>
  <c r="F210" i="26" s="1"/>
  <c r="E211" i="26"/>
  <c r="F211" i="26" s="1"/>
  <c r="D216" i="26"/>
  <c r="E220" i="26"/>
  <c r="F220" i="26" s="1"/>
  <c r="E230" i="26"/>
  <c r="F230" i="26" s="1"/>
  <c r="E240" i="26"/>
  <c r="F240" i="26" s="1"/>
  <c r="E250" i="26"/>
  <c r="F250" i="26" s="1"/>
  <c r="E260" i="26"/>
  <c r="F260" i="26" s="1"/>
  <c r="E270" i="26"/>
  <c r="F270" i="26" s="1"/>
  <c r="E280" i="26"/>
  <c r="F280" i="26" s="1"/>
  <c r="E290" i="26"/>
  <c r="F290" i="26" s="1"/>
  <c r="B296" i="26"/>
  <c r="E296" i="26"/>
  <c r="F296" i="26" s="1"/>
  <c r="B307" i="26"/>
  <c r="E307" i="26"/>
  <c r="F307" i="26" s="1"/>
  <c r="E312" i="26"/>
  <c r="F312" i="26" s="1"/>
  <c r="B318" i="26"/>
  <c r="E318" i="26"/>
  <c r="F318" i="26" s="1"/>
  <c r="E323" i="26"/>
  <c r="F323" i="26" s="1"/>
  <c r="B329" i="26"/>
  <c r="E329" i="26"/>
  <c r="F329" i="26" s="1"/>
  <c r="E336" i="26"/>
  <c r="F336" i="26" s="1"/>
  <c r="E377" i="26"/>
  <c r="F377" i="26" s="1"/>
  <c r="E386" i="26"/>
  <c r="F386" i="26" s="1"/>
  <c r="E392" i="26"/>
  <c r="F392" i="26" s="1"/>
  <c r="E397" i="26"/>
  <c r="F397" i="26" s="1"/>
  <c r="E398" i="26"/>
  <c r="F398" i="26" s="1"/>
  <c r="D401" i="26"/>
  <c r="E401" i="26"/>
  <c r="F401" i="26" s="1"/>
  <c r="E406" i="26"/>
  <c r="F406" i="26" s="1"/>
  <c r="E412" i="26"/>
  <c r="F412" i="26" s="1"/>
  <c r="E413" i="26"/>
  <c r="F413" i="26" s="1"/>
  <c r="E418" i="26"/>
  <c r="F418" i="26" s="1"/>
  <c r="E423" i="26"/>
  <c r="F423" i="26" s="1"/>
  <c r="E426" i="26"/>
  <c r="F426" i="26" s="1"/>
  <c r="E431" i="26"/>
  <c r="F431" i="26" s="1"/>
  <c r="E437" i="26"/>
  <c r="F437" i="26" s="1"/>
  <c r="D486" i="26"/>
  <c r="D487" i="26"/>
  <c r="E494" i="26"/>
  <c r="F494" i="26" s="1"/>
  <c r="E495" i="26" s="1"/>
  <c r="F495" i="26" s="1"/>
  <c r="E499" i="26"/>
  <c r="F499" i="26" s="1"/>
  <c r="F504" i="26"/>
  <c r="D506" i="26"/>
  <c r="E506" i="26"/>
  <c r="E507" i="26"/>
  <c r="F507" i="26" s="1"/>
  <c r="E519" i="26"/>
  <c r="F519" i="26" s="1"/>
  <c r="E530" i="26"/>
  <c r="F530" i="26" s="1"/>
  <c r="E531" i="26"/>
  <c r="F531" i="26" s="1"/>
  <c r="E532" i="26"/>
  <c r="F532" i="26" s="1"/>
  <c r="E539" i="26"/>
  <c r="F539" i="26" s="1"/>
  <c r="E540" i="26"/>
  <c r="F540" i="26" s="1"/>
  <c r="E541" i="26"/>
  <c r="F541" i="26" s="1"/>
  <c r="E548" i="26"/>
  <c r="F548" i="26" s="1"/>
  <c r="E549" i="26"/>
  <c r="F549" i="26" s="1"/>
  <c r="E550" i="26"/>
  <c r="F550" i="26" s="1"/>
  <c r="E557" i="26"/>
  <c r="F557" i="26" s="1"/>
  <c r="E558" i="26"/>
  <c r="F558" i="26" s="1"/>
  <c r="E559" i="26"/>
  <c r="F559" i="26" s="1"/>
  <c r="E567" i="26"/>
  <c r="F567" i="26" s="1"/>
  <c r="E568" i="26" s="1"/>
  <c r="F568" i="26" s="1"/>
  <c r="E570" i="26"/>
  <c r="F570" i="26" s="1"/>
  <c r="E575" i="26"/>
  <c r="F575" i="26" s="1"/>
  <c r="E576" i="26" s="1"/>
  <c r="F576" i="26" s="1"/>
  <c r="E578" i="26"/>
  <c r="F578" i="26" s="1"/>
  <c r="E583" i="26"/>
  <c r="F583" i="26" s="1"/>
  <c r="E584" i="26" s="1"/>
  <c r="F584" i="26" s="1"/>
  <c r="E586" i="26"/>
  <c r="F586" i="26" s="1"/>
  <c r="E591" i="26"/>
  <c r="F591" i="26" s="1"/>
  <c r="E594" i="26"/>
  <c r="F594" i="26" s="1"/>
  <c r="E599" i="26"/>
  <c r="F599" i="26" s="1"/>
  <c r="E600" i="26" s="1"/>
  <c r="F600" i="26" s="1"/>
  <c r="E602" i="26"/>
  <c r="F602" i="26" s="1"/>
  <c r="E608" i="26"/>
  <c r="F608" i="26" s="1"/>
  <c r="E609" i="26" s="1"/>
  <c r="F609" i="26" s="1"/>
  <c r="E611" i="26"/>
  <c r="F611" i="26" s="1"/>
  <c r="E616" i="26"/>
  <c r="F616" i="26" s="1"/>
  <c r="E617" i="26" s="1"/>
  <c r="F617" i="26" s="1"/>
  <c r="E619" i="26"/>
  <c r="F619" i="26" s="1"/>
  <c r="E624" i="26"/>
  <c r="F624" i="26" s="1"/>
  <c r="E625" i="26" s="1"/>
  <c r="F625" i="26" s="1"/>
  <c r="E626" i="26"/>
  <c r="F626" i="26" s="1"/>
  <c r="E631" i="26"/>
  <c r="F631" i="26" s="1"/>
  <c r="E632" i="26" s="1"/>
  <c r="F632" i="26" s="1"/>
  <c r="E633" i="26"/>
  <c r="F633" i="26" s="1"/>
  <c r="E638" i="26"/>
  <c r="F638" i="26" s="1"/>
  <c r="E639" i="26" s="1"/>
  <c r="F639" i="26" s="1"/>
  <c r="E640" i="26"/>
  <c r="F640" i="26" s="1"/>
  <c r="E645" i="26"/>
  <c r="F645" i="26" s="1"/>
  <c r="E646" i="26" s="1"/>
  <c r="F646" i="26" s="1"/>
  <c r="E647" i="26"/>
  <c r="F647" i="26" s="1"/>
  <c r="E652" i="26"/>
  <c r="F652" i="26" s="1"/>
  <c r="E653" i="26" s="1"/>
  <c r="F653" i="26" s="1"/>
  <c r="E654" i="26"/>
  <c r="F654" i="26" s="1"/>
  <c r="E659" i="26"/>
  <c r="F659" i="26" s="1"/>
  <c r="E660" i="26" s="1"/>
  <c r="F660" i="26" s="1"/>
  <c r="E661" i="26"/>
  <c r="F661" i="26" s="1"/>
  <c r="E666" i="26"/>
  <c r="F666" i="26" s="1"/>
  <c r="E667" i="26" s="1"/>
  <c r="F667" i="26" s="1"/>
  <c r="E668" i="26"/>
  <c r="F668" i="26" s="1"/>
  <c r="E673" i="26"/>
  <c r="F673" i="26" s="1"/>
  <c r="E674" i="26" s="1"/>
  <c r="F674" i="26" s="1"/>
  <c r="E675" i="26"/>
  <c r="F675" i="26" s="1"/>
  <c r="E680" i="26"/>
  <c r="F680" i="26" s="1"/>
  <c r="E681" i="26" s="1"/>
  <c r="F681" i="26" s="1"/>
  <c r="E682" i="26"/>
  <c r="F682" i="26" s="1"/>
  <c r="E687" i="26"/>
  <c r="F687" i="26" s="1"/>
  <c r="E688" i="26" s="1"/>
  <c r="F688" i="26" s="1"/>
  <c r="E689" i="26"/>
  <c r="F689" i="26" s="1"/>
  <c r="E694" i="26"/>
  <c r="F694" i="26" s="1"/>
  <c r="E695" i="26" s="1"/>
  <c r="F695" i="26" s="1"/>
  <c r="E696" i="26"/>
  <c r="F696" i="26" s="1"/>
  <c r="E701" i="26"/>
  <c r="F701" i="26" s="1"/>
  <c r="E702" i="26" s="1"/>
  <c r="F702" i="26" s="1"/>
  <c r="E703" i="26"/>
  <c r="F703" i="26" s="1"/>
  <c r="E708" i="26"/>
  <c r="F708" i="26" s="1"/>
  <c r="E709" i="26" s="1"/>
  <c r="F709" i="26" s="1"/>
  <c r="E710" i="26"/>
  <c r="F710" i="26" s="1"/>
  <c r="D8" i="24"/>
  <c r="E11" i="24"/>
  <c r="F11" i="24" s="1"/>
  <c r="E12" i="24"/>
  <c r="F12" i="24" s="1"/>
  <c r="E19" i="24"/>
  <c r="F19" i="24" s="1"/>
  <c r="E20" i="24"/>
  <c r="F20" i="24" s="1"/>
  <c r="E21" i="24"/>
  <c r="F21" i="24" s="1"/>
  <c r="E29" i="24"/>
  <c r="F29" i="24" s="1"/>
  <c r="E30" i="24"/>
  <c r="F30" i="24" s="1"/>
  <c r="E38" i="24"/>
  <c r="F38" i="24" s="1"/>
  <c r="B39" i="24"/>
  <c r="E39" i="24"/>
  <c r="F39" i="24" s="1"/>
  <c r="F37" i="24" s="1"/>
  <c r="E46" i="24"/>
  <c r="F46" i="24" s="1"/>
  <c r="E74" i="24"/>
  <c r="F74" i="24" s="1"/>
  <c r="I74" i="24" s="1"/>
  <c r="D87" i="24"/>
  <c r="E90" i="24"/>
  <c r="F90" i="24" s="1"/>
  <c r="F89" i="24" s="1"/>
  <c r="D94" i="24"/>
  <c r="E97" i="24"/>
  <c r="F97" i="24" s="1"/>
  <c r="E102" i="24"/>
  <c r="F102" i="24" s="1"/>
  <c r="E107" i="24"/>
  <c r="F107" i="24" s="1"/>
  <c r="E112" i="24"/>
  <c r="F112" i="24" s="1"/>
  <c r="E113" i="24" s="1"/>
  <c r="F113" i="24" s="1"/>
  <c r="E119" i="24"/>
  <c r="F119" i="24" s="1"/>
  <c r="E120" i="24"/>
  <c r="F120" i="24" s="1"/>
  <c r="E121" i="24" s="1"/>
  <c r="F121" i="24" s="1"/>
  <c r="D128" i="24"/>
  <c r="D137" i="24"/>
  <c r="B140" i="24"/>
  <c r="E140" i="24"/>
  <c r="F140" i="24" s="1"/>
  <c r="E141" i="24"/>
  <c r="F141" i="24" s="1"/>
  <c r="B142" i="24"/>
  <c r="E142" i="24"/>
  <c r="F142" i="24" s="1"/>
  <c r="D150" i="24"/>
  <c r="B153" i="24"/>
  <c r="E153" i="24"/>
  <c r="F153" i="24" s="1"/>
  <c r="D154" i="24"/>
  <c r="D158" i="24"/>
  <c r="B161" i="24"/>
  <c r="B162" i="24"/>
  <c r="E162" i="24"/>
  <c r="F162" i="24" s="1"/>
  <c r="B163" i="24"/>
  <c r="E163" i="24"/>
  <c r="F163" i="24" s="1"/>
  <c r="B164" i="24"/>
  <c r="E164" i="24"/>
  <c r="F164" i="24" s="1"/>
  <c r="D166" i="24"/>
  <c r="E186" i="24"/>
  <c r="F186" i="24" s="1"/>
  <c r="D188" i="24"/>
  <c r="D196" i="24"/>
  <c r="E202" i="24"/>
  <c r="F202" i="24" s="1"/>
  <c r="D203" i="24"/>
  <c r="E204" i="24"/>
  <c r="B205" i="24"/>
  <c r="E205" i="24"/>
  <c r="F205" i="24" s="1"/>
  <c r="B206" i="24"/>
  <c r="E206" i="24"/>
  <c r="F206" i="24" s="1"/>
  <c r="B207" i="24"/>
  <c r="E207" i="24"/>
  <c r="F207" i="24" s="1"/>
  <c r="E212" i="24"/>
  <c r="F212" i="24" s="1"/>
  <c r="D213" i="24"/>
  <c r="B215" i="24"/>
  <c r="E215" i="24"/>
  <c r="F215" i="24" s="1"/>
  <c r="B216" i="24"/>
  <c r="E216" i="24"/>
  <c r="F216" i="24" s="1"/>
  <c r="B217" i="24"/>
  <c r="E217" i="24"/>
  <c r="F217" i="24" s="1"/>
  <c r="E222" i="24"/>
  <c r="F222" i="24" s="1"/>
  <c r="E224" i="24"/>
  <c r="F224" i="24" s="1"/>
  <c r="E226" i="24"/>
  <c r="F226" i="24" s="1"/>
  <c r="E227" i="24"/>
  <c r="F227" i="24" s="1"/>
  <c r="E232" i="24"/>
  <c r="F232" i="24" s="1"/>
  <c r="D233" i="24"/>
  <c r="E248" i="24"/>
  <c r="F248" i="24" s="1"/>
  <c r="E249" i="24" s="1"/>
  <c r="F249" i="24" s="1"/>
  <c r="E253" i="24"/>
  <c r="F253" i="24" s="1"/>
  <c r="H253" i="24" s="1"/>
  <c r="D260" i="24"/>
  <c r="E260" i="24"/>
  <c r="E261" i="24"/>
  <c r="F261" i="24" s="1"/>
  <c r="E272" i="24"/>
  <c r="F272" i="24" s="1"/>
  <c r="E273" i="24"/>
  <c r="F273" i="24" s="1"/>
  <c r="E274" i="24"/>
  <c r="F274" i="24" s="1"/>
  <c r="E275" i="24"/>
  <c r="F275" i="24" s="1"/>
  <c r="D280" i="24"/>
  <c r="D287" i="24"/>
  <c r="D289" i="24"/>
  <c r="E293" i="24"/>
  <c r="F293" i="24" s="1"/>
  <c r="E294" i="24"/>
  <c r="F294" i="24" s="1"/>
  <c r="E296" i="24"/>
  <c r="F296" i="24" s="1"/>
  <c r="E306" i="24"/>
  <c r="F306" i="24" s="1"/>
  <c r="M344" i="24"/>
  <c r="E345" i="24"/>
  <c r="F345" i="24" s="1"/>
  <c r="E359" i="24"/>
  <c r="F359" i="24" s="1"/>
  <c r="E369" i="24"/>
  <c r="F369" i="24" s="1"/>
  <c r="E374" i="24"/>
  <c r="F374" i="24" s="1"/>
  <c r="E375" i="24"/>
  <c r="F375" i="24" s="1"/>
  <c r="E376" i="24"/>
  <c r="F376" i="24" s="1"/>
  <c r="E377" i="24"/>
  <c r="F377" i="24" s="1"/>
  <c r="E380" i="24"/>
  <c r="F380" i="24" s="1"/>
  <c r="D382" i="24"/>
  <c r="E385" i="24"/>
  <c r="F385" i="24" s="1"/>
  <c r="E386" i="24"/>
  <c r="F386" i="24" s="1"/>
  <c r="D390" i="24"/>
  <c r="E485" i="24"/>
  <c r="F485" i="24" s="1"/>
  <c r="D490" i="24"/>
  <c r="E491" i="24"/>
  <c r="F491" i="24" s="1"/>
  <c r="E495" i="24"/>
  <c r="F495" i="24" s="1"/>
  <c r="E496" i="24"/>
  <c r="F496" i="24" s="1"/>
  <c r="D501" i="24"/>
  <c r="E502" i="24"/>
  <c r="F502" i="24" s="1"/>
  <c r="E503" i="24"/>
  <c r="F503" i="24" s="1"/>
  <c r="E506" i="24"/>
  <c r="F506" i="24" s="1"/>
  <c r="D511" i="24"/>
  <c r="E512" i="24"/>
  <c r="F512" i="24" s="1"/>
  <c r="E513" i="24"/>
  <c r="F513" i="24" s="1"/>
  <c r="E516" i="24"/>
  <c r="F516" i="24" s="1"/>
  <c r="D521" i="24"/>
  <c r="E522" i="24"/>
  <c r="F522" i="24" s="1"/>
  <c r="E533" i="24"/>
  <c r="F533" i="24" s="1"/>
  <c r="D547" i="24"/>
  <c r="E551" i="24"/>
  <c r="F551" i="24" s="1"/>
  <c r="D553" i="24"/>
  <c r="E560" i="24"/>
  <c r="F560" i="24" s="1"/>
  <c r="E569" i="24"/>
  <c r="F569" i="24" s="1"/>
  <c r="E574" i="24"/>
  <c r="F574" i="24" s="1"/>
  <c r="D577" i="24"/>
  <c r="D594" i="24"/>
  <c r="D602" i="24"/>
  <c r="D610" i="24" s="1"/>
  <c r="D618" i="24" s="1"/>
  <c r="D626" i="24" s="1"/>
  <c r="D634" i="24" s="1"/>
  <c r="C610" i="24"/>
  <c r="C618" i="24" s="1"/>
  <c r="C626" i="24" s="1"/>
  <c r="C634" i="24" s="1"/>
  <c r="C650" i="24" s="1"/>
  <c r="E656" i="24"/>
  <c r="F656" i="24" s="1"/>
  <c r="E657" i="24"/>
  <c r="F657" i="24" s="1"/>
  <c r="E664" i="24"/>
  <c r="F664" i="24" s="1"/>
  <c r="E673" i="24"/>
  <c r="F673" i="24" s="1"/>
  <c r="E682" i="24"/>
  <c r="F682" i="24" s="1"/>
  <c r="E690" i="24"/>
  <c r="F690" i="24" s="1"/>
  <c r="D699" i="24"/>
  <c r="D715" i="24"/>
  <c r="D718" i="24"/>
  <c r="D719" i="24"/>
  <c r="D720" i="24"/>
  <c r="D724" i="24"/>
  <c r="D729" i="24"/>
  <c r="E736" i="24"/>
  <c r="F736" i="24" s="1"/>
  <c r="E744" i="24"/>
  <c r="F744" i="24" s="1"/>
  <c r="E752" i="24"/>
  <c r="F752" i="24" s="1"/>
  <c r="E778" i="24"/>
  <c r="F778" i="24" s="1"/>
  <c r="E779" i="24" s="1"/>
  <c r="F779" i="24" s="1"/>
  <c r="E794" i="24"/>
  <c r="F794" i="24" s="1"/>
  <c r="E801" i="24"/>
  <c r="F801" i="24" s="1"/>
  <c r="E802" i="24"/>
  <c r="F802" i="24" s="1"/>
  <c r="E833" i="24"/>
  <c r="F833" i="24" s="1"/>
  <c r="E834" i="24"/>
  <c r="F834" i="24" s="1"/>
  <c r="E839" i="24"/>
  <c r="F839" i="24" s="1"/>
  <c r="E849" i="24"/>
  <c r="F849" i="24" s="1"/>
  <c r="E850" i="24"/>
  <c r="F850" i="24" s="1"/>
  <c r="E851" i="24"/>
  <c r="F851" i="24" s="1"/>
  <c r="E859" i="24"/>
  <c r="F859" i="24" s="1"/>
  <c r="E860" i="24"/>
  <c r="F860" i="24" s="1"/>
  <c r="E868" i="24"/>
  <c r="F868" i="24" s="1"/>
  <c r="E869" i="24"/>
  <c r="F869" i="24" s="1"/>
  <c r="E876" i="24"/>
  <c r="F876" i="24" s="1"/>
  <c r="D877" i="24"/>
  <c r="E877" i="24"/>
  <c r="F877" i="24" s="1"/>
  <c r="E894" i="24"/>
  <c r="F894" i="24" s="1"/>
  <c r="E895" i="24" s="1"/>
  <c r="F895" i="24" s="1"/>
  <c r="E896" i="24" s="1"/>
  <c r="F896" i="24" s="1"/>
  <c r="E902" i="24"/>
  <c r="F902" i="24" s="1"/>
  <c r="E903" i="24"/>
  <c r="F903" i="24" s="1"/>
  <c r="E905" i="24"/>
  <c r="F905" i="24" s="1"/>
  <c r="E911" i="24"/>
  <c r="F911" i="24" s="1"/>
  <c r="E912" i="24"/>
  <c r="F912" i="24" s="1"/>
  <c r="E914" i="24"/>
  <c r="F914" i="24" s="1"/>
  <c r="E937" i="24"/>
  <c r="F937" i="24" s="1"/>
  <c r="E948" i="24"/>
  <c r="F948" i="24" s="1"/>
  <c r="E964" i="24"/>
  <c r="F964" i="24" s="1"/>
  <c r="E980" i="24"/>
  <c r="F980" i="24" s="1"/>
  <c r="D981" i="24"/>
  <c r="E994" i="24"/>
  <c r="F994" i="24" s="1"/>
  <c r="E1012" i="24"/>
  <c r="F1012" i="24" s="1"/>
  <c r="D1017" i="24"/>
  <c r="D1090" i="24"/>
  <c r="D1096" i="24"/>
  <c r="E1099" i="24"/>
  <c r="F1099" i="24" s="1"/>
  <c r="E1100" i="24"/>
  <c r="F1100" i="24" s="1"/>
  <c r="E1101" i="24"/>
  <c r="F1101" i="24" s="1"/>
  <c r="B1108" i="24"/>
  <c r="E1109" i="24"/>
  <c r="F1109" i="24" s="1"/>
  <c r="E1110" i="24"/>
  <c r="F1110" i="24" s="1"/>
  <c r="E1111" i="24"/>
  <c r="F1111" i="24" s="1"/>
  <c r="E1142" i="24"/>
  <c r="F1142" i="24" s="1"/>
  <c r="D1144" i="24"/>
  <c r="E1148" i="24"/>
  <c r="F1148" i="24" s="1"/>
  <c r="D1155" i="24"/>
  <c r="D1159" i="24"/>
  <c r="E1159" i="24"/>
  <c r="E1160" i="24"/>
  <c r="F1160" i="24" s="1"/>
  <c r="E8" i="2"/>
  <c r="F8" i="2" s="1"/>
  <c r="F9" i="2"/>
  <c r="E10" i="2"/>
  <c r="F10" i="2" s="1"/>
  <c r="D25" i="2"/>
  <c r="E600" i="2"/>
  <c r="F600" i="2" s="1"/>
  <c r="E601" i="2"/>
  <c r="F601" i="2" s="1"/>
  <c r="B601" i="2"/>
  <c r="D50" i="2"/>
  <c r="E53" i="2"/>
  <c r="F53" i="2" s="1"/>
  <c r="D60" i="2"/>
  <c r="H76" i="2"/>
  <c r="E125" i="2"/>
  <c r="F125" i="2" s="1"/>
  <c r="E126" i="2"/>
  <c r="F126" i="2" s="1"/>
  <c r="E127" i="2"/>
  <c r="F127" i="2" s="1"/>
  <c r="E128" i="2"/>
  <c r="F128" i="2" s="1"/>
  <c r="E129" i="2"/>
  <c r="F129" i="2" s="1"/>
  <c r="E136" i="2"/>
  <c r="F136" i="2" s="1"/>
  <c r="E137" i="2"/>
  <c r="F137" i="2" s="1"/>
  <c r="E138" i="2"/>
  <c r="F138" i="2" s="1"/>
  <c r="E139" i="2"/>
  <c r="F139" i="2" s="1"/>
  <c r="E140" i="2"/>
  <c r="F140" i="2" s="1"/>
  <c r="E147" i="2"/>
  <c r="F147" i="2" s="1"/>
  <c r="E148" i="2"/>
  <c r="F148" i="2" s="1"/>
  <c r="E149" i="2"/>
  <c r="F149" i="2" s="1"/>
  <c r="E150" i="2"/>
  <c r="F150" i="2" s="1"/>
  <c r="E151" i="2"/>
  <c r="F151" i="2" s="1"/>
  <c r="E158" i="2"/>
  <c r="F158" i="2" s="1"/>
  <c r="E159" i="2"/>
  <c r="F159" i="2" s="1"/>
  <c r="E160" i="2"/>
  <c r="F160" i="2" s="1"/>
  <c r="E161" i="2"/>
  <c r="F161" i="2" s="1"/>
  <c r="E162" i="2"/>
  <c r="F162" i="2" s="1"/>
  <c r="E169" i="2"/>
  <c r="F169" i="2" s="1"/>
  <c r="E170" i="2"/>
  <c r="F170" i="2" s="1"/>
  <c r="E171" i="2"/>
  <c r="F171" i="2" s="1"/>
  <c r="E172" i="2"/>
  <c r="F172" i="2" s="1"/>
  <c r="E173" i="2"/>
  <c r="F173" i="2" s="1"/>
  <c r="E215" i="2"/>
  <c r="F215" i="2" s="1"/>
  <c r="E219" i="2"/>
  <c r="F219" i="2" s="1"/>
  <c r="E224" i="2"/>
  <c r="F224" i="2" s="1"/>
  <c r="E191" i="2"/>
  <c r="F191" i="2" s="1"/>
  <c r="D259" i="2"/>
  <c r="E262" i="2"/>
  <c r="F262" i="2" s="1"/>
  <c r="E263" i="2"/>
  <c r="F263" i="2" s="1"/>
  <c r="E293" i="2"/>
  <c r="F293" i="2" s="1"/>
  <c r="E294" i="2"/>
  <c r="F294" i="2" s="1"/>
  <c r="E295" i="2"/>
  <c r="F295" i="2" s="1"/>
  <c r="E296" i="2"/>
  <c r="F296" i="2" s="1"/>
  <c r="E297" i="2"/>
  <c r="F297" i="2" s="1"/>
  <c r="E298" i="2"/>
  <c r="F298" i="2" s="1"/>
  <c r="E299" i="2"/>
  <c r="F299" i="2" s="1"/>
  <c r="E300" i="2"/>
  <c r="F300" i="2" s="1"/>
  <c r="E302" i="2"/>
  <c r="F302" i="2" s="1"/>
  <c r="E306" i="2"/>
  <c r="F306" i="2" s="1"/>
  <c r="D308" i="2"/>
  <c r="E334" i="2"/>
  <c r="F334" i="2" s="1"/>
  <c r="E339" i="2"/>
  <c r="F339" i="2" s="1"/>
  <c r="D340" i="2"/>
  <c r="E340" i="2"/>
  <c r="E341" i="2"/>
  <c r="F341" i="2" s="1"/>
  <c r="E350" i="2"/>
  <c r="F350" i="2" s="1"/>
  <c r="E364" i="2"/>
  <c r="F364" i="2" s="1"/>
  <c r="E365" i="2"/>
  <c r="F365" i="2" s="1"/>
  <c r="E367" i="2"/>
  <c r="F367" i="2" s="1"/>
  <c r="D374" i="2"/>
  <c r="D376" i="2"/>
  <c r="D381" i="2"/>
  <c r="E384" i="2"/>
  <c r="F384" i="2" s="1"/>
  <c r="E385" i="2"/>
  <c r="E386" i="2"/>
  <c r="F386" i="2" s="1"/>
  <c r="A9" i="4"/>
  <c r="C10" i="4"/>
  <c r="C13" i="4"/>
  <c r="C16" i="4"/>
  <c r="A21" i="4"/>
  <c r="B21" i="4"/>
  <c r="C232" i="4"/>
  <c r="C25" i="4"/>
  <c r="C28" i="4"/>
  <c r="C34" i="4"/>
  <c r="C37" i="4"/>
  <c r="C40" i="4"/>
  <c r="A51" i="4"/>
  <c r="C52" i="4"/>
  <c r="C67" i="4"/>
  <c r="C70" i="4"/>
  <c r="C73" i="4"/>
  <c r="C76" i="4"/>
  <c r="C79" i="4"/>
  <c r="A117" i="4"/>
  <c r="B117" i="4"/>
  <c r="A129" i="4"/>
  <c r="B129" i="4"/>
  <c r="E867" i="24"/>
  <c r="F867" i="24" s="1"/>
  <c r="D227" i="6"/>
  <c r="E227" i="6" s="1"/>
  <c r="D66" i="6"/>
  <c r="E66" i="6" s="1"/>
  <c r="D220" i="6"/>
  <c r="D297" i="6"/>
  <c r="D179" i="6"/>
  <c r="E179" i="6" s="1"/>
  <c r="D74" i="6"/>
  <c r="E74" i="6" s="1"/>
  <c r="D138" i="6"/>
  <c r="E138" i="6" s="1"/>
  <c r="D159" i="6"/>
  <c r="E159" i="6" s="1"/>
  <c r="D108" i="6"/>
  <c r="E108" i="6" s="1"/>
  <c r="D169" i="6"/>
  <c r="E169" i="6" s="1"/>
  <c r="D128" i="6"/>
  <c r="E128" i="6" s="1"/>
  <c r="D118" i="6"/>
  <c r="E118" i="6" s="1"/>
  <c r="E303" i="27"/>
  <c r="F303" i="27" s="1"/>
  <c r="D215" i="6"/>
  <c r="E215" i="6" s="1"/>
  <c r="D25" i="8"/>
  <c r="E25" i="8" s="1"/>
  <c r="D24" i="8"/>
  <c r="E24" i="8" s="1"/>
  <c r="D34" i="8"/>
  <c r="E34" i="8" s="1"/>
  <c r="D29" i="8"/>
  <c r="E29" i="8" s="1"/>
  <c r="D33" i="8"/>
  <c r="E33" i="8" s="1"/>
  <c r="F9" i="8"/>
  <c r="C11" i="8"/>
  <c r="D14" i="8" s="1"/>
  <c r="E355" i="26"/>
  <c r="F355" i="26" s="1"/>
  <c r="E183" i="27"/>
  <c r="F183" i="27" s="1"/>
  <c r="E75" i="27"/>
  <c r="F75" i="27" s="1"/>
  <c r="E296" i="27"/>
  <c r="F296" i="27" s="1"/>
  <c r="E23" i="2"/>
  <c r="F23" i="2" s="1"/>
  <c r="E169" i="24"/>
  <c r="F169" i="24" s="1"/>
  <c r="D149" i="6"/>
  <c r="E149" i="6" s="1"/>
  <c r="G149" i="6" s="1"/>
  <c r="D99" i="6"/>
  <c r="E99" i="6" s="1"/>
  <c r="D83" i="6"/>
  <c r="E83" i="6" s="1"/>
  <c r="E922" i="24"/>
  <c r="F922" i="24" s="1"/>
  <c r="E128" i="24"/>
  <c r="D100" i="6"/>
  <c r="E100" i="6" s="1"/>
  <c r="D239" i="6"/>
  <c r="E364" i="24"/>
  <c r="F364" i="24" s="1"/>
  <c r="D92" i="8"/>
  <c r="E9" i="26"/>
  <c r="F9" i="26" s="1"/>
  <c r="E21" i="27"/>
  <c r="F21" i="27" s="1"/>
  <c r="D204" i="6"/>
  <c r="E1021" i="24"/>
  <c r="F1021" i="24" s="1"/>
  <c r="E352" i="24"/>
  <c r="F352" i="24" s="1"/>
  <c r="E363" i="27"/>
  <c r="F363" i="27" s="1"/>
  <c r="C204" i="6"/>
  <c r="E85" i="27"/>
  <c r="F85" i="27" s="1"/>
  <c r="E192" i="27"/>
  <c r="F192" i="27" s="1"/>
  <c r="E164" i="27"/>
  <c r="F164" i="27" s="1"/>
  <c r="E210" i="27"/>
  <c r="F210" i="27" s="1"/>
  <c r="E173" i="27"/>
  <c r="F173" i="27" s="1"/>
  <c r="C203" i="6"/>
  <c r="E285" i="27"/>
  <c r="F285" i="27" s="1"/>
  <c r="E362" i="27"/>
  <c r="F362" i="27" s="1"/>
  <c r="E248" i="27"/>
  <c r="E257" i="27"/>
  <c r="E486" i="26"/>
  <c r="F486" i="26" s="1"/>
  <c r="E239" i="24"/>
  <c r="F239" i="24" s="1"/>
  <c r="E1535" i="24"/>
  <c r="F1535" i="24" s="1"/>
  <c r="D308" i="6"/>
  <c r="E111" i="27"/>
  <c r="F111" i="27" s="1"/>
  <c r="E52" i="26"/>
  <c r="E53" i="26" s="1"/>
  <c r="F53" i="26" s="1"/>
  <c r="E103" i="27"/>
  <c r="E104" i="27" s="1"/>
  <c r="F104" i="27" s="1"/>
  <c r="E525" i="24"/>
  <c r="F525" i="24" s="1"/>
  <c r="E194" i="24"/>
  <c r="F194" i="24" s="1"/>
  <c r="E520" i="26"/>
  <c r="F520" i="26" s="1"/>
  <c r="E470" i="26"/>
  <c r="F470" i="26" s="1"/>
  <c r="E459" i="26"/>
  <c r="F459" i="26" s="1"/>
  <c r="E348" i="26"/>
  <c r="F348" i="26" s="1"/>
  <c r="D21" i="15"/>
  <c r="E24" i="27" s="1"/>
  <c r="F24" i="27" s="1"/>
  <c r="F21" i="15"/>
  <c r="E16" i="24"/>
  <c r="F16" i="24" s="1"/>
  <c r="F22" i="15"/>
  <c r="D104" i="8"/>
  <c r="E910" i="24"/>
  <c r="F910" i="24" s="1"/>
  <c r="D188" i="6"/>
  <c r="E188" i="6"/>
  <c r="D73" i="6"/>
  <c r="E73" i="6" s="1"/>
  <c r="E435" i="24"/>
  <c r="F435" i="24" s="1"/>
  <c r="D98" i="6"/>
  <c r="E98" i="6" s="1"/>
  <c r="D168" i="6"/>
  <c r="E168" i="6" s="1"/>
  <c r="D65" i="6"/>
  <c r="E65" i="6" s="1"/>
  <c r="E410" i="24"/>
  <c r="F410" i="24" s="1"/>
  <c r="E901" i="24"/>
  <c r="F901" i="24" s="1"/>
  <c r="D296" i="6"/>
  <c r="E296" i="6" s="1"/>
  <c r="D127" i="6"/>
  <c r="E127" i="6" s="1"/>
  <c r="D158" i="6"/>
  <c r="E158" i="6" s="1"/>
  <c r="D178" i="6"/>
  <c r="E178" i="6" s="1"/>
  <c r="D90" i="6"/>
  <c r="E90" i="6" s="1"/>
  <c r="E858" i="24"/>
  <c r="F858" i="24" s="1"/>
  <c r="D82" i="6"/>
  <c r="E82" i="6" s="1"/>
  <c r="D117" i="6"/>
  <c r="E117" i="6" s="1"/>
  <c r="D107" i="6"/>
  <c r="E107" i="6" s="1"/>
  <c r="D137" i="6"/>
  <c r="E137" i="6" s="1"/>
  <c r="D306" i="6"/>
  <c r="E306" i="6" s="1"/>
  <c r="C642" i="24"/>
  <c r="D96" i="8"/>
  <c r="D84" i="8"/>
  <c r="D66" i="8"/>
  <c r="D93" i="8" s="1"/>
  <c r="E126" i="24"/>
  <c r="F126" i="24" s="1"/>
  <c r="E44" i="26"/>
  <c r="F44" i="26" s="1"/>
  <c r="D211" i="6"/>
  <c r="E211" i="6" s="1"/>
  <c r="D207" i="6"/>
  <c r="E207" i="6" s="1"/>
  <c r="E13" i="27"/>
  <c r="F13" i="27" s="1"/>
  <c r="E45" i="26"/>
  <c r="F45" i="26" s="1"/>
  <c r="E353" i="24" l="1"/>
  <c r="F353" i="24" s="1"/>
  <c r="E463" i="24"/>
  <c r="F463" i="24" s="1"/>
  <c r="E325" i="24"/>
  <c r="F325" i="24" s="1"/>
  <c r="E344" i="24"/>
  <c r="F344" i="24" s="1"/>
  <c r="D81" i="8"/>
  <c r="D105" i="8"/>
  <c r="F52" i="26"/>
  <c r="E187" i="24"/>
  <c r="F187" i="24" s="1"/>
  <c r="E235" i="6"/>
  <c r="E16" i="8"/>
  <c r="F172" i="24"/>
  <c r="E109" i="6"/>
  <c r="E206" i="6"/>
  <c r="F174" i="24"/>
  <c r="E197" i="6"/>
  <c r="E239" i="6"/>
  <c r="E170" i="24"/>
  <c r="F170" i="24" s="1"/>
  <c r="F128" i="24"/>
  <c r="E129" i="24" s="1"/>
  <c r="F129" i="24" s="1"/>
  <c r="F175" i="24"/>
  <c r="A1002" i="24"/>
  <c r="F506" i="26"/>
  <c r="F163" i="26"/>
  <c r="E183" i="6"/>
  <c r="E112" i="6"/>
  <c r="E226" i="6"/>
  <c r="E140" i="6"/>
  <c r="E10" i="8"/>
  <c r="M146" i="6"/>
  <c r="D59" i="6"/>
  <c r="E198" i="6"/>
  <c r="D316" i="6"/>
  <c r="E316" i="6" s="1"/>
  <c r="E195" i="24"/>
  <c r="F195" i="24" s="1"/>
  <c r="F103" i="27"/>
  <c r="G147" i="6"/>
  <c r="D642" i="24"/>
  <c r="D650" i="24"/>
  <c r="D20" i="15"/>
  <c r="E15" i="27" s="1"/>
  <c r="F15" i="27" s="1"/>
  <c r="E153" i="6"/>
  <c r="F248" i="27"/>
  <c r="D117" i="8"/>
  <c r="C202" i="6"/>
  <c r="E202" i="6" s="1"/>
  <c r="E220" i="6"/>
  <c r="E256" i="6"/>
  <c r="E253" i="6" s="1"/>
  <c r="E246" i="6"/>
  <c r="E243" i="6" s="1"/>
  <c r="E219" i="6"/>
  <c r="E68" i="6"/>
  <c r="F287" i="24"/>
  <c r="F1159" i="24"/>
  <c r="F260" i="24"/>
  <c r="E321" i="6"/>
  <c r="E301" i="6"/>
  <c r="E236" i="6"/>
  <c r="E234" i="6" s="1"/>
  <c r="E225" i="6"/>
  <c r="E132" i="6"/>
  <c r="E85" i="6"/>
  <c r="E1533" i="24"/>
  <c r="F1533" i="24" s="1"/>
  <c r="E1534" i="24" s="1"/>
  <c r="F1534" i="24" s="1"/>
  <c r="F66" i="27"/>
  <c r="D67" i="8"/>
  <c r="E216" i="6"/>
  <c r="E210" i="6"/>
  <c r="F19" i="15"/>
  <c r="E199" i="6"/>
  <c r="F176" i="26"/>
  <c r="E311" i="6"/>
  <c r="E251" i="6"/>
  <c r="E248" i="6" s="1"/>
  <c r="E241" i="6"/>
  <c r="E122" i="6"/>
  <c r="F242" i="24"/>
  <c r="F240" i="27"/>
  <c r="F241" i="24"/>
  <c r="E274" i="2"/>
  <c r="F274" i="2" s="1"/>
  <c r="E246" i="2"/>
  <c r="F246" i="2" s="1"/>
  <c r="D19" i="15"/>
  <c r="E13" i="24" s="1"/>
  <c r="F13" i="24" s="1"/>
  <c r="D80" i="8"/>
  <c r="E292" i="6"/>
  <c r="E258" i="6" s="1"/>
  <c r="E163" i="6"/>
  <c r="F720" i="24"/>
  <c r="E143" i="6"/>
  <c r="E102" i="6"/>
  <c r="F20" i="15"/>
  <c r="F257" i="27"/>
  <c r="E204" i="6"/>
  <c r="E240" i="6"/>
  <c r="E77" i="6"/>
  <c r="E221" i="6"/>
  <c r="D120" i="8"/>
  <c r="D70" i="8"/>
  <c r="E20" i="8"/>
  <c r="D21" i="8"/>
  <c r="E21" i="8" s="1"/>
  <c r="E233" i="24"/>
  <c r="F233" i="24" s="1"/>
  <c r="E223" i="24"/>
  <c r="F223" i="24" s="1"/>
  <c r="E240" i="24"/>
  <c r="F240" i="24" s="1"/>
  <c r="E112" i="27"/>
  <c r="F112" i="27" s="1"/>
  <c r="E1055" i="24"/>
  <c r="F1055" i="24" s="1"/>
  <c r="E711" i="24"/>
  <c r="F711" i="24" s="1"/>
  <c r="E232" i="27"/>
  <c r="F232" i="27" s="1"/>
  <c r="E719" i="24"/>
  <c r="F719" i="24" s="1"/>
  <c r="E313" i="27"/>
  <c r="F313" i="27" s="1"/>
  <c r="E710" i="24"/>
  <c r="F710" i="24" s="1"/>
  <c r="E712" i="24" s="1"/>
  <c r="F712" i="24" s="1"/>
  <c r="F514" i="2"/>
  <c r="E516" i="2" s="1"/>
  <c r="F516" i="2" s="1"/>
  <c r="E436" i="24"/>
  <c r="F436" i="24" s="1"/>
  <c r="E437" i="24" s="1"/>
  <c r="F437" i="24" s="1"/>
  <c r="E465" i="24"/>
  <c r="F465" i="24" s="1"/>
  <c r="E1079" i="24"/>
  <c r="F1079" i="24" s="1"/>
  <c r="E348" i="27"/>
  <c r="F348" i="27" s="1"/>
  <c r="E728" i="24"/>
  <c r="F728" i="24" s="1"/>
  <c r="E760" i="24"/>
  <c r="F760" i="24" s="1"/>
  <c r="E691" i="24"/>
  <c r="F691" i="24" s="1"/>
  <c r="E693" i="24" s="1"/>
  <c r="F693" i="24" s="1"/>
  <c r="E674" i="24"/>
  <c r="F674" i="24" s="1"/>
  <c r="E676" i="24" s="1"/>
  <c r="F676" i="24" s="1"/>
  <c r="E1024" i="24"/>
  <c r="F1024" i="24" s="1"/>
  <c r="E13" i="26"/>
  <c r="F13" i="26" s="1"/>
  <c r="E25" i="27"/>
  <c r="F25" i="27" s="1"/>
  <c r="N344" i="24"/>
  <c r="F987" i="24"/>
  <c r="E811" i="24"/>
  <c r="F811" i="24" s="1"/>
  <c r="E17" i="27"/>
  <c r="F17" i="27" s="1"/>
  <c r="F32" i="27"/>
  <c r="E230" i="6"/>
  <c r="E825" i="24"/>
  <c r="F825" i="24" s="1"/>
  <c r="E826" i="24" s="1"/>
  <c r="F826" i="24" s="1"/>
  <c r="F807" i="24"/>
  <c r="E10" i="26"/>
  <c r="F10" i="26" s="1"/>
  <c r="E762" i="24"/>
  <c r="F762" i="24" s="1"/>
  <c r="E213" i="24"/>
  <c r="F213" i="24" s="1"/>
  <c r="E203" i="24"/>
  <c r="F203" i="24" s="1"/>
  <c r="E161" i="24"/>
  <c r="F161" i="24" s="1"/>
  <c r="F160" i="24" s="1"/>
  <c r="E61" i="26"/>
  <c r="F61" i="26" s="1"/>
  <c r="E105" i="27"/>
  <c r="F105" i="27" s="1"/>
  <c r="E97" i="27"/>
  <c r="F97" i="27" s="1"/>
  <c r="E86" i="27"/>
  <c r="F86" i="27" s="1"/>
  <c r="E173" i="24"/>
  <c r="F173" i="24" s="1"/>
  <c r="F893" i="24"/>
  <c r="F815" i="24"/>
  <c r="F105" i="26"/>
  <c r="E1049" i="24"/>
  <c r="F1049" i="24" s="1"/>
  <c r="F1046" i="24" s="1"/>
  <c r="E1072" i="24" s="1"/>
  <c r="F1072" i="24" s="1"/>
  <c r="F880" i="24"/>
  <c r="E316" i="26"/>
  <c r="F316" i="26" s="1"/>
  <c r="E317" i="26" s="1"/>
  <c r="F317" i="26" s="1"/>
  <c r="F311" i="26" s="1"/>
  <c r="E305" i="26"/>
  <c r="F305" i="26" s="1"/>
  <c r="E306" i="26" s="1"/>
  <c r="F306" i="26" s="1"/>
  <c r="E787" i="24"/>
  <c r="F787" i="24" s="1"/>
  <c r="E14" i="24"/>
  <c r="F14" i="24" s="1"/>
  <c r="E15" i="24"/>
  <c r="F15" i="24" s="1"/>
  <c r="E16" i="27"/>
  <c r="F16" i="27" s="1"/>
  <c r="F118" i="24"/>
  <c r="F111" i="24"/>
  <c r="E22" i="27"/>
  <c r="F22" i="27" s="1"/>
  <c r="E12" i="26"/>
  <c r="F12" i="26" s="1"/>
  <c r="E440" i="26"/>
  <c r="F440" i="26" s="1"/>
  <c r="E357" i="26"/>
  <c r="F357" i="26" s="1"/>
  <c r="E1014" i="24"/>
  <c r="F1014" i="24" s="1"/>
  <c r="E1015" i="24" s="1"/>
  <c r="F1015" i="24" s="1"/>
  <c r="E225" i="24"/>
  <c r="F225" i="24" s="1"/>
  <c r="E214" i="24"/>
  <c r="F214" i="24" s="1"/>
  <c r="F204" i="24"/>
  <c r="E327" i="26"/>
  <c r="F327" i="26" s="1"/>
  <c r="E328" i="26" s="1"/>
  <c r="F328" i="26" s="1"/>
  <c r="F322" i="26" s="1"/>
  <c r="E1090" i="24"/>
  <c r="F1090" i="24" s="1"/>
  <c r="E770" i="24"/>
  <c r="F770" i="24" s="1"/>
  <c r="E771" i="24" s="1"/>
  <c r="F771" i="24" s="1"/>
  <c r="E772" i="24" s="1"/>
  <c r="F772" i="24" s="1"/>
  <c r="E729" i="24"/>
  <c r="F729" i="24" s="1"/>
  <c r="F335" i="24"/>
  <c r="M336" i="24"/>
  <c r="E586" i="24"/>
  <c r="F586" i="24" s="1"/>
  <c r="E585" i="24"/>
  <c r="F585" i="24" s="1"/>
  <c r="F686" i="26"/>
  <c r="F679" i="26"/>
  <c r="E551" i="26"/>
  <c r="F551" i="26" s="1"/>
  <c r="E552" i="26" s="1"/>
  <c r="F552" i="26" s="1"/>
  <c r="F547" i="26" s="1"/>
  <c r="E1041" i="24"/>
  <c r="F1041" i="24" s="1"/>
  <c r="E1042" i="24" s="1"/>
  <c r="F1042" i="24" s="1"/>
  <c r="E414" i="24"/>
  <c r="F414" i="24" s="1"/>
  <c r="E415" i="24" s="1"/>
  <c r="F415" i="24" s="1"/>
  <c r="E425" i="24"/>
  <c r="F425" i="24" s="1"/>
  <c r="E426" i="24" s="1"/>
  <c r="F426" i="24" s="1"/>
  <c r="E447" i="24"/>
  <c r="F447" i="24" s="1"/>
  <c r="E448" i="24" s="1"/>
  <c r="F448" i="24" s="1"/>
  <c r="F247" i="24"/>
  <c r="E254" i="24"/>
  <c r="F254" i="24" s="1"/>
  <c r="F252" i="24" s="1"/>
  <c r="E996" i="24"/>
  <c r="F996" i="24" s="1"/>
  <c r="E997" i="24" s="1"/>
  <c r="F997" i="24" s="1"/>
  <c r="F993" i="24" s="1"/>
  <c r="F67" i="26"/>
  <c r="E1526" i="24"/>
  <c r="F1526" i="24" s="1"/>
  <c r="F1525" i="24"/>
  <c r="E577" i="24"/>
  <c r="F577" i="24" s="1"/>
  <c r="F573" i="24" s="1"/>
  <c r="E466" i="24"/>
  <c r="F466" i="24" s="1"/>
  <c r="E171" i="24"/>
  <c r="F171" i="24" s="1"/>
  <c r="E76" i="27"/>
  <c r="F76" i="27" s="1"/>
  <c r="F74" i="27" s="1"/>
  <c r="E339" i="27"/>
  <c r="F339" i="27" s="1"/>
  <c r="E342" i="27" s="1"/>
  <c r="F342" i="27" s="1"/>
  <c r="E343" i="27" s="1"/>
  <c r="F343" i="27" s="1"/>
  <c r="F337" i="27" s="1"/>
  <c r="E353" i="27"/>
  <c r="F353" i="27" s="1"/>
  <c r="E46" i="26"/>
  <c r="F46" i="26" s="1"/>
  <c r="E54" i="26"/>
  <c r="F54" i="26" s="1"/>
  <c r="E188" i="24"/>
  <c r="F188" i="24" s="1"/>
  <c r="E196" i="24"/>
  <c r="F196" i="24" s="1"/>
  <c r="E25" i="2"/>
  <c r="F25" i="2" s="1"/>
  <c r="E713" i="24"/>
  <c r="F713" i="24" s="1"/>
  <c r="F139" i="24"/>
  <c r="E146" i="27"/>
  <c r="F146" i="27" s="1"/>
  <c r="E147" i="27"/>
  <c r="F147" i="27" s="1"/>
  <c r="E137" i="27"/>
  <c r="F137" i="27" s="1"/>
  <c r="E139" i="27" s="1"/>
  <c r="F139" i="27" s="1"/>
  <c r="E346" i="24"/>
  <c r="F346" i="24" s="1"/>
  <c r="E472" i="24"/>
  <c r="F472" i="24" s="1"/>
  <c r="E718" i="24"/>
  <c r="F718" i="24" s="1"/>
  <c r="E727" i="24"/>
  <c r="F727" i="24" s="1"/>
  <c r="E1089" i="24"/>
  <c r="F1089" i="24" s="1"/>
  <c r="E474" i="24"/>
  <c r="F474" i="24" s="1"/>
  <c r="E1091" i="24"/>
  <c r="F1091" i="24" s="1"/>
  <c r="E683" i="24"/>
  <c r="F683" i="24" s="1"/>
  <c r="E684" i="24" s="1"/>
  <c r="F684" i="24" s="1"/>
  <c r="F680" i="24" s="1"/>
  <c r="E508" i="26"/>
  <c r="F508" i="26" s="1"/>
  <c r="E509" i="26" s="1"/>
  <c r="F509" i="26" s="1"/>
  <c r="E147" i="26"/>
  <c r="F147" i="26" s="1"/>
  <c r="F144" i="26" s="1"/>
  <c r="F658" i="26"/>
  <c r="F665" i="26"/>
  <c r="F651" i="26"/>
  <c r="F707" i="26"/>
  <c r="F637" i="26"/>
  <c r="F700" i="26"/>
  <c r="F623" i="26"/>
  <c r="E870" i="24"/>
  <c r="F870" i="24" s="1"/>
  <c r="F866" i="24" s="1"/>
  <c r="E852" i="24"/>
  <c r="F852" i="24" s="1"/>
  <c r="E853" i="24"/>
  <c r="F853" i="24" s="1"/>
  <c r="E803" i="24"/>
  <c r="F803" i="24" s="1"/>
  <c r="E592" i="26"/>
  <c r="F592" i="26" s="1"/>
  <c r="E593" i="26" s="1"/>
  <c r="F593" i="26" s="1"/>
  <c r="E560" i="26"/>
  <c r="F560" i="26" s="1"/>
  <c r="E561" i="26" s="1"/>
  <c r="F561" i="26" s="1"/>
  <c r="F556" i="26" s="1"/>
  <c r="F73" i="24"/>
  <c r="G73" i="24" s="1"/>
  <c r="F800" i="24"/>
  <c r="E665" i="24"/>
  <c r="F665" i="24" s="1"/>
  <c r="E387" i="24"/>
  <c r="F387" i="24" s="1"/>
  <c r="E388" i="24" s="1"/>
  <c r="F388" i="24" s="1"/>
  <c r="F137" i="26"/>
  <c r="F79" i="24"/>
  <c r="F99" i="26"/>
  <c r="G99" i="26" s="1"/>
  <c r="F493" i="26"/>
  <c r="F1326" i="24"/>
  <c r="E1161" i="24"/>
  <c r="F1161" i="24" s="1"/>
  <c r="E1162" i="24" s="1"/>
  <c r="F1162" i="24" s="1"/>
  <c r="E904" i="24"/>
  <c r="F904" i="24" s="1"/>
  <c r="F900" i="24" s="1"/>
  <c r="F120" i="27"/>
  <c r="E327" i="24"/>
  <c r="F327" i="24" s="1"/>
  <c r="F1157" i="24"/>
  <c r="F51" i="27"/>
  <c r="F672" i="26"/>
  <c r="F644" i="26"/>
  <c r="F693" i="26"/>
  <c r="F630" i="26"/>
  <c r="F64" i="27"/>
  <c r="E214" i="6"/>
  <c r="E223" i="6"/>
  <c r="E283" i="2" s="1"/>
  <c r="F283" i="2" s="1"/>
  <c r="E203" i="6"/>
  <c r="E201" i="6" s="1"/>
  <c r="E913" i="24"/>
  <c r="F913" i="24" s="1"/>
  <c r="F909" i="24" s="1"/>
  <c r="E119" i="6"/>
  <c r="D129" i="6"/>
  <c r="E129" i="6" s="1"/>
  <c r="E207" i="26"/>
  <c r="F207" i="26" s="1"/>
  <c r="E212" i="26" s="1"/>
  <c r="F212" i="26" s="1"/>
  <c r="E214" i="26" s="1"/>
  <c r="F214" i="26" s="1"/>
  <c r="F206" i="26" s="1"/>
  <c r="E271" i="24"/>
  <c r="F271" i="24" s="1"/>
  <c r="E23" i="24"/>
  <c r="F23" i="24" s="1"/>
  <c r="E24" i="24" s="1"/>
  <c r="F24" i="24" s="1"/>
  <c r="F374" i="2"/>
  <c r="E368" i="2"/>
  <c r="F368" i="2" s="1"/>
  <c r="E369" i="2" s="1"/>
  <c r="F369" i="2" s="1"/>
  <c r="F340" i="2"/>
  <c r="E342" i="2" s="1"/>
  <c r="F342" i="2" s="1"/>
  <c r="E343" i="2" s="1"/>
  <c r="F343" i="2" s="1"/>
  <c r="E264" i="2"/>
  <c r="F264" i="2" s="1"/>
  <c r="E266" i="2" s="1"/>
  <c r="F266" i="2" s="1"/>
  <c r="E1065" i="24"/>
  <c r="F1065" i="24" s="1"/>
  <c r="F599" i="2"/>
  <c r="E232" i="4" s="1"/>
  <c r="F232" i="4" s="1"/>
  <c r="E24" i="2"/>
  <c r="F24" i="2" s="1"/>
  <c r="F385" i="2"/>
  <c r="E387" i="2" s="1"/>
  <c r="F387" i="2" s="1"/>
  <c r="F376" i="2"/>
  <c r="F375" i="2"/>
  <c r="A10" i="4"/>
  <c r="A91" i="26"/>
  <c r="A1372" i="24"/>
  <c r="A64" i="27"/>
  <c r="F1530" i="24"/>
  <c r="D60" i="6"/>
  <c r="E861" i="24"/>
  <c r="F861" i="24" s="1"/>
  <c r="E862" i="24"/>
  <c r="F862" i="24" s="1"/>
  <c r="H43" i="21"/>
  <c r="F44" i="21" s="1"/>
  <c r="E297" i="6"/>
  <c r="D317" i="6"/>
  <c r="E317" i="6" s="1"/>
  <c r="E378" i="24"/>
  <c r="F378" i="24" s="1"/>
  <c r="E379" i="24" s="1"/>
  <c r="F379" i="24" s="1"/>
  <c r="E308" i="24"/>
  <c r="F308" i="24" s="1"/>
  <c r="E309" i="24" s="1"/>
  <c r="F309" i="24" s="1"/>
  <c r="E308" i="6"/>
  <c r="D318" i="6"/>
  <c r="E318" i="6" s="1"/>
  <c r="D15" i="8"/>
  <c r="E14" i="8"/>
  <c r="E304" i="2"/>
  <c r="F304" i="2" s="1"/>
  <c r="E305" i="2" s="1"/>
  <c r="F305" i="2" s="1"/>
  <c r="E328" i="24"/>
  <c r="F328" i="24" s="1"/>
  <c r="E347" i="24"/>
  <c r="F347" i="24" s="1"/>
  <c r="E13" i="2"/>
  <c r="F13" i="2" s="1"/>
  <c r="E658" i="24"/>
  <c r="F658" i="24" s="1"/>
  <c r="F654" i="24" s="1"/>
  <c r="E295" i="24"/>
  <c r="F295" i="24" s="1"/>
  <c r="E297" i="24" s="1"/>
  <c r="F297" i="24" s="1"/>
  <c r="E521" i="26"/>
  <c r="F521" i="26" s="1"/>
  <c r="E522" i="26" s="1"/>
  <c r="F522" i="26" s="1"/>
  <c r="H499" i="26"/>
  <c r="E500" i="26"/>
  <c r="F500" i="26" s="1"/>
  <c r="F498" i="26" s="1"/>
  <c r="E269" i="27"/>
  <c r="F269" i="27" s="1"/>
  <c r="E270" i="27" s="1"/>
  <c r="F270" i="27" s="1"/>
  <c r="E225" i="27"/>
  <c r="F225" i="27" s="1"/>
  <c r="E227" i="27" s="1"/>
  <c r="F227" i="27" s="1"/>
  <c r="E618" i="26"/>
  <c r="F618" i="26" s="1"/>
  <c r="F615" i="26" s="1"/>
  <c r="E610" i="26"/>
  <c r="F610" i="26" s="1"/>
  <c r="F607" i="26" s="1"/>
  <c r="E601" i="26"/>
  <c r="F601" i="26" s="1"/>
  <c r="F598" i="26" s="1"/>
  <c r="E585" i="26"/>
  <c r="F585" i="26" s="1"/>
  <c r="F582" i="26" s="1"/>
  <c r="E577" i="26"/>
  <c r="F577" i="26" s="1"/>
  <c r="F574" i="26" s="1"/>
  <c r="E569" i="26"/>
  <c r="F569" i="26" s="1"/>
  <c r="F566" i="26" s="1"/>
  <c r="E1548" i="24"/>
  <c r="F1548" i="24" s="1"/>
  <c r="E1549" i="24" s="1"/>
  <c r="F1549" i="24" s="1"/>
  <c r="E542" i="26"/>
  <c r="F542" i="26" s="1"/>
  <c r="E543" i="26" s="1"/>
  <c r="F543" i="26" s="1"/>
  <c r="F538" i="26" s="1"/>
  <c r="E1541" i="24"/>
  <c r="F1541" i="24" s="1"/>
  <c r="E1542" i="24" s="1"/>
  <c r="F1542" i="24" s="1"/>
  <c r="E351" i="2"/>
  <c r="F351" i="2" s="1"/>
  <c r="E352" i="2" s="1"/>
  <c r="F352" i="2" s="1"/>
  <c r="E354" i="24"/>
  <c r="F354" i="24" s="1"/>
  <c r="E294" i="26"/>
  <c r="F294" i="26" s="1"/>
  <c r="E295" i="26" s="1"/>
  <c r="F295" i="26" s="1"/>
  <c r="F289" i="26" s="1"/>
  <c r="E284" i="26"/>
  <c r="F284" i="26" s="1"/>
  <c r="E274" i="26"/>
  <c r="F274" i="26" s="1"/>
  <c r="E264" i="26"/>
  <c r="F264" i="26" s="1"/>
  <c r="E254" i="26"/>
  <c r="F254" i="26" s="1"/>
  <c r="E244" i="26"/>
  <c r="F244" i="26" s="1"/>
  <c r="E234" i="26"/>
  <c r="F234" i="26" s="1"/>
  <c r="E224" i="26"/>
  <c r="F224" i="26" s="1"/>
  <c r="E533" i="26"/>
  <c r="F533" i="26" s="1"/>
  <c r="E534" i="26" s="1"/>
  <c r="F534" i="26" s="1"/>
  <c r="F529" i="26" s="1"/>
  <c r="E923" i="24"/>
  <c r="F923" i="24" s="1"/>
  <c r="E924" i="24" s="1"/>
  <c r="F924" i="24" s="1"/>
  <c r="F917" i="24" s="1"/>
  <c r="E163" i="2"/>
  <c r="F163" i="2" s="1"/>
  <c r="E164" i="2" s="1"/>
  <c r="F164" i="2" s="1"/>
  <c r="E141" i="2"/>
  <c r="F141" i="2" s="1"/>
  <c r="E142" i="2" s="1"/>
  <c r="F142" i="2" s="1"/>
  <c r="E130" i="2"/>
  <c r="F130" i="2" s="1"/>
  <c r="E131" i="2" s="1"/>
  <c r="F131" i="2" s="1"/>
  <c r="E152" i="2"/>
  <c r="F152" i="2" s="1"/>
  <c r="E153" i="2" s="1"/>
  <c r="F153" i="2" s="1"/>
  <c r="E174" i="2"/>
  <c r="F174" i="2" s="1"/>
  <c r="E175" i="2" s="1"/>
  <c r="F175" i="2" s="1"/>
  <c r="E364" i="27"/>
  <c r="F364" i="27" s="1"/>
  <c r="E365" i="27" s="1"/>
  <c r="F365" i="27" s="1"/>
  <c r="F358" i="27" s="1"/>
  <c r="E31" i="24"/>
  <c r="F31" i="24" s="1"/>
  <c r="E1022" i="24"/>
  <c r="F1022" i="24" s="1"/>
  <c r="E1023" i="24" s="1"/>
  <c r="F1023" i="24" s="1"/>
  <c r="E196" i="6" l="1"/>
  <c r="D42" i="6"/>
  <c r="D39" i="15"/>
  <c r="E23" i="27"/>
  <c r="F23" i="27" s="1"/>
  <c r="E14" i="27"/>
  <c r="F14" i="27" s="1"/>
  <c r="E238" i="6"/>
  <c r="E256" i="2" s="1"/>
  <c r="F256" i="2" s="1"/>
  <c r="E218" i="6"/>
  <c r="E11" i="26"/>
  <c r="F11" i="26" s="1"/>
  <c r="F116" i="2"/>
  <c r="D94" i="8"/>
  <c r="D106" i="8"/>
  <c r="D82" i="8"/>
  <c r="D118" i="8"/>
  <c r="D139" i="6"/>
  <c r="D150" i="6" s="1"/>
  <c r="D97" i="8"/>
  <c r="D100" i="8" s="1"/>
  <c r="D109" i="8"/>
  <c r="D112" i="8" s="1"/>
  <c r="D85" i="8"/>
  <c r="D88" i="8" s="1"/>
  <c r="D71" i="8"/>
  <c r="D121" i="8"/>
  <c r="D124" i="8" s="1"/>
  <c r="D74" i="8"/>
  <c r="F1019" i="24"/>
  <c r="F688" i="24"/>
  <c r="E721" i="24"/>
  <c r="F721" i="24" s="1"/>
  <c r="E722" i="24" s="1"/>
  <c r="F722" i="24" s="1"/>
  <c r="F717" i="24" s="1"/>
  <c r="AA232" i="4"/>
  <c r="F168" i="24"/>
  <c r="F821" i="24"/>
  <c r="F452" i="24"/>
  <c r="F527" i="2"/>
  <c r="E528" i="2" s="1"/>
  <c r="F528" i="2" s="1"/>
  <c r="F671" i="24"/>
  <c r="E763" i="24"/>
  <c r="F763" i="24" s="1"/>
  <c r="E764" i="24" s="1"/>
  <c r="F764" i="24" s="1"/>
  <c r="E730" i="24"/>
  <c r="F730" i="24" s="1"/>
  <c r="E731" i="24" s="1"/>
  <c r="F731" i="24" s="1"/>
  <c r="F10" i="24"/>
  <c r="F300" i="26"/>
  <c r="F430" i="24"/>
  <c r="F201" i="24"/>
  <c r="F313" i="24"/>
  <c r="F419" i="24"/>
  <c r="F1038" i="24"/>
  <c r="F848" i="24"/>
  <c r="E1092" i="24"/>
  <c r="F1092" i="24" s="1"/>
  <c r="E1093" i="24" s="1"/>
  <c r="F1093" i="24" s="1"/>
  <c r="F1088" i="24" s="1"/>
  <c r="F581" i="24"/>
  <c r="F211" i="24"/>
  <c r="F19" i="27"/>
  <c r="F10" i="27"/>
  <c r="F6" i="26"/>
  <c r="F857" i="24"/>
  <c r="F405" i="24"/>
  <c r="F332" i="24"/>
  <c r="M332" i="24" s="1"/>
  <c r="F708" i="24"/>
  <c r="F768" i="24"/>
  <c r="F783" i="24"/>
  <c r="F441" i="24"/>
  <c r="F1524" i="24"/>
  <c r="E475" i="24"/>
  <c r="F475" i="24" s="1"/>
  <c r="E476" i="24" s="1"/>
  <c r="F476" i="24" s="1"/>
  <c r="F135" i="27"/>
  <c r="F143" i="27"/>
  <c r="F18" i="24"/>
  <c r="F590" i="26"/>
  <c r="E276" i="24"/>
  <c r="F276" i="24" s="1"/>
  <c r="E278" i="24" s="1"/>
  <c r="F278" i="24" s="1"/>
  <c r="E218" i="27"/>
  <c r="F218" i="27" s="1"/>
  <c r="E378" i="2"/>
  <c r="F378" i="2" s="1"/>
  <c r="E379" i="2" s="1"/>
  <c r="F379" i="2" s="1"/>
  <c r="E388" i="2"/>
  <c r="F388" i="2" s="1"/>
  <c r="F265" i="27"/>
  <c r="F292" i="24"/>
  <c r="E836" i="24"/>
  <c r="F836" i="24" s="1"/>
  <c r="E835" i="24" s="1"/>
  <c r="F835" i="24" s="1"/>
  <c r="F832" i="24" s="1"/>
  <c r="F503" i="26"/>
  <c r="A95" i="26"/>
  <c r="F1539" i="24"/>
  <c r="E15" i="8"/>
  <c r="E36" i="8" s="1"/>
  <c r="D36" i="8"/>
  <c r="D49" i="8" s="1"/>
  <c r="E511" i="26"/>
  <c r="F511" i="26" s="1"/>
  <c r="E524" i="26"/>
  <c r="F524" i="26" s="1"/>
  <c r="F516" i="26" s="1"/>
  <c r="E265" i="24"/>
  <c r="F265" i="24" s="1"/>
  <c r="F305" i="24"/>
  <c r="F373" i="24"/>
  <c r="E667" i="24"/>
  <c r="F667" i="24" s="1"/>
  <c r="F662" i="24" s="1"/>
  <c r="A74" i="27"/>
  <c r="A1380" i="24"/>
  <c r="E285" i="26"/>
  <c r="F285" i="26" s="1"/>
  <c r="F279" i="26" s="1"/>
  <c r="E275" i="26"/>
  <c r="F275" i="26" s="1"/>
  <c r="F269" i="26" s="1"/>
  <c r="E265" i="26"/>
  <c r="F265" i="26" s="1"/>
  <c r="F259" i="26" s="1"/>
  <c r="E255" i="26"/>
  <c r="F255" i="26" s="1"/>
  <c r="F249" i="26" s="1"/>
  <c r="E245" i="26"/>
  <c r="F245" i="26" s="1"/>
  <c r="F239" i="26" s="1"/>
  <c r="E235" i="26"/>
  <c r="F235" i="26" s="1"/>
  <c r="F229" i="26" s="1"/>
  <c r="E225" i="26"/>
  <c r="F225" i="26" s="1"/>
  <c r="F219" i="26" s="1"/>
  <c r="E32" i="24"/>
  <c r="F32" i="24" s="1"/>
  <c r="E324" i="27" l="1"/>
  <c r="F324" i="27" s="1"/>
  <c r="E279" i="27"/>
  <c r="F279" i="27" s="1"/>
  <c r="E666" i="24"/>
  <c r="F666" i="24" s="1"/>
  <c r="E675" i="24"/>
  <c r="F675" i="24" s="1"/>
  <c r="E692" i="24"/>
  <c r="F692" i="24" s="1"/>
  <c r="E306" i="27"/>
  <c r="F306" i="27" s="1"/>
  <c r="E139" i="6"/>
  <c r="E247" i="2"/>
  <c r="F247" i="2" s="1"/>
  <c r="E197" i="24"/>
  <c r="F197" i="24" s="1"/>
  <c r="E510" i="26"/>
  <c r="F510" i="26" s="1"/>
  <c r="E550" i="24"/>
  <c r="F550" i="24" s="1"/>
  <c r="D161" i="6"/>
  <c r="E161" i="6" s="1"/>
  <c r="E181" i="24"/>
  <c r="F181" i="24" s="1"/>
  <c r="E60" i="27"/>
  <c r="F60" i="27" s="1"/>
  <c r="E26" i="2"/>
  <c r="F26" i="2" s="1"/>
  <c r="D110" i="6"/>
  <c r="E110" i="6" s="1"/>
  <c r="D151" i="6"/>
  <c r="E151" i="6" s="1"/>
  <c r="G151" i="6" s="1"/>
  <c r="E264" i="24"/>
  <c r="F264" i="24" s="1"/>
  <c r="D141" i="6"/>
  <c r="E141" i="6" s="1"/>
  <c r="D181" i="6"/>
  <c r="E181" i="6" s="1"/>
  <c r="E568" i="24"/>
  <c r="F568" i="24" s="1"/>
  <c r="E943" i="24"/>
  <c r="F943" i="24" s="1"/>
  <c r="E62" i="26"/>
  <c r="F62" i="26" s="1"/>
  <c r="E462" i="26"/>
  <c r="F462" i="26" s="1"/>
  <c r="D171" i="6"/>
  <c r="E171" i="6" s="1"/>
  <c r="E286" i="24"/>
  <c r="F286" i="24" s="1"/>
  <c r="E451" i="26"/>
  <c r="F451" i="26" s="1"/>
  <c r="E98" i="27"/>
  <c r="F98" i="27" s="1"/>
  <c r="E287" i="2"/>
  <c r="F287" i="2" s="1"/>
  <c r="D130" i="6"/>
  <c r="E130" i="6" s="1"/>
  <c r="E55" i="26"/>
  <c r="F55" i="26" s="1"/>
  <c r="E47" i="26"/>
  <c r="F47" i="26" s="1"/>
  <c r="E523" i="26"/>
  <c r="F523" i="26" s="1"/>
  <c r="E368" i="24"/>
  <c r="F368" i="24" s="1"/>
  <c r="D319" i="6"/>
  <c r="E319" i="6" s="1"/>
  <c r="D309" i="6"/>
  <c r="E309" i="6" s="1"/>
  <c r="E189" i="24"/>
  <c r="F189" i="24" s="1"/>
  <c r="E39" i="26"/>
  <c r="F39" i="26" s="1"/>
  <c r="E106" i="27"/>
  <c r="F106" i="27" s="1"/>
  <c r="E20" i="26"/>
  <c r="F20" i="26" s="1"/>
  <c r="E276" i="2"/>
  <c r="F276" i="2" s="1"/>
  <c r="E439" i="26"/>
  <c r="F439" i="26" s="1"/>
  <c r="E559" i="24"/>
  <c r="F559" i="24" s="1"/>
  <c r="D120" i="6"/>
  <c r="E120" i="6" s="1"/>
  <c r="D299" i="6"/>
  <c r="E299" i="6" s="1"/>
  <c r="E234" i="24"/>
  <c r="F234" i="24" s="1"/>
  <c r="E257" i="2"/>
  <c r="F257" i="2" s="1"/>
  <c r="E358" i="24"/>
  <c r="F358" i="24" s="1"/>
  <c r="E89" i="2"/>
  <c r="F89" i="2" s="1"/>
  <c r="E512" i="26"/>
  <c r="F512" i="26" s="1"/>
  <c r="E266" i="24"/>
  <c r="F266" i="24" s="1"/>
  <c r="D191" i="6"/>
  <c r="E191" i="6" s="1"/>
  <c r="D122" i="8"/>
  <c r="D125" i="8" s="1"/>
  <c r="D58" i="6" s="1"/>
  <c r="D86" i="8"/>
  <c r="D89" i="8" s="1"/>
  <c r="E187" i="2" s="1"/>
  <c r="F187" i="2" s="1"/>
  <c r="E186" i="2" s="1"/>
  <c r="F186" i="2" s="1"/>
  <c r="F179" i="2" s="1"/>
  <c r="E82" i="4" s="1"/>
  <c r="F82" i="4" s="1"/>
  <c r="D75" i="8"/>
  <c r="D110" i="8"/>
  <c r="D113" i="8" s="1"/>
  <c r="D98" i="8"/>
  <c r="D101" i="8" s="1"/>
  <c r="F470" i="24"/>
  <c r="F759" i="24"/>
  <c r="M234" i="4"/>
  <c r="M238" i="4" s="1"/>
  <c r="F726" i="24"/>
  <c r="F270" i="24"/>
  <c r="A13" i="4"/>
  <c r="A16" i="4"/>
  <c r="A1388" i="24"/>
  <c r="A84" i="27"/>
  <c r="D55" i="8"/>
  <c r="D53" i="8"/>
  <c r="D54" i="8"/>
  <c r="A99" i="26"/>
  <c r="E355" i="24"/>
  <c r="F355" i="24" s="1"/>
  <c r="E357" i="24" s="1"/>
  <c r="F357" i="24" s="1"/>
  <c r="F351" i="24" s="1"/>
  <c r="D160" i="6"/>
  <c r="E150" i="6"/>
  <c r="E327" i="2" l="1"/>
  <c r="F327" i="2" s="1"/>
  <c r="E326" i="2" s="1"/>
  <c r="F326" i="2" s="1"/>
  <c r="F320" i="2" s="1"/>
  <c r="E124" i="4" s="1"/>
  <c r="F124" i="4" s="1"/>
  <c r="E318" i="2"/>
  <c r="F318" i="2" s="1"/>
  <c r="E317" i="2" s="1"/>
  <c r="F317" i="2" s="1"/>
  <c r="F310" i="2" s="1"/>
  <c r="E121" i="4" s="1"/>
  <c r="F121" i="4" s="1"/>
  <c r="E122" i="2"/>
  <c r="F122" i="2" s="1"/>
  <c r="E121" i="2" s="1"/>
  <c r="F121" i="2" s="1"/>
  <c r="E1124" i="24"/>
  <c r="F1124" i="24" s="1"/>
  <c r="E1123" i="24" s="1"/>
  <c r="F1123" i="24" s="1"/>
  <c r="E462" i="2"/>
  <c r="F462" i="2" s="1"/>
  <c r="E461" i="2" s="1"/>
  <c r="F461" i="2" s="1"/>
  <c r="F452" i="2" s="1"/>
  <c r="E172" i="4" s="1"/>
  <c r="E424" i="2"/>
  <c r="F424" i="2" s="1"/>
  <c r="E423" i="2" s="1"/>
  <c r="F423" i="2" s="1"/>
  <c r="F421" i="2" s="1"/>
  <c r="E166" i="4" s="1"/>
  <c r="F166" i="4" s="1"/>
  <c r="E308" i="2"/>
  <c r="F308" i="2" s="1"/>
  <c r="E307" i="2" s="1"/>
  <c r="F307" i="2" s="1"/>
  <c r="F292" i="2" s="1"/>
  <c r="E118" i="4" s="1"/>
  <c r="F118" i="4" s="1"/>
  <c r="F127" i="4" s="1"/>
  <c r="E1330" i="24"/>
  <c r="F1330" i="24" s="1"/>
  <c r="E1329" i="24" s="1"/>
  <c r="F1329" i="24" s="1"/>
  <c r="E1135" i="24"/>
  <c r="F1135" i="24" s="1"/>
  <c r="E1134" i="24" s="1"/>
  <c r="F1134" i="24" s="1"/>
  <c r="D57" i="6"/>
  <c r="E561" i="2"/>
  <c r="F561" i="2" s="1"/>
  <c r="F557" i="2" s="1"/>
  <c r="E217" i="4" s="1"/>
  <c r="F217" i="4" s="1"/>
  <c r="CS217" i="4" s="1"/>
  <c r="BU219" i="4" s="1"/>
  <c r="E538" i="2"/>
  <c r="F538" i="2" s="1"/>
  <c r="E537" i="2" s="1"/>
  <c r="F537" i="2" s="1"/>
  <c r="F533" i="2" s="1"/>
  <c r="E205" i="4" s="1"/>
  <c r="F205" i="4" s="1"/>
  <c r="CL205" i="4" s="1"/>
  <c r="BU207" i="4" s="1"/>
  <c r="E569" i="2"/>
  <c r="F569" i="2" s="1"/>
  <c r="E568" i="2" s="1"/>
  <c r="F568" i="2" s="1"/>
  <c r="F563" i="2" s="1"/>
  <c r="E220" i="4" s="1"/>
  <c r="F220" i="4" s="1"/>
  <c r="CS220" i="4" s="1"/>
  <c r="BU222" i="4" s="1"/>
  <c r="E555" i="2"/>
  <c r="F555" i="2" s="1"/>
  <c r="E554" i="2" s="1"/>
  <c r="F554" i="2" s="1"/>
  <c r="F551" i="2" s="1"/>
  <c r="E214" i="4" s="1"/>
  <c r="F214" i="4" s="1"/>
  <c r="CS214" i="4" s="1"/>
  <c r="BU216" i="4" s="1"/>
  <c r="E576" i="2"/>
  <c r="F576" i="2" s="1"/>
  <c r="E575" i="2" s="1"/>
  <c r="F575" i="2" s="1"/>
  <c r="E543" i="2"/>
  <c r="F543" i="2" s="1"/>
  <c r="E542" i="2" s="1"/>
  <c r="F542" i="2" s="1"/>
  <c r="F540" i="2" s="1"/>
  <c r="E208" i="4" s="1"/>
  <c r="F208" i="4" s="1"/>
  <c r="CL208" i="4" s="1"/>
  <c r="BU210" i="4" s="1"/>
  <c r="E524" i="2"/>
  <c r="F524" i="2" s="1"/>
  <c r="E523" i="2" s="1"/>
  <c r="F523" i="2" s="1"/>
  <c r="F521" i="2" s="1"/>
  <c r="E199" i="4" s="1"/>
  <c r="F199" i="4" s="1"/>
  <c r="BX199" i="4" s="1"/>
  <c r="BU201" i="4" s="1"/>
  <c r="E511" i="2"/>
  <c r="F511" i="2" s="1"/>
  <c r="E510" i="2" s="1"/>
  <c r="F510" i="2" s="1"/>
  <c r="F505" i="2" s="1"/>
  <c r="E193" i="4" s="1"/>
  <c r="E587" i="2"/>
  <c r="F587" i="2" s="1"/>
  <c r="E586" i="2" s="1"/>
  <c r="F586" i="2" s="1"/>
  <c r="F578" i="2" s="1"/>
  <c r="E226" i="4" s="1"/>
  <c r="E549" i="2"/>
  <c r="F549" i="2" s="1"/>
  <c r="E548" i="2" s="1"/>
  <c r="F548" i="2" s="1"/>
  <c r="E531" i="2"/>
  <c r="F531" i="2" s="1"/>
  <c r="E530" i="2" s="1"/>
  <c r="F530" i="2" s="1"/>
  <c r="F526" i="2" s="1"/>
  <c r="E202" i="4" s="1"/>
  <c r="F202" i="4" s="1"/>
  <c r="CL202" i="4" s="1"/>
  <c r="BU204" i="4" s="1"/>
  <c r="E519" i="2"/>
  <c r="F519" i="2" s="1"/>
  <c r="E518" i="2" s="1"/>
  <c r="F518" i="2" s="1"/>
  <c r="F513" i="2" s="1"/>
  <c r="E196" i="4" s="1"/>
  <c r="E503" i="2"/>
  <c r="F503" i="2" s="1"/>
  <c r="E502" i="2" s="1"/>
  <c r="F502" i="2" s="1"/>
  <c r="F498" i="2" s="1"/>
  <c r="E190" i="4" s="1"/>
  <c r="E409" i="2"/>
  <c r="F409" i="2" s="1"/>
  <c r="E408" i="2" s="1"/>
  <c r="F408" i="2" s="1"/>
  <c r="F402" i="2" s="1"/>
  <c r="E157" i="4" s="1"/>
  <c r="F157" i="4" s="1"/>
  <c r="AH157" i="4" s="1"/>
  <c r="M159" i="4" s="1"/>
  <c r="E619" i="2"/>
  <c r="F619" i="2" s="1"/>
  <c r="E618" i="2" s="1"/>
  <c r="F618" i="2" s="1"/>
  <c r="F609" i="2" s="1"/>
  <c r="E241" i="4" s="1"/>
  <c r="F241" i="4" s="1"/>
  <c r="E418" i="2"/>
  <c r="F418" i="2" s="1"/>
  <c r="E417" i="2" s="1"/>
  <c r="F417" i="2" s="1"/>
  <c r="F411" i="2" s="1"/>
  <c r="E160" i="4" s="1"/>
  <c r="E400" i="2"/>
  <c r="F400" i="2" s="1"/>
  <c r="E399" i="2" s="1"/>
  <c r="F399" i="2" s="1"/>
  <c r="F393" i="2" s="1"/>
  <c r="E154" i="4" s="1"/>
  <c r="F154" i="4" s="1"/>
  <c r="E633" i="2"/>
  <c r="F633" i="2" s="1"/>
  <c r="E632" i="2" s="1"/>
  <c r="F632" i="2" s="1"/>
  <c r="F621" i="2" s="1"/>
  <c r="E244" i="4" s="1"/>
  <c r="F244" i="4" s="1"/>
  <c r="CS244" i="4" s="1"/>
  <c r="BU246" i="4" s="1"/>
  <c r="BU247" i="4" s="1"/>
  <c r="E635" i="26"/>
  <c r="F635" i="26" s="1"/>
  <c r="E634" i="26" s="1"/>
  <c r="F634" i="26" s="1"/>
  <c r="E691" i="26"/>
  <c r="F691" i="26" s="1"/>
  <c r="E690" i="26" s="1"/>
  <c r="F690" i="26" s="1"/>
  <c r="E604" i="26"/>
  <c r="F604" i="26" s="1"/>
  <c r="E603" i="26" s="1"/>
  <c r="F603" i="26" s="1"/>
  <c r="E1062" i="24"/>
  <c r="F1062" i="24" s="1"/>
  <c r="E1061" i="24" s="1"/>
  <c r="F1061" i="24" s="1"/>
  <c r="E166" i="2"/>
  <c r="F166" i="2" s="1"/>
  <c r="E165" i="2" s="1"/>
  <c r="F165" i="2" s="1"/>
  <c r="F157" i="2" s="1"/>
  <c r="E76" i="4" s="1"/>
  <c r="F76" i="4" s="1"/>
  <c r="AO76" i="4" s="1"/>
  <c r="AQ78" i="4" s="1"/>
  <c r="E698" i="26"/>
  <c r="F698" i="26" s="1"/>
  <c r="E697" i="26" s="1"/>
  <c r="F697" i="26" s="1"/>
  <c r="E277" i="26"/>
  <c r="F277" i="26" s="1"/>
  <c r="E276" i="26" s="1"/>
  <c r="F276" i="26" s="1"/>
  <c r="E642" i="26"/>
  <c r="F642" i="26" s="1"/>
  <c r="E641" i="26" s="1"/>
  <c r="F641" i="26" s="1"/>
  <c r="E712" i="26"/>
  <c r="F712" i="26" s="1"/>
  <c r="E711" i="26" s="1"/>
  <c r="F711" i="26" s="1"/>
  <c r="E309" i="26"/>
  <c r="F309" i="26" s="1"/>
  <c r="E308" i="26" s="1"/>
  <c r="F308" i="26" s="1"/>
  <c r="E257" i="26"/>
  <c r="F257" i="26" s="1"/>
  <c r="E256" i="26" s="1"/>
  <c r="F256" i="26" s="1"/>
  <c r="E536" i="26"/>
  <c r="F536" i="26" s="1"/>
  <c r="E535" i="26" s="1"/>
  <c r="F535" i="26" s="1"/>
  <c r="E656" i="26"/>
  <c r="F656" i="26" s="1"/>
  <c r="E655" i="26" s="1"/>
  <c r="F655" i="26" s="1"/>
  <c r="E554" i="26"/>
  <c r="F554" i="26" s="1"/>
  <c r="E553" i="26" s="1"/>
  <c r="F553" i="26" s="1"/>
  <c r="E596" i="26"/>
  <c r="F596" i="26" s="1"/>
  <c r="E595" i="26" s="1"/>
  <c r="F595" i="26" s="1"/>
  <c r="E1188" i="24"/>
  <c r="F1188" i="24" s="1"/>
  <c r="E1187" i="24" s="1"/>
  <c r="F1187" i="24" s="1"/>
  <c r="E572" i="26"/>
  <c r="F572" i="26" s="1"/>
  <c r="E571" i="26" s="1"/>
  <c r="F571" i="26" s="1"/>
  <c r="E663" i="26"/>
  <c r="F663" i="26" s="1"/>
  <c r="E662" i="26" s="1"/>
  <c r="F662" i="26" s="1"/>
  <c r="E613" i="26"/>
  <c r="F613" i="26" s="1"/>
  <c r="E612" i="26" s="1"/>
  <c r="F612" i="26" s="1"/>
  <c r="E1051" i="24"/>
  <c r="F1051" i="24" s="1"/>
  <c r="E1050" i="24" s="1"/>
  <c r="F1050" i="24" s="1"/>
  <c r="E677" i="26"/>
  <c r="F677" i="26" s="1"/>
  <c r="E676" i="26" s="1"/>
  <c r="F676" i="26" s="1"/>
  <c r="E287" i="26"/>
  <c r="F287" i="26" s="1"/>
  <c r="E286" i="26" s="1"/>
  <c r="F286" i="26" s="1"/>
  <c r="E563" i="26"/>
  <c r="F563" i="26" s="1"/>
  <c r="E562" i="26" s="1"/>
  <c r="F562" i="26" s="1"/>
  <c r="E588" i="26"/>
  <c r="F588" i="26" s="1"/>
  <c r="E587" i="26" s="1"/>
  <c r="F587" i="26" s="1"/>
  <c r="E133" i="2"/>
  <c r="F133" i="2" s="1"/>
  <c r="E132" i="2" s="1"/>
  <c r="F132" i="2" s="1"/>
  <c r="F124" i="2" s="1"/>
  <c r="E67" i="4" s="1"/>
  <c r="F67" i="4" s="1"/>
  <c r="AH67" i="4" s="1"/>
  <c r="M69" i="4" s="1"/>
  <c r="E684" i="26"/>
  <c r="F684" i="26" s="1"/>
  <c r="E683" i="26" s="1"/>
  <c r="F683" i="26" s="1"/>
  <c r="E155" i="2"/>
  <c r="F155" i="2" s="1"/>
  <c r="E154" i="2" s="1"/>
  <c r="F154" i="2" s="1"/>
  <c r="F146" i="2" s="1"/>
  <c r="E73" i="4" s="1"/>
  <c r="F73" i="4" s="1"/>
  <c r="AO73" i="4" s="1"/>
  <c r="AQ75" i="4" s="1"/>
  <c r="E628" i="26"/>
  <c r="F628" i="26" s="1"/>
  <c r="E627" i="26" s="1"/>
  <c r="F627" i="26" s="1"/>
  <c r="E798" i="24"/>
  <c r="F798" i="24" s="1"/>
  <c r="E797" i="24" s="1"/>
  <c r="F797" i="24" s="1"/>
  <c r="E705" i="26"/>
  <c r="F705" i="26" s="1"/>
  <c r="E704" i="26" s="1"/>
  <c r="F704" i="26" s="1"/>
  <c r="E227" i="26"/>
  <c r="F227" i="26" s="1"/>
  <c r="E226" i="26" s="1"/>
  <c r="F226" i="26" s="1"/>
  <c r="E267" i="26"/>
  <c r="F267" i="26" s="1"/>
  <c r="E266" i="26" s="1"/>
  <c r="F266" i="26" s="1"/>
  <c r="E298" i="26"/>
  <c r="F298" i="26" s="1"/>
  <c r="E297" i="26" s="1"/>
  <c r="F297" i="26" s="1"/>
  <c r="E670" i="26"/>
  <c r="F670" i="26" s="1"/>
  <c r="E669" i="26" s="1"/>
  <c r="F669" i="26" s="1"/>
  <c r="E649" i="26"/>
  <c r="F649" i="26" s="1"/>
  <c r="E648" i="26" s="1"/>
  <c r="F648" i="26" s="1"/>
  <c r="E331" i="26"/>
  <c r="F331" i="26" s="1"/>
  <c r="E330" i="26" s="1"/>
  <c r="F330" i="26" s="1"/>
  <c r="E237" i="26"/>
  <c r="F237" i="26" s="1"/>
  <c r="E236" i="26" s="1"/>
  <c r="F236" i="26" s="1"/>
  <c r="E545" i="26"/>
  <c r="F545" i="26" s="1"/>
  <c r="E544" i="26" s="1"/>
  <c r="F544" i="26" s="1"/>
  <c r="E144" i="2"/>
  <c r="F144" i="2" s="1"/>
  <c r="E143" i="2" s="1"/>
  <c r="F143" i="2" s="1"/>
  <c r="F135" i="2" s="1"/>
  <c r="E70" i="4" s="1"/>
  <c r="F70" i="4" s="1"/>
  <c r="E621" i="26"/>
  <c r="F621" i="26" s="1"/>
  <c r="E620" i="26" s="1"/>
  <c r="F620" i="26" s="1"/>
  <c r="E247" i="26"/>
  <c r="F247" i="26" s="1"/>
  <c r="E246" i="26" s="1"/>
  <c r="F246" i="26" s="1"/>
  <c r="E177" i="2"/>
  <c r="F177" i="2" s="1"/>
  <c r="E176" i="2" s="1"/>
  <c r="F176" i="2" s="1"/>
  <c r="F168" i="2" s="1"/>
  <c r="E79" i="4" s="1"/>
  <c r="F79" i="4" s="1"/>
  <c r="E320" i="26"/>
  <c r="F320" i="26" s="1"/>
  <c r="E319" i="26" s="1"/>
  <c r="F319" i="26" s="1"/>
  <c r="E580" i="26"/>
  <c r="F580" i="26" s="1"/>
  <c r="E579" i="26" s="1"/>
  <c r="F579" i="26" s="1"/>
  <c r="E926" i="24"/>
  <c r="F926" i="24" s="1"/>
  <c r="E925" i="24" s="1"/>
  <c r="F925" i="24" s="1"/>
  <c r="D55" i="6"/>
  <c r="E42" i="2" s="1"/>
  <c r="E495" i="2"/>
  <c r="F495" i="2" s="1"/>
  <c r="E494" i="2" s="1"/>
  <c r="F494" i="2" s="1"/>
  <c r="F489" i="2" s="1"/>
  <c r="E184" i="4" s="1"/>
  <c r="E487" i="2"/>
  <c r="F487" i="2" s="1"/>
  <c r="E486" i="2" s="1"/>
  <c r="F486" i="2" s="1"/>
  <c r="F481" i="2" s="1"/>
  <c r="E181" i="4" s="1"/>
  <c r="E471" i="2"/>
  <c r="F471" i="2" s="1"/>
  <c r="E470" i="2" s="1"/>
  <c r="F470" i="2" s="1"/>
  <c r="F465" i="2" s="1"/>
  <c r="E178" i="4" s="1"/>
  <c r="F178" i="4" s="1"/>
  <c r="E1096" i="24"/>
  <c r="F1096" i="24" s="1"/>
  <c r="E1095" i="24" s="1"/>
  <c r="F1095" i="24" s="1"/>
  <c r="E439" i="24"/>
  <c r="F439" i="24" s="1"/>
  <c r="E438" i="24" s="1"/>
  <c r="F438" i="24" s="1"/>
  <c r="E781" i="24"/>
  <c r="F781" i="24" s="1"/>
  <c r="E780" i="24" s="1"/>
  <c r="F780" i="24" s="1"/>
  <c r="F777" i="24" s="1"/>
  <c r="E724" i="24"/>
  <c r="F724" i="24" s="1"/>
  <c r="E417" i="24"/>
  <c r="F417" i="24" s="1"/>
  <c r="E416" i="24" s="1"/>
  <c r="F416" i="24" s="1"/>
  <c r="E733" i="24"/>
  <c r="F733" i="24" s="1"/>
  <c r="D56" i="6"/>
  <c r="E478" i="24"/>
  <c r="F478" i="24" s="1"/>
  <c r="E477" i="24" s="1"/>
  <c r="F477" i="24" s="1"/>
  <c r="E791" i="24"/>
  <c r="F791" i="24" s="1"/>
  <c r="E790" i="24" s="1"/>
  <c r="F790" i="24" s="1"/>
  <c r="E775" i="24"/>
  <c r="F775" i="24" s="1"/>
  <c r="E774" i="24" s="1"/>
  <c r="F774" i="24" s="1"/>
  <c r="E766" i="24"/>
  <c r="F766" i="24" s="1"/>
  <c r="E428" i="24"/>
  <c r="F428" i="24" s="1"/>
  <c r="E427" i="24" s="1"/>
  <c r="F427" i="24" s="1"/>
  <c r="E1537" i="24"/>
  <c r="F1537" i="24" s="1"/>
  <c r="E1536" i="24" s="1"/>
  <c r="F1536" i="24" s="1"/>
  <c r="E715" i="24"/>
  <c r="F715" i="24" s="1"/>
  <c r="E289" i="2"/>
  <c r="F289" i="2" s="1"/>
  <c r="E288" i="2" s="1"/>
  <c r="F288" i="2" s="1"/>
  <c r="E92" i="2"/>
  <c r="F92" i="2" s="1"/>
  <c r="E91" i="2" s="1"/>
  <c r="F91" i="2" s="1"/>
  <c r="E278" i="2"/>
  <c r="F278" i="2" s="1"/>
  <c r="E277" i="2" s="1"/>
  <c r="F277" i="2" s="1"/>
  <c r="E433" i="2"/>
  <c r="F433" i="2" s="1"/>
  <c r="E432" i="2" s="1"/>
  <c r="F432" i="2" s="1"/>
  <c r="F426" i="2" s="1"/>
  <c r="E169" i="4" s="1"/>
  <c r="F169" i="4" s="1"/>
  <c r="CL169" i="4" s="1"/>
  <c r="BU171" i="4" s="1"/>
  <c r="E249" i="2"/>
  <c r="F249" i="2" s="1"/>
  <c r="E248" i="2" s="1"/>
  <c r="F248" i="2" s="1"/>
  <c r="E33" i="2"/>
  <c r="F33" i="2" s="1"/>
  <c r="E32" i="2" s="1"/>
  <c r="F32" i="2" s="1"/>
  <c r="F31" i="2" s="1"/>
  <c r="E22" i="4" s="1"/>
  <c r="F22" i="4" s="1"/>
  <c r="E105" i="2"/>
  <c r="F105" i="2" s="1"/>
  <c r="E104" i="2" s="1"/>
  <c r="F104" i="2" s="1"/>
  <c r="E221" i="2"/>
  <c r="F221" i="2" s="1"/>
  <c r="E220" i="2" s="1"/>
  <c r="F220" i="2" s="1"/>
  <c r="E117" i="27"/>
  <c r="F117" i="27" s="1"/>
  <c r="E116" i="27" s="1"/>
  <c r="F116" i="27" s="1"/>
  <c r="F110" i="27" s="1"/>
  <c r="E612" i="24"/>
  <c r="F612" i="24" s="1"/>
  <c r="E611" i="24" s="1"/>
  <c r="F611" i="24" s="1"/>
  <c r="E245" i="27"/>
  <c r="F245" i="27" s="1"/>
  <c r="E244" i="27" s="1"/>
  <c r="F244" i="27" s="1"/>
  <c r="E930" i="24"/>
  <c r="F930" i="24" s="1"/>
  <c r="E929" i="24" s="1"/>
  <c r="F929" i="24" s="1"/>
  <c r="F928" i="24" s="1"/>
  <c r="E455" i="26"/>
  <c r="F455" i="26" s="1"/>
  <c r="E454" i="26" s="1"/>
  <c r="F454" i="26" s="1"/>
  <c r="E1426" i="24"/>
  <c r="F1426" i="24" s="1"/>
  <c r="E1425" i="24" s="1"/>
  <c r="F1425" i="24" s="1"/>
  <c r="E133" i="27"/>
  <c r="F133" i="27" s="1"/>
  <c r="E132" i="27" s="1"/>
  <c r="F132" i="27" s="1"/>
  <c r="F131" i="27" s="1"/>
  <c r="E349" i="24"/>
  <c r="F349" i="24" s="1"/>
  <c r="E348" i="24" s="1"/>
  <c r="F348" i="24" s="1"/>
  <c r="E891" i="24"/>
  <c r="F891" i="24" s="1"/>
  <c r="E890" i="24" s="1"/>
  <c r="F890" i="24" s="1"/>
  <c r="E120" i="26"/>
  <c r="F120" i="26" s="1"/>
  <c r="E119" i="26" s="1"/>
  <c r="F119" i="26" s="1"/>
  <c r="F118" i="26" s="1"/>
  <c r="E872" i="24"/>
  <c r="F872" i="24" s="1"/>
  <c r="E871" i="24" s="1"/>
  <c r="F871" i="24" s="1"/>
  <c r="E236" i="24"/>
  <c r="F236" i="24" s="1"/>
  <c r="E235" i="24" s="1"/>
  <c r="F235" i="24" s="1"/>
  <c r="F231" i="24" s="1"/>
  <c r="E518" i="24"/>
  <c r="F518" i="24" s="1"/>
  <c r="E517" i="24" s="1"/>
  <c r="F517" i="24" s="1"/>
  <c r="E130" i="26"/>
  <c r="F130" i="26" s="1"/>
  <c r="E129" i="26" s="1"/>
  <c r="F129" i="26" s="1"/>
  <c r="F127" i="26" s="1"/>
  <c r="E280" i="24"/>
  <c r="F280" i="24" s="1"/>
  <c r="E279" i="24" s="1"/>
  <c r="F279" i="24" s="1"/>
  <c r="E496" i="26"/>
  <c r="F496" i="26" s="1"/>
  <c r="E596" i="24"/>
  <c r="F596" i="24" s="1"/>
  <c r="E595" i="24" s="1"/>
  <c r="F595" i="24" s="1"/>
  <c r="E149" i="27"/>
  <c r="F149" i="27" s="1"/>
  <c r="E148" i="27" s="1"/>
  <c r="F148" i="27" s="1"/>
  <c r="E149" i="26"/>
  <c r="F149" i="26" s="1"/>
  <c r="E148" i="26" s="1"/>
  <c r="F148" i="26" s="1"/>
  <c r="E220" i="27"/>
  <c r="F220" i="27" s="1"/>
  <c r="E219" i="27" s="1"/>
  <c r="F219" i="27" s="1"/>
  <c r="E571" i="24"/>
  <c r="F571" i="24" s="1"/>
  <c r="E570" i="24" s="1"/>
  <c r="F570" i="24" s="1"/>
  <c r="E969" i="24"/>
  <c r="F969" i="24" s="1"/>
  <c r="E968" i="24" s="1"/>
  <c r="F968" i="24" s="1"/>
  <c r="E841" i="24"/>
  <c r="F841" i="24" s="1"/>
  <c r="E840" i="24" s="1"/>
  <c r="F840" i="24" s="1"/>
  <c r="F838" i="24" s="1"/>
  <c r="E403" i="24"/>
  <c r="F403" i="24" s="1"/>
  <c r="E402" i="24" s="1"/>
  <c r="F402" i="24" s="1"/>
  <c r="E371" i="24"/>
  <c r="F371" i="24" s="1"/>
  <c r="E370" i="24" s="1"/>
  <c r="F370" i="24" s="1"/>
  <c r="E135" i="26"/>
  <c r="F135" i="26" s="1"/>
  <c r="E134" i="26" s="1"/>
  <c r="F134" i="26" s="1"/>
  <c r="F132" i="26" s="1"/>
  <c r="E535" i="24"/>
  <c r="F535" i="24" s="1"/>
  <c r="E534" i="24" s="1"/>
  <c r="F534" i="24" s="1"/>
  <c r="E116" i="24"/>
  <c r="F116" i="24" s="1"/>
  <c r="E115" i="24" s="1"/>
  <c r="F115" i="24" s="1"/>
  <c r="E345" i="27"/>
  <c r="F345" i="27" s="1"/>
  <c r="E344" i="27" s="1"/>
  <c r="F344" i="27" s="1"/>
  <c r="E56" i="2"/>
  <c r="F56" i="2" s="1"/>
  <c r="E55" i="2" s="1"/>
  <c r="F55" i="2" s="1"/>
  <c r="F52" i="2" s="1"/>
  <c r="E37" i="4" s="1"/>
  <c r="F37" i="4" s="1"/>
  <c r="M37" i="4" s="1"/>
  <c r="M39" i="4" s="1"/>
  <c r="E1418" i="24"/>
  <c r="F1418" i="24" s="1"/>
  <c r="E1417" i="24" s="1"/>
  <c r="F1417" i="24" s="1"/>
  <c r="E1482" i="24"/>
  <c r="F1482" i="24" s="1"/>
  <c r="E1481" i="24" s="1"/>
  <c r="F1481" i="24" s="1"/>
  <c r="E945" i="24"/>
  <c r="F945" i="24" s="1"/>
  <c r="E944" i="24" s="1"/>
  <c r="F944" i="24" s="1"/>
  <c r="E562" i="24"/>
  <c r="F562" i="24" s="1"/>
  <c r="E561" i="24" s="1"/>
  <c r="F561" i="24" s="1"/>
  <c r="E1514" i="24"/>
  <c r="F1514" i="24" s="1"/>
  <c r="E1513" i="24" s="1"/>
  <c r="F1513" i="24" s="1"/>
  <c r="E229" i="27"/>
  <c r="F229" i="27" s="1"/>
  <c r="E228" i="27" s="1"/>
  <c r="F228" i="27" s="1"/>
  <c r="F222" i="27" s="1"/>
  <c r="E62" i="27"/>
  <c r="F62" i="27" s="1"/>
  <c r="E61" i="27" s="1"/>
  <c r="F61" i="27" s="1"/>
  <c r="F59" i="27" s="1"/>
  <c r="E501" i="26"/>
  <c r="F501" i="26" s="1"/>
  <c r="E123" i="24"/>
  <c r="F123" i="24" s="1"/>
  <c r="E122" i="24" s="1"/>
  <c r="F122" i="24" s="1"/>
  <c r="E356" i="27"/>
  <c r="F356" i="27" s="1"/>
  <c r="E355" i="27" s="1"/>
  <c r="F355" i="27" s="1"/>
  <c r="E94" i="24"/>
  <c r="F94" i="24" s="1"/>
  <c r="E93" i="24" s="1"/>
  <c r="F93" i="24" s="1"/>
  <c r="F92" i="24" s="1"/>
  <c r="E43" i="24"/>
  <c r="F43" i="24" s="1"/>
  <c r="E42" i="24" s="1"/>
  <c r="F42" i="24" s="1"/>
  <c r="F41" i="24" s="1"/>
  <c r="E1236" i="24"/>
  <c r="F1236" i="24" s="1"/>
  <c r="E1235" i="24" s="1"/>
  <c r="F1235" i="24" s="1"/>
  <c r="E299" i="24"/>
  <c r="F299" i="24" s="1"/>
  <c r="E298" i="24" s="1"/>
  <c r="F298" i="24" s="1"/>
  <c r="E1172" i="24"/>
  <c r="F1172" i="24" s="1"/>
  <c r="E1171" i="24" s="1"/>
  <c r="F1171" i="24" s="1"/>
  <c r="E17" i="26"/>
  <c r="F17" i="26" s="1"/>
  <c r="E16" i="26" s="1"/>
  <c r="F16" i="26" s="1"/>
  <c r="F15" i="26" s="1"/>
  <c r="E706" i="24"/>
  <c r="F706" i="24" s="1"/>
  <c r="E705" i="24" s="1"/>
  <c r="F705" i="24" s="1"/>
  <c r="E1458" i="24"/>
  <c r="F1458" i="24" s="1"/>
  <c r="E1457" i="24" s="1"/>
  <c r="F1457" i="24" s="1"/>
  <c r="E361" i="2"/>
  <c r="F361" i="2" s="1"/>
  <c r="E360" i="2" s="1"/>
  <c r="F360" i="2" s="1"/>
  <c r="E71" i="24"/>
  <c r="F71" i="24" s="1"/>
  <c r="E70" i="24" s="1"/>
  <c r="F70" i="24" s="1"/>
  <c r="F69" i="24" s="1"/>
  <c r="E158" i="24"/>
  <c r="F158" i="24" s="1"/>
  <c r="E157" i="24" s="1"/>
  <c r="F157" i="24" s="1"/>
  <c r="F156" i="24" s="1"/>
  <c r="E141" i="27"/>
  <c r="F141" i="27" s="1"/>
  <c r="E140" i="27" s="1"/>
  <c r="F140" i="27" s="1"/>
  <c r="E212" i="27"/>
  <c r="F212" i="27" s="1"/>
  <c r="E211" i="27" s="1"/>
  <c r="F211" i="27" s="1"/>
  <c r="E1180" i="24"/>
  <c r="F1180" i="24" s="1"/>
  <c r="E1179" i="24" s="1"/>
  <c r="F1179" i="24" s="1"/>
  <c r="E176" i="27"/>
  <c r="F176" i="27" s="1"/>
  <c r="E175" i="27" s="1"/>
  <c r="F175" i="27" s="1"/>
  <c r="E157" i="26"/>
  <c r="F157" i="26" s="1"/>
  <c r="E268" i="2"/>
  <c r="F268" i="2" s="1"/>
  <c r="E267" i="2" s="1"/>
  <c r="F267" i="2" s="1"/>
  <c r="F261" i="2" s="1"/>
  <c r="E514" i="26"/>
  <c r="F514" i="26" s="1"/>
  <c r="E513" i="26" s="1"/>
  <c r="F513" i="26" s="1"/>
  <c r="E250" i="24"/>
  <c r="F250" i="24" s="1"/>
  <c r="E1386" i="24"/>
  <c r="F1386" i="24" s="1"/>
  <c r="E1385" i="24" s="1"/>
  <c r="F1385" i="24" s="1"/>
  <c r="E527" i="24"/>
  <c r="F527" i="24" s="1"/>
  <c r="E526" i="24" s="1"/>
  <c r="F526" i="24" s="1"/>
  <c r="E191" i="24"/>
  <c r="F191" i="24" s="1"/>
  <c r="E204" i="26"/>
  <c r="F204" i="26" s="1"/>
  <c r="E203" i="26" s="1"/>
  <c r="F203" i="26" s="1"/>
  <c r="E20" i="2"/>
  <c r="F20" i="2" s="1"/>
  <c r="E19" i="2" s="1"/>
  <c r="F19" i="2" s="1"/>
  <c r="E219" i="24"/>
  <c r="F219" i="24" s="1"/>
  <c r="E218" i="24" s="1"/>
  <c r="F218" i="24" s="1"/>
  <c r="E229" i="2"/>
  <c r="F229" i="2" s="1"/>
  <c r="E228" i="2" s="1"/>
  <c r="F228" i="2" s="1"/>
  <c r="E476" i="26"/>
  <c r="F476" i="26" s="1"/>
  <c r="E475" i="26" s="1"/>
  <c r="F475" i="26" s="1"/>
  <c r="E382" i="24"/>
  <c r="F382" i="24" s="1"/>
  <c r="E381" i="24" s="1"/>
  <c r="F381" i="24" s="1"/>
  <c r="E1155" i="24"/>
  <c r="F1155" i="24" s="1"/>
  <c r="E1154" i="24" s="1"/>
  <c r="F1154" i="24" s="1"/>
  <c r="E166" i="27"/>
  <c r="F166" i="27" s="1"/>
  <c r="E165" i="27" s="1"/>
  <c r="F165" i="27" s="1"/>
  <c r="E483" i="26"/>
  <c r="F483" i="26" s="1"/>
  <c r="E482" i="26" s="1"/>
  <c r="F482" i="26" s="1"/>
  <c r="E1402" i="24"/>
  <c r="F1402" i="24" s="1"/>
  <c r="E1401" i="24" s="1"/>
  <c r="F1401" i="24" s="1"/>
  <c r="E361" i="24"/>
  <c r="F361" i="24" s="1"/>
  <c r="E360" i="24" s="1"/>
  <c r="F360" i="24" s="1"/>
  <c r="E109" i="24"/>
  <c r="F109" i="24" s="1"/>
  <c r="E108" i="24" s="1"/>
  <c r="F108" i="24" s="1"/>
  <c r="F106" i="24" s="1"/>
  <c r="E263" i="27"/>
  <c r="F263" i="27" s="1"/>
  <c r="E262" i="27" s="1"/>
  <c r="F262" i="27" s="1"/>
  <c r="E113" i="26"/>
  <c r="F113" i="26" s="1"/>
  <c r="E112" i="26" s="1"/>
  <c r="F112" i="26" s="1"/>
  <c r="F111" i="26" s="1"/>
  <c r="E579" i="24"/>
  <c r="F579" i="24" s="1"/>
  <c r="E578" i="24" s="1"/>
  <c r="F578" i="24" s="1"/>
  <c r="E390" i="2"/>
  <c r="F390" i="2" s="1"/>
  <c r="E389" i="2" s="1"/>
  <c r="F389" i="2" s="1"/>
  <c r="F383" i="2" s="1"/>
  <c r="E148" i="4" s="1"/>
  <c r="F148" i="4" s="1"/>
  <c r="BQ148" i="4" s="1"/>
  <c r="BU150" i="4" s="1"/>
  <c r="E819" i="24"/>
  <c r="F819" i="24" s="1"/>
  <c r="E818" i="24" s="1"/>
  <c r="F818" i="24" s="1"/>
  <c r="E374" i="26"/>
  <c r="F374" i="26" s="1"/>
  <c r="E373" i="26" s="1"/>
  <c r="F373" i="26" s="1"/>
  <c r="E360" i="26"/>
  <c r="F360" i="26" s="1"/>
  <c r="E359" i="26" s="1"/>
  <c r="F359" i="26" s="1"/>
  <c r="E199" i="24"/>
  <c r="F199" i="24" s="1"/>
  <c r="E198" i="24" s="1"/>
  <c r="F198" i="24" s="1"/>
  <c r="F193" i="24" s="1"/>
  <c r="E1044" i="24"/>
  <c r="F1044" i="24" s="1"/>
  <c r="E1043" i="24" s="1"/>
  <c r="F1043" i="24" s="1"/>
  <c r="E553" i="24"/>
  <c r="F553" i="24" s="1"/>
  <c r="E552" i="24" s="1"/>
  <c r="F552" i="24" s="1"/>
  <c r="E394" i="26"/>
  <c r="F394" i="26" s="1"/>
  <c r="E393" i="26" s="1"/>
  <c r="F393" i="26" s="1"/>
  <c r="E311" i="24"/>
  <c r="F311" i="24" s="1"/>
  <c r="E310" i="24" s="1"/>
  <c r="F310" i="24" s="1"/>
  <c r="E50" i="2"/>
  <c r="F50" i="2" s="1"/>
  <c r="E49" i="2" s="1"/>
  <c r="F49" i="2" s="1"/>
  <c r="F48" i="2" s="1"/>
  <c r="E34" i="4" s="1"/>
  <c r="F34" i="4" s="1"/>
  <c r="M34" i="4" s="1"/>
  <c r="M36" i="4" s="1"/>
  <c r="E26" i="26"/>
  <c r="F26" i="26" s="1"/>
  <c r="F24" i="26" s="1"/>
  <c r="E8" i="27"/>
  <c r="F8" i="27" s="1"/>
  <c r="E1498" i="24"/>
  <c r="F1498" i="24" s="1"/>
  <c r="E1497" i="24" s="1"/>
  <c r="F1497" i="24" s="1"/>
  <c r="E108" i="27"/>
  <c r="F108" i="27" s="1"/>
  <c r="E107" i="27" s="1"/>
  <c r="F107" i="27" s="1"/>
  <c r="F102" i="27" s="1"/>
  <c r="E104" i="24"/>
  <c r="F104" i="24" s="1"/>
  <c r="E103" i="24" s="1"/>
  <c r="F103" i="24" s="1"/>
  <c r="F101" i="24" s="1"/>
  <c r="E1522" i="24"/>
  <c r="F1522" i="24" s="1"/>
  <c r="E1521" i="24" s="1"/>
  <c r="F1521" i="24" s="1"/>
  <c r="E1252" i="24"/>
  <c r="F1252" i="24" s="1"/>
  <c r="E1251" i="24" s="1"/>
  <c r="F1251" i="24" s="1"/>
  <c r="E1544" i="24"/>
  <c r="F1544" i="24" s="1"/>
  <c r="E1543" i="24" s="1"/>
  <c r="F1543" i="24" s="1"/>
  <c r="E272" i="27"/>
  <c r="F272" i="27" s="1"/>
  <c r="E271" i="27" s="1"/>
  <c r="F271" i="27" s="1"/>
  <c r="E327" i="27"/>
  <c r="F327" i="27" s="1"/>
  <c r="E326" i="27" s="1"/>
  <c r="F326" i="27" s="1"/>
  <c r="E185" i="27"/>
  <c r="F185" i="27" s="1"/>
  <c r="E184" i="27" s="1"/>
  <c r="F184" i="27" s="1"/>
  <c r="E166" i="24"/>
  <c r="F166" i="24" s="1"/>
  <c r="E165" i="24" s="1"/>
  <c r="F165" i="24" s="1"/>
  <c r="E757" i="24"/>
  <c r="F757" i="24" s="1"/>
  <c r="E756" i="24" s="1"/>
  <c r="F756" i="24" s="1"/>
  <c r="E100" i="27"/>
  <c r="F100" i="27" s="1"/>
  <c r="E99" i="27" s="1"/>
  <c r="F99" i="27" s="1"/>
  <c r="F94" i="27" s="1"/>
  <c r="E498" i="24"/>
  <c r="F498" i="24" s="1"/>
  <c r="E497" i="24" s="1"/>
  <c r="F497" i="24" s="1"/>
  <c r="E67" i="24"/>
  <c r="F67" i="24" s="1"/>
  <c r="E66" i="24" s="1"/>
  <c r="F66" i="24" s="1"/>
  <c r="F65" i="24" s="1"/>
  <c r="F176" i="4" s="1"/>
  <c r="E1228" i="24"/>
  <c r="F1228" i="24" s="1"/>
  <c r="E1227" i="24" s="1"/>
  <c r="F1227" i="24" s="1"/>
  <c r="E1346" i="24"/>
  <c r="F1346" i="24" s="1"/>
  <c r="E1345" i="24" s="1"/>
  <c r="F1345" i="24" s="1"/>
  <c r="E444" i="26"/>
  <c r="F444" i="26" s="1"/>
  <c r="E443" i="26" s="1"/>
  <c r="F443" i="26" s="1"/>
  <c r="E16" i="2"/>
  <c r="F16" i="2" s="1"/>
  <c r="E15" i="2" s="1"/>
  <c r="F15" i="2" s="1"/>
  <c r="E28" i="2"/>
  <c r="F28" i="2" s="1"/>
  <c r="E309" i="27"/>
  <c r="F309" i="27" s="1"/>
  <c r="E308" i="27" s="1"/>
  <c r="F308" i="27" s="1"/>
  <c r="E93" i="26"/>
  <c r="F93" i="26" s="1"/>
  <c r="E92" i="26" s="1"/>
  <c r="F92" i="26" s="1"/>
  <c r="F91" i="26" s="1"/>
  <c r="E604" i="24"/>
  <c r="F604" i="24" s="1"/>
  <c r="E603" i="24" s="1"/>
  <c r="F603" i="24" s="1"/>
  <c r="E194" i="27"/>
  <c r="F194" i="27" s="1"/>
  <c r="E193" i="27" s="1"/>
  <c r="F193" i="27" s="1"/>
  <c r="E154" i="24"/>
  <c r="F154" i="24" s="1"/>
  <c r="F152" i="24" s="1"/>
  <c r="E636" i="24"/>
  <c r="F636" i="24" s="1"/>
  <c r="E635" i="24" s="1"/>
  <c r="F635" i="24" s="1"/>
  <c r="E330" i="24"/>
  <c r="F330" i="24" s="1"/>
  <c r="E329" i="24" s="1"/>
  <c r="F329" i="24" s="1"/>
  <c r="E1260" i="24"/>
  <c r="F1260" i="24" s="1"/>
  <c r="E1259" i="24" s="1"/>
  <c r="F1259" i="24" s="1"/>
  <c r="E1292" i="24"/>
  <c r="F1292" i="24" s="1"/>
  <c r="E1291" i="24" s="1"/>
  <c r="F1291" i="24" s="1"/>
  <c r="E209" i="24"/>
  <c r="F209" i="24" s="1"/>
  <c r="E208" i="24" s="1"/>
  <c r="F208" i="24" s="1"/>
  <c r="E103" i="26"/>
  <c r="F103" i="26" s="1"/>
  <c r="E102" i="26" s="1"/>
  <c r="F102" i="26" s="1"/>
  <c r="E1036" i="24"/>
  <c r="F1036" i="24" s="1"/>
  <c r="E1035" i="24" s="1"/>
  <c r="F1035" i="24" s="1"/>
  <c r="E1026" i="24"/>
  <c r="F1026" i="24" s="1"/>
  <c r="E1025" i="24" s="1"/>
  <c r="F1025" i="24" s="1"/>
  <c r="E526" i="26"/>
  <c r="F526" i="26" s="1"/>
  <c r="E525" i="26" s="1"/>
  <c r="F525" i="26" s="1"/>
  <c r="E63" i="24"/>
  <c r="F63" i="24" s="1"/>
  <c r="E62" i="24" s="1"/>
  <c r="F62" i="24" s="1"/>
  <c r="F61" i="24" s="1"/>
  <c r="E1442" i="24"/>
  <c r="F1442" i="24" s="1"/>
  <c r="E1441" i="24" s="1"/>
  <c r="F1441" i="24" s="1"/>
  <c r="E652" i="24"/>
  <c r="F652" i="24" s="1"/>
  <c r="E651" i="24" s="1"/>
  <c r="F651" i="24" s="1"/>
  <c r="E1116" i="24"/>
  <c r="F1116" i="24" s="1"/>
  <c r="E1115" i="24" s="1"/>
  <c r="F1115" i="24" s="1"/>
  <c r="E846" i="24"/>
  <c r="F846" i="24" s="1"/>
  <c r="E845" i="24" s="1"/>
  <c r="F845" i="24" s="1"/>
  <c r="F843" i="24" s="1"/>
  <c r="E36" i="26"/>
  <c r="F36" i="26" s="1"/>
  <c r="F34" i="26" s="1"/>
  <c r="H34" i="26" s="1"/>
  <c r="E898" i="24"/>
  <c r="F898" i="24" s="1"/>
  <c r="E897" i="24" s="1"/>
  <c r="F897" i="24" s="1"/>
  <c r="E367" i="27"/>
  <c r="F367" i="27" s="1"/>
  <c r="E366" i="27" s="1"/>
  <c r="F366" i="27" s="1"/>
  <c r="E34" i="24"/>
  <c r="F34" i="24" s="1"/>
  <c r="E33" i="24" s="1"/>
  <c r="F33" i="24" s="1"/>
  <c r="F28" i="24" s="1"/>
  <c r="F160" i="4" s="1"/>
  <c r="AH160" i="4" s="1"/>
  <c r="M162" i="4" s="1"/>
  <c r="E254" i="27"/>
  <c r="F254" i="27" s="1"/>
  <c r="E253" i="27" s="1"/>
  <c r="F253" i="27" s="1"/>
  <c r="E299" i="27"/>
  <c r="F299" i="27" s="1"/>
  <c r="E298" i="27" s="1"/>
  <c r="F298" i="27" s="1"/>
  <c r="E1220" i="24"/>
  <c r="F1220" i="24" s="1"/>
  <c r="E1219" i="24" s="1"/>
  <c r="F1219" i="24" s="1"/>
  <c r="E97" i="26"/>
  <c r="F97" i="26" s="1"/>
  <c r="E96" i="26" s="1"/>
  <c r="F96" i="26" s="1"/>
  <c r="F95" i="26" s="1"/>
  <c r="E1316" i="24"/>
  <c r="F1316" i="24" s="1"/>
  <c r="E1315" i="24" s="1"/>
  <c r="F1315" i="24" s="1"/>
  <c r="E177" i="24"/>
  <c r="F177" i="24" s="1"/>
  <c r="E176" i="24" s="1"/>
  <c r="F176" i="24" s="1"/>
  <c r="E882" i="24"/>
  <c r="F882" i="24" s="1"/>
  <c r="E881" i="24" s="1"/>
  <c r="F881" i="24" s="1"/>
  <c r="E55" i="24"/>
  <c r="F55" i="24" s="1"/>
  <c r="E54" i="24" s="1"/>
  <c r="F54" i="24" s="1"/>
  <c r="F53" i="24" s="1"/>
  <c r="E628" i="24"/>
  <c r="F628" i="24" s="1"/>
  <c r="E627" i="24" s="1"/>
  <c r="F627" i="24" s="1"/>
  <c r="E420" i="26"/>
  <c r="F420" i="26" s="1"/>
  <c r="E419" i="26" s="1"/>
  <c r="F419" i="26" s="1"/>
  <c r="E1338" i="24"/>
  <c r="F1338" i="24" s="1"/>
  <c r="E1337" i="24" s="1"/>
  <c r="F1337" i="24" s="1"/>
  <c r="E49" i="26"/>
  <c r="F49" i="26" s="1"/>
  <c r="E150" i="24"/>
  <c r="F150" i="24" s="1"/>
  <c r="E149" i="24" s="1"/>
  <c r="F149" i="24" s="1"/>
  <c r="F148" i="24" s="1"/>
  <c r="E541" i="24" s="1"/>
  <c r="F541" i="24" s="1"/>
  <c r="E72" i="27"/>
  <c r="F72" i="27" s="1"/>
  <c r="E71" i="27" s="1"/>
  <c r="F71" i="27" s="1"/>
  <c r="E644" i="24"/>
  <c r="F644" i="24" s="1"/>
  <c r="E643" i="24" s="1"/>
  <c r="F643" i="24" s="1"/>
  <c r="E1204" i="24"/>
  <c r="F1204" i="24" s="1"/>
  <c r="E1203" i="24" s="1"/>
  <c r="F1203" i="24" s="1"/>
  <c r="E1144" i="24"/>
  <c r="F1144" i="24" s="1"/>
  <c r="E1143" i="24" s="1"/>
  <c r="F1143" i="24" s="1"/>
  <c r="E37" i="2"/>
  <c r="F37" i="2" s="1"/>
  <c r="E36" i="2" s="1"/>
  <c r="F36" i="2" s="1"/>
  <c r="F35" i="2" s="1"/>
  <c r="E25" i="4" s="1"/>
  <c r="F25" i="4" s="1"/>
  <c r="AA25" i="4" s="1"/>
  <c r="M27" i="4" s="1"/>
  <c r="E1506" i="24"/>
  <c r="F1506" i="24" s="1"/>
  <c r="E1505" i="24" s="1"/>
  <c r="F1505" i="24" s="1"/>
  <c r="E354" i="2"/>
  <c r="F354" i="2" s="1"/>
  <c r="E353" i="2" s="1"/>
  <c r="F353" i="2" s="1"/>
  <c r="F347" i="2" s="1"/>
  <c r="E136" i="4" s="1"/>
  <c r="F136" i="4" s="1"/>
  <c r="BX136" i="4" s="1"/>
  <c r="BU138" i="4" s="1"/>
  <c r="E367" i="26"/>
  <c r="F367" i="26" s="1"/>
  <c r="E366" i="26" s="1"/>
  <c r="F366" i="26" s="1"/>
  <c r="E1474" i="24"/>
  <c r="F1474" i="24" s="1"/>
  <c r="E1473" i="24" s="1"/>
  <c r="F1473" i="24" s="1"/>
  <c r="E1244" i="24"/>
  <c r="F1244" i="24" s="1"/>
  <c r="E1243" i="24" s="1"/>
  <c r="F1243" i="24" s="1"/>
  <c r="E1490" i="24"/>
  <c r="F1490" i="24" s="1"/>
  <c r="E1489" i="24" s="1"/>
  <c r="F1489" i="24" s="1"/>
  <c r="E259" i="2"/>
  <c r="F259" i="2" s="1"/>
  <c r="E258" i="2" s="1"/>
  <c r="F258" i="2" s="1"/>
  <c r="E450" i="24"/>
  <c r="F450" i="24" s="1"/>
  <c r="E449" i="24" s="1"/>
  <c r="F449" i="24" s="1"/>
  <c r="E1354" i="24"/>
  <c r="F1354" i="24" s="1"/>
  <c r="E1353" i="24" s="1"/>
  <c r="F1353" i="24" s="1"/>
  <c r="E132" i="24"/>
  <c r="F132" i="24" s="1"/>
  <c r="E131" i="24" s="1"/>
  <c r="F131" i="24" s="1"/>
  <c r="E953" i="24"/>
  <c r="F953" i="24" s="1"/>
  <c r="E952" i="24" s="1"/>
  <c r="F952" i="24" s="1"/>
  <c r="E491" i="26"/>
  <c r="F491" i="26" s="1"/>
  <c r="E490" i="26" s="1"/>
  <c r="F490" i="26" s="1"/>
  <c r="E1196" i="24"/>
  <c r="F1196" i="24" s="1"/>
  <c r="E1195" i="24" s="1"/>
  <c r="F1195" i="24" s="1"/>
  <c r="E544" i="24"/>
  <c r="F544" i="24" s="1"/>
  <c r="E543" i="24" s="1"/>
  <c r="F543" i="24" s="1"/>
  <c r="E64" i="2"/>
  <c r="F64" i="2" s="1"/>
  <c r="E63" i="2" s="1"/>
  <c r="F63" i="2" s="1"/>
  <c r="F62" i="2" s="1"/>
  <c r="E43" i="4" s="1"/>
  <c r="F43" i="4" s="1"/>
  <c r="E170" i="26"/>
  <c r="F170" i="26" s="1"/>
  <c r="E169" i="26" s="1"/>
  <c r="F169" i="26" s="1"/>
  <c r="E741" i="24"/>
  <c r="F741" i="24" s="1"/>
  <c r="E740" i="24" s="1"/>
  <c r="F740" i="24" s="1"/>
  <c r="E137" i="24"/>
  <c r="F137" i="24" s="1"/>
  <c r="E136" i="24" s="1"/>
  <c r="F136" i="24" s="1"/>
  <c r="F135" i="24" s="1"/>
  <c r="E32" i="26"/>
  <c r="F32" i="26" s="1"/>
  <c r="E31" i="26" s="1"/>
  <c r="F31" i="26" s="1"/>
  <c r="F28" i="26" s="1"/>
  <c r="E146" i="24"/>
  <c r="F146" i="24" s="1"/>
  <c r="E145" i="24" s="1"/>
  <c r="F145" i="24" s="1"/>
  <c r="E77" i="24"/>
  <c r="F77" i="24" s="1"/>
  <c r="E76" i="24" s="1"/>
  <c r="F76" i="24" s="1"/>
  <c r="E157" i="27"/>
  <c r="F157" i="27" s="1"/>
  <c r="E156" i="27" s="1"/>
  <c r="F156" i="27" s="1"/>
  <c r="E961" i="24"/>
  <c r="F961" i="24" s="1"/>
  <c r="E960" i="24" s="1"/>
  <c r="F960" i="24" s="1"/>
  <c r="E1164" i="24"/>
  <c r="F1164" i="24" s="1"/>
  <c r="E1163" i="24" s="1"/>
  <c r="F1163" i="24" s="1"/>
  <c r="E382" i="26"/>
  <c r="F382" i="26" s="1"/>
  <c r="E381" i="26" s="1"/>
  <c r="F381" i="26" s="1"/>
  <c r="E39" i="27"/>
  <c r="F39" i="27" s="1"/>
  <c r="E38" i="27" s="1"/>
  <c r="F38" i="27" s="1"/>
  <c r="F37" i="27" s="1"/>
  <c r="E26" i="24"/>
  <c r="F26" i="24" s="1"/>
  <c r="E25" i="24" s="1"/>
  <c r="F25" i="24" s="1"/>
  <c r="E813" i="24"/>
  <c r="F813" i="24" s="1"/>
  <c r="E812" i="24" s="1"/>
  <c r="F812" i="24" s="1"/>
  <c r="E68" i="2"/>
  <c r="F68" i="2" s="1"/>
  <c r="E67" i="2" s="1"/>
  <c r="F67" i="2" s="1"/>
  <c r="F66" i="2" s="1"/>
  <c r="E46" i="4" s="1"/>
  <c r="F46" i="4" s="1"/>
  <c r="T46" i="4" s="1"/>
  <c r="M48" i="4" s="1"/>
  <c r="E864" i="24"/>
  <c r="F864" i="24" s="1"/>
  <c r="E863" i="24" s="1"/>
  <c r="F863" i="24" s="1"/>
  <c r="E73" i="26"/>
  <c r="F73" i="26" s="1"/>
  <c r="E72" i="26" s="1"/>
  <c r="F72" i="26" s="1"/>
  <c r="F71" i="26" s="1"/>
  <c r="E508" i="24"/>
  <c r="F508" i="24" s="1"/>
  <c r="E507" i="24" s="1"/>
  <c r="F507" i="24" s="1"/>
  <c r="E335" i="27"/>
  <c r="F335" i="27" s="1"/>
  <c r="E334" i="27" s="1"/>
  <c r="F334" i="27" s="1"/>
  <c r="E229" i="24"/>
  <c r="F229" i="24" s="1"/>
  <c r="E228" i="24" s="1"/>
  <c r="F228" i="24" s="1"/>
  <c r="F221" i="24" s="1"/>
  <c r="E85" i="26"/>
  <c r="F85" i="26" s="1"/>
  <c r="E84" i="26" s="1"/>
  <c r="F84" i="26" s="1"/>
  <c r="F83" i="26" s="1"/>
  <c r="E678" i="24"/>
  <c r="F678" i="24" s="1"/>
  <c r="E677" i="24" s="1"/>
  <c r="F677" i="24" s="1"/>
  <c r="E216" i="26"/>
  <c r="F216" i="26" s="1"/>
  <c r="E215" i="26" s="1"/>
  <c r="F215" i="26" s="1"/>
  <c r="E1017" i="24"/>
  <c r="F1017" i="24" s="1"/>
  <c r="E1016" i="24" s="1"/>
  <c r="F1016" i="24" s="1"/>
  <c r="F1011" i="24" s="1"/>
  <c r="E1559" i="24"/>
  <c r="F1559" i="24" s="1"/>
  <c r="E1558" i="24" s="1"/>
  <c r="F1558" i="24" s="1"/>
  <c r="E1551" i="24"/>
  <c r="F1551" i="24" s="1"/>
  <c r="E1550" i="24" s="1"/>
  <c r="F1550" i="24" s="1"/>
  <c r="F1546" i="24" s="1"/>
  <c r="E606" i="2"/>
  <c r="F606" i="2" s="1"/>
  <c r="E605" i="2" s="1"/>
  <c r="F605" i="2" s="1"/>
  <c r="F603" i="2" s="1"/>
  <c r="E235" i="4" s="1"/>
  <c r="F235" i="4" s="1"/>
  <c r="E142" i="26"/>
  <c r="F142" i="26" s="1"/>
  <c r="E141" i="26" s="1"/>
  <c r="F141" i="26" s="1"/>
  <c r="E991" i="24"/>
  <c r="F991" i="24" s="1"/>
  <c r="E990" i="24" s="1"/>
  <c r="F990" i="24" s="1"/>
  <c r="E57" i="26"/>
  <c r="F57" i="26" s="1"/>
  <c r="E56" i="26" s="1"/>
  <c r="F56" i="26" s="1"/>
  <c r="F51" i="26" s="1"/>
  <c r="E487" i="24"/>
  <c r="F487" i="24" s="1"/>
  <c r="E486" i="24" s="1"/>
  <c r="F486" i="24" s="1"/>
  <c r="E1324" i="24"/>
  <c r="F1324" i="24" s="1"/>
  <c r="E1323" i="24" s="1"/>
  <c r="F1323" i="24" s="1"/>
  <c r="E588" i="24"/>
  <c r="F588" i="24" s="1"/>
  <c r="E587" i="24" s="1"/>
  <c r="F587" i="24" s="1"/>
  <c r="E82" i="27"/>
  <c r="F82" i="27" s="1"/>
  <c r="E81" i="27" s="1"/>
  <c r="F81" i="27" s="1"/>
  <c r="E1410" i="24"/>
  <c r="F1410" i="24" s="1"/>
  <c r="E1409" i="24" s="1"/>
  <c r="F1409" i="24" s="1"/>
  <c r="E1000" i="24"/>
  <c r="F1000" i="24" s="1"/>
  <c r="E999" i="24" s="1"/>
  <c r="F999" i="24" s="1"/>
  <c r="E985" i="24"/>
  <c r="F985" i="24" s="1"/>
  <c r="E984" i="24" s="1"/>
  <c r="F984" i="24" s="1"/>
  <c r="E381" i="2"/>
  <c r="F381" i="2" s="1"/>
  <c r="E380" i="2" s="1"/>
  <c r="F380" i="2" s="1"/>
  <c r="F373" i="2" s="1"/>
  <c r="E145" i="4" s="1"/>
  <c r="F145" i="4" s="1"/>
  <c r="E244" i="24"/>
  <c r="F244" i="24" s="1"/>
  <c r="E243" i="24" s="1"/>
  <c r="F243" i="24" s="1"/>
  <c r="F238" i="24" s="1"/>
  <c r="E345" i="2"/>
  <c r="F345" i="2" s="1"/>
  <c r="E344" i="2" s="1"/>
  <c r="F344" i="2" s="1"/>
  <c r="F338" i="2" s="1"/>
  <c r="E133" i="4" s="1"/>
  <c r="F133" i="4" s="1"/>
  <c r="E255" i="24"/>
  <c r="F255" i="24" s="1"/>
  <c r="E351" i="26"/>
  <c r="F351" i="26" s="1"/>
  <c r="E350" i="26" s="1"/>
  <c r="F350" i="26" s="1"/>
  <c r="E8" i="24"/>
  <c r="F8" i="24" s="1"/>
  <c r="E336" i="2"/>
  <c r="F336" i="2" s="1"/>
  <c r="E335" i="2" s="1"/>
  <c r="F335" i="2" s="1"/>
  <c r="E77" i="26"/>
  <c r="F77" i="26" s="1"/>
  <c r="E1450" i="24"/>
  <c r="F1450" i="24" s="1"/>
  <c r="E1449" i="24" s="1"/>
  <c r="F1449" i="24" s="1"/>
  <c r="E193" i="26"/>
  <c r="F193" i="26" s="1"/>
  <c r="E192" i="26" s="1"/>
  <c r="F192" i="26" s="1"/>
  <c r="E109" i="26"/>
  <c r="F109" i="26" s="1"/>
  <c r="E108" i="26" s="1"/>
  <c r="F108" i="26" s="1"/>
  <c r="E686" i="24"/>
  <c r="F686" i="24" s="1"/>
  <c r="E685" i="24" s="1"/>
  <c r="F685" i="24" s="1"/>
  <c r="E394" i="24"/>
  <c r="F394" i="24" s="1"/>
  <c r="F392" i="24" s="1"/>
  <c r="E1394" i="24"/>
  <c r="F1394" i="24" s="1"/>
  <c r="E1393" i="24" s="1"/>
  <c r="F1393" i="24" s="1"/>
  <c r="E1362" i="24"/>
  <c r="F1362" i="24" s="1"/>
  <c r="E1361" i="24" s="1"/>
  <c r="F1361" i="24" s="1"/>
  <c r="E934" i="24"/>
  <c r="F934" i="24" s="1"/>
  <c r="E933" i="24" s="1"/>
  <c r="F933" i="24" s="1"/>
  <c r="F932" i="24" s="1"/>
  <c r="E907" i="24"/>
  <c r="F907" i="24" s="1"/>
  <c r="E906" i="24" s="1"/>
  <c r="F906" i="24" s="1"/>
  <c r="E60" i="2"/>
  <c r="F60" i="2" s="1"/>
  <c r="E59" i="2" s="1"/>
  <c r="F59" i="2" s="1"/>
  <c r="F58" i="2" s="1"/>
  <c r="E40" i="4" s="1"/>
  <c r="F40" i="4" s="1"/>
  <c r="AA40" i="4" s="1"/>
  <c r="M42" i="4" s="1"/>
  <c r="E49" i="27"/>
  <c r="F49" i="27" s="1"/>
  <c r="E48" i="27" s="1"/>
  <c r="F48" i="27" s="1"/>
  <c r="F45" i="27" s="1"/>
  <c r="E342" i="26"/>
  <c r="F342" i="26" s="1"/>
  <c r="E341" i="26" s="1"/>
  <c r="F341" i="26" s="1"/>
  <c r="E64" i="26"/>
  <c r="F64" i="26" s="1"/>
  <c r="E63" i="26" s="1"/>
  <c r="F63" i="26" s="1"/>
  <c r="F59" i="26" s="1"/>
  <c r="E1212" i="24"/>
  <c r="F1212" i="24" s="1"/>
  <c r="E1211" i="24" s="1"/>
  <c r="F1211" i="24" s="1"/>
  <c r="E268" i="24"/>
  <c r="F268" i="24" s="1"/>
  <c r="E267" i="24" s="1"/>
  <c r="F267" i="24" s="1"/>
  <c r="E805" i="24"/>
  <c r="F805" i="24" s="1"/>
  <c r="E390" i="24"/>
  <c r="F390" i="24" s="1"/>
  <c r="E1466" i="24"/>
  <c r="F1466" i="24" s="1"/>
  <c r="E1465" i="24" s="1"/>
  <c r="F1465" i="24" s="1"/>
  <c r="E1434" i="24"/>
  <c r="F1434" i="24" s="1"/>
  <c r="E1433" i="24" s="1"/>
  <c r="F1433" i="24" s="1"/>
  <c r="E371" i="2"/>
  <c r="F371" i="2" s="1"/>
  <c r="E370" i="2" s="1"/>
  <c r="F370" i="2" s="1"/>
  <c r="F363" i="2" s="1"/>
  <c r="E142" i="4" s="1"/>
  <c r="F142" i="4" s="1"/>
  <c r="BQ142" i="4" s="1"/>
  <c r="BU144" i="4" s="1"/>
  <c r="E89" i="26"/>
  <c r="F89" i="26" s="1"/>
  <c r="E88" i="26" s="1"/>
  <c r="F88" i="26" s="1"/>
  <c r="F87" i="26" s="1"/>
  <c r="E660" i="24"/>
  <c r="F660" i="24" s="1"/>
  <c r="E659" i="24" s="1"/>
  <c r="F659" i="24" s="1"/>
  <c r="E57" i="27"/>
  <c r="F57" i="27" s="1"/>
  <c r="E56" i="27" s="1"/>
  <c r="F56" i="27" s="1"/>
  <c r="E408" i="26"/>
  <c r="F408" i="26" s="1"/>
  <c r="E407" i="26" s="1"/>
  <c r="F407" i="26" s="1"/>
  <c r="E126" i="27"/>
  <c r="F126" i="27" s="1"/>
  <c r="E125" i="27" s="1"/>
  <c r="F125" i="27" s="1"/>
  <c r="F124" i="27" s="1"/>
  <c r="E51" i="24"/>
  <c r="F51" i="24" s="1"/>
  <c r="E50" i="24" s="1"/>
  <c r="F50" i="24" s="1"/>
  <c r="F49" i="24" s="1"/>
  <c r="F172" i="4" s="1"/>
  <c r="CL172" i="4" s="1"/>
  <c r="BU174" i="4" s="1"/>
  <c r="E41" i="26"/>
  <c r="F41" i="26" s="1"/>
  <c r="E40" i="26" s="1"/>
  <c r="F40" i="26" s="1"/>
  <c r="F38" i="26" s="1"/>
  <c r="E1528" i="24"/>
  <c r="F1528" i="24" s="1"/>
  <c r="E1527" i="24" s="1"/>
  <c r="F1527" i="24" s="1"/>
  <c r="E829" i="24"/>
  <c r="F829" i="24" s="1"/>
  <c r="E828" i="24" s="1"/>
  <c r="F828" i="24" s="1"/>
  <c r="E466" i="26"/>
  <c r="F466" i="26" s="1"/>
  <c r="E465" i="26" s="1"/>
  <c r="F465" i="26" s="1"/>
  <c r="E977" i="24"/>
  <c r="F977" i="24" s="1"/>
  <c r="E976" i="24" s="1"/>
  <c r="F976" i="24" s="1"/>
  <c r="E749" i="24"/>
  <c r="F749" i="24" s="1"/>
  <c r="E748" i="24" s="1"/>
  <c r="F748" i="24" s="1"/>
  <c r="E669" i="24"/>
  <c r="F669" i="24" s="1"/>
  <c r="E668" i="24" s="1"/>
  <c r="F668" i="24" s="1"/>
  <c r="E303" i="24"/>
  <c r="F303" i="24" s="1"/>
  <c r="E302" i="24" s="1"/>
  <c r="F302" i="24" s="1"/>
  <c r="F301" i="24" s="1"/>
  <c r="E203" i="27"/>
  <c r="F203" i="27" s="1"/>
  <c r="E202" i="27" s="1"/>
  <c r="F202" i="27" s="1"/>
  <c r="E468" i="24"/>
  <c r="F468" i="24" s="1"/>
  <c r="E467" i="24" s="1"/>
  <c r="F467" i="24" s="1"/>
  <c r="E83" i="24"/>
  <c r="F83" i="24" s="1"/>
  <c r="E82" i="24" s="1"/>
  <c r="F82" i="24" s="1"/>
  <c r="E92" i="27"/>
  <c r="F92" i="27" s="1"/>
  <c r="E91" i="27" s="1"/>
  <c r="F91" i="27" s="1"/>
  <c r="F84" i="27" s="1"/>
  <c r="E1008" i="24"/>
  <c r="F1008" i="24" s="1"/>
  <c r="E1007" i="24" s="1"/>
  <c r="F1007" i="24" s="1"/>
  <c r="E81" i="26"/>
  <c r="F81" i="26" s="1"/>
  <c r="E80" i="26" s="1"/>
  <c r="F80" i="26" s="1"/>
  <c r="F79" i="26" s="1"/>
  <c r="E855" i="24"/>
  <c r="F855" i="24" s="1"/>
  <c r="E854" i="24" s="1"/>
  <c r="F854" i="24" s="1"/>
  <c r="E317" i="27"/>
  <c r="F317" i="27" s="1"/>
  <c r="E316" i="27" s="1"/>
  <c r="F316" i="27" s="1"/>
  <c r="E1276" i="24"/>
  <c r="F1276" i="24" s="1"/>
  <c r="E1275" i="24" s="1"/>
  <c r="F1275" i="24" s="1"/>
  <c r="E125" i="26"/>
  <c r="F125" i="26" s="1"/>
  <c r="E124" i="26" s="1"/>
  <c r="F124" i="26" s="1"/>
  <c r="F122" i="26" s="1"/>
  <c r="E433" i="26"/>
  <c r="F433" i="26" s="1"/>
  <c r="E432" i="26" s="1"/>
  <c r="F432" i="26" s="1"/>
  <c r="E620" i="24"/>
  <c r="F620" i="24" s="1"/>
  <c r="E619" i="24" s="1"/>
  <c r="F619" i="24" s="1"/>
  <c r="E1284" i="24"/>
  <c r="F1284" i="24" s="1"/>
  <c r="E1283" i="24" s="1"/>
  <c r="F1283" i="24" s="1"/>
  <c r="E282" i="27"/>
  <c r="F282" i="27" s="1"/>
  <c r="E281" i="27" s="1"/>
  <c r="F281" i="27" s="1"/>
  <c r="E87" i="24"/>
  <c r="F87" i="24" s="1"/>
  <c r="E86" i="24" s="1"/>
  <c r="F86" i="24" s="1"/>
  <c r="F85" i="24" s="1"/>
  <c r="E289" i="24"/>
  <c r="F289" i="24" s="1"/>
  <c r="E288" i="24" s="1"/>
  <c r="F288" i="24" s="1"/>
  <c r="E76" i="2"/>
  <c r="F76" i="2" s="1"/>
  <c r="E1308" i="24"/>
  <c r="F1308" i="24" s="1"/>
  <c r="E1307" i="24" s="1"/>
  <c r="F1307" i="24" s="1"/>
  <c r="E47" i="24"/>
  <c r="F47" i="24" s="1"/>
  <c r="F45" i="24" s="1"/>
  <c r="E290" i="27"/>
  <c r="F290" i="27" s="1"/>
  <c r="E289" i="27" s="1"/>
  <c r="F289" i="27" s="1"/>
  <c r="E183" i="24"/>
  <c r="F183" i="24" s="1"/>
  <c r="E182" i="24" s="1"/>
  <c r="F182" i="24" s="1"/>
  <c r="F180" i="24" s="1"/>
  <c r="E1106" i="24"/>
  <c r="F1106" i="24" s="1"/>
  <c r="E1105" i="24" s="1"/>
  <c r="F1105" i="24" s="1"/>
  <c r="E695" i="24"/>
  <c r="F695" i="24" s="1"/>
  <c r="E694" i="24" s="1"/>
  <c r="F694" i="24" s="1"/>
  <c r="E1300" i="24"/>
  <c r="F1300" i="24" s="1"/>
  <c r="E1299" i="24" s="1"/>
  <c r="F1299" i="24" s="1"/>
  <c r="D113" i="6"/>
  <c r="E1268" i="24"/>
  <c r="F1268" i="24" s="1"/>
  <c r="E1267" i="24" s="1"/>
  <c r="F1267" i="24" s="1"/>
  <c r="E43" i="27"/>
  <c r="F43" i="27" s="1"/>
  <c r="F41" i="27" s="1"/>
  <c r="E1378" i="24"/>
  <c r="F1378" i="24" s="1"/>
  <c r="E1377" i="24" s="1"/>
  <c r="F1377" i="24" s="1"/>
  <c r="E237" i="27"/>
  <c r="F237" i="27" s="1"/>
  <c r="E236" i="27" s="1"/>
  <c r="F236" i="27" s="1"/>
  <c r="E182" i="26"/>
  <c r="F182" i="26" s="1"/>
  <c r="E181" i="26" s="1"/>
  <c r="F181" i="26" s="1"/>
  <c r="E915" i="24"/>
  <c r="F915" i="24" s="1"/>
  <c r="D54" i="6"/>
  <c r="E59" i="24"/>
  <c r="F59" i="24" s="1"/>
  <c r="E58" i="24" s="1"/>
  <c r="F58" i="24" s="1"/>
  <c r="F57" i="24" s="1"/>
  <c r="E22" i="26"/>
  <c r="F22" i="26" s="1"/>
  <c r="E21" i="26" s="1"/>
  <c r="F21" i="26" s="1"/>
  <c r="F19" i="26" s="1"/>
  <c r="E99" i="24"/>
  <c r="F99" i="24" s="1"/>
  <c r="E98" i="24" s="1"/>
  <c r="F98" i="24" s="1"/>
  <c r="F96" i="24" s="1"/>
  <c r="E196" i="2"/>
  <c r="F196" i="2" s="1"/>
  <c r="E195" i="2" s="1"/>
  <c r="F195" i="2" s="1"/>
  <c r="E30" i="27"/>
  <c r="F30" i="27" s="1"/>
  <c r="E29" i="27" s="1"/>
  <c r="F29" i="27" s="1"/>
  <c r="F28" i="27" s="1"/>
  <c r="E1370" i="24"/>
  <c r="F1370" i="24" s="1"/>
  <c r="E1369" i="24" s="1"/>
  <c r="F1369" i="24" s="1"/>
  <c r="F547" i="2"/>
  <c r="F545" i="2" s="1"/>
  <c r="E211" i="4" s="1"/>
  <c r="F211" i="4" s="1"/>
  <c r="F572" i="2"/>
  <c r="E160" i="6"/>
  <c r="D170" i="6"/>
  <c r="G150" i="6"/>
  <c r="A105" i="26"/>
  <c r="E54" i="8"/>
  <c r="E55" i="8"/>
  <c r="A94" i="27"/>
  <c r="A1396" i="24"/>
  <c r="F163" i="4" l="1"/>
  <c r="F175" i="4"/>
  <c r="AO79" i="4"/>
  <c r="AQ81" i="4" s="1"/>
  <c r="F190" i="4"/>
  <c r="F196" i="4"/>
  <c r="BX196" i="4" s="1"/>
  <c r="BU198" i="4" s="1"/>
  <c r="F184" i="4"/>
  <c r="CE184" i="4" s="1"/>
  <c r="BU186" i="4" s="1"/>
  <c r="E113" i="6"/>
  <c r="D111" i="6" s="1"/>
  <c r="E111" i="6" s="1"/>
  <c r="E105" i="6" s="1"/>
  <c r="D123" i="6"/>
  <c r="E75" i="2"/>
  <c r="F75" i="2" s="1"/>
  <c r="I76" i="2"/>
  <c r="E389" i="24"/>
  <c r="F389" i="24"/>
  <c r="F384" i="24" s="1"/>
  <c r="E356" i="24" s="1"/>
  <c r="F356" i="24" s="1"/>
  <c r="BQ133" i="4"/>
  <c r="BU135" i="4" s="1"/>
  <c r="BJ133" i="4"/>
  <c r="AQ135" i="4" s="1"/>
  <c r="BX145" i="4"/>
  <c r="BX257" i="4" s="1"/>
  <c r="BQ145" i="4"/>
  <c r="J146" i="24"/>
  <c r="F144" i="24"/>
  <c r="E48" i="26"/>
  <c r="F48" i="26" s="1"/>
  <c r="F43" i="26" s="1"/>
  <c r="G49" i="26"/>
  <c r="D78" i="6"/>
  <c r="E78" i="6" s="1"/>
  <c r="D76" i="6" s="1"/>
  <c r="E76" i="6" s="1"/>
  <c r="E71" i="6" s="1"/>
  <c r="D69" i="6"/>
  <c r="F7" i="24"/>
  <c r="F6" i="24" s="1"/>
  <c r="E7" i="24"/>
  <c r="CS235" i="4"/>
  <c r="BU237" i="4" s="1"/>
  <c r="BU238" i="4" s="1"/>
  <c r="M239" i="4" s="1"/>
  <c r="F238" i="4"/>
  <c r="M43" i="4"/>
  <c r="T43" i="4"/>
  <c r="G28" i="2"/>
  <c r="E27" i="2"/>
  <c r="F27" i="2" s="1"/>
  <c r="F22" i="2" s="1"/>
  <c r="E16" i="4" s="1"/>
  <c r="F16" i="4" s="1"/>
  <c r="M28" i="2"/>
  <c r="F18" i="2"/>
  <c r="J20" i="2"/>
  <c r="G191" i="24"/>
  <c r="E190" i="24"/>
  <c r="F190" i="24" s="1"/>
  <c r="F185" i="24" s="1"/>
  <c r="F193" i="4" s="1"/>
  <c r="AO193" i="4" s="1"/>
  <c r="AQ195" i="4" s="1"/>
  <c r="E156" i="26"/>
  <c r="F156" i="26" s="1"/>
  <c r="I157" i="26"/>
  <c r="AA22" i="4"/>
  <c r="T22" i="4"/>
  <c r="CE178" i="4"/>
  <c r="BU180" i="4" s="1"/>
  <c r="AH70" i="4"/>
  <c r="M72" i="4" s="1"/>
  <c r="AO70" i="4"/>
  <c r="AQ72" i="4" s="1"/>
  <c r="AQ85" i="4" s="1"/>
  <c r="AH154" i="4"/>
  <c r="M156" i="4" s="1"/>
  <c r="M163" i="4" s="1"/>
  <c r="M164" i="4" s="1"/>
  <c r="F247" i="4"/>
  <c r="AO241" i="4"/>
  <c r="AQ243" i="4" s="1"/>
  <c r="AQ247" i="4" s="1"/>
  <c r="M248" i="4" s="1"/>
  <c r="AV118" i="4"/>
  <c r="BC118" i="4"/>
  <c r="BC257" i="4" s="1"/>
  <c r="E7" i="27"/>
  <c r="F7" i="27"/>
  <c r="F6" i="27" s="1"/>
  <c r="E244" i="2"/>
  <c r="F244" i="2" s="1"/>
  <c r="E106" i="4"/>
  <c r="F106" i="4" s="1"/>
  <c r="AH106" i="4" s="1"/>
  <c r="M108" i="4" s="1"/>
  <c r="E450" i="26"/>
  <c r="F450" i="26" s="1"/>
  <c r="E438" i="26"/>
  <c r="F438" i="26" s="1"/>
  <c r="E460" i="26"/>
  <c r="F460" i="26" s="1"/>
  <c r="E886" i="24"/>
  <c r="F886" i="24" s="1"/>
  <c r="E471" i="26"/>
  <c r="F471" i="26" s="1"/>
  <c r="F42" i="2"/>
  <c r="E41" i="2" s="1"/>
  <c r="F41" i="2" s="1"/>
  <c r="F40" i="2" s="1"/>
  <c r="E28" i="4" s="1"/>
  <c r="F28" i="4" s="1"/>
  <c r="M28" i="4" s="1"/>
  <c r="M30" i="4" s="1"/>
  <c r="E46" i="2"/>
  <c r="F46" i="2" s="1"/>
  <c r="E45" i="2" s="1"/>
  <c r="F45" i="2" s="1"/>
  <c r="F44" i="2" s="1"/>
  <c r="E31" i="4" s="1"/>
  <c r="F31" i="4" s="1"/>
  <c r="M31" i="4" s="1"/>
  <c r="M33" i="4" s="1"/>
  <c r="CL166" i="4"/>
  <c r="BU168" i="4" s="1"/>
  <c r="BU175" i="4" s="1"/>
  <c r="M176" i="4" s="1"/>
  <c r="CS211" i="4"/>
  <c r="BU213" i="4" s="1"/>
  <c r="E573" i="2"/>
  <c r="F573" i="2" s="1"/>
  <c r="F571" i="2" s="1"/>
  <c r="E223" i="4" s="1"/>
  <c r="F223" i="4" s="1"/>
  <c r="CL223" i="4" s="1"/>
  <c r="E354" i="27"/>
  <c r="F354" i="27" s="1"/>
  <c r="F347" i="27" s="1"/>
  <c r="A1404" i="24"/>
  <c r="E633" i="24"/>
  <c r="F633" i="24" s="1"/>
  <c r="F630" i="24" s="1"/>
  <c r="E617" i="24"/>
  <c r="F617" i="24" s="1"/>
  <c r="F614" i="24" s="1"/>
  <c r="E625" i="24"/>
  <c r="F625" i="24" s="1"/>
  <c r="F622" i="24" s="1"/>
  <c r="E217" i="27"/>
  <c r="F217" i="27" s="1"/>
  <c r="F214" i="27" s="1"/>
  <c r="E1556" i="24"/>
  <c r="F1556" i="24" s="1"/>
  <c r="E1557" i="24" s="1"/>
  <c r="F1557" i="24" s="1"/>
  <c r="F1553" i="24" s="1"/>
  <c r="A102" i="27"/>
  <c r="E649" i="24"/>
  <c r="F649" i="24" s="1"/>
  <c r="F646" i="24" s="1"/>
  <c r="E641" i="24"/>
  <c r="F641" i="24" s="1"/>
  <c r="F638" i="24" s="1"/>
  <c r="E540" i="24"/>
  <c r="F540" i="24" s="1"/>
  <c r="F537" i="24" s="1"/>
  <c r="A111" i="26"/>
  <c r="E170" i="6"/>
  <c r="D180" i="6"/>
  <c r="AO190" i="4" l="1"/>
  <c r="AQ192" i="4" s="1"/>
  <c r="F49" i="4"/>
  <c r="AO16" i="4"/>
  <c r="AQ18" i="4" s="1"/>
  <c r="AQ19" i="4" s="1"/>
  <c r="AQ229" i="4"/>
  <c r="M24" i="4"/>
  <c r="M45" i="4"/>
  <c r="D86" i="6"/>
  <c r="E86" i="6" s="1"/>
  <c r="D84" i="6" s="1"/>
  <c r="E84" i="6" s="1"/>
  <c r="E80" i="6" s="1"/>
  <c r="E69" i="6"/>
  <c r="D67" i="6" s="1"/>
  <c r="E67" i="6" s="1"/>
  <c r="E63" i="6" s="1"/>
  <c r="D103" i="6"/>
  <c r="E103" i="6" s="1"/>
  <c r="D101" i="6" s="1"/>
  <c r="E101" i="6" s="1"/>
  <c r="E96" i="6" s="1"/>
  <c r="E109" i="2" s="1"/>
  <c r="F109" i="2" s="1"/>
  <c r="D94" i="6"/>
  <c r="E94" i="6" s="1"/>
  <c r="D92" i="6" s="1"/>
  <c r="E92" i="6" s="1"/>
  <c r="E88" i="6" s="1"/>
  <c r="F181" i="4"/>
  <c r="F187" i="4" s="1"/>
  <c r="E594" i="24"/>
  <c r="E1084" i="24"/>
  <c r="F1084" i="24" s="1"/>
  <c r="BQ257" i="4"/>
  <c r="BU147" i="4"/>
  <c r="BU151" i="4" s="1"/>
  <c r="E123" i="6"/>
  <c r="D121" i="6" s="1"/>
  <c r="E121" i="6" s="1"/>
  <c r="E115" i="6" s="1"/>
  <c r="D133" i="6"/>
  <c r="AQ120" i="4"/>
  <c r="AQ127" i="4" s="1"/>
  <c r="M128" i="4" s="1"/>
  <c r="E1066" i="24"/>
  <c r="F1066" i="24" s="1"/>
  <c r="E13" i="4"/>
  <c r="F13" i="4" s="1"/>
  <c r="AA13" i="4" s="1"/>
  <c r="M15" i="4" s="1"/>
  <c r="E1060" i="24"/>
  <c r="F1060" i="24" s="1"/>
  <c r="T257" i="4"/>
  <c r="E258" i="24"/>
  <c r="F258" i="24" s="1"/>
  <c r="E262" i="24" s="1"/>
  <c r="F262" i="24" s="1"/>
  <c r="E263" i="24" s="1"/>
  <c r="F263" i="24" s="1"/>
  <c r="F257" i="24" s="1"/>
  <c r="E458" i="26"/>
  <c r="F458" i="26" s="1"/>
  <c r="E463" i="26" s="1"/>
  <c r="F463" i="26" s="1"/>
  <c r="E464" i="26" s="1"/>
  <c r="F464" i="26" s="1"/>
  <c r="F457" i="26" s="1"/>
  <c r="E448" i="26"/>
  <c r="F448" i="26" s="1"/>
  <c r="E469" i="26"/>
  <c r="F469" i="26" s="1"/>
  <c r="E474" i="26" s="1"/>
  <c r="F474" i="26" s="1"/>
  <c r="F468" i="26" s="1"/>
  <c r="E425" i="26"/>
  <c r="F425" i="26" s="1"/>
  <c r="E436" i="26"/>
  <c r="F436" i="26" s="1"/>
  <c r="E441" i="26" s="1"/>
  <c r="F441" i="26" s="1"/>
  <c r="E442" i="26" s="1"/>
  <c r="F442" i="26" s="1"/>
  <c r="F435" i="26" s="1"/>
  <c r="BU225" i="4"/>
  <c r="F1500" i="24"/>
  <c r="E1069" i="24"/>
  <c r="F1069" i="24" s="1"/>
  <c r="D190" i="6"/>
  <c r="E190" i="6" s="1"/>
  <c r="E180" i="6"/>
  <c r="A115" i="26"/>
  <c r="A110" i="27"/>
  <c r="F1238" i="24"/>
  <c r="E242" i="27"/>
  <c r="F242" i="27" s="1"/>
  <c r="E243" i="27" s="1"/>
  <c r="F243" i="27" s="1"/>
  <c r="E1082" i="24"/>
  <c r="F1082" i="24" s="1"/>
  <c r="E1083" i="24" s="1"/>
  <c r="F1083" i="24" s="1"/>
  <c r="F1074" i="24" s="1"/>
  <c r="E1114" i="24"/>
  <c r="F1114" i="24" s="1"/>
  <c r="E958" i="24"/>
  <c r="F958" i="24" s="1"/>
  <c r="E234" i="27"/>
  <c r="F234" i="27" s="1"/>
  <c r="E235" i="27" s="1"/>
  <c r="F235" i="27" s="1"/>
  <c r="F231" i="27" s="1"/>
  <c r="A1412" i="24"/>
  <c r="E966" i="24"/>
  <c r="F966" i="24" s="1"/>
  <c r="E1104" i="24"/>
  <c r="F1104" i="24" s="1"/>
  <c r="E1131" i="24"/>
  <c r="F1131" i="24" s="1"/>
  <c r="E1133" i="24" s="1"/>
  <c r="F1133" i="24" s="1"/>
  <c r="F1126" i="24" s="1"/>
  <c r="E940" i="24"/>
  <c r="F940" i="24" s="1"/>
  <c r="E941" i="24" s="1"/>
  <c r="F941" i="24" s="1"/>
  <c r="F936" i="24" s="1"/>
  <c r="E380" i="26"/>
  <c r="F380" i="26" s="1"/>
  <c r="E974" i="24"/>
  <c r="F974" i="24" s="1"/>
  <c r="E1058" i="24"/>
  <c r="F1058" i="24" s="1"/>
  <c r="E1059" i="24" s="1"/>
  <c r="F1059" i="24" s="1"/>
  <c r="F1053" i="24" s="1"/>
  <c r="M49" i="4" l="1"/>
  <c r="M50" i="4" s="1"/>
  <c r="E133" i="6"/>
  <c r="D131" i="6" s="1"/>
  <c r="E131" i="6" s="1"/>
  <c r="E125" i="6" s="1"/>
  <c r="D144" i="6"/>
  <c r="CL181" i="4"/>
  <c r="CL257" i="4" s="1"/>
  <c r="CE181" i="4"/>
  <c r="E253" i="2"/>
  <c r="F253" i="2" s="1"/>
  <c r="E400" i="26"/>
  <c r="F400" i="26" s="1"/>
  <c r="E174" i="26"/>
  <c r="F174" i="26" s="1"/>
  <c r="E196" i="26"/>
  <c r="F196" i="26" s="1"/>
  <c r="E357" i="2"/>
  <c r="F357" i="2" s="1"/>
  <c r="E358" i="2" s="1"/>
  <c r="F358" i="2" s="1"/>
  <c r="E359" i="2" s="1"/>
  <c r="F359" i="2" s="1"/>
  <c r="F356" i="2" s="1"/>
  <c r="E139" i="4" s="1"/>
  <c r="F139" i="4" s="1"/>
  <c r="BJ139" i="4" s="1"/>
  <c r="E162" i="26"/>
  <c r="F162" i="26" s="1"/>
  <c r="E97" i="2"/>
  <c r="F97" i="2" s="1"/>
  <c r="E185" i="26"/>
  <c r="F185" i="26" s="1"/>
  <c r="E192" i="2"/>
  <c r="F192" i="2" s="1"/>
  <c r="E193" i="2" s="1"/>
  <c r="F193" i="2" s="1"/>
  <c r="E194" i="2" s="1"/>
  <c r="F194" i="2" s="1"/>
  <c r="F190" i="2" s="1"/>
  <c r="E88" i="4" s="1"/>
  <c r="F88" i="4" s="1"/>
  <c r="E186" i="26"/>
  <c r="F186" i="26" s="1"/>
  <c r="E411" i="26"/>
  <c r="F411" i="26" s="1"/>
  <c r="E385" i="26"/>
  <c r="F385" i="26" s="1"/>
  <c r="E197" i="26"/>
  <c r="F197" i="26" s="1"/>
  <c r="E243" i="2"/>
  <c r="F243" i="2" s="1"/>
  <c r="E592" i="24"/>
  <c r="F592" i="24" s="1"/>
  <c r="F590" i="24" s="1"/>
  <c r="E399" i="26"/>
  <c r="F399" i="26" s="1"/>
  <c r="E539" i="24"/>
  <c r="F539" i="24" s="1"/>
  <c r="E216" i="27"/>
  <c r="F216" i="27" s="1"/>
  <c r="E624" i="24"/>
  <c r="F624" i="24" s="1"/>
  <c r="E640" i="24"/>
  <c r="F640" i="24" s="1"/>
  <c r="E616" i="24"/>
  <c r="F616" i="24" s="1"/>
  <c r="E648" i="24"/>
  <c r="F648" i="24" s="1"/>
  <c r="E216" i="2"/>
  <c r="F216" i="2" s="1"/>
  <c r="E608" i="24"/>
  <c r="F608" i="24" s="1"/>
  <c r="F606" i="24" s="1"/>
  <c r="E1555" i="24"/>
  <c r="F1555" i="24" s="1"/>
  <c r="E250" i="27"/>
  <c r="F250" i="27" s="1"/>
  <c r="E259" i="27"/>
  <c r="F259" i="27" s="1"/>
  <c r="E225" i="2"/>
  <c r="F225" i="2" s="1"/>
  <c r="E226" i="2" s="1"/>
  <c r="F226" i="2" s="1"/>
  <c r="E227" i="2" s="1"/>
  <c r="F227" i="2" s="1"/>
  <c r="F223" i="2" s="1"/>
  <c r="E94" i="4" s="1"/>
  <c r="F94" i="4" s="1"/>
  <c r="AO94" i="4" s="1"/>
  <c r="AQ96" i="4" s="1"/>
  <c r="E424" i="26"/>
  <c r="F424" i="26" s="1"/>
  <c r="E127" i="24"/>
  <c r="F127" i="24" s="1"/>
  <c r="E130" i="24" s="1"/>
  <c r="F130" i="24" s="1"/>
  <c r="F125" i="24" s="1"/>
  <c r="E600" i="24"/>
  <c r="F600" i="24" s="1"/>
  <c r="F598" i="24" s="1"/>
  <c r="E632" i="24"/>
  <c r="F632" i="24" s="1"/>
  <c r="E473" i="26"/>
  <c r="F473" i="26" s="1"/>
  <c r="F594" i="24"/>
  <c r="E602" i="24"/>
  <c r="E350" i="27"/>
  <c r="F350" i="27" s="1"/>
  <c r="E330" i="27"/>
  <c r="F330" i="27" s="1"/>
  <c r="E331" i="27" s="1"/>
  <c r="F331" i="27" s="1"/>
  <c r="E333" i="27" s="1"/>
  <c r="F333" i="27" s="1"/>
  <c r="F329" i="27" s="1"/>
  <c r="F971" i="24"/>
  <c r="F963" i="24"/>
  <c r="F1436" i="24"/>
  <c r="F1332" i="24"/>
  <c r="F1222" i="24"/>
  <c r="F979" i="24"/>
  <c r="F376" i="26"/>
  <c r="E340" i="26" s="1"/>
  <c r="F340" i="26" s="1"/>
  <c r="F1098" i="24"/>
  <c r="F1230" i="24"/>
  <c r="F1452" i="24"/>
  <c r="E1122" i="24"/>
  <c r="F1122" i="24" s="1"/>
  <c r="F1118" i="24" s="1"/>
  <c r="F955" i="24"/>
  <c r="F1108" i="24"/>
  <c r="F239" i="27"/>
  <c r="F1002" i="24"/>
  <c r="E1298" i="24"/>
  <c r="F1298" i="24" s="1"/>
  <c r="F1294" i="24" s="1"/>
  <c r="E1071" i="24"/>
  <c r="F1071" i="24" s="1"/>
  <c r="E1068" i="24"/>
  <c r="F1068" i="24" s="1"/>
  <c r="E1033" i="24"/>
  <c r="F1033" i="24" s="1"/>
  <c r="F743" i="24"/>
  <c r="F1404" i="24"/>
  <c r="E1274" i="24"/>
  <c r="F1274" i="24" s="1"/>
  <c r="F1270" i="24" s="1"/>
  <c r="F1182" i="24"/>
  <c r="F1356" i="24"/>
  <c r="F1396" i="24"/>
  <c r="F1412" i="24"/>
  <c r="E1170" i="24"/>
  <c r="F1170" i="24" s="1"/>
  <c r="F1166" i="24" s="1"/>
  <c r="A1420" i="24"/>
  <c r="F1380" i="24"/>
  <c r="E1392" i="24"/>
  <c r="F1392" i="24" s="1"/>
  <c r="F1388" i="24" s="1"/>
  <c r="E1178" i="24"/>
  <c r="F1178" i="24" s="1"/>
  <c r="F1174" i="24" s="1"/>
  <c r="E1194" i="24"/>
  <c r="F1194" i="24" s="1"/>
  <c r="F1190" i="24" s="1"/>
  <c r="E1258" i="24"/>
  <c r="F1258" i="24" s="1"/>
  <c r="F1254" i="24" s="1"/>
  <c r="A25" i="4"/>
  <c r="A120" i="27"/>
  <c r="A118" i="26"/>
  <c r="E388" i="26" l="1"/>
  <c r="F388" i="26" s="1"/>
  <c r="E389" i="26"/>
  <c r="F389" i="26" s="1"/>
  <c r="F602" i="24"/>
  <c r="E610" i="24"/>
  <c r="E217" i="2"/>
  <c r="F217" i="2" s="1"/>
  <c r="E218" i="2" s="1"/>
  <c r="F218" i="2" s="1"/>
  <c r="F214" i="2" s="1"/>
  <c r="E91" i="4" s="1"/>
  <c r="F91" i="4" s="1"/>
  <c r="F97" i="4" s="1"/>
  <c r="E414" i="26"/>
  <c r="F414" i="26" s="1"/>
  <c r="E415" i="26"/>
  <c r="F415" i="26" s="1"/>
  <c r="AV88" i="4"/>
  <c r="AO88" i="4"/>
  <c r="BJ257" i="4"/>
  <c r="AQ141" i="4"/>
  <c r="BU183" i="4"/>
  <c r="BU187" i="4" s="1"/>
  <c r="M188" i="4" s="1"/>
  <c r="CE257" i="4"/>
  <c r="D154" i="6"/>
  <c r="E144" i="6"/>
  <c r="A122" i="26"/>
  <c r="E1070" i="24"/>
  <c r="F1070" i="24" s="1"/>
  <c r="A124" i="27"/>
  <c r="A1428" i="24"/>
  <c r="E1067" i="24"/>
  <c r="F1067" i="24" s="1"/>
  <c r="E1034" i="24"/>
  <c r="F1034" i="24" s="1"/>
  <c r="F1028" i="24" s="1"/>
  <c r="AO91" i="4" l="1"/>
  <c r="AQ93" i="4" s="1"/>
  <c r="D164" i="6"/>
  <c r="E154" i="6"/>
  <c r="D184" i="6"/>
  <c r="E12" i="2"/>
  <c r="F12" i="2" s="1"/>
  <c r="D142" i="6"/>
  <c r="E142" i="6" s="1"/>
  <c r="E135" i="6" s="1"/>
  <c r="E108" i="2" s="1"/>
  <c r="F108" i="2" s="1"/>
  <c r="E120" i="2" s="1"/>
  <c r="AQ90" i="4"/>
  <c r="F610" i="24"/>
  <c r="E618" i="24"/>
  <c r="F1064" i="24"/>
  <c r="A128" i="27"/>
  <c r="A127" i="26"/>
  <c r="A1436" i="24"/>
  <c r="F120" i="2" l="1"/>
  <c r="AQ97" i="4"/>
  <c r="M98" i="4" s="1"/>
  <c r="E626" i="24"/>
  <c r="F618" i="24"/>
  <c r="E14" i="2"/>
  <c r="F14" i="2" s="1"/>
  <c r="F7" i="2" s="1"/>
  <c r="E10" i="4" s="1"/>
  <c r="F10" i="4" s="1"/>
  <c r="F19" i="4" s="1"/>
  <c r="G154" i="6"/>
  <c r="D152" i="6"/>
  <c r="E152" i="6" s="1"/>
  <c r="E96" i="2"/>
  <c r="F96" i="2" s="1"/>
  <c r="E101" i="2" s="1"/>
  <c r="F101" i="2" s="1"/>
  <c r="E103" i="2" s="1"/>
  <c r="F103" i="2" s="1"/>
  <c r="F95" i="2" s="1"/>
  <c r="E61" i="4" s="1"/>
  <c r="F61" i="4" s="1"/>
  <c r="E187" i="26"/>
  <c r="F187" i="26" s="1"/>
  <c r="E190" i="26" s="1"/>
  <c r="F190" i="26" s="1"/>
  <c r="F184" i="26" s="1"/>
  <c r="E1486" i="24"/>
  <c r="F1486" i="24" s="1"/>
  <c r="E1487" i="24" s="1"/>
  <c r="F1487" i="24" s="1"/>
  <c r="E1488" i="24" s="1"/>
  <c r="F1488" i="24" s="1"/>
  <c r="F1484" i="24" s="1"/>
  <c r="E294" i="27"/>
  <c r="F294" i="27" s="1"/>
  <c r="E295" i="27" s="1"/>
  <c r="F295" i="27" s="1"/>
  <c r="E297" i="27" s="1"/>
  <c r="F297" i="27" s="1"/>
  <c r="F293" i="27" s="1"/>
  <c r="E198" i="26"/>
  <c r="F198" i="26" s="1"/>
  <c r="E201" i="26" s="1"/>
  <c r="F201" i="26" s="1"/>
  <c r="F195" i="26" s="1"/>
  <c r="E1502" i="24"/>
  <c r="F1502" i="24" s="1"/>
  <c r="E1503" i="24" s="1"/>
  <c r="F1503" i="24" s="1"/>
  <c r="E1504" i="24" s="1"/>
  <c r="F1504" i="24" s="1"/>
  <c r="E1430" i="24"/>
  <c r="F1430" i="24" s="1"/>
  <c r="E1431" i="24" s="1"/>
  <c r="F1431" i="24" s="1"/>
  <c r="E1432" i="24" s="1"/>
  <c r="F1432" i="24" s="1"/>
  <c r="F1428" i="24" s="1"/>
  <c r="E161" i="26"/>
  <c r="F161" i="26" s="1"/>
  <c r="E166" i="26" s="1"/>
  <c r="F166" i="26" s="1"/>
  <c r="E168" i="26" s="1"/>
  <c r="F168" i="26" s="1"/>
  <c r="F160" i="26" s="1"/>
  <c r="E173" i="26"/>
  <c r="F173" i="26" s="1"/>
  <c r="E178" i="26" s="1"/>
  <c r="F178" i="26" s="1"/>
  <c r="E180" i="26" s="1"/>
  <c r="F180" i="26" s="1"/>
  <c r="F172" i="26" s="1"/>
  <c r="E337" i="26"/>
  <c r="F337" i="26" s="1"/>
  <c r="E338" i="26" s="1"/>
  <c r="F338" i="26" s="1"/>
  <c r="E1240" i="24"/>
  <c r="F1240" i="24" s="1"/>
  <c r="E1241" i="24" s="1"/>
  <c r="F1241" i="24" s="1"/>
  <c r="E1242" i="24" s="1"/>
  <c r="F1242" i="24" s="1"/>
  <c r="D194" i="6"/>
  <c r="E184" i="6"/>
  <c r="D182" i="6" s="1"/>
  <c r="E182" i="6" s="1"/>
  <c r="E176" i="6" s="1"/>
  <c r="D174" i="6"/>
  <c r="E174" i="6" s="1"/>
  <c r="D172" i="6" s="1"/>
  <c r="E172" i="6" s="1"/>
  <c r="E166" i="6" s="1"/>
  <c r="E164" i="6"/>
  <c r="D162" i="6" s="1"/>
  <c r="E162" i="6" s="1"/>
  <c r="E156" i="6" s="1"/>
  <c r="A1444" i="24"/>
  <c r="A131" i="27"/>
  <c r="A132" i="26"/>
  <c r="F107" i="2" l="1"/>
  <c r="E64" i="4" s="1"/>
  <c r="F64" i="4" s="1"/>
  <c r="F85" i="4" s="1"/>
  <c r="E427" i="26"/>
  <c r="F427" i="26" s="1"/>
  <c r="E153" i="27"/>
  <c r="F153" i="27" s="1"/>
  <c r="E154" i="27" s="1"/>
  <c r="F154" i="27" s="1"/>
  <c r="E155" i="27" s="1"/>
  <c r="F155" i="27" s="1"/>
  <c r="F152" i="27" s="1"/>
  <c r="E699" i="24"/>
  <c r="F699" i="24" s="1"/>
  <c r="E153" i="26"/>
  <c r="F153" i="26" s="1"/>
  <c r="E447" i="26"/>
  <c r="F447" i="26" s="1"/>
  <c r="E452" i="26" s="1"/>
  <c r="F452" i="26" s="1"/>
  <c r="E453" i="26" s="1"/>
  <c r="F453" i="26" s="1"/>
  <c r="F446" i="26" s="1"/>
  <c r="E72" i="2"/>
  <c r="F72" i="2" s="1"/>
  <c r="E402" i="26"/>
  <c r="F402" i="26" s="1"/>
  <c r="AH61" i="4"/>
  <c r="M63" i="4" s="1"/>
  <c r="M85" i="4" s="1"/>
  <c r="M86" i="4" s="1"/>
  <c r="M10" i="4"/>
  <c r="M257" i="4" s="1"/>
  <c r="M260" i="4" s="1"/>
  <c r="E634" i="24"/>
  <c r="F626" i="24"/>
  <c r="D302" i="6"/>
  <c r="E302" i="6" s="1"/>
  <c r="D312" i="6"/>
  <c r="E194" i="6"/>
  <c r="D192" i="6" s="1"/>
  <c r="G152" i="6"/>
  <c r="H146" i="6" s="1"/>
  <c r="E146" i="6"/>
  <c r="M7" i="2"/>
  <c r="A137" i="26"/>
  <c r="A135" i="27"/>
  <c r="A1452" i="24"/>
  <c r="D322" i="6" l="1"/>
  <c r="E322" i="6" s="1"/>
  <c r="D320" i="6" s="1"/>
  <c r="E320" i="6" s="1"/>
  <c r="E314" i="6" s="1"/>
  <c r="E312" i="6"/>
  <c r="D310" i="6" s="1"/>
  <c r="E310" i="6" s="1"/>
  <c r="E304" i="6" s="1"/>
  <c r="T260" i="4"/>
  <c r="M263" i="4"/>
  <c r="E403" i="26"/>
  <c r="F403" i="26" s="1"/>
  <c r="E404" i="26"/>
  <c r="F404" i="26" s="1"/>
  <c r="E704" i="24"/>
  <c r="F704" i="24" s="1"/>
  <c r="E703" i="24"/>
  <c r="F703" i="24" s="1"/>
  <c r="F698" i="24"/>
  <c r="E428" i="26"/>
  <c r="F428" i="26" s="1"/>
  <c r="E429" i="26"/>
  <c r="F429" i="26" s="1"/>
  <c r="E281" i="2"/>
  <c r="F281" i="2" s="1"/>
  <c r="E87" i="2"/>
  <c r="F87" i="2" s="1"/>
  <c r="E271" i="2"/>
  <c r="F271" i="2" s="1"/>
  <c r="E242" i="2"/>
  <c r="F242" i="2" s="1"/>
  <c r="E245" i="2" s="1"/>
  <c r="F245" i="2" s="1"/>
  <c r="F241" i="2" s="1"/>
  <c r="E100" i="4" s="1"/>
  <c r="F100" i="4" s="1"/>
  <c r="E1438" i="24"/>
  <c r="F1438" i="24" s="1"/>
  <c r="E1439" i="24" s="1"/>
  <c r="F1439" i="24" s="1"/>
  <c r="E1440" i="24" s="1"/>
  <c r="F1440" i="24" s="1"/>
  <c r="E745" i="24"/>
  <c r="F745" i="24" s="1"/>
  <c r="E746" i="24" s="1"/>
  <c r="F746" i="24" s="1"/>
  <c r="E747" i="24" s="1"/>
  <c r="F747" i="24" s="1"/>
  <c r="E398" i="24"/>
  <c r="F398" i="24" s="1"/>
  <c r="E399" i="24" s="1"/>
  <c r="F399" i="24" s="1"/>
  <c r="E400" i="24" s="1"/>
  <c r="F400" i="24" s="1"/>
  <c r="F396" i="24" s="1"/>
  <c r="E490" i="24"/>
  <c r="F490" i="24" s="1"/>
  <c r="E493" i="24" s="1"/>
  <c r="F493" i="24" s="1"/>
  <c r="E494" i="24" s="1"/>
  <c r="F494" i="24" s="1"/>
  <c r="F489" i="24" s="1"/>
  <c r="E1334" i="24"/>
  <c r="F1334" i="24" s="1"/>
  <c r="E1335" i="24" s="1"/>
  <c r="F1335" i="24" s="1"/>
  <c r="E1336" i="24" s="1"/>
  <c r="F1336" i="24" s="1"/>
  <c r="E1057" i="24"/>
  <c r="F1057" i="24" s="1"/>
  <c r="E1462" i="24"/>
  <c r="F1462" i="24" s="1"/>
  <c r="E1463" i="24" s="1"/>
  <c r="F1463" i="24" s="1"/>
  <c r="E1464" i="24" s="1"/>
  <c r="F1464" i="24" s="1"/>
  <c r="F1460" i="24" s="1"/>
  <c r="E1470" i="24"/>
  <c r="F1470" i="24" s="1"/>
  <c r="E1471" i="24" s="1"/>
  <c r="F1471" i="24" s="1"/>
  <c r="E1472" i="24" s="1"/>
  <c r="F1472" i="24" s="1"/>
  <c r="F1468" i="24" s="1"/>
  <c r="E1200" i="24"/>
  <c r="F1200" i="24" s="1"/>
  <c r="E1201" i="24" s="1"/>
  <c r="F1201" i="24" s="1"/>
  <c r="E1202" i="24" s="1"/>
  <c r="F1202" i="24" s="1"/>
  <c r="F1198" i="24" s="1"/>
  <c r="E1406" i="24"/>
  <c r="F1406" i="24" s="1"/>
  <c r="E1407" i="24" s="1"/>
  <c r="F1407" i="24" s="1"/>
  <c r="E1408" i="24" s="1"/>
  <c r="F1408" i="24" s="1"/>
  <c r="E1272" i="24"/>
  <c r="F1272" i="24" s="1"/>
  <c r="E1273" i="24" s="1"/>
  <c r="F1273" i="24" s="1"/>
  <c r="E286" i="27"/>
  <c r="F286" i="27" s="1"/>
  <c r="E479" i="26"/>
  <c r="F479" i="26" s="1"/>
  <c r="E480" i="26" s="1"/>
  <c r="F480" i="26" s="1"/>
  <c r="E481" i="26" s="1"/>
  <c r="F481" i="26" s="1"/>
  <c r="F478" i="26" s="1"/>
  <c r="E1374" i="24"/>
  <c r="F1374" i="24" s="1"/>
  <c r="E1375" i="24" s="1"/>
  <c r="F1375" i="24" s="1"/>
  <c r="E1376" i="24" s="1"/>
  <c r="F1376" i="24" s="1"/>
  <c r="F1372" i="24" s="1"/>
  <c r="E511" i="24"/>
  <c r="F511" i="24" s="1"/>
  <c r="E514" i="24" s="1"/>
  <c r="F514" i="24" s="1"/>
  <c r="E515" i="24" s="1"/>
  <c r="F515" i="24" s="1"/>
  <c r="F510" i="24" s="1"/>
  <c r="E1147" i="24"/>
  <c r="F1147" i="24" s="1"/>
  <c r="E363" i="26"/>
  <c r="F363" i="26" s="1"/>
  <c r="E283" i="24"/>
  <c r="F283" i="24" s="1"/>
  <c r="E284" i="24" s="1"/>
  <c r="F284" i="24" s="1"/>
  <c r="E285" i="24" s="1"/>
  <c r="F285" i="24" s="1"/>
  <c r="F282" i="24" s="1"/>
  <c r="F226" i="4" s="1"/>
  <c r="F229" i="4" s="1"/>
  <c r="E1358" i="24"/>
  <c r="F1358" i="24" s="1"/>
  <c r="E1359" i="24" s="1"/>
  <c r="F1359" i="24" s="1"/>
  <c r="E1360" i="24" s="1"/>
  <c r="F1360" i="24" s="1"/>
  <c r="E188" i="27"/>
  <c r="F188" i="27" s="1"/>
  <c r="E190" i="27" s="1"/>
  <c r="F190" i="27" s="1"/>
  <c r="E191" i="27" s="1"/>
  <c r="F191" i="27" s="1"/>
  <c r="F187" i="27" s="1"/>
  <c r="E1224" i="24"/>
  <c r="F1224" i="24" s="1"/>
  <c r="E1225" i="24" s="1"/>
  <c r="F1225" i="24" s="1"/>
  <c r="E1226" i="24" s="1"/>
  <c r="F1226" i="24" s="1"/>
  <c r="E365" i="24"/>
  <c r="F365" i="24" s="1"/>
  <c r="E366" i="24" s="1"/>
  <c r="F366" i="24" s="1"/>
  <c r="E367" i="24" s="1"/>
  <c r="F367" i="24" s="1"/>
  <c r="F363" i="24" s="1"/>
  <c r="E1342" i="24"/>
  <c r="F1342" i="24" s="1"/>
  <c r="E1343" i="24" s="1"/>
  <c r="F1343" i="24" s="1"/>
  <c r="E1344" i="24" s="1"/>
  <c r="F1344" i="24" s="1"/>
  <c r="F1340" i="24" s="1"/>
  <c r="E565" i="24"/>
  <c r="F565" i="24" s="1"/>
  <c r="E566" i="24" s="1"/>
  <c r="F566" i="24" s="1"/>
  <c r="E567" i="24" s="1"/>
  <c r="F567" i="24" s="1"/>
  <c r="F564" i="24" s="1"/>
  <c r="E331" i="2"/>
  <c r="F331" i="2" s="1"/>
  <c r="E332" i="2" s="1"/>
  <c r="F332" i="2" s="1"/>
  <c r="E333" i="2" s="1"/>
  <c r="F333" i="2" s="1"/>
  <c r="F330" i="2" s="1"/>
  <c r="E233" i="27"/>
  <c r="F233" i="27" s="1"/>
  <c r="E1280" i="24"/>
  <c r="F1280" i="24" s="1"/>
  <c r="E1281" i="24" s="1"/>
  <c r="F1281" i="24" s="1"/>
  <c r="E1282" i="24" s="1"/>
  <c r="F1282" i="24" s="1"/>
  <c r="F1278" i="24" s="1"/>
  <c r="E1422" i="24"/>
  <c r="F1422" i="24" s="1"/>
  <c r="E1423" i="24" s="1"/>
  <c r="F1423" i="24" s="1"/>
  <c r="E1424" i="24" s="1"/>
  <c r="F1424" i="24" s="1"/>
  <c r="F1420" i="24" s="1"/>
  <c r="E556" i="24"/>
  <c r="F556" i="24" s="1"/>
  <c r="E557" i="24" s="1"/>
  <c r="F557" i="24" s="1"/>
  <c r="E558" i="24" s="1"/>
  <c r="F558" i="24" s="1"/>
  <c r="F555" i="24" s="1"/>
  <c r="N555" i="24" s="1"/>
  <c r="E258" i="27"/>
  <c r="F258" i="27" s="1"/>
  <c r="E260" i="27" s="1"/>
  <c r="F260" i="27" s="1"/>
  <c r="E261" i="27" s="1"/>
  <c r="F261" i="27" s="1"/>
  <c r="F256" i="27" s="1"/>
  <c r="E1446" i="24"/>
  <c r="F1446" i="24" s="1"/>
  <c r="E1447" i="24" s="1"/>
  <c r="F1447" i="24" s="1"/>
  <c r="E1448" i="24" s="1"/>
  <c r="F1448" i="24" s="1"/>
  <c r="F1444" i="24" s="1"/>
  <c r="E957" i="24"/>
  <c r="F957" i="24" s="1"/>
  <c r="E959" i="24" s="1"/>
  <c r="F959" i="24" s="1"/>
  <c r="E354" i="26"/>
  <c r="F354" i="26" s="1"/>
  <c r="E1510" i="24"/>
  <c r="F1510" i="24" s="1"/>
  <c r="E1511" i="24" s="1"/>
  <c r="F1511" i="24" s="1"/>
  <c r="E1512" i="24" s="1"/>
  <c r="F1512" i="24" s="1"/>
  <c r="F1508" i="24" s="1"/>
  <c r="E1081" i="24"/>
  <c r="F1081" i="24" s="1"/>
  <c r="E482" i="24"/>
  <c r="F482" i="24" s="1"/>
  <c r="E483" i="24" s="1"/>
  <c r="F483" i="24" s="1"/>
  <c r="E484" i="24" s="1"/>
  <c r="F484" i="24" s="1"/>
  <c r="F481" i="24" s="1"/>
  <c r="E737" i="24"/>
  <c r="F737" i="24" s="1"/>
  <c r="E738" i="24" s="1"/>
  <c r="F738" i="24" s="1"/>
  <c r="E739" i="24" s="1"/>
  <c r="F739" i="24" s="1"/>
  <c r="F735" i="24" s="1"/>
  <c r="E1216" i="24"/>
  <c r="F1216" i="24" s="1"/>
  <c r="E1217" i="24" s="1"/>
  <c r="F1217" i="24" s="1"/>
  <c r="E1218" i="24" s="1"/>
  <c r="F1218" i="24" s="1"/>
  <c r="F1214" i="24" s="1"/>
  <c r="E547" i="24"/>
  <c r="F547" i="24" s="1"/>
  <c r="E548" i="24" s="1"/>
  <c r="F548" i="24" s="1"/>
  <c r="E549" i="24" s="1"/>
  <c r="F549" i="24" s="1"/>
  <c r="F546" i="24" s="1"/>
  <c r="E312" i="27"/>
  <c r="F312" i="27" s="1"/>
  <c r="E314" i="27" s="1"/>
  <c r="F314" i="27" s="1"/>
  <c r="E315" i="27" s="1"/>
  <c r="F315" i="27" s="1"/>
  <c r="F311" i="27" s="1"/>
  <c r="E241" i="27"/>
  <c r="F241" i="27" s="1"/>
  <c r="E252" i="2"/>
  <c r="F252" i="2" s="1"/>
  <c r="E254" i="2" s="1"/>
  <c r="F254" i="2" s="1"/>
  <c r="E255" i="2" s="1"/>
  <c r="F255" i="2" s="1"/>
  <c r="F251" i="2" s="1"/>
  <c r="E103" i="4" s="1"/>
  <c r="F103" i="4" s="1"/>
  <c r="AO103" i="4" s="1"/>
  <c r="AQ105" i="4" s="1"/>
  <c r="AQ115" i="4" s="1"/>
  <c r="E1414" i="24"/>
  <c r="F1414" i="24" s="1"/>
  <c r="E1415" i="24" s="1"/>
  <c r="F1415" i="24" s="1"/>
  <c r="E1416" i="24" s="1"/>
  <c r="F1416" i="24" s="1"/>
  <c r="E1264" i="24"/>
  <c r="F1264" i="24" s="1"/>
  <c r="E1265" i="24" s="1"/>
  <c r="F1265" i="24" s="1"/>
  <c r="E1266" i="24" s="1"/>
  <c r="F1266" i="24" s="1"/>
  <c r="F1262" i="24" s="1"/>
  <c r="E1248" i="24"/>
  <c r="F1248" i="24" s="1"/>
  <c r="E1249" i="24" s="1"/>
  <c r="F1249" i="24" s="1"/>
  <c r="E1250" i="24" s="1"/>
  <c r="F1250" i="24" s="1"/>
  <c r="F1246" i="24" s="1"/>
  <c r="E1288" i="24"/>
  <c r="F1288" i="24" s="1"/>
  <c r="E1289" i="24" s="1"/>
  <c r="F1289" i="24" s="1"/>
  <c r="E1290" i="24" s="1"/>
  <c r="F1290" i="24" s="1"/>
  <c r="F1286" i="24" s="1"/>
  <c r="E965" i="24"/>
  <c r="F965" i="24" s="1"/>
  <c r="E967" i="24" s="1"/>
  <c r="F967" i="24" s="1"/>
  <c r="E1004" i="24"/>
  <c r="F1004" i="24" s="1"/>
  <c r="E1005" i="24" s="1"/>
  <c r="F1005" i="24" s="1"/>
  <c r="E1006" i="24" s="1"/>
  <c r="F1006" i="24" s="1"/>
  <c r="E1296" i="24"/>
  <c r="F1296" i="24" s="1"/>
  <c r="E1297" i="24" s="1"/>
  <c r="F1297" i="24" s="1"/>
  <c r="E345" i="26"/>
  <c r="F345" i="26" s="1"/>
  <c r="E347" i="26" s="1"/>
  <c r="F347" i="26" s="1"/>
  <c r="E349" i="26" s="1"/>
  <c r="F349" i="26" s="1"/>
  <c r="F344" i="26" s="1"/>
  <c r="E1350" i="24"/>
  <c r="F1350" i="24" s="1"/>
  <c r="E1351" i="24" s="1"/>
  <c r="F1351" i="24" s="1"/>
  <c r="E1352" i="24" s="1"/>
  <c r="F1352" i="24" s="1"/>
  <c r="F1348" i="24" s="1"/>
  <c r="E1366" i="24"/>
  <c r="F1366" i="24" s="1"/>
  <c r="E1367" i="24" s="1"/>
  <c r="F1367" i="24" s="1"/>
  <c r="E1368" i="24" s="1"/>
  <c r="F1368" i="24" s="1"/>
  <c r="F1364" i="24" s="1"/>
  <c r="E1494" i="24"/>
  <c r="F1494" i="24" s="1"/>
  <c r="E1495" i="24" s="1"/>
  <c r="F1495" i="24" s="1"/>
  <c r="E1496" i="24" s="1"/>
  <c r="F1496" i="24" s="1"/>
  <c r="F1492" i="24" s="1"/>
  <c r="E1320" i="24"/>
  <c r="F1320" i="24" s="1"/>
  <c r="E1321" i="24" s="1"/>
  <c r="F1321" i="24" s="1"/>
  <c r="E1322" i="24" s="1"/>
  <c r="F1322" i="24" s="1"/>
  <c r="F1318" i="24" s="1"/>
  <c r="E1454" i="24"/>
  <c r="F1454" i="24" s="1"/>
  <c r="E1455" i="24" s="1"/>
  <c r="F1455" i="24" s="1"/>
  <c r="E1456" i="24" s="1"/>
  <c r="F1456" i="24" s="1"/>
  <c r="E302" i="27"/>
  <c r="F302" i="27" s="1"/>
  <c r="E304" i="27" s="1"/>
  <c r="F304" i="27" s="1"/>
  <c r="E305" i="27" s="1"/>
  <c r="F305" i="27" s="1"/>
  <c r="F301" i="27" s="1"/>
  <c r="E1120" i="24"/>
  <c r="F1120" i="24" s="1"/>
  <c r="E1121" i="24" s="1"/>
  <c r="F1121" i="24" s="1"/>
  <c r="E169" i="27"/>
  <c r="F169" i="27" s="1"/>
  <c r="E171" i="27" s="1"/>
  <c r="F171" i="27" s="1"/>
  <c r="E172" i="27" s="1"/>
  <c r="F172" i="27" s="1"/>
  <c r="F168" i="27" s="1"/>
  <c r="E530" i="24"/>
  <c r="F530" i="24" s="1"/>
  <c r="E531" i="24" s="1"/>
  <c r="F531" i="24" s="1"/>
  <c r="E532" i="24" s="1"/>
  <c r="F532" i="24" s="1"/>
  <c r="F529" i="24" s="1"/>
  <c r="E1208" i="24"/>
  <c r="F1208" i="24" s="1"/>
  <c r="E1209" i="24" s="1"/>
  <c r="F1209" i="24" s="1"/>
  <c r="E1210" i="24" s="1"/>
  <c r="F1210" i="24" s="1"/>
  <c r="F1206" i="24" s="1"/>
  <c r="E1184" i="24"/>
  <c r="F1184" i="24" s="1"/>
  <c r="E1185" i="24" s="1"/>
  <c r="F1185" i="24" s="1"/>
  <c r="E1186" i="24" s="1"/>
  <c r="F1186" i="24" s="1"/>
  <c r="E973" i="24"/>
  <c r="F973" i="24" s="1"/>
  <c r="E975" i="24" s="1"/>
  <c r="F975" i="24" s="1"/>
  <c r="E1138" i="24"/>
  <c r="F1138" i="24" s="1"/>
  <c r="E981" i="24"/>
  <c r="F981" i="24" s="1"/>
  <c r="E982" i="24" s="1"/>
  <c r="F982" i="24" s="1"/>
  <c r="E983" i="24" s="1"/>
  <c r="F983" i="24" s="1"/>
  <c r="E320" i="27"/>
  <c r="F320" i="27" s="1"/>
  <c r="E322" i="27" s="1"/>
  <c r="F322" i="27" s="1"/>
  <c r="E323" i="27" s="1"/>
  <c r="F323" i="27" s="1"/>
  <c r="F319" i="27" s="1"/>
  <c r="E1312" i="24"/>
  <c r="F1312" i="24" s="1"/>
  <c r="E1313" i="24" s="1"/>
  <c r="F1313" i="24" s="1"/>
  <c r="E1314" i="24" s="1"/>
  <c r="F1314" i="24" s="1"/>
  <c r="F1310" i="24" s="1"/>
  <c r="E207" i="27"/>
  <c r="F207" i="27" s="1"/>
  <c r="E208" i="27" s="1"/>
  <c r="F208" i="27" s="1"/>
  <c r="E209" i="27" s="1"/>
  <c r="F209" i="27" s="1"/>
  <c r="F206" i="27" s="1"/>
  <c r="E161" i="27"/>
  <c r="F161" i="27" s="1"/>
  <c r="E162" i="27" s="1"/>
  <c r="F162" i="27" s="1"/>
  <c r="E163" i="27" s="1"/>
  <c r="F163" i="27" s="1"/>
  <c r="F160" i="27" s="1"/>
  <c r="E1398" i="24"/>
  <c r="F1398" i="24" s="1"/>
  <c r="E1399" i="24" s="1"/>
  <c r="F1399" i="24" s="1"/>
  <c r="E1400" i="24" s="1"/>
  <c r="F1400" i="24" s="1"/>
  <c r="E1102" i="24"/>
  <c r="F1102" i="24" s="1"/>
  <c r="E1103" i="24" s="1"/>
  <c r="F1103" i="24" s="1"/>
  <c r="E885" i="24"/>
  <c r="F885" i="24" s="1"/>
  <c r="E1232" i="24"/>
  <c r="F1232" i="24" s="1"/>
  <c r="E1233" i="24" s="1"/>
  <c r="F1233" i="24" s="1"/>
  <c r="E1234" i="24" s="1"/>
  <c r="F1234" i="24" s="1"/>
  <c r="E1256" i="24"/>
  <c r="F1256" i="24" s="1"/>
  <c r="E1257" i="24" s="1"/>
  <c r="F1257" i="24" s="1"/>
  <c r="E1304" i="24"/>
  <c r="F1304" i="24" s="1"/>
  <c r="F1302" i="24" s="1"/>
  <c r="E179" i="27"/>
  <c r="F179" i="27" s="1"/>
  <c r="E275" i="27"/>
  <c r="F275" i="27" s="1"/>
  <c r="E277" i="27" s="1"/>
  <c r="F277" i="27" s="1"/>
  <c r="E278" i="27" s="1"/>
  <c r="F278" i="27" s="1"/>
  <c r="F274" i="27" s="1"/>
  <c r="E1382" i="24"/>
  <c r="F1382" i="24" s="1"/>
  <c r="E1383" i="24" s="1"/>
  <c r="F1383" i="24" s="1"/>
  <c r="E1384" i="24" s="1"/>
  <c r="F1384" i="24" s="1"/>
  <c r="E1390" i="24"/>
  <c r="F1390" i="24" s="1"/>
  <c r="E1391" i="24" s="1"/>
  <c r="F1391" i="24" s="1"/>
  <c r="E1176" i="24"/>
  <c r="F1176" i="24" s="1"/>
  <c r="E1177" i="24" s="1"/>
  <c r="F1177" i="24" s="1"/>
  <c r="E949" i="24"/>
  <c r="F949" i="24" s="1"/>
  <c r="E950" i="24" s="1"/>
  <c r="F950" i="24" s="1"/>
  <c r="E951" i="24" s="1"/>
  <c r="F951" i="24" s="1"/>
  <c r="F947" i="24" s="1"/>
  <c r="E1192" i="24"/>
  <c r="F1192" i="24" s="1"/>
  <c r="E1193" i="24" s="1"/>
  <c r="F1193" i="24" s="1"/>
  <c r="E197" i="27"/>
  <c r="F197" i="27" s="1"/>
  <c r="E199" i="27" s="1"/>
  <c r="F199" i="27" s="1"/>
  <c r="E200" i="27" s="1"/>
  <c r="F200" i="27" s="1"/>
  <c r="F196" i="27" s="1"/>
  <c r="E1478" i="24"/>
  <c r="F1478" i="24" s="1"/>
  <c r="E1479" i="24" s="1"/>
  <c r="F1479" i="24" s="1"/>
  <c r="E1480" i="24" s="1"/>
  <c r="F1480" i="24" s="1"/>
  <c r="F1476" i="24" s="1"/>
  <c r="E753" i="24"/>
  <c r="F753" i="24" s="1"/>
  <c r="E754" i="24" s="1"/>
  <c r="F754" i="24" s="1"/>
  <c r="E755" i="24" s="1"/>
  <c r="F755" i="24" s="1"/>
  <c r="F751" i="24" s="1"/>
  <c r="E875" i="24"/>
  <c r="F875" i="24" s="1"/>
  <c r="E878" i="24" s="1"/>
  <c r="F878" i="24" s="1"/>
  <c r="E879" i="24" s="1"/>
  <c r="F879" i="24" s="1"/>
  <c r="F874" i="24" s="1"/>
  <c r="E501" i="24"/>
  <c r="F501" i="24" s="1"/>
  <c r="E504" i="24" s="1"/>
  <c r="F504" i="24" s="1"/>
  <c r="E505" i="24" s="1"/>
  <c r="F505" i="24" s="1"/>
  <c r="F500" i="24" s="1"/>
  <c r="E378" i="26"/>
  <c r="F378" i="26" s="1"/>
  <c r="E379" i="26" s="1"/>
  <c r="F379" i="26" s="1"/>
  <c r="E938" i="24"/>
  <c r="F938" i="24" s="1"/>
  <c r="E1129" i="24"/>
  <c r="F1129" i="24" s="1"/>
  <c r="E1518" i="24"/>
  <c r="F1518" i="24" s="1"/>
  <c r="E1519" i="24" s="1"/>
  <c r="F1519" i="24" s="1"/>
  <c r="E1520" i="24" s="1"/>
  <c r="F1520" i="24" s="1"/>
  <c r="F1516" i="24" s="1"/>
  <c r="E1112" i="24"/>
  <c r="F1112" i="24" s="1"/>
  <c r="E1113" i="24" s="1"/>
  <c r="F1113" i="24" s="1"/>
  <c r="E487" i="26"/>
  <c r="F487" i="26" s="1"/>
  <c r="E521" i="24"/>
  <c r="F521" i="24" s="1"/>
  <c r="E249" i="27"/>
  <c r="F249" i="27" s="1"/>
  <c r="E251" i="27" s="1"/>
  <c r="F251" i="27" s="1"/>
  <c r="E252" i="27" s="1"/>
  <c r="F252" i="27" s="1"/>
  <c r="F247" i="27" s="1"/>
  <c r="E370" i="26"/>
  <c r="F370" i="26" s="1"/>
  <c r="E795" i="24"/>
  <c r="F795" i="24" s="1"/>
  <c r="E796" i="24" s="1"/>
  <c r="F796" i="24" s="1"/>
  <c r="F793" i="24" s="1"/>
  <c r="G146" i="6"/>
  <c r="E1168" i="24"/>
  <c r="F1168" i="24" s="1"/>
  <c r="E1169" i="24" s="1"/>
  <c r="F1169" i="24" s="1"/>
  <c r="D300" i="6"/>
  <c r="E300" i="6" s="1"/>
  <c r="E294" i="6" s="1"/>
  <c r="E192" i="6"/>
  <c r="E186" i="6" s="1"/>
  <c r="E650" i="24"/>
  <c r="F650" i="24" s="1"/>
  <c r="E642" i="24"/>
  <c r="F642" i="24" s="1"/>
  <c r="F634" i="24"/>
  <c r="E73" i="2"/>
  <c r="F73" i="2" s="1"/>
  <c r="E74" i="2" s="1"/>
  <c r="F74" i="2" s="1"/>
  <c r="E154" i="26"/>
  <c r="F154" i="26" s="1"/>
  <c r="E155" i="26" s="1"/>
  <c r="F155" i="26" s="1"/>
  <c r="F152" i="26" s="1"/>
  <c r="N152" i="26" s="1"/>
  <c r="A1460" i="24"/>
  <c r="A143" i="27"/>
  <c r="A144" i="26"/>
  <c r="F71" i="2" l="1"/>
  <c r="N71" i="2" s="1"/>
  <c r="E371" i="26"/>
  <c r="F371" i="26" s="1"/>
  <c r="E372" i="26" s="1"/>
  <c r="F372" i="26" s="1"/>
  <c r="F369" i="26" s="1"/>
  <c r="E523" i="24"/>
  <c r="F523" i="24" s="1"/>
  <c r="E524" i="24" s="1"/>
  <c r="F524" i="24" s="1"/>
  <c r="F520" i="24" s="1"/>
  <c r="E181" i="27"/>
  <c r="F181" i="27" s="1"/>
  <c r="E182" i="27" s="1"/>
  <c r="F182" i="27" s="1"/>
  <c r="F178" i="27" s="1"/>
  <c r="E887" i="24"/>
  <c r="F887" i="24" s="1"/>
  <c r="E888" i="24" s="1"/>
  <c r="F888" i="24" s="1"/>
  <c r="F884" i="24" s="1"/>
  <c r="E1140" i="24"/>
  <c r="F1140" i="24" s="1"/>
  <c r="E1141" i="24" s="1"/>
  <c r="F1141" i="24" s="1"/>
  <c r="F1137" i="24"/>
  <c r="E356" i="26"/>
  <c r="F356" i="26" s="1"/>
  <c r="E358" i="26" s="1"/>
  <c r="F358" i="26" s="1"/>
  <c r="E130" i="4"/>
  <c r="F130" i="4" s="1"/>
  <c r="F151" i="4" s="1"/>
  <c r="H302" i="2"/>
  <c r="E364" i="26"/>
  <c r="F364" i="26" s="1"/>
  <c r="E365" i="26" s="1"/>
  <c r="F365" i="26" s="1"/>
  <c r="F362" i="26" s="1"/>
  <c r="E405" i="26" s="1"/>
  <c r="F405" i="26" s="1"/>
  <c r="F396" i="26" s="1"/>
  <c r="E272" i="2"/>
  <c r="F272" i="2" s="1"/>
  <c r="E275" i="2" s="1"/>
  <c r="F275" i="2" s="1"/>
  <c r="F270" i="2" s="1"/>
  <c r="E109" i="4" s="1"/>
  <c r="F109" i="4" s="1"/>
  <c r="E284" i="2"/>
  <c r="F284" i="2" s="1"/>
  <c r="E285" i="2" s="1"/>
  <c r="F285" i="2" s="1"/>
  <c r="E488" i="26"/>
  <c r="F488" i="26" s="1"/>
  <c r="E489" i="26" s="1"/>
  <c r="F489" i="26" s="1"/>
  <c r="CS226" i="4"/>
  <c r="E1151" i="24"/>
  <c r="F1151" i="24" s="1"/>
  <c r="E1153" i="24"/>
  <c r="F1153" i="24" s="1"/>
  <c r="F1146" i="24" s="1"/>
  <c r="E287" i="27"/>
  <c r="F287" i="27" s="1"/>
  <c r="E288" i="27" s="1"/>
  <c r="F288" i="27" s="1"/>
  <c r="F284" i="27" s="1"/>
  <c r="AH100" i="4"/>
  <c r="M102" i="4" s="1"/>
  <c r="E88" i="2"/>
  <c r="F88" i="2" s="1"/>
  <c r="E90" i="2" s="1"/>
  <c r="F90" i="2" s="1"/>
  <c r="A152" i="26"/>
  <c r="A152" i="27"/>
  <c r="A1468" i="24"/>
  <c r="F86" i="2" l="1"/>
  <c r="E55" i="4" s="1"/>
  <c r="F55" i="4" s="1"/>
  <c r="AA55" i="4" s="1"/>
  <c r="M57" i="4" s="1"/>
  <c r="F485" i="26"/>
  <c r="E52" i="4"/>
  <c r="F52" i="4" s="1"/>
  <c r="F280" i="2"/>
  <c r="E112" i="4" s="1"/>
  <c r="F112" i="4" s="1"/>
  <c r="AH112" i="4" s="1"/>
  <c r="M114" i="4" s="1"/>
  <c r="F353" i="26"/>
  <c r="E391" i="26" s="1"/>
  <c r="F391" i="26" s="1"/>
  <c r="AH109" i="4"/>
  <c r="AA109" i="4"/>
  <c r="E430" i="26"/>
  <c r="F430" i="26" s="1"/>
  <c r="F422" i="26" s="1"/>
  <c r="E417" i="26"/>
  <c r="F417" i="26" s="1"/>
  <c r="CS257" i="4"/>
  <c r="BU228" i="4"/>
  <c r="BU229" i="4" s="1"/>
  <c r="AO130" i="4"/>
  <c r="AV130" i="4"/>
  <c r="AV257" i="4" s="1"/>
  <c r="AH52" i="4"/>
  <c r="M54" i="4" s="1"/>
  <c r="M58" i="4" s="1"/>
  <c r="M59" i="4" s="1"/>
  <c r="A1476" i="24"/>
  <c r="A160" i="27"/>
  <c r="A160" i="26"/>
  <c r="F58" i="4" l="1"/>
  <c r="F115" i="4"/>
  <c r="E390" i="26"/>
  <c r="F390" i="26" s="1"/>
  <c r="F384" i="26" s="1"/>
  <c r="E335" i="26"/>
  <c r="F335" i="26" s="1"/>
  <c r="E339" i="26" s="1"/>
  <c r="F339" i="26" s="1"/>
  <c r="F334" i="26" s="1"/>
  <c r="E416" i="26"/>
  <c r="F416" i="26" s="1"/>
  <c r="F410" i="26" s="1"/>
  <c r="AO257" i="4"/>
  <c r="AQ132" i="4"/>
  <c r="AQ151" i="4" s="1"/>
  <c r="M230" i="4"/>
  <c r="BU251" i="4"/>
  <c r="AH257" i="4"/>
  <c r="M111" i="4"/>
  <c r="M115" i="4" s="1"/>
  <c r="M116" i="4" s="1"/>
  <c r="AA257" i="4"/>
  <c r="AA260" i="4" s="1"/>
  <c r="A172" i="26"/>
  <c r="A1484" i="24"/>
  <c r="A168" i="27"/>
  <c r="AH260" i="4" l="1"/>
  <c r="AO260" i="4" s="1"/>
  <c r="AV260" i="4" s="1"/>
  <c r="BC260" i="4" s="1"/>
  <c r="BJ260" i="4" s="1"/>
  <c r="BQ260" i="4" s="1"/>
  <c r="BX260" i="4" s="1"/>
  <c r="M152" i="4"/>
  <c r="AQ251" i="4"/>
  <c r="A178" i="27"/>
  <c r="A1492" i="24"/>
  <c r="A184" i="26"/>
  <c r="CE260" i="4" l="1"/>
  <c r="A195" i="26"/>
  <c r="A1500" i="24"/>
  <c r="A187" i="27"/>
  <c r="CL260" i="4" l="1"/>
  <c r="A1508" i="24"/>
  <c r="A206" i="26"/>
  <c r="A196" i="27"/>
  <c r="CS260" i="4" l="1"/>
  <c r="A219" i="26"/>
  <c r="A206" i="27"/>
  <c r="A1516" i="24"/>
  <c r="A214" i="27" l="1"/>
  <c r="A229" i="26"/>
  <c r="A1524" i="24"/>
  <c r="A239" i="26" l="1"/>
  <c r="A1530" i="24"/>
  <c r="A222" i="27"/>
  <c r="A231" i="27" l="1"/>
  <c r="A1539" i="24"/>
  <c r="A249" i="26"/>
  <c r="A1546" i="24" l="1"/>
  <c r="A259" i="26"/>
  <c r="A28" i="4"/>
  <c r="A239" i="27"/>
  <c r="A247" i="27" l="1"/>
  <c r="A269" i="26"/>
  <c r="A1553" i="24"/>
  <c r="A34" i="4" l="1"/>
  <c r="A279" i="26"/>
  <c r="A256" i="27"/>
  <c r="A265" i="27" l="1"/>
  <c r="A289" i="26"/>
  <c r="A37" i="4"/>
  <c r="A300" i="26" l="1"/>
  <c r="A274" i="27"/>
  <c r="A284" i="27" l="1"/>
  <c r="A311" i="26"/>
  <c r="A293" i="27" l="1"/>
  <c r="A322" i="26"/>
  <c r="A334" i="26" l="1"/>
  <c r="A40" i="4"/>
  <c r="A301" i="27"/>
  <c r="A311" i="27" l="1"/>
  <c r="A344" i="26"/>
  <c r="A353" i="26" l="1"/>
  <c r="A319" i="27"/>
  <c r="A329" i="27" l="1"/>
  <c r="A362" i="26"/>
  <c r="A43" i="4"/>
  <c r="A46" i="4" l="1"/>
  <c r="A337" i="27"/>
  <c r="A369" i="26"/>
  <c r="A347" i="27" l="1"/>
  <c r="A376" i="26"/>
  <c r="A384" i="26" l="1"/>
  <c r="A358" i="27"/>
  <c r="A235" i="4"/>
  <c r="A396" i="26" l="1"/>
  <c r="A410" i="26" l="1"/>
  <c r="A422" i="26" l="1"/>
  <c r="A435" i="26" l="1"/>
  <c r="A446" i="26" l="1"/>
  <c r="A52" i="4"/>
  <c r="A457" i="26" l="1"/>
  <c r="A468" i="26" l="1"/>
  <c r="A61" i="4" l="1"/>
  <c r="A478" i="26"/>
  <c r="A485" i="26" l="1"/>
  <c r="A493" i="26" l="1"/>
  <c r="A498" i="26" l="1"/>
  <c r="A503" i="26" l="1"/>
  <c r="A516" i="26" l="1"/>
  <c r="A529" i="26" l="1"/>
  <c r="A538" i="26" l="1"/>
  <c r="A67" i="4"/>
  <c r="A70" i="4" l="1"/>
  <c r="A547" i="26"/>
  <c r="A556" i="26" l="1"/>
  <c r="A73" i="4"/>
  <c r="A566" i="26" l="1"/>
  <c r="A574" i="26" l="1"/>
  <c r="A76" i="4"/>
  <c r="A79" i="4" l="1"/>
  <c r="A582" i="26"/>
  <c r="A590" i="26" l="1"/>
  <c r="A598" i="26" l="1"/>
  <c r="A607" i="26" l="1"/>
  <c r="A615" i="26" l="1"/>
  <c r="A623" i="26" l="1"/>
  <c r="A630" i="26" l="1"/>
  <c r="A637" i="26" l="1"/>
  <c r="A644" i="26" l="1"/>
  <c r="A651" i="26" l="1"/>
  <c r="A658" i="26" l="1"/>
  <c r="A665" i="26" l="1"/>
  <c r="A672" i="26" s="1"/>
  <c r="A679" i="26" l="1"/>
  <c r="A686" i="26" l="1"/>
  <c r="A693" i="26" l="1"/>
  <c r="A700" i="26" l="1"/>
  <c r="A707" i="26" l="1"/>
  <c r="A91" i="4" l="1"/>
  <c r="A94" i="4" l="1"/>
  <c r="A88" i="4" l="1"/>
  <c r="A103" i="4" l="1"/>
  <c r="A106" i="4" l="1"/>
  <c r="A118" i="4" l="1"/>
  <c r="A130" i="4" l="1"/>
  <c r="A133" i="4" l="1"/>
  <c r="A136" i="4" l="1"/>
  <c r="A139" i="4" l="1"/>
  <c r="A145" i="4" l="1"/>
  <c r="A148" i="4" l="1"/>
  <c r="M12" i="4"/>
  <c r="M19" i="4" s="1"/>
  <c r="N20" i="4" l="1"/>
  <c r="M249" i="4" s="1"/>
  <c r="M251" i="4"/>
  <c r="M253" i="4" l="1"/>
  <c r="AQ253" i="4" l="1"/>
  <c r="BU253" i="4" l="1"/>
  <c r="F249" i="4" l="1"/>
  <c r="T258" i="4" s="1"/>
  <c r="M258" i="4" l="1"/>
  <c r="M259" i="4" s="1"/>
  <c r="T259" i="4" s="1"/>
  <c r="F253" i="4"/>
  <c r="AA258" i="4"/>
  <c r="AO258" i="4"/>
  <c r="BC258" i="4"/>
  <c r="BQ258" i="4"/>
  <c r="AH258" i="4"/>
  <c r="AV258" i="4"/>
  <c r="BJ258" i="4"/>
  <c r="BX258" i="4"/>
  <c r="CE258" i="4"/>
  <c r="CL258" i="4"/>
  <c r="CS258" i="4"/>
  <c r="M254" i="4"/>
  <c r="BU252" i="4"/>
  <c r="AQ252" i="4"/>
  <c r="AQ254" i="4"/>
  <c r="F251" i="4"/>
  <c r="F252" i="4"/>
  <c r="M252" i="4"/>
  <c r="AA259" i="4" l="1"/>
  <c r="AH259" i="4" s="1"/>
  <c r="AO259" i="4" s="1"/>
  <c r="AV259" i="4" s="1"/>
  <c r="BC259" i="4" s="1"/>
  <c r="BJ259" i="4" s="1"/>
  <c r="BQ259" i="4" s="1"/>
  <c r="BX259" i="4" s="1"/>
  <c r="CE259" i="4" s="1"/>
  <c r="CL259" i="4" s="1"/>
  <c r="CS259" i="4" s="1"/>
  <c r="F255" i="4"/>
  <c r="F257" i="4" l="1"/>
  <c r="F259" i="4" l="1"/>
  <c r="G121" i="4" l="1"/>
  <c r="G124" i="4"/>
  <c r="G64" i="4"/>
  <c r="G82" i="4"/>
  <c r="G220" i="4"/>
  <c r="G217" i="4"/>
  <c r="G169" i="4"/>
  <c r="G205" i="4"/>
  <c r="G142" i="4"/>
  <c r="G34" i="4"/>
  <c r="CS261" i="4"/>
  <c r="G238" i="4"/>
  <c r="BX261" i="4"/>
  <c r="AA261" i="4"/>
  <c r="G235" i="4"/>
  <c r="AH261" i="4"/>
  <c r="G223" i="4"/>
  <c r="G109" i="4"/>
  <c r="G259" i="4"/>
  <c r="G115" i="4"/>
  <c r="G28" i="4"/>
  <c r="G58" i="4"/>
  <c r="G184" i="4"/>
  <c r="G160" i="4"/>
  <c r="G187" i="4"/>
  <c r="BQ261" i="4"/>
  <c r="G196" i="4"/>
  <c r="G73" i="4"/>
  <c r="G199" i="4"/>
  <c r="BJ261" i="4"/>
  <c r="G97" i="4"/>
  <c r="G76" i="4"/>
  <c r="G37" i="4"/>
  <c r="G49" i="4"/>
  <c r="G13" i="4"/>
  <c r="G214" i="4"/>
  <c r="G151" i="4"/>
  <c r="G166" i="4"/>
  <c r="G85" i="4"/>
  <c r="G16" i="4"/>
  <c r="G190" i="4"/>
  <c r="G61" i="4"/>
  <c r="G139" i="4"/>
  <c r="G130" i="4"/>
  <c r="AO261" i="4"/>
  <c r="G175" i="4"/>
  <c r="G226" i="4"/>
  <c r="T261" i="4"/>
  <c r="G181" i="4"/>
  <c r="G157" i="4"/>
  <c r="G163" i="4"/>
  <c r="M261" i="4"/>
  <c r="G19" i="4"/>
  <c r="G31" i="4"/>
  <c r="G70" i="4"/>
  <c r="G118" i="4"/>
  <c r="G211" i="4"/>
  <c r="G178" i="4"/>
  <c r="G91" i="4"/>
  <c r="G52" i="4"/>
  <c r="G67" i="4"/>
  <c r="AV261" i="4"/>
  <c r="G79" i="4"/>
  <c r="G208" i="4"/>
  <c r="CL261" i="4"/>
  <c r="G100" i="4"/>
  <c r="G127" i="4"/>
  <c r="G103" i="4"/>
  <c r="G43" i="4"/>
  <c r="CE261" i="4"/>
  <c r="G10" i="4"/>
  <c r="G136" i="4"/>
  <c r="G88" i="4"/>
  <c r="G22" i="4"/>
  <c r="G148" i="4"/>
  <c r="BC261" i="4"/>
  <c r="G106" i="4"/>
  <c r="G154" i="4"/>
  <c r="G244" i="4"/>
  <c r="G172" i="4"/>
  <c r="G145" i="4"/>
  <c r="G232" i="4"/>
  <c r="G55" i="4"/>
  <c r="G229" i="4"/>
  <c r="G40" i="4"/>
  <c r="G133" i="4"/>
  <c r="G25" i="4"/>
  <c r="G46" i="4"/>
  <c r="G94" i="4"/>
  <c r="G202" i="4"/>
  <c r="G112" i="4"/>
  <c r="G193" i="4"/>
  <c r="G241" i="4"/>
  <c r="G249" i="4"/>
  <c r="G253" i="4"/>
  <c r="G252" i="4"/>
  <c r="G251" i="4"/>
  <c r="G255" i="4"/>
  <c r="G257" i="4"/>
  <c r="G247" i="4" l="1"/>
</calcChain>
</file>

<file path=xl/comments1.xml><?xml version="1.0" encoding="utf-8"?>
<comments xmlns="http://schemas.openxmlformats.org/spreadsheetml/2006/main">
  <authors>
    <author>Usuario de Windows</author>
  </authors>
  <commentList>
    <comment ref="B311" authorId="0" shapeId="0">
      <text>
        <r>
          <rPr>
            <b/>
            <sz val="9"/>
            <color indexed="81"/>
            <rFont val="Tahoma"/>
            <family val="2"/>
          </rPr>
          <t>Usuario de Windows:</t>
        </r>
        <r>
          <rPr>
            <sz val="9"/>
            <color indexed="81"/>
            <rFont val="Tahoma"/>
            <family val="2"/>
          </rPr>
          <t xml:space="preserve">
SISPAC 2017</t>
        </r>
      </text>
    </comment>
  </commentList>
</comments>
</file>

<file path=xl/comments2.xml><?xml version="1.0" encoding="utf-8"?>
<comments xmlns="http://schemas.openxmlformats.org/spreadsheetml/2006/main">
  <authors>
    <author>User</author>
  </authors>
  <commentList>
    <comment ref="B1023" authorId="0" shapeId="0">
      <text>
        <r>
          <rPr>
            <b/>
            <sz val="9"/>
            <color indexed="81"/>
            <rFont val="Tahoma"/>
            <family val="2"/>
          </rPr>
          <t>User:</t>
        </r>
        <r>
          <rPr>
            <sz val="9"/>
            <color indexed="81"/>
            <rFont val="Tahoma"/>
            <family val="2"/>
          </rPr>
          <t xml:space="preserve">
NOTA: COPIAR ESTE RENGLON, CELDA D = +C8, CELDA E=SUMA DE MATERIALES A INCREMENTAR</t>
        </r>
      </text>
    </comment>
    <comment ref="B1034" authorId="0" shapeId="0">
      <text>
        <r>
          <rPr>
            <b/>
            <sz val="9"/>
            <color indexed="81"/>
            <rFont val="Tahoma"/>
            <family val="2"/>
          </rPr>
          <t>User:</t>
        </r>
        <r>
          <rPr>
            <sz val="9"/>
            <color indexed="81"/>
            <rFont val="Tahoma"/>
            <family val="2"/>
          </rPr>
          <t xml:space="preserve">
NOTA: COPIAR ESTE RENGLON, CELDA D = +C8, CELDA E=SUMA DE MATERIALES A INCREMENTAR</t>
        </r>
      </text>
    </comment>
    <comment ref="B1042" authorId="0" shapeId="0">
      <text>
        <r>
          <rPr>
            <b/>
            <sz val="9"/>
            <color indexed="81"/>
            <rFont val="Tahoma"/>
            <family val="2"/>
          </rPr>
          <t>User:</t>
        </r>
        <r>
          <rPr>
            <sz val="9"/>
            <color indexed="81"/>
            <rFont val="Tahoma"/>
            <family val="2"/>
          </rPr>
          <t xml:space="preserve">
NOTA: COPIAR ESTE RENGLON, CELDA D = +C8, CELDA E=SUMA DE MATERIALES A INCREMENTAR</t>
        </r>
      </text>
    </comment>
    <comment ref="B1059" authorId="0" shapeId="0">
      <text>
        <r>
          <rPr>
            <b/>
            <sz val="9"/>
            <color indexed="81"/>
            <rFont val="Tahoma"/>
            <family val="2"/>
          </rPr>
          <t>User:</t>
        </r>
        <r>
          <rPr>
            <sz val="9"/>
            <color indexed="81"/>
            <rFont val="Tahoma"/>
            <family val="2"/>
          </rPr>
          <t xml:space="preserve">
NOTA: COPIAR ESTE RENGLON, CELDA D = +C8, CELDA E=SUMA DE MATERIALES A INCREMENTAR</t>
        </r>
      </text>
    </comment>
  </commentList>
</comments>
</file>

<file path=xl/sharedStrings.xml><?xml version="1.0" encoding="utf-8"?>
<sst xmlns="http://schemas.openxmlformats.org/spreadsheetml/2006/main" count="11598" uniqueCount="3548">
  <si>
    <t>LIMPIADOR PVC LIQUIDA 1/4</t>
  </si>
  <si>
    <t>BORDILLOS DE .10X.30, CONCRETO 3.000 PSI-PARA ADOQUINES</t>
  </si>
  <si>
    <t>CORTE CALZADA EN CONCRETO</t>
  </si>
  <si>
    <t>CORTADORA DE CONCRETO</t>
  </si>
  <si>
    <t>ARENA BASE</t>
  </si>
  <si>
    <t>ARENA PARA SELLO</t>
  </si>
  <si>
    <t>NIVELACION DE TERRENO PARA ANDENES Y PAVIMENTO INCL. CORTE MANUAL</t>
  </si>
  <si>
    <t>m³</t>
  </si>
  <si>
    <t>h</t>
  </si>
  <si>
    <t>MANO DE OBRA AA</t>
  </si>
  <si>
    <t>hc</t>
  </si>
  <si>
    <t>HERRAMIENTAS MENORES</t>
  </si>
  <si>
    <t>d</t>
  </si>
  <si>
    <t>ESTACA DE MADERA</t>
  </si>
  <si>
    <t>un</t>
  </si>
  <si>
    <t>ms</t>
  </si>
  <si>
    <t>PUNTILLA CON CABEZA 2</t>
  </si>
  <si>
    <t>lb</t>
  </si>
  <si>
    <t>VIBROCOMPACTADOR TIPO RANA</t>
  </si>
  <si>
    <t>RELLENO COMUN</t>
  </si>
  <si>
    <t>vj</t>
  </si>
  <si>
    <t>ML</t>
  </si>
  <si>
    <t>ANDAMIO TUBULAR</t>
  </si>
  <si>
    <t>COMPRESOR DE 2 MARTILLOS</t>
  </si>
  <si>
    <t>AGUA DE CARROTANQUE</t>
  </si>
  <si>
    <t>lt</t>
  </si>
  <si>
    <t>UN</t>
  </si>
  <si>
    <t>VOLQUETA 6 M3</t>
  </si>
  <si>
    <t>PIEDRA</t>
  </si>
  <si>
    <t>m</t>
  </si>
  <si>
    <t>CONCRETO 1:3:4 ELABORADO EN OBRA</t>
  </si>
  <si>
    <t>CEMENTO GRIS</t>
  </si>
  <si>
    <t>kg</t>
  </si>
  <si>
    <t>ALAMBRE NEGRO NO.18</t>
  </si>
  <si>
    <t>LADRILLO CORRIENTE .07X.11X.22</t>
  </si>
  <si>
    <t>GRAVILLA FINA</t>
  </si>
  <si>
    <t>ARENA</t>
  </si>
  <si>
    <t>ACERO DE REFUERZO PDR-60</t>
  </si>
  <si>
    <t>MANO DE OBRA BB</t>
  </si>
  <si>
    <t>SOLDADURA PVC LIQUIDA 1/4</t>
  </si>
  <si>
    <t>CODO 90° 1/4 CXC SANITARIO 2</t>
  </si>
  <si>
    <t>TUBO PVC SANITARIO 2</t>
  </si>
  <si>
    <t>YEE SANITARIA 2</t>
  </si>
  <si>
    <t>UNIÓN PVC SANIT  2</t>
  </si>
  <si>
    <t>TUBO PVC SANITARIO 4</t>
  </si>
  <si>
    <t>CODO SANITARIO PVC CXC DE 45° DE 4</t>
  </si>
  <si>
    <t>UNIÓN PVC SANITARIA 4</t>
  </si>
  <si>
    <t>MORTERO  1:4</t>
  </si>
  <si>
    <t>MORTERO 1:4 IMPERMEABILIZADO</t>
  </si>
  <si>
    <t>MORTERO  1:5</t>
  </si>
  <si>
    <t>COSTO ADICIONAL BOMBEO</t>
  </si>
  <si>
    <t>ALAMBRE NEGRO</t>
  </si>
  <si>
    <t>SEGUETA NICHOLSON</t>
  </si>
  <si>
    <t>gl</t>
  </si>
  <si>
    <t>MORTERO 1:3</t>
  </si>
  <si>
    <t>IGASOL CUBIERTA (20 KG)</t>
  </si>
  <si>
    <t>ADAPTADOR HEMBRA PVC PRESION DE 3/4"</t>
  </si>
  <si>
    <t>EXCAVACION A MAQUINA ACUEDUCTOS Y ALCANTARILLADOS</t>
  </si>
  <si>
    <t>EXCAVACION EN ROCA</t>
  </si>
  <si>
    <t>ACARREO MATERIALES PETREOS POR KILOMETRO</t>
  </si>
  <si>
    <t>TRAZADO Y REPLANTEO</t>
  </si>
  <si>
    <t>RELLENOS DE EXCAVACION-COMPACTADO</t>
  </si>
  <si>
    <t>RETIRO SOBRANTES</t>
  </si>
  <si>
    <t>DESMONTE MARCOS Y PUERTAS</t>
  </si>
  <si>
    <t>ZAPATAS EN CONCRETO 3.000 PSI</t>
  </si>
  <si>
    <t>COLUMNAS EN CONCRETO 3.000 PSI.</t>
  </si>
  <si>
    <t>MALLA ESLABONADA 60 MM X 2.00</t>
  </si>
  <si>
    <t>MORTERO 1:4</t>
  </si>
  <si>
    <t>%</t>
  </si>
  <si>
    <t xml:space="preserve">MATA MALEZA </t>
  </si>
  <si>
    <t>BOMBA DE FUMIGAR</t>
  </si>
  <si>
    <t xml:space="preserve">DIA </t>
  </si>
  <si>
    <t xml:space="preserve">ASFALTO </t>
  </si>
  <si>
    <t xml:space="preserve">LEÑA </t>
  </si>
  <si>
    <t xml:space="preserve">PIEDRA LAJA </t>
  </si>
  <si>
    <t>m3</t>
  </si>
  <si>
    <t>MANO DE OBRA DD</t>
  </si>
  <si>
    <t>CEMENTO BLANCO</t>
  </si>
  <si>
    <t>CERÁMICA CORONA EGEO</t>
  </si>
  <si>
    <t>PEGACOR BLANCO</t>
  </si>
  <si>
    <t>ACERO DE REFUERZO PDR DE 60.000 PSI</t>
  </si>
  <si>
    <t>ml</t>
  </si>
  <si>
    <t>bt</t>
  </si>
  <si>
    <t>REJILLA SOSCO 3X2</t>
  </si>
  <si>
    <t>TUBO PRESIÓN /21 PVC 1 1/2</t>
  </si>
  <si>
    <t>CODO 90° PRESIÓN PVC 1 1/2</t>
  </si>
  <si>
    <t>UNIÓN PRESIÓN PVC 1 1/2</t>
  </si>
  <si>
    <t>TUBO PRESIÓN /13.5 PVC 1</t>
  </si>
  <si>
    <t>CODO 90° PRESIÓN PVC 1</t>
  </si>
  <si>
    <t>UNIÓN PRESIÓN PVC 1</t>
  </si>
  <si>
    <t>UNIÓN PRESIÓN PVC 3</t>
  </si>
  <si>
    <t>CODO 90° PRESIÓN PVC 3</t>
  </si>
  <si>
    <t>TUBO PRESIÓN /21 PVC 3</t>
  </si>
  <si>
    <t>CODO 90° PRESIÓN PVC 1/2</t>
  </si>
  <si>
    <t>TUBO PRESIÓN /9 PVC 1/2</t>
  </si>
  <si>
    <t>TUBO PRESIÓN /11 PVC 3/4</t>
  </si>
  <si>
    <t>YEE SANITARIA PVC REDUCIDA 4 X 2</t>
  </si>
  <si>
    <t>CODO 90° 1/4 CXC SANITARIO 4</t>
  </si>
  <si>
    <t>CODO 90° PRESIÓN PVC 3/4</t>
  </si>
  <si>
    <t xml:space="preserve"> h-h </t>
  </si>
  <si>
    <t xml:space="preserve"> ml </t>
  </si>
  <si>
    <t xml:space="preserve"> m2 </t>
  </si>
  <si>
    <t>MANO DE OBRA CC</t>
  </si>
  <si>
    <t>LIJA DE AGUA 965 SUPER</t>
  </si>
  <si>
    <t>ALAMBRE GALVANIZADO #10-14MT/KG</t>
  </si>
  <si>
    <t>PUNTILLA 2 1/2" 104UN/LB</t>
  </si>
  <si>
    <t>LB</t>
  </si>
  <si>
    <t>VINILTEX</t>
  </si>
  <si>
    <t>ADAPTADOR MACHO 1/2</t>
  </si>
  <si>
    <t>ADAPTADOR MACHO 3/4</t>
  </si>
  <si>
    <t>LAVAMANOS AVANTI DE COLG</t>
  </si>
  <si>
    <t>MANGUERA CONEXIÓN FLEXIBLE</t>
  </si>
  <si>
    <t>ORINAL MEDIANO CON GRIFERIA</t>
  </si>
  <si>
    <t>POSTE CERCA 10 X 10 CM 210 KG/CM2</t>
  </si>
  <si>
    <t>SUINGLEA H=,60</t>
  </si>
  <si>
    <t>PORTERÍA MULTIFUNCIONAL</t>
  </si>
  <si>
    <t>MALLA BASKET</t>
  </si>
  <si>
    <t>AGUA</t>
  </si>
  <si>
    <t>AYUDANTE ALBAÑILERÍA (A)</t>
  </si>
  <si>
    <t>M2</t>
  </si>
  <si>
    <t>KG</t>
  </si>
  <si>
    <t>M3</t>
  </si>
  <si>
    <t>REJILLA EN PLATINA DE 1" Y CUADRANTE EN ANGULO DE 1 1/4"X1 1/4"</t>
  </si>
  <si>
    <t>CAJAS AGUAS LLUVIAS 80 X 80, INCLUYE REJILLA EN PLATINA SEGÚN DISEÑO, CON MARCO FIJO Y REMOVIBLE</t>
  </si>
  <si>
    <t>GL</t>
  </si>
  <si>
    <t>ESMALTE PARA EXTERIORES</t>
  </si>
  <si>
    <t xml:space="preserve">FORMALETA </t>
  </si>
  <si>
    <t>M</t>
  </si>
  <si>
    <t>SELLADO DE JUNTAS DE DILATACION EN ASFALTO</t>
  </si>
  <si>
    <t>MES</t>
  </si>
  <si>
    <t>CHEQUE DE  3/4"-RED WHITE O SIMILAR</t>
  </si>
  <si>
    <t>PAÑETE IMPERMEABILIZADO EN MUROS 1:4</t>
  </si>
  <si>
    <t>MORTERO  1:4 IMPERMEABILIZADO</t>
  </si>
  <si>
    <t>TRITURADO</t>
  </si>
  <si>
    <t>REVUELTO</t>
  </si>
  <si>
    <t>DEMOLICIÓN  ANDENES</t>
  </si>
  <si>
    <t>TRANSPORTE</t>
  </si>
  <si>
    <t>DEMOLICIÓN  ANDENES MENORES DE 50CM</t>
  </si>
  <si>
    <t>Ml</t>
  </si>
  <si>
    <t>RELLENO SELECCIONADO, INCL. SUMINISTRO Y COMPACTACION</t>
  </si>
  <si>
    <t>EXCAVACION MANUAL</t>
  </si>
  <si>
    <t>Hr</t>
  </si>
  <si>
    <t>Dia</t>
  </si>
  <si>
    <t>DEMOLICION BORDILLO EN CONCRETO EXISTENTES</t>
  </si>
  <si>
    <t>Kg</t>
  </si>
  <si>
    <t>Gl</t>
  </si>
  <si>
    <t>UND</t>
  </si>
  <si>
    <t>UNIÓN PVC SANITARIA 6</t>
  </si>
  <si>
    <t>CODO SANITARIO PVC CXC DE 45° DE 2"</t>
  </si>
  <si>
    <t>TUBO VENTILACION 2"</t>
  </si>
  <si>
    <t>TUBO VENTILACION 3"</t>
  </si>
  <si>
    <t>VIBROCOMPACTADOR TIPO DINAPAC CA 15</t>
  </si>
  <si>
    <t>MEZCLA DENSA  MDC -2</t>
  </si>
  <si>
    <t>HR</t>
  </si>
  <si>
    <t>TRANSPORTE MEZCLA</t>
  </si>
  <si>
    <t>UNIÓN PVC SANIT  3"</t>
  </si>
  <si>
    <t>CODO 90° 1/4 CXC SANITARIO 3"</t>
  </si>
  <si>
    <t>TUBO PVC SANITARIO 3"</t>
  </si>
  <si>
    <t>Kg.</t>
  </si>
  <si>
    <t>GAVIONES CAL. 13 PARA PROTECCION</t>
  </si>
  <si>
    <t>GAVIONES 2X1X1 CAL 13</t>
  </si>
  <si>
    <t>RELLENO SELECCIONADO</t>
  </si>
  <si>
    <t>ABONO</t>
  </si>
  <si>
    <t>ALGARROBILLO</t>
  </si>
  <si>
    <t>PIE</t>
  </si>
  <si>
    <t>TABLÓN VITRIFICADO  .33  X .33</t>
  </si>
  <si>
    <t>EQUIPOS</t>
  </si>
  <si>
    <t>CERCHAS METALICAS</t>
  </si>
  <si>
    <t>PARALES  METALICOS 3 Y 4MT</t>
  </si>
  <si>
    <t>DIA</t>
  </si>
  <si>
    <t>TABLONES</t>
  </si>
  <si>
    <t>TABLERO DE MADERA .70 X 1.40 (CHAZAS)</t>
  </si>
  <si>
    <t>GUARDERAS .40 X 1.40</t>
  </si>
  <si>
    <t>CORTADORA PAVIMENTO 5CM</t>
  </si>
  <si>
    <t>MEZCLADORA, RANA, VIBRADOR, MOTOBOMBA CON OPERADOR</t>
  </si>
  <si>
    <t xml:space="preserve">MANO DE OBRA </t>
  </si>
  <si>
    <t>MANO DE OBRA AA-ALBAÑILERIA</t>
  </si>
  <si>
    <t>MANO DE OBRA BB-PLOMERIA Y ELECTRICAS</t>
  </si>
  <si>
    <t>MANO DE OBRA CC-PINTURA</t>
  </si>
  <si>
    <t>MANO DE OBRA DD-CARPINTERIA MADERA Y METAL.</t>
  </si>
  <si>
    <t>JORNAL DIARIO AYUDANTE</t>
  </si>
  <si>
    <t>AYUDANTE</t>
  </si>
  <si>
    <t>HC</t>
  </si>
  <si>
    <t>hr</t>
  </si>
  <si>
    <t>1.-SALARIOS DE MANO DE OBRA</t>
  </si>
  <si>
    <t xml:space="preserve">     Cesantias</t>
  </si>
  <si>
    <t xml:space="preserve">     Intereses</t>
  </si>
  <si>
    <t>VIBRADOR CON OPERADOR</t>
  </si>
  <si>
    <t>MEZCLADORA CON OPERADOR</t>
  </si>
  <si>
    <t>FORMALETA PARA PLACAS AEREAS</t>
  </si>
  <si>
    <t>D</t>
  </si>
  <si>
    <t>FORMALETA PARA COLUMNAS</t>
  </si>
  <si>
    <t>FORMALETA PARA PEDESTAL</t>
  </si>
  <si>
    <t>LISTON ALGARROBILLO 2 X 4"-4 USOS</t>
  </si>
  <si>
    <t>FORMALETA PARA VIGAS-VIGA CANAL-DESCOLGADO</t>
  </si>
  <si>
    <t>TABLA ALGARROBILLO 1 X 8"-4 USOS</t>
  </si>
  <si>
    <t xml:space="preserve">FORMALETA PARA DINTEL </t>
  </si>
  <si>
    <t>FORMALETA PARA ALFAJIAS</t>
  </si>
  <si>
    <t>FORMALETA PARA VIGAS SOBRE MURO</t>
  </si>
  <si>
    <t>FORMALETA PARA MESONES</t>
  </si>
  <si>
    <t>FORMALETA PARA COLUMNAS CIRCULARES</t>
  </si>
  <si>
    <t>ITEMS</t>
  </si>
  <si>
    <t>BASE GRANULAR, INCL. SUMINISTRO Y COMPACTACION</t>
  </si>
  <si>
    <t>ALAMBRE DE PUAS GALVANIZADO  CAL. 12.5</t>
  </si>
  <si>
    <t>Día</t>
  </si>
  <si>
    <t>DESCRIPCION</t>
  </si>
  <si>
    <t xml:space="preserve">M3  </t>
  </si>
  <si>
    <t>PIEDRA CHINA No. 3 BULTO X 10KG</t>
  </si>
  <si>
    <t>M3/KM</t>
  </si>
  <si>
    <t>jg</t>
  </si>
  <si>
    <t>EXCAVACION MANUAL HASTA .20 X .30 EN TERRENO COMUN</t>
  </si>
  <si>
    <t>EXCAVACION MANUAL BAJO NIVEL FREATICO, PROFUNDIDA MAXIMA 2.00 MT</t>
  </si>
  <si>
    <t>DEMOLICIÓN MUROS SENCILLOS</t>
  </si>
  <si>
    <t>RETIRO DE TUBERIA DE 0 A 12" NO INCL. EXCAVACION</t>
  </si>
  <si>
    <t>DUCHA PRISMA  ECONOMICA O SIMILAR</t>
  </si>
  <si>
    <t>INCRUSTACIONES PORCELANA: TOALLERO, PAPELERA, JABONERA, GANCHO ELITE O SIMILAR</t>
  </si>
  <si>
    <t>LAVAMANOS ACUACER DE COLG</t>
  </si>
  <si>
    <t>GRIFERIA LLAVE AUTOMATICA QK23051 PARA LAVAMANOS O SIMILAR</t>
  </si>
  <si>
    <t>PISO  EN CERAMICA DUROPISO .30X.30 DE PRIMERA CALIDAD, ALTO TRAFICO TIPO CORONA O SIMILAR.</t>
  </si>
  <si>
    <t>CERÁMICA DUROPISO CORONA ALTO TRAFICO</t>
  </si>
  <si>
    <t>CONCOLOR 1.5 BLANCO NACAR O SIMILAR</t>
  </si>
  <si>
    <t>SARDINEL ACHAFLANADO A10 .20 X .80 X .50H  TIPO IDU O SIMILAR</t>
  </si>
  <si>
    <t>BORDILLOS PREFABRICADO EN SARDINEL ACHAFLANADO A10 .20 X .80 X .50H  TIPO IDU O SIMILAR-INCL. EXCAVACION DE .20X.20</t>
  </si>
  <si>
    <t>EXCAVACION .20X.20</t>
  </si>
  <si>
    <t>TRANSPORTE BARRANQUILLA/VALLEDUPAR</t>
  </si>
  <si>
    <t xml:space="preserve">ESQUINERO BRONCE </t>
  </si>
  <si>
    <t>ALUMOL (16 KG)</t>
  </si>
  <si>
    <t>TRANSPORTE MOTONIVELADORA</t>
  </si>
  <si>
    <t>PORCENTAJE POR COMPACTACION</t>
  </si>
  <si>
    <t>DESPERDICIO</t>
  </si>
  <si>
    <t>TORNILLOS ACCESORIOS</t>
  </si>
  <si>
    <t>VIBRADOR DE CONCRETO</t>
  </si>
  <si>
    <t>FORMALETA</t>
  </si>
  <si>
    <t>ACERO LONGITUDINAL 2 VARILLAS DE 1/4"</t>
  </si>
  <si>
    <t xml:space="preserve">CONCRETO DE 3000 PSI </t>
  </si>
  <si>
    <t xml:space="preserve">CONCRETO DE 3000 PSI  ESTRIADO PARA RAMPAS VEHICULAR </t>
  </si>
  <si>
    <t xml:space="preserve"> UN </t>
  </si>
  <si>
    <t>UNd</t>
  </si>
  <si>
    <t>PIEDRA CHINA NO. 3</t>
  </si>
  <si>
    <t>GRUA</t>
  </si>
  <si>
    <t>SACO DE FIQUE+ACCESORIOS</t>
  </si>
  <si>
    <t>ARBOL NATIVO</t>
  </si>
  <si>
    <t>GRAMA</t>
  </si>
  <si>
    <t>CARRETILLA BUGGY</t>
  </si>
  <si>
    <t>CONCRETO DE 3000 PSI  ESTRIADO PARA RAMPAS -CICLOVIAS + MINUSVALIDOS-</t>
  </si>
  <si>
    <t>SUMINISTRO E INSTALACION DE SEÑALES VERTICALES DE TRANSITO  DE ACUERDO AL MANUAL SOBRE DISPOSITIVOS PARA EL CONTROL DE TRANSITO EN CALLES Y CARRETERAS EN COLOMBIA Y DEMAS NORMAS COMPLEMENTARIAS</t>
  </si>
  <si>
    <t>SUMINISTRO E INSTALACION DE SEMAFOROS INCLUYEN LA INTALACION ELECTRICA PARA PODER OPERAR</t>
  </si>
  <si>
    <t xml:space="preserve">RETIRO ESCOMBROS </t>
  </si>
  <si>
    <t>CERRAMIENTO PROVISIONAL EN TELA VERDE 2.1</t>
  </si>
  <si>
    <t>TELA VERDE ESTABILIZADA 2.1</t>
  </si>
  <si>
    <t>DEMOLICIÓN  PISO ESPESOR HASTA .10</t>
  </si>
  <si>
    <t>TABLA 1X12"X3.00MT ALGARROBILLO</t>
  </si>
  <si>
    <t>SIKA-1 (20 KG)</t>
  </si>
  <si>
    <t>CODO SANITARIO PVC CXC DE 45° DE 3"</t>
  </si>
  <si>
    <t>TUBO PVC AGUAS NEGRAS 20" UNION MECANICA</t>
  </si>
  <si>
    <t xml:space="preserve">TUBO PVC AGUAS NEGRAS 8" </t>
  </si>
  <si>
    <t>TUBO VENTILACION  4"</t>
  </si>
  <si>
    <t>CONCERTINA DE ø 14"- ROLLO 6ML</t>
  </si>
  <si>
    <t>MORTERO 1:4 PEGA</t>
  </si>
  <si>
    <t>4.5</t>
  </si>
  <si>
    <t>BARRAS DE SEGURIDAD, PARA MINUSVALIDOS LONG. .45MT, ACABADO CRMADO EN ACERO INOXIDABLE</t>
  </si>
  <si>
    <t>LAVAMANOS DE SOBREPONER MARCELLA BLANCO O SIMILAR SIN GRIFERIA</t>
  </si>
  <si>
    <t>CORTADORA DE CONCRETO 5MM DE ANCHO X 3.3 A 5 CM PROF DE CORTE</t>
  </si>
  <si>
    <t>RIEL-BURRO</t>
  </si>
  <si>
    <t xml:space="preserve">PASADORES DE ACERO LISO 3/4" A 1" </t>
  </si>
  <si>
    <t>ACERO TRANSFERENCIA LISO 3/4" A 1, L=0,35,@0,3</t>
  </si>
  <si>
    <t>LUBRICANTE</t>
  </si>
  <si>
    <t>BURRO O FORMALETA PARA FIJACION DE LA BARRA 1/4",L=0,5</t>
  </si>
  <si>
    <t>BARRAS DE UNIÓN CORRUGADO 1/2"</t>
  </si>
  <si>
    <t>ACERO UNION CORRUGA. 1/2",L=0,85, @1.20</t>
  </si>
  <si>
    <t>ACERO FIGURADO DE REFUERZO PDR DE 60.000 PSI</t>
  </si>
  <si>
    <t>JGO</t>
  </si>
  <si>
    <t>CANAL DE AGUAS LLUVIAS, INCL. PISO ESP=.20-MUROS ESP=.20 ALTURA 1.00 PROMEDIO-PLACA ESP.20</t>
  </si>
  <si>
    <t>ESTRUCTURAS</t>
  </si>
  <si>
    <t>MUROS Y PAÑETES</t>
  </si>
  <si>
    <t>ENCHAPES Y PISOS</t>
  </si>
  <si>
    <t>PAVIMENTOS RIGIDOS Y FLEXIBLES</t>
  </si>
  <si>
    <t>CIELO RASOS Y CUBIERTAS</t>
  </si>
  <si>
    <t>MANEJO DE AGUAS</t>
  </si>
  <si>
    <t>INSTALACIONES SANITARIAS</t>
  </si>
  <si>
    <t>CIMENTACIONES</t>
  </si>
  <si>
    <t>DEMOLICIONES Y DESMONTES</t>
  </si>
  <si>
    <t>PRELIMINARES</t>
  </si>
  <si>
    <t>MALLA MICROFUTBOL</t>
  </si>
  <si>
    <t>%MO</t>
  </si>
  <si>
    <t xml:space="preserve">LOCALIZACION Y REPLANTEO CON EQUIPO </t>
  </si>
  <si>
    <t xml:space="preserve">EQUIPO DE TOPOGRAFIA </t>
  </si>
  <si>
    <t xml:space="preserve">CADENERO 1 </t>
  </si>
  <si>
    <t xml:space="preserve">CADENERO 2 </t>
  </si>
  <si>
    <t xml:space="preserve">TOPOGRAFO </t>
  </si>
  <si>
    <t xml:space="preserve">CONCRETO PARA VIAS Y BOCACALLES: EN CONCRETO DE 3,000 p.s.i.-Incluye: Nivelacion, curado y fundida de concreto E=0,15 </t>
  </si>
  <si>
    <t>VR. PARCIAL</t>
  </si>
  <si>
    <t>MEZCLADORA, RANA, VIBRADOR, MOTOBOMBA SIN OPERADOR</t>
  </si>
  <si>
    <t>OTROS COSTOS</t>
  </si>
  <si>
    <t xml:space="preserve">PRESTACIONES </t>
  </si>
  <si>
    <t xml:space="preserve">     Botas y Overol</t>
  </si>
  <si>
    <t xml:space="preserve">     Vacaciones 15 Dias</t>
  </si>
  <si>
    <t xml:space="preserve">     Primas 30 Dias</t>
  </si>
  <si>
    <t>SEGURIDAD SOCIAL</t>
  </si>
  <si>
    <t xml:space="preserve">     Seguro Colectivo</t>
  </si>
  <si>
    <t xml:space="preserve">     Pensiones</t>
  </si>
  <si>
    <t xml:space="preserve">     Medicina Familiar</t>
  </si>
  <si>
    <t xml:space="preserve">     Riesgos Profesionales</t>
  </si>
  <si>
    <t>APORTES SENA</t>
  </si>
  <si>
    <t>OTROS APORTES</t>
  </si>
  <si>
    <t xml:space="preserve">     Aporte Ordinario</t>
  </si>
  <si>
    <t xml:space="preserve">    F.I.C</t>
  </si>
  <si>
    <t xml:space="preserve">    I.C.B.F</t>
  </si>
  <si>
    <t xml:space="preserve">    Subsidio Familiar</t>
  </si>
  <si>
    <t>VALOR REAL DEL SALARIO</t>
  </si>
  <si>
    <t>A</t>
  </si>
  <si>
    <t>C</t>
  </si>
  <si>
    <t>E</t>
  </si>
  <si>
    <t>BASE</t>
  </si>
  <si>
    <t>Nota 4</t>
  </si>
  <si>
    <t>(52 Sem x 48 Hr)+8Hr</t>
  </si>
  <si>
    <t>365 x 8 Hhr</t>
  </si>
  <si>
    <t>2920 Hr-((52 Dom + 18 Fiestas + 3 Permisos) x 8 Hr)</t>
  </si>
  <si>
    <t>A/B</t>
  </si>
  <si>
    <t>A/C</t>
  </si>
  <si>
    <t>A/D</t>
  </si>
  <si>
    <t>A- Anual con Subsidio de Transporte</t>
  </si>
  <si>
    <t>B- Horas Calendario Anuales</t>
  </si>
  <si>
    <t>C- Horas Laborales Anuales</t>
  </si>
  <si>
    <t>D- Horas Habiles Anuales</t>
  </si>
  <si>
    <t>E- Valor Hora Calendario</t>
  </si>
  <si>
    <t>F- Valor Hora Laboral</t>
  </si>
  <si>
    <t>G- Valor Hora Efectiva</t>
  </si>
  <si>
    <t>A- Salario Minimo Legal</t>
  </si>
  <si>
    <t>B- Auxilio de Transporte</t>
  </si>
  <si>
    <t>C- Total Mensual</t>
  </si>
  <si>
    <t>D-  Anual (A/30x365)</t>
  </si>
  <si>
    <t>E-  Anual con Subsidio de Transporte</t>
  </si>
  <si>
    <t xml:space="preserve">      Subsidio de Transporte Anual</t>
  </si>
  <si>
    <t xml:space="preserve">CUADRILLA "AA" (Albañileria) </t>
  </si>
  <si>
    <t>Jornal Ayudante</t>
  </si>
  <si>
    <t>Valor Real del Jornal</t>
  </si>
  <si>
    <t>Jornal Oficial</t>
  </si>
  <si>
    <t>Valor Total Hr Oficial</t>
  </si>
  <si>
    <t>Valor Total Hr Ayudante</t>
  </si>
  <si>
    <t>Valor Dia Cuadrilla</t>
  </si>
  <si>
    <t>Valor Hr Cuadrilla</t>
  </si>
  <si>
    <t>Salida Electrica</t>
  </si>
  <si>
    <t>1.2 Minimos</t>
  </si>
  <si>
    <t>2.1 Minimos</t>
  </si>
  <si>
    <t xml:space="preserve">CUADRILLA "BB" (Instalaciones) </t>
  </si>
  <si>
    <t xml:space="preserve">CUADRILLA "CC" (Pintura) </t>
  </si>
  <si>
    <t xml:space="preserve">CUADRILLA "DD" (Carpinterias) </t>
  </si>
  <si>
    <t xml:space="preserve">CUADRILLA "EE" (Cableado Estructural) </t>
  </si>
  <si>
    <t>1.55 Hr AA</t>
  </si>
  <si>
    <t>2- CALCULO DE SOBRECOSTO POR HORAS EFECTIVAS TRABAJADAS-OBREROS CON UN SALARIO MINIMO TRABAJADO</t>
  </si>
  <si>
    <t xml:space="preserve">NOTAS: </t>
  </si>
  <si>
    <t>1.- Subsidio de transporte solo se paga hasta sueldos de 2 salarios minimos mensules legales vigentes.</t>
  </si>
  <si>
    <t>3.- Porcentajes solo son validos para actividades de construccion. Para otros empleados se debe utilizar 30 dias de cesantia y 2.2% (promedio para empresas de bajo riesgo).</t>
  </si>
  <si>
    <t>2.- Subsidio de transporte anual = Subsidio mensual / 30 x (365 dias-18 fiestas - 3 permisos- 15 dias vacaciones).</t>
  </si>
  <si>
    <t>5.- El crecimiento promedio del PIB entre 2005 y 2006 fue superior al 4%y por ello la cotizacion a pensiones por parte del patrono durante 2009 debe aumentar al 12%, segun lo dispuesto por la ley 297 del 2003.</t>
  </si>
  <si>
    <t>Los factores de sobrecostos se utilizan para valorizar el tiempo efectivo que un obrero dedica a su labor y refleja el costo del tiempo durante el cual no esta trabajando pero si esta devengando.</t>
  </si>
  <si>
    <t>Si se toma como base la hora calendario, se incrementa 24.57% para obtener la hora efectiva.</t>
  </si>
  <si>
    <t>Si se toma como base la hora laboral, se incrementa 6.83% para obtener la hora efectiva.</t>
  </si>
  <si>
    <t>Jornal = sueldo mensual x 12 meses / 365 dias.</t>
  </si>
  <si>
    <t xml:space="preserve">CUADRILLA "EE" (CABLEADO ESTRUCTURAL) </t>
  </si>
  <si>
    <t xml:space="preserve">CÁMARA CIRCULAR DE INSPECCIÓN/CAÍDA D=1.50 M. EN CONCRETO CLASE II                                      </t>
  </si>
  <si>
    <t>MORTERO IMP. 1:4 PANETE</t>
  </si>
  <si>
    <t>CONCRETO 1:2:4</t>
  </si>
  <si>
    <t>ANTISOL ROJO (16KG)</t>
  </si>
  <si>
    <t>PORCELANATO .60X.60 DE PRIMERA CALIDAD</t>
  </si>
  <si>
    <t>TAPA MANJOL 60CM X 60</t>
  </si>
  <si>
    <t>PUNTILLA CON CABEZA 2" 159UN/LB</t>
  </si>
  <si>
    <t>LAMINA ONDULADA BARROCA FIBROCEMENTO  No. 8 AREA UTIL 2.30 M2</t>
  </si>
  <si>
    <t>LAMINA ONDULADA ASBESTO CEMENTO  No. 6 AREA UTIL 1.479 M2</t>
  </si>
  <si>
    <t>CANALETA 90 FIBROCEMENTO LONG 6.00ML AREA UTIL 5.2325 M2</t>
  </si>
  <si>
    <t>ACERO DE Ø3/8 CORRUGADA</t>
  </si>
  <si>
    <t>ACERO DE Ø1/2 CORRUGADA</t>
  </si>
  <si>
    <t>ACERO DE Ø5/8 CORRUGADA</t>
  </si>
  <si>
    <t>ACERO DE Ø3/4 CORRUGADA</t>
  </si>
  <si>
    <t>TABLÓN VITRIFICADO  .25  X .25</t>
  </si>
  <si>
    <t>LADRILLO A LA VISTA .07X.09X.25 CORAL 56 M2</t>
  </si>
  <si>
    <t>LADRILLO A LA VISTA .07X.09X.25 ESFUMADO 56 M2</t>
  </si>
  <si>
    <t>PERFIL U ALUMINIO 3/8 X 3/8</t>
  </si>
  <si>
    <t>ESQUINERO DE ALUMINIO 6.00ML</t>
  </si>
  <si>
    <t>TOLUA</t>
  </si>
  <si>
    <t>ALGARROBILLO 4"X2"X3.00MT</t>
  </si>
  <si>
    <t>TABLA 1''X12"X3.00MT ALGARROBILLO</t>
  </si>
  <si>
    <t>ALGARROBILLO 2"X2"X3.00MT</t>
  </si>
  <si>
    <t>ADAPTADOR MACHO PVC PRESION DE 3/4"</t>
  </si>
  <si>
    <t>ADAPTADOR HEMBRA PVC PRESION DE 1/2"</t>
  </si>
  <si>
    <t>ADAPTADOR MACHO PVC PRESION DE 1/2"</t>
  </si>
  <si>
    <t>ADAPTADOR HEMBRA PVC PRESION DE 1"</t>
  </si>
  <si>
    <t>ADAPTADOR MACHO PVC PRESION DE 1"</t>
  </si>
  <si>
    <t>ABARCO</t>
  </si>
  <si>
    <t>TABLA 1''X12"X3.00MT TOLUA</t>
  </si>
  <si>
    <t>ACERO DE Ø1/4 CORRUGADA</t>
  </si>
  <si>
    <t>ACERO DE Ø3/4 LISO</t>
  </si>
  <si>
    <t>SELLO  DE POLIURETANO ELASTOMERICO DE ALTO DESEMPEÑO</t>
  </si>
  <si>
    <t>CORDON DE ESPUMA PARA FONDO DE JUNTA Ø10MM</t>
  </si>
  <si>
    <t>I</t>
  </si>
  <si>
    <t>II</t>
  </si>
  <si>
    <t>III</t>
  </si>
  <si>
    <t>IV</t>
  </si>
  <si>
    <t>V</t>
  </si>
  <si>
    <t>VI</t>
  </si>
  <si>
    <t>VII</t>
  </si>
  <si>
    <t>VIII</t>
  </si>
  <si>
    <t>IX</t>
  </si>
  <si>
    <t>X</t>
  </si>
  <si>
    <t>MOTOBOMBA A GASOLINA CON OPERADOR</t>
  </si>
  <si>
    <t>PELDAÑOS EN 3/4" DE FY 420 MPA</t>
  </si>
  <si>
    <t>FORMALETA METÁLICA PARA CÁMARA CIRCULAR</t>
  </si>
  <si>
    <t>SOBRECIMIENTO ESPESOR  0.25 LADRILLO COMUN .07X.11X.22 MORTERO DE PEGA 1.4, PAÑETADO POR 3 CARAS MORTERO IMP. 1:4 - ALTURA PROMEDIO .45</t>
  </si>
  <si>
    <t>RIEL PAVIMENTO 3ML</t>
  </si>
  <si>
    <t>TRANSPORTE MATERIAL</t>
  </si>
  <si>
    <t>RIEL</t>
  </si>
  <si>
    <t>TORNILLO FIJADOR CANALETA</t>
  </si>
  <si>
    <t>DISOLVENTE THINNER CORRIENTE</t>
  </si>
  <si>
    <t>CERRADURA YALE DE SOBREPONER</t>
  </si>
  <si>
    <t>CONCOLOR 5 KG BLANCO NACAR O SIMILAR</t>
  </si>
  <si>
    <t>PLATINA DE 1 1/2" x1/4"-20X20CM</t>
  </si>
  <si>
    <t>VENTANA 744 ANOLOCK-VIDRIO BRONCE UN CUERPO SUPERIOR PROYECTANTE Y UN CUERPO INFERIOR FIJO .50X1.20</t>
  </si>
  <si>
    <t>VENTANA 744 ANOLOCK-VIDRIO BRONCE DOS NAVES FIJAS Y DOS CORREDIZAS 2.00X1.20</t>
  </si>
  <si>
    <t>VENTANA 744 ANOLOCK-VIDRIO BRONCE DOS NAVES FIJAS Y DOS CORREDIZAS 2.00X2.00</t>
  </si>
  <si>
    <t>VENTANA 744 ANOLOCK-VIDRIO BRONCE UNA NAVE FIJA Y UNA CORREDIZA 2.00X2.00</t>
  </si>
  <si>
    <t>VENTANA 744 ANOLOCK-VIDRIO BRONCE DOS NAVES BATIENTES 2.00X2.00</t>
  </si>
  <si>
    <t>TABLA 1''X4"X3.00MT ALGARROBILLO</t>
  </si>
  <si>
    <t>TABLA 1''X10"X3.00MT ALGARROBILLO</t>
  </si>
  <si>
    <t>ICOPOR 1 CM/DENS.20/1.24X.62</t>
  </si>
  <si>
    <t>PERFIL U DE ALUMINIO 3/8 X 3/8</t>
  </si>
  <si>
    <t xml:space="preserve">CONCOLOR BLANCO NACAR 5 KG PORCELANATO </t>
  </si>
  <si>
    <t>PRICIPALES</t>
  </si>
  <si>
    <t>OMEGAS</t>
  </si>
  <si>
    <t>ANGULOS</t>
  </si>
  <si>
    <t>SUPERMASTIK</t>
  </si>
  <si>
    <t>CTE</t>
  </si>
  <si>
    <t>TORNILLOS 6X1</t>
  </si>
  <si>
    <t>TORNILLOS 7X7/16</t>
  </si>
  <si>
    <t>CINTA X75</t>
  </si>
  <si>
    <t>LIJA</t>
  </si>
  <si>
    <t>PRINCIPALES</t>
  </si>
  <si>
    <t>TORNILLOS</t>
  </si>
  <si>
    <t>TORNILLOS CORTOS</t>
  </si>
  <si>
    <t>LAMINA SUPERBOARD #8 2.44X1.22</t>
  </si>
  <si>
    <t>BARRERA CON BOMBONES PLASTICOS Y CINTA DE SEGURIDAD</t>
  </si>
  <si>
    <t>LAMINA SUPERBOARD #6 2.44X1.22</t>
  </si>
  <si>
    <t>ACERO TRANSVERSAL 1D DE 1/4" CADA .40"</t>
  </si>
  <si>
    <t>METRO CUBICO</t>
  </si>
  <si>
    <t>CANTIDAD DE ARENA, CEMENTO, BALASTO Y RESISTENCIAS QUE SE OBTIENEN</t>
  </si>
  <si>
    <t>MEZCLA</t>
  </si>
  <si>
    <t>CEMENTO</t>
  </si>
  <si>
    <t>BALASTO</t>
  </si>
  <si>
    <t>AGUA LITROS</t>
  </si>
  <si>
    <t>A LOS 24 DIAS</t>
  </si>
  <si>
    <t>KILOS</t>
  </si>
  <si>
    <t>SACOS</t>
  </si>
  <si>
    <t>Agr. Hum.</t>
  </si>
  <si>
    <t>Agr. Sec.</t>
  </si>
  <si>
    <t>KG/CM2</t>
  </si>
  <si>
    <t>LB/IN2</t>
  </si>
  <si>
    <t>1.2.2</t>
  </si>
  <si>
    <t>8.5</t>
  </si>
  <si>
    <t>1. 2. 2 1/2</t>
  </si>
  <si>
    <t>7.5</t>
  </si>
  <si>
    <t>0.600</t>
  </si>
  <si>
    <t>0.760</t>
  </si>
  <si>
    <t>1. 2. 3</t>
  </si>
  <si>
    <t>0.555</t>
  </si>
  <si>
    <t>0.835</t>
  </si>
  <si>
    <t>1. 2. 3 1/2</t>
  </si>
  <si>
    <t>6.5</t>
  </si>
  <si>
    <t>0.515</t>
  </si>
  <si>
    <t>0.900</t>
  </si>
  <si>
    <t>1. 2. 4</t>
  </si>
  <si>
    <t>0.475</t>
  </si>
  <si>
    <t>0.950</t>
  </si>
  <si>
    <t>1. 2 1/2. 4</t>
  </si>
  <si>
    <t>5.5</t>
  </si>
  <si>
    <t>0.830</t>
  </si>
  <si>
    <t>1. 2 1/2. 4 1/2</t>
  </si>
  <si>
    <t>5.25</t>
  </si>
  <si>
    <t>0.520</t>
  </si>
  <si>
    <t>0.940</t>
  </si>
  <si>
    <t>1. 3. 3</t>
  </si>
  <si>
    <t>0.715</t>
  </si>
  <si>
    <t>1. 3. 4</t>
  </si>
  <si>
    <t>0.625</t>
  </si>
  <si>
    <t>0.825</t>
  </si>
  <si>
    <t>1. 3. 5</t>
  </si>
  <si>
    <t>0.975</t>
  </si>
  <si>
    <t>1. 3. 6</t>
  </si>
  <si>
    <t>0.500</t>
  </si>
  <si>
    <t>1. 4. 7</t>
  </si>
  <si>
    <t>3.5</t>
  </si>
  <si>
    <t>1. 4. 8</t>
  </si>
  <si>
    <t>3.25</t>
  </si>
  <si>
    <t>0.655</t>
  </si>
  <si>
    <t xml:space="preserve">LLAVE TERMINAL 97722 GRIVAL O SIMILAR DE JARDÍN </t>
  </si>
  <si>
    <t>PASADORES DE ACERO LISO 1 1/4"</t>
  </si>
  <si>
    <t>ACERO TRANSVERSAL 1D DE 1/4" CADA .40MT LONG. .60MT</t>
  </si>
  <si>
    <t>BORDILLOS DE .15X.60, CONCRETO 3.000 PSI-INCL. 0.875 KG DE REFUERZO EN ACERO-INCL. EXCAVACION DE .15X.15</t>
  </si>
  <si>
    <t>BORDILLOS DE .15X.30, CONCRETO 3.000 PSI-INCL. 0.65 KG DE REFUERZO EN ACERO-INCL. EXCAVACION DE .15X.15</t>
  </si>
  <si>
    <t>BORDILLOS DE .15X.30, CONCRETO 3.000 PSI-INCL. 3.72 KG DE REFUERZO EN ACERO-INCL. EXCAVACION DE .15X.15</t>
  </si>
  <si>
    <t>JUNTA DE DILATACION  SELLO  DE POLIURETANO ELASTOMERICO DE ALTO DESEMPEÑO Y CORDON DE ESPUMA PARA FONDO DE JUNTA Ø10MM-INCL. CORTE</t>
  </si>
  <si>
    <t>MEZCLA DENSA EN CALIENTE TIPO MDC - 2</t>
  </si>
  <si>
    <t xml:space="preserve">PIEDRA </t>
  </si>
  <si>
    <t>CORTE DE ARBOL PORTE MEDIO SACADO DE RAIZ,  HASTA .80 MT DE DIAMETRO, INCL. RETIRO AL BOTADERO OFICIAL,  RELLENO DE HUECO Y PERMISO DE CORPOCESAR</t>
  </si>
  <si>
    <t>RELLENO EN TRITURADO PARA ATRAQUES Y TUBERIAS, INCL. SUMINISTRO Y COMPACTACION TAM. MÁX. F  1 1/4"</t>
  </si>
  <si>
    <t>ESFERAS REFLECTIVAS</t>
  </si>
  <si>
    <t>PINTURA ACRILICA PURA PARA TRAFICO</t>
  </si>
  <si>
    <t>DISOLVENTE (3%) ACRILICO</t>
  </si>
  <si>
    <t>UNIÓN PVC SANIT 1 1/2</t>
  </si>
  <si>
    <t>CODO 90° 1/4 CXC SANITARIO 1 1/2</t>
  </si>
  <si>
    <t>TUBO PVC SANITARIO 1 1/2</t>
  </si>
  <si>
    <t>SUMINISTRO E INSTALACION DE REJILLAS EN PERFIL I DE 6"-LONG. 1.00ML ANCHO .76ML, RERFILES ESPACIADOS CADA .07MT</t>
  </si>
  <si>
    <t>REJILLAS EN PERFIL I DE 6"-LONG. 1.00ML ANCHO .76ML, RERFILES ESPACIADOS CADA .07MT</t>
  </si>
  <si>
    <t>REJILLAS EN PERFIL I DE 4"-LONG. 1.00ML ANCHO .76ML, RERFILES ESPACIADOS CADA .07MT</t>
  </si>
  <si>
    <t xml:space="preserve">LADRILLO 9X19X30 </t>
  </si>
  <si>
    <t>MANEJO DE TRÁFICO (INCLUYE COLOMBINAS DELIMITADORAS DE CARRILES, CINTA REFLECTIVA, PERSONAL DIRIGIENDO TRÁFICO, ETC.)</t>
  </si>
  <si>
    <t>CINTA SEGURIDAD DE 75 MM X 500 MTS</t>
  </si>
  <si>
    <t>COLOMBINAS CON PARAL EN MADERA Y BASE EN CONCRETO POBRE</t>
  </si>
  <si>
    <t>PLASTOCRETE DM</t>
  </si>
  <si>
    <t>SIKASET L X 230KG</t>
  </si>
  <si>
    <t>CONCRETO IMPERMEABILIZADO DE 4000 PSI  PARA BOX COLVERT PARA ACEQUIA-ACELERADO A 7 DIAS</t>
  </si>
  <si>
    <t>DESMONTE DE APARATOS SANITARIOS, LAVAMANOS Y LAVAPLATOS</t>
  </si>
  <si>
    <t xml:space="preserve">HERRAMIENTA MENOR                                      </t>
  </si>
  <si>
    <t>BOMBÓN PLASTICO (20 USOS)</t>
  </si>
  <si>
    <t>EQUIPO DE DEMOLICIÓN (COMPRESOR)</t>
  </si>
  <si>
    <t>MATERIALES VARIOS PARA DEMARCACIÓN</t>
  </si>
  <si>
    <t>ACERO DE Ø1 CORRUGADA</t>
  </si>
  <si>
    <t>CONCRETO 1:2:3 ELABORADO EN OBRA-3.000PSI CLASE D</t>
  </si>
  <si>
    <t>LT</t>
  </si>
  <si>
    <t>CEDRO</t>
  </si>
  <si>
    <t>ROBLE</t>
  </si>
  <si>
    <t>MOTOBOMBA CON OPERADOR</t>
  </si>
  <si>
    <t>CONSTRUCCIÓN DE POZO DE INSPECCIÓN DE F = 1,20 M EXTERNO, MUROS DE 0,25 M DE ALTURA PROMEDIO 2,00 MT-LADRILLO CORRIENTE Y MORTERO 1:4</t>
  </si>
  <si>
    <t>VR. UNITARIO</t>
  </si>
  <si>
    <t>ANALISIS BASICOS</t>
  </si>
  <si>
    <t>MATERIALES BASICOS</t>
  </si>
  <si>
    <t>LISTADO DE MATERIALES-VALLEDUPAR</t>
  </si>
  <si>
    <t>CARRETO</t>
  </si>
  <si>
    <t>LLAVE PASO R/WHITE 1/2</t>
  </si>
  <si>
    <t>LLAVE PASO R/WHITE 3/4 O SIMILAR</t>
  </si>
  <si>
    <t>FLOTADOR Ø  3/4" EN BRONCE</t>
  </si>
  <si>
    <t>SIKA 101 BLANCO (10KG)</t>
  </si>
  <si>
    <t>SIKA 101 GRIS (10KG)</t>
  </si>
  <si>
    <t>PERFIL PARAL PARA MUROS EN DRY-WALL</t>
  </si>
  <si>
    <t>RELLENO GRANULAR-SUB-BASE</t>
  </si>
  <si>
    <t>RELLENO GRANULAR-BASE</t>
  </si>
  <si>
    <t>SECADOR DE MANOS ELECTRICO</t>
  </si>
  <si>
    <t>BARRAS DE SEGURIDAD, PARA MINUSVALIDOS LONG. .75MT, ACABADO CRMADO EN ACERO INOXIDABLE</t>
  </si>
  <si>
    <t>UNIÓN  3/4" PR</t>
  </si>
  <si>
    <t>EQUIPO DE TOPOGRAFIA (INCLUYE TRANSITO, NIVEL Y COMPLEMENTARIOS)</t>
  </si>
  <si>
    <t>TABLA 1''X8"X3.00MT ALGARROBILLO</t>
  </si>
  <si>
    <t>MURO DE .15 DE ESPESOR EN BLOQUE DE CEMENTO SPLIT GRIS  0.15X0.19X0.39-MORTERO DE PEGA 1.4-A LA VISTA POR UNA CARA Y RANURADO</t>
  </si>
  <si>
    <t>TUBO PVC AGUAS NEGRAS 14" UNION MECANICA</t>
  </si>
  <si>
    <t>TUBO PVC AGUAS NEGRAS 60" UNION MECANICA</t>
  </si>
  <si>
    <t>TUBO PVC AGUAS NEGRAS 51" UNION MECANICA</t>
  </si>
  <si>
    <t>TUBO PVC AGUAS NEGRAS 42" UNION MECANICA</t>
  </si>
  <si>
    <t>TUBO PVC AGUAS NEGRAS 30" UNION MECANICA</t>
  </si>
  <si>
    <t>TUBO PRESIÓN /41 PVC 8</t>
  </si>
  <si>
    <t>LUBRICANTE 500GR PARA PVC</t>
  </si>
  <si>
    <t>BASE EN ARENA Y ATRAQUE EN GRAVA PARA TUBERIA DE 8 Y 10¨, ANCHO MINIMO ,80-ESPESOR ARENA DOS CAPAS DE ,10CM Y GRAVA IGUAL AL DIAMETRO DEL TUBO</t>
  </si>
  <si>
    <t>Diámetro de la tubería Ancho de zanja (m)</t>
  </si>
  <si>
    <t>75 a 200 mm (3" a 8")                                            0,60</t>
  </si>
  <si>
    <t>250 y 300 mm (10" y 12")                                     0,70</t>
  </si>
  <si>
    <t>375 y 400 mm (15" y 16")                                     0,80</t>
  </si>
  <si>
    <t>450 mm (18")                                                           0,90</t>
  </si>
  <si>
    <t>500 y 525 mm (20" y 21")                                     1,00</t>
  </si>
  <si>
    <t>675 mm (27")                                                           1,20</t>
  </si>
  <si>
    <t>750 mm (30")                                                           1,30</t>
  </si>
  <si>
    <t>825 mm (33")                                                           1,40</t>
  </si>
  <si>
    <t>900 mm (36")                                                           1,50</t>
  </si>
  <si>
    <t>1000 mm (40")                                                         1,80</t>
  </si>
  <si>
    <t>En redes de Gas:</t>
  </si>
  <si>
    <t>Para diámetros mayores a los contemplados en estas tabla, el ancho de la zanja será igual al</t>
  </si>
  <si>
    <t>diámetro exterior de la tubería más 0,40 m a cada lado. Para las domiciliarias de acueducto y</t>
  </si>
  <si>
    <t>gas se utilizará un ancho de zanja de 0,40 m.</t>
  </si>
  <si>
    <t>El ancho de las excavaciones se incrementará cuando se requiera entibado de acuerdo con el</t>
  </si>
  <si>
    <t>espesor determinado para éste.</t>
  </si>
  <si>
    <t>Cuando se presenten derrumbes la Interventoría definirá el tipo de cimentación a utilizar de</t>
  </si>
  <si>
    <t>acuerdo con las nuevas condiciones de la zanja.</t>
  </si>
  <si>
    <t>1.1.2. Profundidad de las Zanjas. Las zanjas para la colocación de las tuberías de redes de</t>
  </si>
  <si>
    <t>servicios tendrán las profundidades indicadas en los planos, incluyendo las requeridas para la</t>
  </si>
  <si>
    <t>cimentación. Cuando en la ejecución de las zanjas se emplee equipo mecánico, las</t>
  </si>
  <si>
    <t>excavaciones se llevarán hasta una cota de 0,20 m por encima de la indicada en los planos.</t>
  </si>
  <si>
    <t>Se excavará el resto por medios manuales y en forma cuidadosa, para no alterar el suelo de</t>
  </si>
  <si>
    <t>fundación y nivelar el fondo de la excavación, de tal manera que la distribución de esfuerzos</t>
  </si>
  <si>
    <t>sea uniforme en la superficie de apoyo del tubo y evitar que éste quede sometido a esfuerzos</t>
  </si>
  <si>
    <t>de flexión.</t>
  </si>
  <si>
    <t>Si los materiales encontrados a las cotas especificadas de colocación de las tuberías no son</t>
  </si>
  <si>
    <t>aptos para la instalación de las mismas, la excavación se llevará hasta la profundidad indicada</t>
  </si>
  <si>
    <t>por la Interventoría, quien también definirá el material de apoyo a utilizar. Esta sobreexcavación</t>
  </si>
  <si>
    <t>y entresuelo se medirán y pagarán de acuerdo con los ítems correspondientes.</t>
  </si>
  <si>
    <t>Las excavaciones en roca se llevarán hasta una cota de por lo menos 0,10 m por debajo de la</t>
  </si>
  <si>
    <t>indicada en los planos, el volumen adicional excavado se llenará con material seleccionado que</t>
  </si>
  <si>
    <t>sirva de apoyo uniforme y adecuado. Los precios de estas actividades se pagarán en los ítems</t>
  </si>
  <si>
    <t>respectivos.</t>
  </si>
  <si>
    <t>20 mm a 180 mm                                                     0,40</t>
  </si>
  <si>
    <t>200 m a 315 mm                                                       0,60</t>
  </si>
  <si>
    <t xml:space="preserve">DILATACION DE BRONCE </t>
  </si>
  <si>
    <t>CODO 90° PRESIÓN PVC 2</t>
  </si>
  <si>
    <t>UNIÓN PRESIÓN PVC 2</t>
  </si>
  <si>
    <t>TUBO PRESIÓN /21 PVC 2</t>
  </si>
  <si>
    <t>PLASTOCRETE DM-250GR X 50KG DE CEMENTO</t>
  </si>
  <si>
    <t>CERÁMICA CORONA MACEDONIA</t>
  </si>
  <si>
    <t>CAMA EN ARENA ESPESOR ,10MT</t>
  </si>
  <si>
    <t>SUB-BASE GRANULAR, INCL. SUMINISTRO Y COMPACTACION</t>
  </si>
  <si>
    <t>SUB-BASE GRANULAR</t>
  </si>
  <si>
    <t>BASE GRANULAR</t>
  </si>
  <si>
    <t>FORMALETA PARA MUROS DE CONTENCION DOS CARAS</t>
  </si>
  <si>
    <t>MORTERO 1:4 IMPERMEABILIZADIO PARA CAÑUELAS</t>
  </si>
  <si>
    <t>MORTERO 1:4 IMPERMEABILIZADIO PARA PEGA Y PAÑETES</t>
  </si>
  <si>
    <t xml:space="preserve">HIDROSELLO NOVAFORT 200MM   </t>
  </si>
  <si>
    <t xml:space="preserve">ADHESIVO NOVAFORT           </t>
  </si>
  <si>
    <t xml:space="preserve">ACONDICION SUPERF NOVAFORT  </t>
  </si>
  <si>
    <t>MANO DE OBRA BB POR INSTALACION</t>
  </si>
  <si>
    <t>CONSTRUCCIÓN DE POZO DE INSPECCIÓN DE 1,20 M DE DIAMETRO EXTERNO, MUROS DE 0,15 M DE ALTURA PROMEDIO 1,20 MT-LADRILLO CORRIENTE Y MORTERO 1:4</t>
  </si>
  <si>
    <t xml:space="preserve"> MARCO METALICO DILAT. CAL 18 CON BISAGRA PARA HOJA DE MADERA , INCL. ANTICORROSIVO</t>
  </si>
  <si>
    <t>TAPA Y MARCO PARA REGISTRO ELECTRICO O SANITARIO 0.60X0.60, EN ANGULO 3/16X1 1/2" EN TAPA Y MARCO, INCL. VARILLAS DE 6MM Y ANTICORROSIVO</t>
  </si>
  <si>
    <t>HOJA EN LAMINA COLD ROLLED 1.00X2.00 CAL.18, INCLUYE ANTICORROSIVO-SUB-CONTRATO</t>
  </si>
  <si>
    <t>CAJA DE INSPECCIÓN DE 60x60x60CM, EN CONCRETO DE f'c=3.000PSI IMPERMEABILIZADO, INCLUYE EXCAVACIÓN Y TAPE, TAPA Y HERRAJES, CAÑUELAS, MARCOS EN ANGULO DE 1 1/2"X3/16 E INCLUYE TODO LO NECESARIO PARA SU CORRECTO FUNCIONAMIENTO</t>
  </si>
  <si>
    <t>CAJAS INSPECCION .80 X .80 EN LADRILLO CORRIENTE, PAÑETADA IMPERMABILIZADA INTEGRALMENTE,  INCLUYE EXCAVACIÓN Y TAPE, TAPA Y HERRAJES, CAÑUELAS, MARCOS EN ANGULO DE  1 1/2"X3/16 E INCLUYE TODO LO NECESARIO PARA SU CORRECTO FUNCIONAMIENTO</t>
  </si>
  <si>
    <t>CAJAS INSPECCION .60 X .60, EN LADRILLO CORRIENTE, PAÑETADA IMPERMABILIZADA INTEGRALMENTE,  INCLUYE EXCAVACIÓN Y TAPE, TAPA Y HERRAJES, CAÑUELAS, MARCOS EN ANGULO DE  1 1/2"X3/16 E INCLUYE TODO LO NECESARIO PARA SU CORRECTO FUNCIONAMIENTO</t>
  </si>
  <si>
    <t>CAJA DE INSPECCIÓN DE 80x80x80CM, EN CONCRETO DE f'c=3.000PSI IMPERMEABILIZADO, INCLUYE EXCAVACIÓN Y TAPE, TAPA Y HERRAJES, CAÑUELAS, MARCOS EN ANGULO DE  1 1/2"X3/16 E INCLUYE TODO LO NECESARIO PARA SU CORRECTO FUNCIONAMIENTO</t>
  </si>
  <si>
    <t>ACERO DE REFUERZO PDR-40</t>
  </si>
  <si>
    <t>PUNTILLA CON CABEZA 3/4 a 1"</t>
  </si>
  <si>
    <t>PUNTILLA CON CABEZA 1 1/ 2 a 3 1/2"</t>
  </si>
  <si>
    <t xml:space="preserve">SUMINISTRO E INSTALACIÓN  ARO TAPA HF D=0.60 M. P/CÁMARA DE INSPECCIÓN                                 </t>
  </si>
  <si>
    <t xml:space="preserve">BASE - CAÑUELA </t>
  </si>
  <si>
    <t>BASE - CAÑUELA</t>
  </si>
  <si>
    <t>BASE EN ARENA Y ATRAQUE EN GRAVA PARA TUBERIA DE 4 Y 6¨, ANCHO MINIMO ,60-ESPESOR ARENA DOS CAPAS DE ,10CM Y GRAVA IGUAL AL  DIAMETRO DEL TUBO</t>
  </si>
  <si>
    <t>DEMOLICIÓN PAVIMENTOS EN EMPEDRADOS</t>
  </si>
  <si>
    <t>PLASTOCRETE DM X 4,5KG</t>
  </si>
  <si>
    <t>DEMOLICIÓN MANUAL DE PAVIMENTOS EN CONCRETO</t>
  </si>
  <si>
    <t xml:space="preserve">DEMOLICIÓN MECANICA DE PAVIMENTOS EN CONCRETO </t>
  </si>
  <si>
    <t>CORTE DE ARBOL PORTE BAJO SACADO DE RAIZ,  HASTA .20 MT DE DIAMETRO,  INCL.  RETIRO AL BOTADERO OFICIAL,  RELLENO DE HUECO Y PERMISO DE CORPOCESAR</t>
  </si>
  <si>
    <t>CORTE DE ARBOL GRAN PORTE SACADO DE RAIZ,  MAYOR DE .80 MT DE DIAMETRO, INCL. RETIRO AL BOTADERO OFICIAL,  RELLENO DE HUECO Y PERMISO DE CORPOCESAR</t>
  </si>
  <si>
    <t>DEMOLICION Y RECONSTRUCCION DE CORONA DE POZO DE INSPECCIÓN DE 1,50 M DE DIAMETRO EXTERNO, MUROS DE 0,15 M DE ALTURA PROMEDIO ,50 MT-LADRILLO CORRIENTE Y MORTERO 1:4-INCL. REPOSICION DE TAPA METALICA</t>
  </si>
  <si>
    <t>RELLENO GRANULAR</t>
  </si>
  <si>
    <t>TAPA METALICA POZO DE INSPECCION ,60</t>
  </si>
  <si>
    <t>AROTAPA DIAMETRO 60CM-AROBASE DIAMETRO 73CM MANJOL -INCL. EMPARILLADO EN VARILLA DE 1/2"</t>
  </si>
  <si>
    <t xml:space="preserve">SUMINISTRO E INSTALACIÓN  AROTAPA DIAMETRO 60CM-AROBASE DIAMETRO 73CM MANJOL -INCL. EMPARILLADO EN VARILLA DE 1/2"                 </t>
  </si>
  <si>
    <t>CONSTRUCCIÓN DE POZO DE INSPECCIÓN DE 1,50 M DE DIAMETRO EXTERNO, MUROS DE 0,15 M DE ALTURA PROMEDIO 2,00 MT-CONCRETO CLASE II</t>
  </si>
  <si>
    <t>SOLDADURA 60 11</t>
  </si>
  <si>
    <t>LOCALIZACION Y REPLANTEO CON EQUIPO EN VIAS URBANAS</t>
  </si>
  <si>
    <t>CONFORMACION Y NIVELACION DE TERRENO CON MAQUINA CALZADA EXISTENTE CARRETERAS</t>
  </si>
  <si>
    <t>SIKALATEX</t>
  </si>
  <si>
    <t>ADITIVO PARA MEJORAR ADHERENCIA DE MORTEROS EN CONCRETOS ENDURECIDOS, INCL. LECHADA</t>
  </si>
  <si>
    <t>0.31mm</t>
  </si>
  <si>
    <t>0.35mm</t>
  </si>
  <si>
    <t>0.45mm</t>
  </si>
  <si>
    <t>0.60mm</t>
  </si>
  <si>
    <t>0.70mm</t>
  </si>
  <si>
    <t>0.90mm</t>
  </si>
  <si>
    <t>1.20mm</t>
  </si>
  <si>
    <t>1.50mm</t>
  </si>
  <si>
    <t>1.90mm</t>
  </si>
  <si>
    <t>Calibre 14</t>
  </si>
  <si>
    <t>Calibre16</t>
  </si>
  <si>
    <t>Calibre 18</t>
  </si>
  <si>
    <t>Calibre 20</t>
  </si>
  <si>
    <t>Calibre 22</t>
  </si>
  <si>
    <t>Calibre 24</t>
  </si>
  <si>
    <t>Calibre 26</t>
  </si>
  <si>
    <t>Calibre 29</t>
  </si>
  <si>
    <t>Calibre 30</t>
  </si>
  <si>
    <t>Calibre 31</t>
  </si>
  <si>
    <t>0.27mm</t>
  </si>
  <si>
    <t>PULGADAS</t>
  </si>
  <si>
    <t>MILIMETROS</t>
  </si>
  <si>
    <t>EQUIVALENCIAS</t>
  </si>
  <si>
    <t>1/8"</t>
  </si>
  <si>
    <t>3/16"</t>
  </si>
  <si>
    <t>1/4"</t>
  </si>
  <si>
    <t>CINTA X90</t>
  </si>
  <si>
    <t>TORNILLOS 6MM</t>
  </si>
  <si>
    <t>TORNILLOS 8MM</t>
  </si>
  <si>
    <t>MASILLA TEFLON</t>
  </si>
  <si>
    <t>LAMINA DRY-WALL PLANO IMPORTADA 1/2 1.22 X 2.44</t>
  </si>
  <si>
    <t>LAMINA DRY-WALL PLANO NACIONAL 1/2 1.22 X 2.44</t>
  </si>
  <si>
    <t>CONCRETO PREMEZCLADO PUESTO EN OBRA MR 42</t>
  </si>
  <si>
    <t>FLEJES 3/8",L=0,5, @0,3</t>
  </si>
  <si>
    <t>LAMINA DRY-WALL PLANO IMPORTADA RH RESISTENTE A LA HUMEDAD 1/2 1.22 X 2.44</t>
  </si>
  <si>
    <t>CONSTRUCCIONES DE OBRAS EN INFRAESTRUCTURA VIAL</t>
  </si>
  <si>
    <t>REGLA VIBRATORIA DE ALUMINIO 3.7ML, CON MOTOR HONDA GX 35, INCL IVA</t>
  </si>
  <si>
    <t>ACARREO EN CARRETILLA DE MATERIALES, ESCOMBROS Y OTROS, DISTANCIA MAXIMA 100ML</t>
  </si>
  <si>
    <t>SUMINISTRO E INSTALACION DE REJILLAS EN PERFIL I DE 4"-LONG. 1.00ML ANCHO .76ML, PERFILES ESPACIADOS CADA .07MT</t>
  </si>
  <si>
    <t>km</t>
  </si>
  <si>
    <t xml:space="preserve">ACERO DE Ø1/4 CORRUGADA </t>
  </si>
  <si>
    <t>CODO 90°  1/4 CXC SANITARIO 4</t>
  </si>
  <si>
    <t>TRITURADO 3/4</t>
  </si>
  <si>
    <t>Pueblo Bello</t>
  </si>
  <si>
    <t>Un</t>
  </si>
  <si>
    <t>LAMINA SUPERBOARD #10  2.44X1.22</t>
  </si>
  <si>
    <t>LAMINA SUPERBOARD 17 mm  2.44X1.22</t>
  </si>
  <si>
    <t>CARROTANQUE (1.000 Litros)</t>
  </si>
  <si>
    <t>CONCRETO 2.000 PSI 140 Kg/Cm2</t>
  </si>
  <si>
    <t>CONCRETO 2.500 PSI 175 Kg/Cm2</t>
  </si>
  <si>
    <t>Vr Sin Bombeo</t>
  </si>
  <si>
    <t>CONCRETO 3.000 PSI 175 Kg/Cm2</t>
  </si>
  <si>
    <t>Plastico</t>
  </si>
  <si>
    <t>Bombeable</t>
  </si>
  <si>
    <t xml:space="preserve">Acelerado 3 Dias </t>
  </si>
  <si>
    <t>Total con bombeo</t>
  </si>
  <si>
    <t>CONCRETO 3.500 PSI 245 Kg/Cm2</t>
  </si>
  <si>
    <t>CONCRETO 4.000 PSI 280 Kg/Cm2</t>
  </si>
  <si>
    <t>CONCRETO 4.500 PSI 315 Kg/Cm2</t>
  </si>
  <si>
    <t>CONCRETO 5000 PSI 350 Kg/Cm2</t>
  </si>
  <si>
    <t>MARTILLO DEMOLEDOR ELECTRICO (HILTI)</t>
  </si>
  <si>
    <t xml:space="preserve">CONCRETO 1:3:6 ELABORADO EN OBRA  de  1.700 </t>
  </si>
  <si>
    <t xml:space="preserve">CONCRETO 1:3:5 ELABORADO EN OBRA  de  2.000 </t>
  </si>
  <si>
    <t>600 mm (24")                                                           1,10</t>
  </si>
  <si>
    <t>Volqueta a mano</t>
  </si>
  <si>
    <t>ESMALTE SINTET</t>
  </si>
  <si>
    <t xml:space="preserve">LIJA MASILLA </t>
  </si>
  <si>
    <t>TUBO PVC AGUAS NEGRAS 30" Novafor</t>
  </si>
  <si>
    <t>M3/Km</t>
  </si>
  <si>
    <t>CONCRETO CLASE D (3000 PSI) PARA CALZADA DE 0,2 MT</t>
  </si>
  <si>
    <t xml:space="preserve">TUBO PVC AGUAS NEGRAS 16" </t>
  </si>
  <si>
    <t xml:space="preserve">TUBO PVC AGUAS NEGRAS 10" </t>
  </si>
  <si>
    <t>CONCRETO 1:1.5:1.5 ELABORADO EN OBRA- 4.000 PSI</t>
  </si>
  <si>
    <t>ANGULO 6M 2-1/2 * 1/4</t>
  </si>
  <si>
    <t>ANGULO 6M 2'' * 1/4</t>
  </si>
  <si>
    <t>ANGULO 6M 2'' * 1/8</t>
  </si>
  <si>
    <t>ALAMBRE GALV BWG 10</t>
  </si>
  <si>
    <t>SOLDADURA PVC PAVCO 1/4</t>
  </si>
  <si>
    <t>LIMPIADOR REMOV. 1/4 PAVCO.</t>
  </si>
  <si>
    <t>CODO SANITARIO PVC CXC DE 45° DE 6"</t>
  </si>
  <si>
    <t>TUBO PVC AGUAS NEGRAS 8" Novafor de pavco  200 MM</t>
  </si>
  <si>
    <t>TUBO PVC AGUAS NEGRAS 10" Novafor  250 MM</t>
  </si>
  <si>
    <t>TUBO PVC AGUAS NEGRAS 12" Novafor  315 MM</t>
  </si>
  <si>
    <t>TUBO PVC AGUAS NEGRAS 14" Novafor  355MM</t>
  </si>
  <si>
    <t>TUBO PVC AGUAS NEGRAS 16" Novafor  400 MM</t>
  </si>
  <si>
    <t>TUBO PVC AGUAS NEGRAS 20" Novafor  500 MM</t>
  </si>
  <si>
    <t>BAJANTE X 3 MTS PVC PAVCO. B.S</t>
  </si>
  <si>
    <t>TOR. F. DE ALA CANALETA</t>
  </si>
  <si>
    <t>SIKA SET NC X 230 KLS</t>
  </si>
  <si>
    <t>SIKA MERULEX I.F.S X 3 KLOS</t>
  </si>
  <si>
    <t>Longi</t>
  </si>
  <si>
    <t>PEGACOR  GRIS  10 Kg</t>
  </si>
  <si>
    <t>PUNTILLA EL CABALLO 2 1/2" X 11 CC</t>
  </si>
  <si>
    <t>TUBERIA  RDE 21  DE 3/4"</t>
  </si>
  <si>
    <t>x2,5 = $17.465,00 UN</t>
  </si>
  <si>
    <t>DEMOLICIÓN PAVIMENTOS EN CONCRETO e= 0,15 y 0,20 m</t>
  </si>
  <si>
    <t xml:space="preserve">Puesto en obra Valledupar </t>
  </si>
  <si>
    <t xml:space="preserve">DEMOLICIÓN DE PAVIMENTOS EN CONCRETO ASFÁLTICO    MANUAL                                                                   </t>
  </si>
  <si>
    <t>GRAVILLA FINA 1/2"</t>
  </si>
  <si>
    <t xml:space="preserve">ARENA LAVADA CANTERA </t>
  </si>
  <si>
    <t>MOTONIVELADORA</t>
  </si>
  <si>
    <t>El Dorado</t>
  </si>
  <si>
    <t>TOPOGRAFIA VIAS URBANAS $1.500.000  KM</t>
  </si>
  <si>
    <t>CIELO RASO PLANO DRYWALL , INCLUYE ESTRUCTURA DE SOPORTE EN ALUMINIO-INSTALADO Y PINTADO</t>
  </si>
  <si>
    <t>CIELO RASO DRY-WALL PLANO  1/2 1.22 X 2.44</t>
  </si>
  <si>
    <t xml:space="preserve">MR  41 </t>
  </si>
  <si>
    <t xml:space="preserve">ALGARROBILLO 4X2"de 2,50 ml largo </t>
  </si>
  <si>
    <t>CONCRETO EL DORADO FEBRERO -  2.013</t>
  </si>
  <si>
    <t>Fuera de V/dupar $800,00 Km/ M3</t>
  </si>
  <si>
    <t>Valor en cantera  el Dorado</t>
  </si>
  <si>
    <t>CONCRETO DE 3000 PSI - IMPERMEABILIZADO</t>
  </si>
  <si>
    <t xml:space="preserve">TRITURADO  </t>
  </si>
  <si>
    <t>RED AGUAS NEGRAS PVC  30"  - INSTALACION</t>
  </si>
  <si>
    <t>MORTERO 1:4 IMPERMEABILIZADO PARA PEGA Y PAÑETES</t>
  </si>
  <si>
    <t>TUBO PVC AGUAS NEGRAS 12" - 315 MM</t>
  </si>
  <si>
    <t xml:space="preserve">TUBO PVC SANITARIO 6" </t>
  </si>
  <si>
    <t xml:space="preserve">TUBO PVC AGUAS NEGRAS 6" NOVAFORT </t>
  </si>
  <si>
    <t>TUBO PVC AGUAS NEGRAS 6" Novafor de pavco  160 MM</t>
  </si>
  <si>
    <t xml:space="preserve">EXCAVACION A MAQUINA SIN RETIRO DE SOBRANTES </t>
  </si>
  <si>
    <t>MANO DE OBRA AA- Incluye manejo de trafico</t>
  </si>
  <si>
    <t>RED AGUAS NEGRAS PVC  6"  - 160 MM - INSTALACION</t>
  </si>
  <si>
    <t>ASOTEVA 2.014</t>
  </si>
  <si>
    <t>ALAMBRE NEGRO No.17 kG</t>
  </si>
  <si>
    <t>RED AGUAS NEGRAS PVC  8"  -  200 MM - INSTALACION</t>
  </si>
  <si>
    <t>LISTON EN MADERA 2X2"</t>
  </si>
  <si>
    <t xml:space="preserve">LIENZA DE NYLON </t>
  </si>
  <si>
    <t>Rllo</t>
  </si>
  <si>
    <t xml:space="preserve">EQUIPO DE DEMOLICIÓN (COMPRESOR 2 MARTILLOS ) TRASLADO </t>
  </si>
  <si>
    <t>CINTA SEGURIDAD DE 75 MM X 100 MTS</t>
  </si>
  <si>
    <t>Enero 2.015</t>
  </si>
  <si>
    <t>Enero - 2.015</t>
  </si>
  <si>
    <t>RED AGUAS NEGRAS PVC  20" - 500 MM - INSTALACION</t>
  </si>
  <si>
    <t>Invias</t>
  </si>
  <si>
    <t>PEGAPLUS PORCELANATO BLANCO X 25 KLS</t>
  </si>
  <si>
    <t>ENCHAPE EGEO BLANCO 25 X 35</t>
  </si>
  <si>
    <t>Asotecva 2.015</t>
  </si>
  <si>
    <t xml:space="preserve">CALCULO DE CUADRILLAS </t>
  </si>
  <si>
    <t>PIRLAN BRONCE 1" * 3.00 ML</t>
  </si>
  <si>
    <t xml:space="preserve">PIRLAN ALUMINIO 1 1/2"* 6,00 ML </t>
  </si>
  <si>
    <t>SOPM</t>
  </si>
  <si>
    <t>ANALISIS DE PRECIOS UNITARIOS BASICO-VALLEDUPAR</t>
  </si>
  <si>
    <t>FORMALETA METALICA COLUMNA CIRCULAR  Ø .2 A .3 LONG. 3.00MT</t>
  </si>
  <si>
    <t>FORMALETA METALICA COLUMNA CIRCULAR Ø .4 A .5 LONG. 3.00MT</t>
  </si>
  <si>
    <t>FORMALETA METALICA COLUMNA CIRCULAR Ø .6 LONG. 3.00MT</t>
  </si>
  <si>
    <t>FORMALETA METALICA COLUMNA CUADRADA HASTA .40 X .40 LONG. 2.90MT</t>
  </si>
  <si>
    <t>Índice de precios al consumidor (IPC)</t>
  </si>
  <si>
    <t>Índice y variación porcentual mensual, año corrido y anual</t>
  </si>
  <si>
    <t>Información disponible desde julio de 1954</t>
  </si>
  <si>
    <t>base: diciembre 2008 = 100</t>
  </si>
  <si>
    <t>Año</t>
  </si>
  <si>
    <t>Mes</t>
  </si>
  <si>
    <t>IPC</t>
  </si>
  <si>
    <t>Variación mensual (%)</t>
  </si>
  <si>
    <t>Variación año corrido (%)</t>
  </si>
  <si>
    <t>Variación anual (%)</t>
  </si>
  <si>
    <t>Julio</t>
  </si>
  <si>
    <t>0,03770</t>
  </si>
  <si>
    <t>Agosto</t>
  </si>
  <si>
    <t>0,03742</t>
  </si>
  <si>
    <t>-0,76%</t>
  </si>
  <si>
    <t>Septiembre</t>
  </si>
  <si>
    <t>0,03690</t>
  </si>
  <si>
    <t>-1,37%</t>
  </si>
  <si>
    <t>-2,12%</t>
  </si>
  <si>
    <t>Octubre</t>
  </si>
  <si>
    <t>0,03703</t>
  </si>
  <si>
    <t>0,34%</t>
  </si>
  <si>
    <t>-1,79%</t>
  </si>
  <si>
    <t>Noviembre</t>
  </si>
  <si>
    <t>0,03713</t>
  </si>
  <si>
    <t>0,27%</t>
  </si>
  <si>
    <t>-1,52%</t>
  </si>
  <si>
    <t>Diciembre</t>
  </si>
  <si>
    <t>0,03733</t>
  </si>
  <si>
    <t>0,54%</t>
  </si>
  <si>
    <t>-1,00%</t>
  </si>
  <si>
    <t>Enero</t>
  </si>
  <si>
    <t>0,03726</t>
  </si>
  <si>
    <t>-0,17%</t>
  </si>
  <si>
    <t>Febrero</t>
  </si>
  <si>
    <t>0,03724</t>
  </si>
  <si>
    <t>-0,07%</t>
  </si>
  <si>
    <t>-0,23%</t>
  </si>
  <si>
    <t>Marzo</t>
  </si>
  <si>
    <t>0,03739</t>
  </si>
  <si>
    <t>0,40%</t>
  </si>
  <si>
    <t>0,17%</t>
  </si>
  <si>
    <t>Abril</t>
  </si>
  <si>
    <t>0,03765</t>
  </si>
  <si>
    <t>0,70%</t>
  </si>
  <si>
    <t>0,87%</t>
  </si>
  <si>
    <t>Mayo</t>
  </si>
  <si>
    <t>0,03749</t>
  </si>
  <si>
    <t>-0,43%</t>
  </si>
  <si>
    <t>0,43%</t>
  </si>
  <si>
    <t>Junio</t>
  </si>
  <si>
    <t>0,03746</t>
  </si>
  <si>
    <t>0,37%</t>
  </si>
  <si>
    <t>0,03738</t>
  </si>
  <si>
    <t>0,13%</t>
  </si>
  <si>
    <t>-0,87%</t>
  </si>
  <si>
    <t>0,03741</t>
  </si>
  <si>
    <t>0,10%</t>
  </si>
  <si>
    <t>0,23%</t>
  </si>
  <si>
    <t>-0,01%</t>
  </si>
  <si>
    <t>0,03721</t>
  </si>
  <si>
    <t>-0,53%</t>
  </si>
  <si>
    <t>-0,30%</t>
  </si>
  <si>
    <t>0,84%</t>
  </si>
  <si>
    <t>0,03731</t>
  </si>
  <si>
    <t>-0,04%</t>
  </si>
  <si>
    <t>0,77%</t>
  </si>
  <si>
    <t>0,03766</t>
  </si>
  <si>
    <t>0,94%</t>
  </si>
  <si>
    <t>0,90%</t>
  </si>
  <si>
    <t>1,44%</t>
  </si>
  <si>
    <t>0,03808</t>
  </si>
  <si>
    <t>1,12%</t>
  </si>
  <si>
    <t>2,03%</t>
  </si>
  <si>
    <t>0,03805</t>
  </si>
  <si>
    <t>-0,10%</t>
  </si>
  <si>
    <t>2,10%</t>
  </si>
  <si>
    <t>0,03820</t>
  </si>
  <si>
    <t>0,39%</t>
  </si>
  <si>
    <t>0,29%</t>
  </si>
  <si>
    <t>2,57%</t>
  </si>
  <si>
    <t>0,03855</t>
  </si>
  <si>
    <t>0,91%</t>
  </si>
  <si>
    <t>1,21%</t>
  </si>
  <si>
    <t>3,10%</t>
  </si>
  <si>
    <t>0,03879</t>
  </si>
  <si>
    <t>0,65%</t>
  </si>
  <si>
    <t>1,86%</t>
  </si>
  <si>
    <t>3,04%</t>
  </si>
  <si>
    <t>0,03908</t>
  </si>
  <si>
    <t>0,74%</t>
  </si>
  <si>
    <t>2,62%</t>
  </si>
  <si>
    <t>4,25%</t>
  </si>
  <si>
    <t>0,03944</t>
  </si>
  <si>
    <t>0,92%</t>
  </si>
  <si>
    <t>3,56%</t>
  </si>
  <si>
    <t>5,28%</t>
  </si>
  <si>
    <t>0,03975</t>
  </si>
  <si>
    <t>0,79%</t>
  </si>
  <si>
    <t>4,38%</t>
  </si>
  <si>
    <t>6,36%</t>
  </si>
  <si>
    <t>0,03957</t>
  </si>
  <si>
    <t>-0,47%</t>
  </si>
  <si>
    <t>3,89%</t>
  </si>
  <si>
    <t>5,76%</t>
  </si>
  <si>
    <t>0,03992</t>
  </si>
  <si>
    <t>0,88%</t>
  </si>
  <si>
    <t>4,81%</t>
  </si>
  <si>
    <t>7,26%</t>
  </si>
  <si>
    <t>0,04041</t>
  </si>
  <si>
    <t>1,25%</t>
  </si>
  <si>
    <t>6,11%</t>
  </si>
  <si>
    <t>8,31%</t>
  </si>
  <si>
    <t>0,04099</t>
  </si>
  <si>
    <t>1,42%</t>
  </si>
  <si>
    <t>7,62%</t>
  </si>
  <si>
    <t>8,83%</t>
  </si>
  <si>
    <t>0,04110</t>
  </si>
  <si>
    <t>7,91%</t>
  </si>
  <si>
    <t>0,04158</t>
  </si>
  <si>
    <t>1,18%</t>
  </si>
  <si>
    <t>9,30%</t>
  </si>
  <si>
    <t>0,04213</t>
  </si>
  <si>
    <t>1,32%</t>
  </si>
  <si>
    <t>2,52%</t>
  </si>
  <si>
    <t>10,30%</t>
  </si>
  <si>
    <t>0,04287</t>
  </si>
  <si>
    <t>1,74%</t>
  </si>
  <si>
    <t>4,30%</t>
  </si>
  <si>
    <t>11,21%</t>
  </si>
  <si>
    <t>0,04382</t>
  </si>
  <si>
    <t>2,24%</t>
  </si>
  <si>
    <t>6,64%</t>
  </si>
  <si>
    <t>12,97%</t>
  </si>
  <si>
    <t>0,04439</t>
  </si>
  <si>
    <t>1,28%</t>
  </si>
  <si>
    <t>8,00%</t>
  </si>
  <si>
    <t>13,58%</t>
  </si>
  <si>
    <t>0,04620</t>
  </si>
  <si>
    <t>4,10%</t>
  </si>
  <si>
    <t>12,43%</t>
  </si>
  <si>
    <t>17,15%</t>
  </si>
  <si>
    <t>0,04746</t>
  </si>
  <si>
    <t>2,72%</t>
  </si>
  <si>
    <t>15,49%</t>
  </si>
  <si>
    <t>19,39%</t>
  </si>
  <si>
    <t>0,04805</t>
  </si>
  <si>
    <t>1,23%</t>
  </si>
  <si>
    <t>16,91%</t>
  </si>
  <si>
    <t>21,43%</t>
  </si>
  <si>
    <t>0,04827</t>
  </si>
  <si>
    <t>0,46%</t>
  </si>
  <si>
    <t>17,45%</t>
  </si>
  <si>
    <t>20,93%</t>
  </si>
  <si>
    <t>0,04897</t>
  </si>
  <si>
    <t>19,15%</t>
  </si>
  <si>
    <t>21,17%</t>
  </si>
  <si>
    <t>0,04912</t>
  </si>
  <si>
    <t>0,31%</t>
  </si>
  <si>
    <t>19,51%</t>
  </si>
  <si>
    <t>19,84%</t>
  </si>
  <si>
    <t>0,04960</t>
  </si>
  <si>
    <t>0,99%</t>
  </si>
  <si>
    <t>20,69%</t>
  </si>
  <si>
    <t>0,04968</t>
  </si>
  <si>
    <t>0,15%</t>
  </si>
  <si>
    <t>19,46%</t>
  </si>
  <si>
    <t>0,04974</t>
  </si>
  <si>
    <t>0,12%</t>
  </si>
  <si>
    <t>0,28%</t>
  </si>
  <si>
    <t>18,05%</t>
  </si>
  <si>
    <t>0,05052</t>
  </si>
  <si>
    <t>1,58%</t>
  </si>
  <si>
    <t>17,86%</t>
  </si>
  <si>
    <t>0,05138</t>
  </si>
  <si>
    <t>1,70%</t>
  </si>
  <si>
    <t>3,59%</t>
  </si>
  <si>
    <t>17,24%</t>
  </si>
  <si>
    <t>0,05240</t>
  </si>
  <si>
    <t>1,99%</t>
  </si>
  <si>
    <t>5,65%</t>
  </si>
  <si>
    <t>18,06%</t>
  </si>
  <si>
    <t>0,05263</t>
  </si>
  <si>
    <t>6,10%</t>
  </si>
  <si>
    <t>13,90%</t>
  </si>
  <si>
    <t>0,05268</t>
  </si>
  <si>
    <t>0,09%</t>
  </si>
  <si>
    <t>6,20%</t>
  </si>
  <si>
    <t>10,99%</t>
  </si>
  <si>
    <t>0,05308</t>
  </si>
  <si>
    <t>0,76%</t>
  </si>
  <si>
    <t>7,00%</t>
  </si>
  <si>
    <t>10,47%</t>
  </si>
  <si>
    <t>0,05316</t>
  </si>
  <si>
    <t>0,16%</t>
  </si>
  <si>
    <t>7,18%</t>
  </si>
  <si>
    <t>10,14%</t>
  </si>
  <si>
    <t>0,05334</t>
  </si>
  <si>
    <t>0,33%</t>
  </si>
  <si>
    <t>7,53%</t>
  </si>
  <si>
    <t>8,92%</t>
  </si>
  <si>
    <t>0,05331</t>
  </si>
  <si>
    <t>-0,05%</t>
  </si>
  <si>
    <t>7,48%</t>
  </si>
  <si>
    <t>8,54%</t>
  </si>
  <si>
    <t>0,05356</t>
  </si>
  <si>
    <t>0,47%</t>
  </si>
  <si>
    <t>7,98%</t>
  </si>
  <si>
    <t>0,05438</t>
  </si>
  <si>
    <t>1,54%</t>
  </si>
  <si>
    <t>9,47%</t>
  </si>
  <si>
    <t>0,05488</t>
  </si>
  <si>
    <t>2,47%</t>
  </si>
  <si>
    <t>10,34%</t>
  </si>
  <si>
    <t>0,05512</t>
  </si>
  <si>
    <t>2,91%</t>
  </si>
  <si>
    <t>9,09%</t>
  </si>
  <si>
    <t>0,05599</t>
  </si>
  <si>
    <t>4,54%</t>
  </si>
  <si>
    <t>8,96%</t>
  </si>
  <si>
    <t>0,05640</t>
  </si>
  <si>
    <t>0,73%</t>
  </si>
  <si>
    <t>5,30%</t>
  </si>
  <si>
    <t>0,05677</t>
  </si>
  <si>
    <t>0,66%</t>
  </si>
  <si>
    <t>6,00%</t>
  </si>
  <si>
    <t>7,87%</t>
  </si>
  <si>
    <t>0,05711</t>
  </si>
  <si>
    <t>0,59%</t>
  </si>
  <si>
    <t>6,63%</t>
  </si>
  <si>
    <t>8,41%</t>
  </si>
  <si>
    <t>0,05721</t>
  </si>
  <si>
    <t>6,81%</t>
  </si>
  <si>
    <t>7,78%</t>
  </si>
  <si>
    <t>0,05701</t>
  </si>
  <si>
    <t>-0,35%</t>
  </si>
  <si>
    <t>6,44%</t>
  </si>
  <si>
    <t>7,23%</t>
  </si>
  <si>
    <t>0,05714</t>
  </si>
  <si>
    <t>0,24%</t>
  </si>
  <si>
    <t>6,69%</t>
  </si>
  <si>
    <t>7,14%</t>
  </si>
  <si>
    <t>0,05727</t>
  </si>
  <si>
    <t>0,22%</t>
  </si>
  <si>
    <t>6,92%</t>
  </si>
  <si>
    <t>7,42%</t>
  </si>
  <si>
    <t>0,05774</t>
  </si>
  <si>
    <t>0,83%</t>
  </si>
  <si>
    <t>7,81%</t>
  </si>
  <si>
    <t>0,05793</t>
  </si>
  <si>
    <t>0,32%</t>
  </si>
  <si>
    <t>6,52%</t>
  </si>
  <si>
    <t>0,05775</t>
  </si>
  <si>
    <t>0,02%</t>
  </si>
  <si>
    <t>5,24%</t>
  </si>
  <si>
    <t>0,05850</t>
  </si>
  <si>
    <t>1,29%</t>
  </si>
  <si>
    <t>6,14%</t>
  </si>
  <si>
    <t>0,05906</t>
  </si>
  <si>
    <t>0,96%</t>
  </si>
  <si>
    <t>2,29%</t>
  </si>
  <si>
    <t>5,49%</t>
  </si>
  <si>
    <t>0,05951</t>
  </si>
  <si>
    <t>3,06%</t>
  </si>
  <si>
    <t>5,52%</t>
  </si>
  <si>
    <t>0,05957</t>
  </si>
  <si>
    <t>3,17%</t>
  </si>
  <si>
    <t>4,93%</t>
  </si>
  <si>
    <t>0,05984</t>
  </si>
  <si>
    <t>3,64%</t>
  </si>
  <si>
    <t>4,79%</t>
  </si>
  <si>
    <t>0,06004</t>
  </si>
  <si>
    <t>3,99%</t>
  </si>
  <si>
    <t>4,96%</t>
  </si>
  <si>
    <t>0,06018</t>
  </si>
  <si>
    <t>4,23%</t>
  </si>
  <si>
    <t>5,57%</t>
  </si>
  <si>
    <t>0,06064</t>
  </si>
  <si>
    <t>5,02%</t>
  </si>
  <si>
    <t>6,12%</t>
  </si>
  <si>
    <t>0,06135</t>
  </si>
  <si>
    <t>1,17%</t>
  </si>
  <si>
    <t>6,25%</t>
  </si>
  <si>
    <t>7,13%</t>
  </si>
  <si>
    <t>0,06199</t>
  </si>
  <si>
    <t>1,04%</t>
  </si>
  <si>
    <t>7,35%</t>
  </si>
  <si>
    <t>0,06232</t>
  </si>
  <si>
    <t>7,59%</t>
  </si>
  <si>
    <t>0,06258</t>
  </si>
  <si>
    <t>0,42%</t>
  </si>
  <si>
    <t>8,36%</t>
  </si>
  <si>
    <t>0,06359</t>
  </si>
  <si>
    <t>1,61%</t>
  </si>
  <si>
    <t>2,59%</t>
  </si>
  <si>
    <t>8,70%</t>
  </si>
  <si>
    <t>0,06489</t>
  </si>
  <si>
    <t>2,04%</t>
  </si>
  <si>
    <t>4,68%</t>
  </si>
  <si>
    <t>9,87%</t>
  </si>
  <si>
    <t>0,06560</t>
  </si>
  <si>
    <t>1,10%</t>
  </si>
  <si>
    <t>5,83%</t>
  </si>
  <si>
    <t>10,23%</t>
  </si>
  <si>
    <t>0,06569</t>
  </si>
  <si>
    <t>5,97%</t>
  </si>
  <si>
    <t>10,27%</t>
  </si>
  <si>
    <t>0,06585</t>
  </si>
  <si>
    <t>6,23%</t>
  </si>
  <si>
    <t>10,03%</t>
  </si>
  <si>
    <t>0,06509</t>
  </si>
  <si>
    <t>-1,16%</t>
  </si>
  <si>
    <t>5,00%</t>
  </si>
  <si>
    <t>8,40%</t>
  </si>
  <si>
    <t>0,06467</t>
  </si>
  <si>
    <t>-0,63%</t>
  </si>
  <si>
    <t>4,34%</t>
  </si>
  <si>
    <t>7,47%</t>
  </si>
  <si>
    <t>0,06477</t>
  </si>
  <si>
    <t>4,50%</t>
  </si>
  <si>
    <t>0,06511</t>
  </si>
  <si>
    <t>0,52%</t>
  </si>
  <si>
    <t>5,04%</t>
  </si>
  <si>
    <t>6,13%</t>
  </si>
  <si>
    <t>0,06554</t>
  </si>
  <si>
    <t>0,67%</t>
  </si>
  <si>
    <t>5,74%</t>
  </si>
  <si>
    <t>0,06583</t>
  </si>
  <si>
    <t>0,44%</t>
  </si>
  <si>
    <t>5,63%</t>
  </si>
  <si>
    <t>0,06589</t>
  </si>
  <si>
    <t>0,53%</t>
  </si>
  <si>
    <t>5,29%</t>
  </si>
  <si>
    <t>0,06648</t>
  </si>
  <si>
    <t>0,89%</t>
  </si>
  <si>
    <t>0,06726</t>
  </si>
  <si>
    <t>3,66%</t>
  </si>
  <si>
    <t>0,06732</t>
  </si>
  <si>
    <t>2,63%</t>
  </si>
  <si>
    <t>0,06737</t>
  </si>
  <si>
    <t>0,07%</t>
  </si>
  <si>
    <t>2,79%</t>
  </si>
  <si>
    <t>0,06802</t>
  </si>
  <si>
    <t>3,78%</t>
  </si>
  <si>
    <t>3,30%</t>
  </si>
  <si>
    <t>0,06805</t>
  </si>
  <si>
    <t>0,04%</t>
  </si>
  <si>
    <t>3,82%</t>
  </si>
  <si>
    <t>4,55%</t>
  </si>
  <si>
    <t>0,06846</t>
  </si>
  <si>
    <t>0,60%</t>
  </si>
  <si>
    <t>4,44%</t>
  </si>
  <si>
    <t>5,85%</t>
  </si>
  <si>
    <t>0,06867</t>
  </si>
  <si>
    <t>4,76%</t>
  </si>
  <si>
    <t>6,01%</t>
  </si>
  <si>
    <t>0,06912</t>
  </si>
  <si>
    <t>5,45%</t>
  </si>
  <si>
    <t>6,15%</t>
  </si>
  <si>
    <t>0,06968</t>
  </si>
  <si>
    <t>0,81%</t>
  </si>
  <si>
    <t>6,30%</t>
  </si>
  <si>
    <t>0,07228</t>
  </si>
  <si>
    <t>3,74%</t>
  </si>
  <si>
    <t>9,79%</t>
  </si>
  <si>
    <t>0,07666</t>
  </si>
  <si>
    <t>6,06%</t>
  </si>
  <si>
    <t>16,34%</t>
  </si>
  <si>
    <t>0,08063</t>
  </si>
  <si>
    <t>5,18%</t>
  </si>
  <si>
    <t>15,73%</t>
  </si>
  <si>
    <t>21,29%</t>
  </si>
  <si>
    <t>0,08413</t>
  </si>
  <si>
    <t>20,75%</t>
  </si>
  <si>
    <t>25,08%</t>
  </si>
  <si>
    <t>0,08518</t>
  </si>
  <si>
    <t>1,24%</t>
  </si>
  <si>
    <t>22,25%</t>
  </si>
  <si>
    <t>26,52%</t>
  </si>
  <si>
    <t>0,08707</t>
  </si>
  <si>
    <t>2,22%</t>
  </si>
  <si>
    <t>24,97%</t>
  </si>
  <si>
    <t>29,24%</t>
  </si>
  <si>
    <t>0,08774</t>
  </si>
  <si>
    <t>25,93%</t>
  </si>
  <si>
    <t>28,99%</t>
  </si>
  <si>
    <t>0,08797</t>
  </si>
  <si>
    <t>0,26%</t>
  </si>
  <si>
    <t>26,25%</t>
  </si>
  <si>
    <t>29,28%</t>
  </si>
  <si>
    <t>0,08887</t>
  </si>
  <si>
    <t>1,03%</t>
  </si>
  <si>
    <t>27,56%</t>
  </si>
  <si>
    <t>29,83%</t>
  </si>
  <si>
    <t>0,09033</t>
  </si>
  <si>
    <t>1,64%</t>
  </si>
  <si>
    <t>29,65%</t>
  </si>
  <si>
    <t>31,55%</t>
  </si>
  <si>
    <t>0,09223</t>
  </si>
  <si>
    <t>32,37%</t>
  </si>
  <si>
    <t>33,44%</t>
  </si>
  <si>
    <t>0,09309</t>
  </si>
  <si>
    <t>0,93%</t>
  </si>
  <si>
    <t>33,60%</t>
  </si>
  <si>
    <t>0,09444</t>
  </si>
  <si>
    <t>1,46%</t>
  </si>
  <si>
    <t>30,67%</t>
  </si>
  <si>
    <t>0,09497</t>
  </si>
  <si>
    <t>0,55%</t>
  </si>
  <si>
    <t>2,02%</t>
  </si>
  <si>
    <t>23,88%</t>
  </si>
  <si>
    <t>0,09717</t>
  </si>
  <si>
    <t>2,32%</t>
  </si>
  <si>
    <t>4,39%</t>
  </si>
  <si>
    <t>20,51%</t>
  </si>
  <si>
    <t>0,09942</t>
  </si>
  <si>
    <t>18,18%</t>
  </si>
  <si>
    <t>0,10258</t>
  </si>
  <si>
    <t>10,20%</t>
  </si>
  <si>
    <t>20,43%</t>
  </si>
  <si>
    <t>0,10412</t>
  </si>
  <si>
    <t>1,51%</t>
  </si>
  <si>
    <t>11,86%</t>
  </si>
  <si>
    <t>19,58%</t>
  </si>
  <si>
    <t>0,10325</t>
  </si>
  <si>
    <t>-0,84%</t>
  </si>
  <si>
    <t>10,92%</t>
  </si>
  <si>
    <t>17,67%</t>
  </si>
  <si>
    <t>0,10171</t>
  </si>
  <si>
    <t>-1,49%</t>
  </si>
  <si>
    <t>9,27%</t>
  </si>
  <si>
    <t>15,63%</t>
  </si>
  <si>
    <t>0,10105</t>
  </si>
  <si>
    <t>-0,65%</t>
  </si>
  <si>
    <t>8,56%</t>
  </si>
  <si>
    <t>13,70%</t>
  </si>
  <si>
    <t>0,10028</t>
  </si>
  <si>
    <t>-0,77%</t>
  </si>
  <si>
    <t>7,73%</t>
  </si>
  <si>
    <t>11,01%</t>
  </si>
  <si>
    <t>0,10110</t>
  </si>
  <si>
    <t>0,82%</t>
  </si>
  <si>
    <t>8,61%</t>
  </si>
  <si>
    <t>9,62%</t>
  </si>
  <si>
    <t>0,10127</t>
  </si>
  <si>
    <t>8,80%</t>
  </si>
  <si>
    <t>0,10271</t>
  </si>
  <si>
    <t>1,41%</t>
  </si>
  <si>
    <t>8,75%</t>
  </si>
  <si>
    <t>-0,97%</t>
  </si>
  <si>
    <t>7,10%</t>
  </si>
  <si>
    <t>0,10315</t>
  </si>
  <si>
    <t>1,85%</t>
  </si>
  <si>
    <t>6,16%</t>
  </si>
  <si>
    <t>0,10496</t>
  </si>
  <si>
    <t>1,75%</t>
  </si>
  <si>
    <t>0,10627</t>
  </si>
  <si>
    <t>3,60%</t>
  </si>
  <si>
    <t>0,10789</t>
  </si>
  <si>
    <t>1,52%</t>
  </si>
  <si>
    <t>6,53%</t>
  </si>
  <si>
    <t>3,61%</t>
  </si>
  <si>
    <t>0,10797</t>
  </si>
  <si>
    <t>0,08%</t>
  </si>
  <si>
    <t>6,61%</t>
  </si>
  <si>
    <t>4,57%</t>
  </si>
  <si>
    <t>0,10819</t>
  </si>
  <si>
    <t>0,21%</t>
  </si>
  <si>
    <t>6,83%</t>
  </si>
  <si>
    <t>6,37%</t>
  </si>
  <si>
    <t>0,10919</t>
  </si>
  <si>
    <t>8,05%</t>
  </si>
  <si>
    <t>0,11154</t>
  </si>
  <si>
    <t>2,16%</t>
  </si>
  <si>
    <t>11,23%</t>
  </si>
  <si>
    <t>0,11310</t>
  </si>
  <si>
    <t>1,40%</t>
  </si>
  <si>
    <t>11,67%</t>
  </si>
  <si>
    <t>0,11590</t>
  </si>
  <si>
    <t>2,48%</t>
  </si>
  <si>
    <t>14,44%</t>
  </si>
  <si>
    <t>0,11739</t>
  </si>
  <si>
    <t>14,30%</t>
  </si>
  <si>
    <t>0,11890</t>
  </si>
  <si>
    <t>16,90%</t>
  </si>
  <si>
    <t>0,12181</t>
  </si>
  <si>
    <t>2,45%</t>
  </si>
  <si>
    <t>5,10%</t>
  </si>
  <si>
    <t>18,09%</t>
  </si>
  <si>
    <t>0,12544</t>
  </si>
  <si>
    <t>2,98%</t>
  </si>
  <si>
    <t>8,23%</t>
  </si>
  <si>
    <t>0,12691</t>
  </si>
  <si>
    <t>9,50%</t>
  </si>
  <si>
    <t>19,42%</t>
  </si>
  <si>
    <t>0,12683</t>
  </si>
  <si>
    <t>-0,06%</t>
  </si>
  <si>
    <t>9,43%</t>
  </si>
  <si>
    <t>17,56%</t>
  </si>
  <si>
    <t>0,12695</t>
  </si>
  <si>
    <t>9,54%</t>
  </si>
  <si>
    <t>17,58%</t>
  </si>
  <si>
    <t>0,12663</t>
  </si>
  <si>
    <t>-0,26%</t>
  </si>
  <si>
    <t>9,26%</t>
  </si>
  <si>
    <t>17,04%</t>
  </si>
  <si>
    <t>0,12801</t>
  </si>
  <si>
    <t>1,09%</t>
  </si>
  <si>
    <t>10,45%</t>
  </si>
  <si>
    <t>0,12939</t>
  </si>
  <si>
    <t>1,08%</t>
  </si>
  <si>
    <t>11,64%</t>
  </si>
  <si>
    <t>16,00%</t>
  </si>
  <si>
    <t>0,12973</t>
  </si>
  <si>
    <t>11,93%</t>
  </si>
  <si>
    <t>14,70%</t>
  </si>
  <si>
    <t>0,13081</t>
  </si>
  <si>
    <t>12,86%</t>
  </si>
  <si>
    <t>0,13149</t>
  </si>
  <si>
    <t>12,01%</t>
  </si>
  <si>
    <t>0,13209</t>
  </si>
  <si>
    <t>0,45%</t>
  </si>
  <si>
    <t>0,98%</t>
  </si>
  <si>
    <t>11,09%</t>
  </si>
  <si>
    <t>0,13354</t>
  </si>
  <si>
    <t>2,08%</t>
  </si>
  <si>
    <t>0,13406</t>
  </si>
  <si>
    <t>6,87%</t>
  </si>
  <si>
    <t>0,13490</t>
  </si>
  <si>
    <t>0,63%</t>
  </si>
  <si>
    <t>3,13%</t>
  </si>
  <si>
    <t>0,13728</t>
  </si>
  <si>
    <t>1,76%</t>
  </si>
  <si>
    <t>4,95%</t>
  </si>
  <si>
    <t>8,24%</t>
  </si>
  <si>
    <t>0,13749</t>
  </si>
  <si>
    <t>5,11%</t>
  </si>
  <si>
    <t>8,30%</t>
  </si>
  <si>
    <t>0,13727</t>
  </si>
  <si>
    <t>-0,16%</t>
  </si>
  <si>
    <t>4,94%</t>
  </si>
  <si>
    <t>0,13774</t>
  </si>
  <si>
    <t>7,60%</t>
  </si>
  <si>
    <t>0,13881</t>
  </si>
  <si>
    <t>0,78%</t>
  </si>
  <si>
    <t>7,28%</t>
  </si>
  <si>
    <t>0,13958</t>
  </si>
  <si>
    <t>0,56%</t>
  </si>
  <si>
    <t>6,71%</t>
  </si>
  <si>
    <t>0,14019</t>
  </si>
  <si>
    <t>7,17%</t>
  </si>
  <si>
    <t>0,14159</t>
  </si>
  <si>
    <t>7,68%</t>
  </si>
  <si>
    <t>0,14157</t>
  </si>
  <si>
    <t>0,14307</t>
  </si>
  <si>
    <t>1,05%</t>
  </si>
  <si>
    <t>2,05%</t>
  </si>
  <si>
    <t>0,14542</t>
  </si>
  <si>
    <t>3,73%</t>
  </si>
  <si>
    <t>8,48%</t>
  </si>
  <si>
    <t>0,14639</t>
  </si>
  <si>
    <t>4,42%</t>
  </si>
  <si>
    <t>8,52%</t>
  </si>
  <si>
    <t>0,14695</t>
  </si>
  <si>
    <t>0,38%</t>
  </si>
  <si>
    <t>4,82%</t>
  </si>
  <si>
    <t>7,04%</t>
  </si>
  <si>
    <t>0,14812</t>
  </si>
  <si>
    <t>0,80%</t>
  </si>
  <si>
    <t>5,66%</t>
  </si>
  <si>
    <t>0,14777</t>
  </si>
  <si>
    <t>-0,24%</t>
  </si>
  <si>
    <t>5,41%</t>
  </si>
  <si>
    <t>7,65%</t>
  </si>
  <si>
    <t>0,14797</t>
  </si>
  <si>
    <t>5,55%</t>
  </si>
  <si>
    <t>7,43%</t>
  </si>
  <si>
    <t>0,14848</t>
  </si>
  <si>
    <t>0,35%</t>
  </si>
  <si>
    <t>5,91%</t>
  </si>
  <si>
    <t>6,97%</t>
  </si>
  <si>
    <t>0,14951</t>
  </si>
  <si>
    <t>6,65%</t>
  </si>
  <si>
    <t>7,12%</t>
  </si>
  <si>
    <t>0,14932</t>
  </si>
  <si>
    <t>-0,13%</t>
  </si>
  <si>
    <t>6,51%</t>
  </si>
  <si>
    <t>0,15108</t>
  </si>
  <si>
    <t>0,15065</t>
  </si>
  <si>
    <t>-0,29%</t>
  </si>
  <si>
    <t>6,41%</t>
  </si>
  <si>
    <t>0,15189</t>
  </si>
  <si>
    <t>1,72%</t>
  </si>
  <si>
    <t>6,17%</t>
  </si>
  <si>
    <t>0,15441</t>
  </si>
  <si>
    <t>1,66%</t>
  </si>
  <si>
    <t>3,41%</t>
  </si>
  <si>
    <t>6,18%</t>
  </si>
  <si>
    <t>0,15579</t>
  </si>
  <si>
    <t>6,42%</t>
  </si>
  <si>
    <t>0,15662</t>
  </si>
  <si>
    <t>4,89%</t>
  </si>
  <si>
    <t>6,58%</t>
  </si>
  <si>
    <t>0,15724</t>
  </si>
  <si>
    <t>5,31%</t>
  </si>
  <si>
    <t>0,15783</t>
  </si>
  <si>
    <t>5,70%</t>
  </si>
  <si>
    <t>0,15885</t>
  </si>
  <si>
    <t>6,39%</t>
  </si>
  <si>
    <t>0,16091</t>
  </si>
  <si>
    <t>7,76%</t>
  </si>
  <si>
    <t>8,37%</t>
  </si>
  <si>
    <t>0,16131</t>
  </si>
  <si>
    <t>0,25%</t>
  </si>
  <si>
    <t>8,04%</t>
  </si>
  <si>
    <t>7,89%</t>
  </si>
  <si>
    <t>0,16220</t>
  </si>
  <si>
    <t>8,63%</t>
  </si>
  <si>
    <t>0,00%</t>
  </si>
  <si>
    <t>7,36%</t>
  </si>
  <si>
    <t>0,16223</t>
  </si>
  <si>
    <t>7,69%</t>
  </si>
  <si>
    <t>0,16361</t>
  </si>
  <si>
    <t>0,85%</t>
  </si>
  <si>
    <t>7,72%</t>
  </si>
  <si>
    <t>0,16588</t>
  </si>
  <si>
    <t>1,39%</t>
  </si>
  <si>
    <t>2,27%</t>
  </si>
  <si>
    <t>0,16671</t>
  </si>
  <si>
    <t>0,50%</t>
  </si>
  <si>
    <t>2,78%</t>
  </si>
  <si>
    <t>7,01%</t>
  </si>
  <si>
    <t>0,16847</t>
  </si>
  <si>
    <t>3,87%</t>
  </si>
  <si>
    <t>7,56%</t>
  </si>
  <si>
    <t>0,16894</t>
  </si>
  <si>
    <t>4,16%</t>
  </si>
  <si>
    <t>7,44%</t>
  </si>
  <si>
    <t>0,16797</t>
  </si>
  <si>
    <t>-0,58%</t>
  </si>
  <si>
    <t>6,43%</t>
  </si>
  <si>
    <t>0,16919</t>
  </si>
  <si>
    <t>4,31%</t>
  </si>
  <si>
    <t>0,16930</t>
  </si>
  <si>
    <t>5,22%</t>
  </si>
  <si>
    <t>0,17119</t>
  </si>
  <si>
    <t>0,17287</t>
  </si>
  <si>
    <t>0,17560</t>
  </si>
  <si>
    <t>8,26%</t>
  </si>
  <si>
    <t>0,17708</t>
  </si>
  <si>
    <t>2,43%</t>
  </si>
  <si>
    <t>9,15%</t>
  </si>
  <si>
    <t>0,17884</t>
  </si>
  <si>
    <t>3,45%</t>
  </si>
  <si>
    <t>0,18210</t>
  </si>
  <si>
    <t>1,83%</t>
  </si>
  <si>
    <t>5,34%</t>
  </si>
  <si>
    <t>9,78%</t>
  </si>
  <si>
    <t>0,18428</t>
  </si>
  <si>
    <t>1,20%</t>
  </si>
  <si>
    <t>6,60%</t>
  </si>
  <si>
    <t>10,54%</t>
  </si>
  <si>
    <t>0,18531</t>
  </si>
  <si>
    <t>7,20%</t>
  </si>
  <si>
    <t>10,00%</t>
  </si>
  <si>
    <t>0,18785</t>
  </si>
  <si>
    <t>1,37%</t>
  </si>
  <si>
    <t>8,67%</t>
  </si>
  <si>
    <t>11,19%</t>
  </si>
  <si>
    <t>0,18986</t>
  </si>
  <si>
    <t>1,07%</t>
  </si>
  <si>
    <t>9,83%</t>
  </si>
  <si>
    <t>13,03%</t>
  </si>
  <si>
    <t>0,19142</t>
  </si>
  <si>
    <t>10,73%</t>
  </si>
  <si>
    <t>13,14%</t>
  </si>
  <si>
    <t>0,19411</t>
  </si>
  <si>
    <t>12,28%</t>
  </si>
  <si>
    <t>14,65%</t>
  </si>
  <si>
    <t>0,19619</t>
  </si>
  <si>
    <t>13,49%</t>
  </si>
  <si>
    <t>14,60%</t>
  </si>
  <si>
    <t>0,19713</t>
  </si>
  <si>
    <t>0,48%</t>
  </si>
  <si>
    <t>14,03%</t>
  </si>
  <si>
    <t>0,19931</t>
  </si>
  <si>
    <t>13,50%</t>
  </si>
  <si>
    <t>0,20160</t>
  </si>
  <si>
    <t>1,15%</t>
  </si>
  <si>
    <t>13,84%</t>
  </si>
  <si>
    <t>0,20357</t>
  </si>
  <si>
    <t>3,27%</t>
  </si>
  <si>
    <t>13,83%</t>
  </si>
  <si>
    <t>0,20661</t>
  </si>
  <si>
    <t>1,49%</t>
  </si>
  <si>
    <t>13,46%</t>
  </si>
  <si>
    <t>0,20827</t>
  </si>
  <si>
    <t>13,02%</t>
  </si>
  <si>
    <t>0,21046</t>
  </si>
  <si>
    <t>6,76%</t>
  </si>
  <si>
    <t>13,57%</t>
  </si>
  <si>
    <t>0,21292</t>
  </si>
  <si>
    <t>8,01%</t>
  </si>
  <si>
    <t>13,34%</t>
  </si>
  <si>
    <t>0,21436</t>
  </si>
  <si>
    <t>0,68%</t>
  </si>
  <si>
    <t>8,74%</t>
  </si>
  <si>
    <t>12,90%</t>
  </si>
  <si>
    <t>0,21746</t>
  </si>
  <si>
    <t>1,45%</t>
  </si>
  <si>
    <t>10,31%</t>
  </si>
  <si>
    <t>13,60%</t>
  </si>
  <si>
    <t>0,22174</t>
  </si>
  <si>
    <t>1,97%</t>
  </si>
  <si>
    <t>12,48%</t>
  </si>
  <si>
    <t>14,24%</t>
  </si>
  <si>
    <t>0,22426</t>
  </si>
  <si>
    <t>1,13%</t>
  </si>
  <si>
    <t>13,76%</t>
  </si>
  <si>
    <t>14,31%</t>
  </si>
  <si>
    <t>0,22471</t>
  </si>
  <si>
    <t>0,20%</t>
  </si>
  <si>
    <t>13,99%</t>
  </si>
  <si>
    <t>0,22711</t>
  </si>
  <si>
    <t>13,95%</t>
  </si>
  <si>
    <t>0,23171</t>
  </si>
  <si>
    <t>3,11%</t>
  </si>
  <si>
    <t>14,94%</t>
  </si>
  <si>
    <t>0,23972</t>
  </si>
  <si>
    <t>3,46%</t>
  </si>
  <si>
    <t>6,68%</t>
  </si>
  <si>
    <t>17,75%</t>
  </si>
  <si>
    <t>0,24812</t>
  </si>
  <si>
    <t>3,51%</t>
  </si>
  <si>
    <t>10,42%</t>
  </si>
  <si>
    <t>20,09%</t>
  </si>
  <si>
    <t>0,25555</t>
  </si>
  <si>
    <t>2,99%</t>
  </si>
  <si>
    <t>13,72%</t>
  </si>
  <si>
    <t>22,70%</t>
  </si>
  <si>
    <t>0,26049</t>
  </si>
  <si>
    <t>1,93%</t>
  </si>
  <si>
    <t>15,92%</t>
  </si>
  <si>
    <t>23,77%</t>
  </si>
  <si>
    <t>0,26567</t>
  </si>
  <si>
    <t>18,23%</t>
  </si>
  <si>
    <t>24,78%</t>
  </si>
  <si>
    <t>0,26459</t>
  </si>
  <si>
    <t>-0,41%</t>
  </si>
  <si>
    <t>23,44%</t>
  </si>
  <si>
    <t>0,26825</t>
  </si>
  <si>
    <t>1,38%</t>
  </si>
  <si>
    <t>19,37%</t>
  </si>
  <si>
    <t>23,36%</t>
  </si>
  <si>
    <t>0,26973</t>
  </si>
  <si>
    <t>20,03%</t>
  </si>
  <si>
    <t>21,64%</t>
  </si>
  <si>
    <t>0,27558</t>
  </si>
  <si>
    <t>2,17%</t>
  </si>
  <si>
    <t>22,64%</t>
  </si>
  <si>
    <t>22,89%</t>
  </si>
  <si>
    <t>0,27883</t>
  </si>
  <si>
    <t>24,08%</t>
  </si>
  <si>
    <t>0,28679</t>
  </si>
  <si>
    <t>2,85%</t>
  </si>
  <si>
    <t>26,28%</t>
  </si>
  <si>
    <t>0,29406</t>
  </si>
  <si>
    <t>2,54%</t>
  </si>
  <si>
    <t>5,46%</t>
  </si>
  <si>
    <t>26,91%</t>
  </si>
  <si>
    <t>0,30373</t>
  </si>
  <si>
    <t>3,29%</t>
  </si>
  <si>
    <t>8,93%</t>
  </si>
  <si>
    <t>26,70%</t>
  </si>
  <si>
    <t>0,31198</t>
  </si>
  <si>
    <t>11,89%</t>
  </si>
  <si>
    <t>25,73%</t>
  </si>
  <si>
    <t>0,31567</t>
  </si>
  <si>
    <t>1,19%</t>
  </si>
  <si>
    <t>13,21%</t>
  </si>
  <si>
    <t>23,53%</t>
  </si>
  <si>
    <t>0,31897</t>
  </si>
  <si>
    <t>14,39%</t>
  </si>
  <si>
    <t>22,45%</t>
  </si>
  <si>
    <t>0,32200</t>
  </si>
  <si>
    <t>0,95%</t>
  </si>
  <si>
    <t>15,48%</t>
  </si>
  <si>
    <t>21,20%</t>
  </si>
  <si>
    <t>0,32297</t>
  </si>
  <si>
    <t>0,30%</t>
  </si>
  <si>
    <t>15,83%</t>
  </si>
  <si>
    <t>22,06%</t>
  </si>
  <si>
    <t>0,32796</t>
  </si>
  <si>
    <t>1,55%</t>
  </si>
  <si>
    <t>17,62%</t>
  </si>
  <si>
    <t>22,26%</t>
  </si>
  <si>
    <t>0,34175</t>
  </si>
  <si>
    <t>4,20%</t>
  </si>
  <si>
    <t>22,56%</t>
  </si>
  <si>
    <t>0,34565</t>
  </si>
  <si>
    <t>1,14%</t>
  </si>
  <si>
    <t>23,96%</t>
  </si>
  <si>
    <t>25,42%</t>
  </si>
  <si>
    <t>0,35231</t>
  </si>
  <si>
    <t>26,35%</t>
  </si>
  <si>
    <t>0,36240</t>
  </si>
  <si>
    <t>2,86%</t>
  </si>
  <si>
    <t>26,36%</t>
  </si>
  <si>
    <t>0,36844</t>
  </si>
  <si>
    <t>1,67%</t>
  </si>
  <si>
    <t>4,58%</t>
  </si>
  <si>
    <t>25,29%</t>
  </si>
  <si>
    <t>0,37855</t>
  </si>
  <si>
    <t>2,74%</t>
  </si>
  <si>
    <t>7,45%</t>
  </si>
  <si>
    <t>24,63%</t>
  </si>
  <si>
    <t>0,38805</t>
  </si>
  <si>
    <t>2,51%</t>
  </si>
  <si>
    <t>10,15%</t>
  </si>
  <si>
    <t>24,39%</t>
  </si>
  <si>
    <t>0,39515</t>
  </si>
  <si>
    <t>12,16%</t>
  </si>
  <si>
    <t>25,18%</t>
  </si>
  <si>
    <t>0,39806</t>
  </si>
  <si>
    <t>12,99%</t>
  </si>
  <si>
    <t>24,80%</t>
  </si>
  <si>
    <t>0,40044</t>
  </si>
  <si>
    <t>13,66%</t>
  </si>
  <si>
    <t>24,36%</t>
  </si>
  <si>
    <t>23,99%</t>
  </si>
  <si>
    <t>0,40586</t>
  </si>
  <si>
    <t>1,35%</t>
  </si>
  <si>
    <t>15,20%</t>
  </si>
  <si>
    <t>23,75%</t>
  </si>
  <si>
    <t>0,40980</t>
  </si>
  <si>
    <t>0,97%</t>
  </si>
  <si>
    <t>16,32%</t>
  </si>
  <si>
    <t>19,91%</t>
  </si>
  <si>
    <t>0,41219</t>
  </si>
  <si>
    <t>0,58%</t>
  </si>
  <si>
    <t>17,00%</t>
  </si>
  <si>
    <t>19,25%</t>
  </si>
  <si>
    <t>0,41492</t>
  </si>
  <si>
    <t>17,77%</t>
  </si>
  <si>
    <t>0,42442</t>
  </si>
  <si>
    <t>17,11%</t>
  </si>
  <si>
    <t>0,43422</t>
  </si>
  <si>
    <t>2,31%</t>
  </si>
  <si>
    <t>4,65%</t>
  </si>
  <si>
    <t>0,44337</t>
  </si>
  <si>
    <t>2,11%</t>
  </si>
  <si>
    <t>6,86%</t>
  </si>
  <si>
    <t>17,12%</t>
  </si>
  <si>
    <t>0,45149</t>
  </si>
  <si>
    <t>8,81%</t>
  </si>
  <si>
    <t>16,35%</t>
  </si>
  <si>
    <t>0,45714</t>
  </si>
  <si>
    <t>10,18%</t>
  </si>
  <si>
    <t>15,69%</t>
  </si>
  <si>
    <t>0,46864</t>
  </si>
  <si>
    <t>12,95%</t>
  </si>
  <si>
    <t>17,73%</t>
  </si>
  <si>
    <t>0,48085</t>
  </si>
  <si>
    <t>2,61%</t>
  </si>
  <si>
    <t>15,89%</t>
  </si>
  <si>
    <t>20,08%</t>
  </si>
  <si>
    <t>0,48781</t>
  </si>
  <si>
    <t>17,57%</t>
  </si>
  <si>
    <t>21,82%</t>
  </si>
  <si>
    <t>0,49622</t>
  </si>
  <si>
    <t>19,60%</t>
  </si>
  <si>
    <t>22,27%</t>
  </si>
  <si>
    <t>0,50423</t>
  </si>
  <si>
    <t>21,53%</t>
  </si>
  <si>
    <t>23,04%</t>
  </si>
  <si>
    <t>0,51651</t>
  </si>
  <si>
    <t>2,44%</t>
  </si>
  <si>
    <t>24,49%</t>
  </si>
  <si>
    <t>25,31%</t>
  </si>
  <si>
    <t>0,52181</t>
  </si>
  <si>
    <t>25,76%</t>
  </si>
  <si>
    <t>0,53358</t>
  </si>
  <si>
    <t>2,25%</t>
  </si>
  <si>
    <t>25,72%</t>
  </si>
  <si>
    <t>0,55378</t>
  </si>
  <si>
    <t>3,79%</t>
  </si>
  <si>
    <t>27,53%</t>
  </si>
  <si>
    <t>0,57600</t>
  </si>
  <si>
    <t>4,01%</t>
  </si>
  <si>
    <t>10,38%</t>
  </si>
  <si>
    <t>29,91%</t>
  </si>
  <si>
    <t>0,61689</t>
  </si>
  <si>
    <t>18,22%</t>
  </si>
  <si>
    <t>36,63%</t>
  </si>
  <si>
    <t>0,64389</t>
  </si>
  <si>
    <t>23,39%</t>
  </si>
  <si>
    <t>40,85%</t>
  </si>
  <si>
    <t>0,66381</t>
  </si>
  <si>
    <t>3,09%</t>
  </si>
  <si>
    <t>27,21%</t>
  </si>
  <si>
    <t>41,65%</t>
  </si>
  <si>
    <t>0,67052</t>
  </si>
  <si>
    <t>1,01%</t>
  </si>
  <si>
    <t>28,50%</t>
  </si>
  <si>
    <t>39,45%</t>
  </si>
  <si>
    <t>0,66835</t>
  </si>
  <si>
    <t>-0,32%</t>
  </si>
  <si>
    <t>28,08%</t>
  </si>
  <si>
    <t>37,01%</t>
  </si>
  <si>
    <t>0,66925</t>
  </si>
  <si>
    <t>0,14%</t>
  </si>
  <si>
    <t>28,26%</t>
  </si>
  <si>
    <t>34,87%</t>
  </si>
  <si>
    <t>0,66762</t>
  </si>
  <si>
    <t>27,94%</t>
  </si>
  <si>
    <t>32,40%</t>
  </si>
  <si>
    <t>0,66859</t>
  </si>
  <si>
    <t>28,13%</t>
  </si>
  <si>
    <t>29,44%</t>
  </si>
  <si>
    <t>0,67163</t>
  </si>
  <si>
    <t>28,71%</t>
  </si>
  <si>
    <t>0,67879</t>
  </si>
  <si>
    <t>27,22%</t>
  </si>
  <si>
    <t>0,68870</t>
  </si>
  <si>
    <t>0,71076</t>
  </si>
  <si>
    <t>3,20%</t>
  </si>
  <si>
    <t>23,40%</t>
  </si>
  <si>
    <t>0,72226</t>
  </si>
  <si>
    <t>1,62%</t>
  </si>
  <si>
    <t>7,54%</t>
  </si>
  <si>
    <t>17,08%</t>
  </si>
  <si>
    <t>0,73886</t>
  </si>
  <si>
    <t>2,30%</t>
  </si>
  <si>
    <t>10,01%</t>
  </si>
  <si>
    <t>14,75%</t>
  </si>
  <si>
    <t>0,75762</t>
  </si>
  <si>
    <t>12,80%</t>
  </si>
  <si>
    <t>14,13%</t>
  </si>
  <si>
    <t>0,75561</t>
  </si>
  <si>
    <t>-0,27%</t>
  </si>
  <si>
    <t>12,50%</t>
  </si>
  <si>
    <t>12,69%</t>
  </si>
  <si>
    <t>0,75665</t>
  </si>
  <si>
    <t>12,66%</t>
  </si>
  <si>
    <t>0,75980</t>
  </si>
  <si>
    <t>13,13%</t>
  </si>
  <si>
    <t>13,53%</t>
  </si>
  <si>
    <t>0,77552</t>
  </si>
  <si>
    <t>2,07%</t>
  </si>
  <si>
    <t>15,47%</t>
  </si>
  <si>
    <t>16,16%</t>
  </si>
  <si>
    <t>0,78639</t>
  </si>
  <si>
    <t>17,09%</t>
  </si>
  <si>
    <t>0,79537</t>
  </si>
  <si>
    <t>18,42%</t>
  </si>
  <si>
    <t>0,82162</t>
  </si>
  <si>
    <t>21,04%</t>
  </si>
  <si>
    <t>0,83673</t>
  </si>
  <si>
    <t>1,84%</t>
  </si>
  <si>
    <t>5,20%</t>
  </si>
  <si>
    <t>21,49%</t>
  </si>
  <si>
    <t>0,87093</t>
  </si>
  <si>
    <t>4,09%</t>
  </si>
  <si>
    <t>22,53%</t>
  </si>
  <si>
    <t>0,88684</t>
  </si>
  <si>
    <t>11,50%</t>
  </si>
  <si>
    <t>22,79%</t>
  </si>
  <si>
    <t>0,90593</t>
  </si>
  <si>
    <t>2,15%</t>
  </si>
  <si>
    <t>22,61%</t>
  </si>
  <si>
    <t>0,92104</t>
  </si>
  <si>
    <t>15,80%</t>
  </si>
  <si>
    <t>21,57%</t>
  </si>
  <si>
    <t>0,93297</t>
  </si>
  <si>
    <t>17,30%</t>
  </si>
  <si>
    <t>23,47%</t>
  </si>
  <si>
    <t>0,94967</t>
  </si>
  <si>
    <t>1,79%</t>
  </si>
  <si>
    <t>19,40%</t>
  </si>
  <si>
    <t>25,51%</t>
  </si>
  <si>
    <t>0,97035</t>
  </si>
  <si>
    <t>2,18%</t>
  </si>
  <si>
    <t>22,00%</t>
  </si>
  <si>
    <t>27,71%</t>
  </si>
  <si>
    <t>0,98387</t>
  </si>
  <si>
    <t>23,70%</t>
  </si>
  <si>
    <t>26,87%</t>
  </si>
  <si>
    <t>2,42%</t>
  </si>
  <si>
    <t>28,15%</t>
  </si>
  <si>
    <t>28,80%</t>
  </si>
  <si>
    <t>2,33%</t>
  </si>
  <si>
    <t>27,59%</t>
  </si>
  <si>
    <t>1,06%</t>
  </si>
  <si>
    <t>3,42%</t>
  </si>
  <si>
    <t>26,62%</t>
  </si>
  <si>
    <t>5,59%</t>
  </si>
  <si>
    <t>24,20%</t>
  </si>
  <si>
    <t>9,63%</t>
  </si>
  <si>
    <t>26,64%</t>
  </si>
  <si>
    <t>3,47%</t>
  </si>
  <si>
    <t>13,43%</t>
  </si>
  <si>
    <t>28,27%</t>
  </si>
  <si>
    <t>14,83%</t>
  </si>
  <si>
    <t>27,72%</t>
  </si>
  <si>
    <t>15,99%</t>
  </si>
  <si>
    <t>27,37%</t>
  </si>
  <si>
    <t>16,92%</t>
  </si>
  <si>
    <t>26,13%</t>
  </si>
  <si>
    <t>18,87%</t>
  </si>
  <si>
    <t>25,49%</t>
  </si>
  <si>
    <t>21,51%</t>
  </si>
  <si>
    <t>24,15%</t>
  </si>
  <si>
    <t>26,20%</t>
  </si>
  <si>
    <t>25,85%</t>
  </si>
  <si>
    <t>2,09%</t>
  </si>
  <si>
    <t>25,67%</t>
  </si>
  <si>
    <t>2,93%</t>
  </si>
  <si>
    <t>5,08%</t>
  </si>
  <si>
    <t>28,00%</t>
  </si>
  <si>
    <t>2,75%</t>
  </si>
  <si>
    <t>28,82%</t>
  </si>
  <si>
    <t>2,38%</t>
  </si>
  <si>
    <t>10,57%</t>
  </si>
  <si>
    <t>27,05%</t>
  </si>
  <si>
    <t>13,48%</t>
  </si>
  <si>
    <t>26,02%</t>
  </si>
  <si>
    <t>16,58%</t>
  </si>
  <si>
    <t>27,87%</t>
  </si>
  <si>
    <t>18,73%</t>
  </si>
  <si>
    <t>28,93%</t>
  </si>
  <si>
    <t>1,27%</t>
  </si>
  <si>
    <t>20,24%</t>
  </si>
  <si>
    <t>29,52%</t>
  </si>
  <si>
    <t>0,72%</t>
  </si>
  <si>
    <t>21,11%</t>
  </si>
  <si>
    <t>28,33%</t>
  </si>
  <si>
    <t>27,10%</t>
  </si>
  <si>
    <t>1,57%</t>
  </si>
  <si>
    <t>24,54%</t>
  </si>
  <si>
    <t>26,03%</t>
  </si>
  <si>
    <t>4,05%</t>
  </si>
  <si>
    <t>25,10%</t>
  </si>
  <si>
    <t>24,55%</t>
  </si>
  <si>
    <t>2,58%</t>
  </si>
  <si>
    <t>9,19%</t>
  </si>
  <si>
    <t>24,77%</t>
  </si>
  <si>
    <t>2,64%</t>
  </si>
  <si>
    <t>12,07%</t>
  </si>
  <si>
    <t>2,23%</t>
  </si>
  <si>
    <t>14,58%</t>
  </si>
  <si>
    <t>24,19%</t>
  </si>
  <si>
    <t>16,08%</t>
  </si>
  <si>
    <t>23,54%</t>
  </si>
  <si>
    <t>17,48%</t>
  </si>
  <si>
    <t>23,46%</t>
  </si>
  <si>
    <t>1,59%</t>
  </si>
  <si>
    <t>19,35%</t>
  </si>
  <si>
    <t>24,52%</t>
  </si>
  <si>
    <t>21,55%</t>
  </si>
  <si>
    <t>25,26%</t>
  </si>
  <si>
    <t>22,99%</t>
  </si>
  <si>
    <t>24,79%</t>
  </si>
  <si>
    <t>24,03%</t>
  </si>
  <si>
    <t>23,08%</t>
  </si>
  <si>
    <t>21,88%</t>
  </si>
  <si>
    <t>21,85%</t>
  </si>
  <si>
    <t>7,77%</t>
  </si>
  <si>
    <t>22,42%</t>
  </si>
  <si>
    <t>10,49%</t>
  </si>
  <si>
    <t>22,28%</t>
  </si>
  <si>
    <t>11,28%</t>
  </si>
  <si>
    <t>20,46%</t>
  </si>
  <si>
    <t>12,15%</t>
  </si>
  <si>
    <t>19,82%</t>
  </si>
  <si>
    <t>-0,08%</t>
  </si>
  <si>
    <t>18,32%</t>
  </si>
  <si>
    <t>12,09%</t>
  </si>
  <si>
    <t>17,42%</t>
  </si>
  <si>
    <t>1,65%</t>
  </si>
  <si>
    <t>14,86%</t>
  </si>
  <si>
    <t>17,20%</t>
  </si>
  <si>
    <t>16,06%</t>
  </si>
  <si>
    <t>0,49%</t>
  </si>
  <si>
    <t>16,64%</t>
  </si>
  <si>
    <t>17,02%</t>
  </si>
  <si>
    <t>1,34%</t>
  </si>
  <si>
    <t>1,78%</t>
  </si>
  <si>
    <t>15,42%</t>
  </si>
  <si>
    <t>8,14%</t>
  </si>
  <si>
    <t>14,16%</t>
  </si>
  <si>
    <t>9,88%</t>
  </si>
  <si>
    <t>15,17%</t>
  </si>
  <si>
    <t>1,22%</t>
  </si>
  <si>
    <t>11,22%</t>
  </si>
  <si>
    <t>15,67%</t>
  </si>
  <si>
    <t>16,19%</t>
  </si>
  <si>
    <t>12,87%</t>
  </si>
  <si>
    <t>16,51%</t>
  </si>
  <si>
    <t>0,57%</t>
  </si>
  <si>
    <t>13,51%</t>
  </si>
  <si>
    <t>15,27%</t>
  </si>
  <si>
    <t>15,82%</t>
  </si>
  <si>
    <t>16,39%</t>
  </si>
  <si>
    <t>2,13%</t>
  </si>
  <si>
    <t>18,28%</t>
  </si>
  <si>
    <t>19,27%</t>
  </si>
  <si>
    <t>3,00%</t>
  </si>
  <si>
    <t>21,24%</t>
  </si>
  <si>
    <t>8,58%</t>
  </si>
  <si>
    <t>22,82%</t>
  </si>
  <si>
    <t>2,81%</t>
  </si>
  <si>
    <t>11,63%</t>
  </si>
  <si>
    <t>23,81%</t>
  </si>
  <si>
    <t>4,52%</t>
  </si>
  <si>
    <t>16,67%</t>
  </si>
  <si>
    <t>27,61%</t>
  </si>
  <si>
    <t>18,82%</t>
  </si>
  <si>
    <t>27,91%</t>
  </si>
  <si>
    <t>18,13%</t>
  </si>
  <si>
    <t>25,64%</t>
  </si>
  <si>
    <t>-0,40%</t>
  </si>
  <si>
    <t>17,66%</t>
  </si>
  <si>
    <t>24,67%</t>
  </si>
  <si>
    <t>18,70%</t>
  </si>
  <si>
    <t>24,40%</t>
  </si>
  <si>
    <t>19,73%</t>
  </si>
  <si>
    <t>20,92%</t>
  </si>
  <si>
    <t>23,49%</t>
  </si>
  <si>
    <t>1,26%</t>
  </si>
  <si>
    <t>3,15%</t>
  </si>
  <si>
    <t>23,55%</t>
  </si>
  <si>
    <t>6,40%</t>
  </si>
  <si>
    <t>23,72%</t>
  </si>
  <si>
    <t>2,21%</t>
  </si>
  <si>
    <t>22,65%</t>
  </si>
  <si>
    <t>2,73%</t>
  </si>
  <si>
    <t>11,72%</t>
  </si>
  <si>
    <t>22,54%</t>
  </si>
  <si>
    <t>-0,72%</t>
  </si>
  <si>
    <t>10,91%</t>
  </si>
  <si>
    <t>16,40%</t>
  </si>
  <si>
    <t>-0,73%</t>
  </si>
  <si>
    <t>10,10%</t>
  </si>
  <si>
    <t>10,08%</t>
  </si>
  <si>
    <t>14,11%</t>
  </si>
  <si>
    <t>11,62%</t>
  </si>
  <si>
    <t>16,17%</t>
  </si>
  <si>
    <t>1,43%</t>
  </si>
  <si>
    <t>13,22%</t>
  </si>
  <si>
    <t>16,79%</t>
  </si>
  <si>
    <t>2,06%</t>
  </si>
  <si>
    <t>15,55%</t>
  </si>
  <si>
    <t>18,17%</t>
  </si>
  <si>
    <t>19,54%</t>
  </si>
  <si>
    <t>20,95%</t>
  </si>
  <si>
    <t>21,09%</t>
  </si>
  <si>
    <t>5,37%</t>
  </si>
  <si>
    <t>19,77%</t>
  </si>
  <si>
    <t>2,71%</t>
  </si>
  <si>
    <t>8,22%</t>
  </si>
  <si>
    <t>20,36%</t>
  </si>
  <si>
    <t>10,66%</t>
  </si>
  <si>
    <t>19,80%</t>
  </si>
  <si>
    <t>12,54%</t>
  </si>
  <si>
    <t>22,73%</t>
  </si>
  <si>
    <t>13,62%</t>
  </si>
  <si>
    <t>24,81%</t>
  </si>
  <si>
    <t>15,28%</t>
  </si>
  <si>
    <t>26,65%</t>
  </si>
  <si>
    <t>15,62%</t>
  </si>
  <si>
    <t>25,27%</t>
  </si>
  <si>
    <t>25,01%</t>
  </si>
  <si>
    <t>1,88%</t>
  </si>
  <si>
    <t>19,23%</t>
  </si>
  <si>
    <t>21,74%</t>
  </si>
  <si>
    <t>24,73%</t>
  </si>
  <si>
    <t>1,87%</t>
  </si>
  <si>
    <t>24,02%</t>
  </si>
  <si>
    <t>4,03%</t>
  </si>
  <si>
    <t>7,16%</t>
  </si>
  <si>
    <t>2,89%</t>
  </si>
  <si>
    <t>10,26%</t>
  </si>
  <si>
    <t>3,91%</t>
  </si>
  <si>
    <t>14,57%</t>
  </si>
  <si>
    <t>28,41%</t>
  </si>
  <si>
    <t>1,73%</t>
  </si>
  <si>
    <t>16,55%</t>
  </si>
  <si>
    <t>28,44%</t>
  </si>
  <si>
    <t>2,40%</t>
  </si>
  <si>
    <t>30,27%</t>
  </si>
  <si>
    <t>21,07%</t>
  </si>
  <si>
    <t>30,26%</t>
  </si>
  <si>
    <t>-0,18%</t>
  </si>
  <si>
    <t>20,86%</t>
  </si>
  <si>
    <t>0,71%</t>
  </si>
  <si>
    <t>21,72%</t>
  </si>
  <si>
    <t>29,00%</t>
  </si>
  <si>
    <t>1,56%</t>
  </si>
  <si>
    <t>23,62%</t>
  </si>
  <si>
    <t>28,59%</t>
  </si>
  <si>
    <t>25,33%</t>
  </si>
  <si>
    <t>27,68%</t>
  </si>
  <si>
    <t>28,12%</t>
  </si>
  <si>
    <t>2,83%</t>
  </si>
  <si>
    <t>3,32%</t>
  </si>
  <si>
    <t>27,03%</t>
  </si>
  <si>
    <t>8,89%</t>
  </si>
  <si>
    <t>26,53%</t>
  </si>
  <si>
    <t>2,53%</t>
  </si>
  <si>
    <t>24,85%</t>
  </si>
  <si>
    <t>24,88%</t>
  </si>
  <si>
    <t>15,16%</t>
  </si>
  <si>
    <t>23,63%</t>
  </si>
  <si>
    <t>16,95%</t>
  </si>
  <si>
    <t>23,76%</t>
  </si>
  <si>
    <t>18,56%</t>
  </si>
  <si>
    <t>25,69%</t>
  </si>
  <si>
    <t>20,22%</t>
  </si>
  <si>
    <t>26,55%</t>
  </si>
  <si>
    <t>1,60%</t>
  </si>
  <si>
    <t>22,15%</t>
  </si>
  <si>
    <t>26,61%</t>
  </si>
  <si>
    <t>24,32%</t>
  </si>
  <si>
    <t>27,09%</t>
  </si>
  <si>
    <t>26,12%</t>
  </si>
  <si>
    <t>26,69%</t>
  </si>
  <si>
    <t>7,09%</t>
  </si>
  <si>
    <t>27,12%</t>
  </si>
  <si>
    <t>10,19%</t>
  </si>
  <si>
    <t>27,63%</t>
  </si>
  <si>
    <t>13,29%</t>
  </si>
  <si>
    <t>27,98%</t>
  </si>
  <si>
    <t>1,95%</t>
  </si>
  <si>
    <t>15,51%</t>
  </si>
  <si>
    <t>28,24%</t>
  </si>
  <si>
    <t>28,97%</t>
  </si>
  <si>
    <t>19,36%</t>
  </si>
  <si>
    <t>28,72%</t>
  </si>
  <si>
    <t>21,26%</t>
  </si>
  <si>
    <t>28,98%</t>
  </si>
  <si>
    <t>2,37%</t>
  </si>
  <si>
    <t>24,14%</t>
  </si>
  <si>
    <t>30,24%</t>
  </si>
  <si>
    <t>1,92%</t>
  </si>
  <si>
    <t>26,54%</t>
  </si>
  <si>
    <t>30,65%</t>
  </si>
  <si>
    <t>29,11%</t>
  </si>
  <si>
    <t>30,97%</t>
  </si>
  <si>
    <t>32,36%</t>
  </si>
  <si>
    <t>31,98%</t>
  </si>
  <si>
    <t>31,65%</t>
  </si>
  <si>
    <t>9,21%</t>
  </si>
  <si>
    <t>31,18%</t>
  </si>
  <si>
    <t>2,80%</t>
  </si>
  <si>
    <t>12,27%</t>
  </si>
  <si>
    <t>31,16%</t>
  </si>
  <si>
    <t>2,20%</t>
  </si>
  <si>
    <t>14,74%</t>
  </si>
  <si>
    <t>31,49%</t>
  </si>
  <si>
    <t>16,56%</t>
  </si>
  <si>
    <t>31,00%</t>
  </si>
  <si>
    <t>1,81%</t>
  </si>
  <si>
    <t>18,68%</t>
  </si>
  <si>
    <t>31,60%</t>
  </si>
  <si>
    <t>20,19%</t>
  </si>
  <si>
    <t>31,20%</t>
  </si>
  <si>
    <t>21,94%</t>
  </si>
  <si>
    <t>30,01%</t>
  </si>
  <si>
    <t>23,56%</t>
  </si>
  <si>
    <t>29,25%</t>
  </si>
  <si>
    <t>25,06%</t>
  </si>
  <si>
    <t>28,22%</t>
  </si>
  <si>
    <t>26,82%</t>
  </si>
  <si>
    <t>3,49%</t>
  </si>
  <si>
    <t>27,43%</t>
  </si>
  <si>
    <t>3,34%</t>
  </si>
  <si>
    <t>6,96%</t>
  </si>
  <si>
    <t>27,35%</t>
  </si>
  <si>
    <t>27,08%</t>
  </si>
  <si>
    <t>12,56%</t>
  </si>
  <si>
    <t>27,15%</t>
  </si>
  <si>
    <t>15,18%</t>
  </si>
  <si>
    <t>27,30%</t>
  </si>
  <si>
    <t>17,76%</t>
  </si>
  <si>
    <t>20,12%</t>
  </si>
  <si>
    <t>28,36%</t>
  </si>
  <si>
    <t>0,75%</t>
  </si>
  <si>
    <t>21,02%</t>
  </si>
  <si>
    <t>27,70%</t>
  </si>
  <si>
    <t>22,03%</t>
  </si>
  <si>
    <t>26,92%</t>
  </si>
  <si>
    <t>23,07%</t>
  </si>
  <si>
    <t>26,32%</t>
  </si>
  <si>
    <t>25,70%</t>
  </si>
  <si>
    <t>25,13%</t>
  </si>
  <si>
    <t>3,24%</t>
  </si>
  <si>
    <t>24,82%</t>
  </si>
  <si>
    <t>3,25%</t>
  </si>
  <si>
    <t>24,71%</t>
  </si>
  <si>
    <t>8,60%</t>
  </si>
  <si>
    <t>24,18%</t>
  </si>
  <si>
    <t>1,94%</t>
  </si>
  <si>
    <t>10,71%</t>
  </si>
  <si>
    <t>12,49%</t>
  </si>
  <si>
    <t>22,21%</t>
  </si>
  <si>
    <t>14,23%</t>
  </si>
  <si>
    <t>21,38%</t>
  </si>
  <si>
    <t>15,64%</t>
  </si>
  <si>
    <t>17,10%</t>
  </si>
  <si>
    <t>19,68%</t>
  </si>
  <si>
    <t>21,69%</t>
  </si>
  <si>
    <t>21,23%</t>
  </si>
  <si>
    <t>22,37%</t>
  </si>
  <si>
    <t>22,60%</t>
  </si>
  <si>
    <t>22,50%</t>
  </si>
  <si>
    <t>3,68%</t>
  </si>
  <si>
    <t>6,95%</t>
  </si>
  <si>
    <t>23,01%</t>
  </si>
  <si>
    <t>9,32%</t>
  </si>
  <si>
    <t>23,41%</t>
  </si>
  <si>
    <t>11,92%</t>
  </si>
  <si>
    <t>23,94%</t>
  </si>
  <si>
    <t>13,65%</t>
  </si>
  <si>
    <t>23,86%</t>
  </si>
  <si>
    <t>14,68%</t>
  </si>
  <si>
    <t>22,69%</t>
  </si>
  <si>
    <t>16,86%</t>
  </si>
  <si>
    <t>22,35%</t>
  </si>
  <si>
    <t>18,14%</t>
  </si>
  <si>
    <t>22,31%</t>
  </si>
  <si>
    <t>1,11%</t>
  </si>
  <si>
    <t>20,79%</t>
  </si>
  <si>
    <t>22,16%</t>
  </si>
  <si>
    <t>22,59%</t>
  </si>
  <si>
    <t>3,52%</t>
  </si>
  <si>
    <t>5,44%</t>
  </si>
  <si>
    <t>8,20%</t>
  </si>
  <si>
    <t>21,33%</t>
  </si>
  <si>
    <t>10,62%</t>
  </si>
  <si>
    <t>12,45%</t>
  </si>
  <si>
    <t>21,30%</t>
  </si>
  <si>
    <t>13,81%</t>
  </si>
  <si>
    <t>21,66%</t>
  </si>
  <si>
    <t>21,50%</t>
  </si>
  <si>
    <t>15,43%</t>
  </si>
  <si>
    <t>17,44%</t>
  </si>
  <si>
    <t>20,52%</t>
  </si>
  <si>
    <t>18,37%</t>
  </si>
  <si>
    <t>20,13%</t>
  </si>
  <si>
    <t>6,62%</t>
  </si>
  <si>
    <t>20,81%</t>
  </si>
  <si>
    <t>8,87%</t>
  </si>
  <si>
    <t>20,20%</t>
  </si>
  <si>
    <t>11,02%</t>
  </si>
  <si>
    <t>19,90%</t>
  </si>
  <si>
    <t>12,75%</t>
  </si>
  <si>
    <t>19,78%</t>
  </si>
  <si>
    <t>14,04%</t>
  </si>
  <si>
    <t>19,70%</t>
  </si>
  <si>
    <t>15,76%</t>
  </si>
  <si>
    <t>20,57%</t>
  </si>
  <si>
    <t>21,13%</t>
  </si>
  <si>
    <t>18,43%</t>
  </si>
  <si>
    <t>21,87%</t>
  </si>
  <si>
    <t>20,76%</t>
  </si>
  <si>
    <t>21,63%</t>
  </si>
  <si>
    <t>20,62%</t>
  </si>
  <si>
    <t>6,45%</t>
  </si>
  <si>
    <t>18,93%</t>
  </si>
  <si>
    <t>8,18%</t>
  </si>
  <si>
    <t>18,52%</t>
  </si>
  <si>
    <t>9,94%</t>
  </si>
  <si>
    <t>18,60%</t>
  </si>
  <si>
    <t>11,26%</t>
  </si>
  <si>
    <t>18,67%</t>
  </si>
  <si>
    <t>12,19%</t>
  </si>
  <si>
    <t>17,88%</t>
  </si>
  <si>
    <t>17,93%</t>
  </si>
  <si>
    <t>14,91%</t>
  </si>
  <si>
    <t>18,01%</t>
  </si>
  <si>
    <t>16,02%</t>
  </si>
  <si>
    <t>17,80%</t>
  </si>
  <si>
    <t>16,96%</t>
  </si>
  <si>
    <t>17,81%</t>
  </si>
  <si>
    <t>0,61%</t>
  </si>
  <si>
    <t>17,68%</t>
  </si>
  <si>
    <t>17,84%</t>
  </si>
  <si>
    <t>3,28%</t>
  </si>
  <si>
    <t>5,13%</t>
  </si>
  <si>
    <t>18,03%</t>
  </si>
  <si>
    <t>2,60%</t>
  </si>
  <si>
    <t>19,24%</t>
  </si>
  <si>
    <t>2,90%</t>
  </si>
  <si>
    <t>11,00%</t>
  </si>
  <si>
    <t>20,74%</t>
  </si>
  <si>
    <t>12,73%</t>
  </si>
  <si>
    <t>20,67%</t>
  </si>
  <si>
    <t>14,66%</t>
  </si>
  <si>
    <t>20,27%</t>
  </si>
  <si>
    <t>0,03%</t>
  </si>
  <si>
    <t>14,69%</t>
  </si>
  <si>
    <t>18,94%</t>
  </si>
  <si>
    <t>15,03%</t>
  </si>
  <si>
    <t>15,44%</t>
  </si>
  <si>
    <t>16,70%</t>
  </si>
  <si>
    <t>17,18%</t>
  </si>
  <si>
    <t>3,94%</t>
  </si>
  <si>
    <t>15,38%</t>
  </si>
  <si>
    <t>4,92%</t>
  </si>
  <si>
    <t>11,17%</t>
  </si>
  <si>
    <t>9,98%</t>
  </si>
  <si>
    <t>6,55%</t>
  </si>
  <si>
    <t>6,88%</t>
  </si>
  <si>
    <t>8,78%</t>
  </si>
  <si>
    <t>7,41%</t>
  </si>
  <si>
    <t>9,28%</t>
  </si>
  <si>
    <t>9,33%</t>
  </si>
  <si>
    <t>8,66%</t>
  </si>
  <si>
    <t>9,65%</t>
  </si>
  <si>
    <t>9,23%</t>
  </si>
  <si>
    <t>8,25%</t>
  </si>
  <si>
    <t>3,62%</t>
  </si>
  <si>
    <t>1,71%</t>
  </si>
  <si>
    <t>5,39%</t>
  </si>
  <si>
    <t>9,73%</t>
  </si>
  <si>
    <t>1,00%</t>
  </si>
  <si>
    <t>9,96%</t>
  </si>
  <si>
    <t>-0,02%</t>
  </si>
  <si>
    <t>6,98%</t>
  </si>
  <si>
    <t>9,68%</t>
  </si>
  <si>
    <t>6,94%</t>
  </si>
  <si>
    <t>9,29%</t>
  </si>
  <si>
    <t>7,27%</t>
  </si>
  <si>
    <t>9,10%</t>
  </si>
  <si>
    <t>9,20%</t>
  </si>
  <si>
    <t>7,90%</t>
  </si>
  <si>
    <t>8,99%</t>
  </si>
  <si>
    <t>8,82%</t>
  </si>
  <si>
    <t>8,49%</t>
  </si>
  <si>
    <t>1,89%</t>
  </si>
  <si>
    <t>2,96%</t>
  </si>
  <si>
    <t>8,06%</t>
  </si>
  <si>
    <t>1,48%</t>
  </si>
  <si>
    <t>4,49%</t>
  </si>
  <si>
    <t>5,69%</t>
  </si>
  <si>
    <t>7,93%</t>
  </si>
  <si>
    <t>0,11%</t>
  </si>
  <si>
    <t>6,29%</t>
  </si>
  <si>
    <t>8,09%</t>
  </si>
  <si>
    <t>6,57%</t>
  </si>
  <si>
    <t>8,03%</t>
  </si>
  <si>
    <t>7,97%</t>
  </si>
  <si>
    <t>0,19%</t>
  </si>
  <si>
    <t>7,37%</t>
  </si>
  <si>
    <t>6,70%</t>
  </si>
  <si>
    <t>5,89%</t>
  </si>
  <si>
    <t>4,35%</t>
  </si>
  <si>
    <t>5,84%</t>
  </si>
  <si>
    <t>5,98%</t>
  </si>
  <si>
    <t>0,36%</t>
  </si>
  <si>
    <t>5,88%</t>
  </si>
  <si>
    <t>7,07%</t>
  </si>
  <si>
    <t>6,99%</t>
  </si>
  <si>
    <t>7,39%</t>
  </si>
  <si>
    <t>7,24%</t>
  </si>
  <si>
    <t>3,37%</t>
  </si>
  <si>
    <t>4,56%</t>
  </si>
  <si>
    <t>7,85%</t>
  </si>
  <si>
    <t>5,07%</t>
  </si>
  <si>
    <t>5,01%</t>
  </si>
  <si>
    <t>7,21%</t>
  </si>
  <si>
    <t>-0,14%</t>
  </si>
  <si>
    <t>4,86%</t>
  </si>
  <si>
    <t>5,42%</t>
  </si>
  <si>
    <t>7,11%</t>
  </si>
  <si>
    <t>0,06%</t>
  </si>
  <si>
    <t>5,48%</t>
  </si>
  <si>
    <t>6,49%</t>
  </si>
  <si>
    <t>6,19%</t>
  </si>
  <si>
    <t>6,28%</t>
  </si>
  <si>
    <t>6,21%</t>
  </si>
  <si>
    <t>3,57%</t>
  </si>
  <si>
    <t>3,97%</t>
  </si>
  <si>
    <t>4,59%</t>
  </si>
  <si>
    <t>6,07%</t>
  </si>
  <si>
    <t>-0,03%</t>
  </si>
  <si>
    <t>4,90%</t>
  </si>
  <si>
    <t>5,90%</t>
  </si>
  <si>
    <t>5,82%</t>
  </si>
  <si>
    <t>5,50%</t>
  </si>
  <si>
    <t>5,43%</t>
  </si>
  <si>
    <t>1,02%</t>
  </si>
  <si>
    <t>5,25%</t>
  </si>
  <si>
    <t>5,03%</t>
  </si>
  <si>
    <t>0,41%</t>
  </si>
  <si>
    <t>3,93%</t>
  </si>
  <si>
    <t>4,83%</t>
  </si>
  <si>
    <t>0,05%</t>
  </si>
  <si>
    <t>3,98%</t>
  </si>
  <si>
    <t>4,91%</t>
  </si>
  <si>
    <t>4,88%</t>
  </si>
  <si>
    <t>4,66%</t>
  </si>
  <si>
    <t>5,27%</t>
  </si>
  <si>
    <t>4,78%</t>
  </si>
  <si>
    <t>4,85%</t>
  </si>
  <si>
    <t>4,19%</t>
  </si>
  <si>
    <t>1,91%</t>
  </si>
  <si>
    <t>4,11%</t>
  </si>
  <si>
    <t>4,12%</t>
  </si>
  <si>
    <t>4,04%</t>
  </si>
  <si>
    <t>3,02%</t>
  </si>
  <si>
    <t>3,44%</t>
  </si>
  <si>
    <t>4,32%</t>
  </si>
  <si>
    <t>3,85%</t>
  </si>
  <si>
    <t>4,72%</t>
  </si>
  <si>
    <t>4,15%</t>
  </si>
  <si>
    <t>4,00%</t>
  </si>
  <si>
    <t>4,24%</t>
  </si>
  <si>
    <t>4,48%</t>
  </si>
  <si>
    <t>4,71%</t>
  </si>
  <si>
    <t>3,18%</t>
  </si>
  <si>
    <t>5,78%</t>
  </si>
  <si>
    <t>6,26%</t>
  </si>
  <si>
    <t>6,03%</t>
  </si>
  <si>
    <t>5,77%</t>
  </si>
  <si>
    <t>4,67%</t>
  </si>
  <si>
    <t>0,01%</t>
  </si>
  <si>
    <t>5,16%</t>
  </si>
  <si>
    <t>5,17%</t>
  </si>
  <si>
    <t>6,35%</t>
  </si>
  <si>
    <t>5,93%</t>
  </si>
  <si>
    <t>5,73%</t>
  </si>
  <si>
    <t>5,12%</t>
  </si>
  <si>
    <t>0,86%</t>
  </si>
  <si>
    <t>6,02%</t>
  </si>
  <si>
    <t>7,52%</t>
  </si>
  <si>
    <t>6,74%</t>
  </si>
  <si>
    <t>-0,19%</t>
  </si>
  <si>
    <t>7,57%</t>
  </si>
  <si>
    <t>6,90%</t>
  </si>
  <si>
    <t>7,94%</t>
  </si>
  <si>
    <t>7,67%</t>
  </si>
  <si>
    <t>6,47%</t>
  </si>
  <si>
    <t>2,26%</t>
  </si>
  <si>
    <t>2,28%</t>
  </si>
  <si>
    <t>4,77%</t>
  </si>
  <si>
    <t>3,81%</t>
  </si>
  <si>
    <t>-0,11%</t>
  </si>
  <si>
    <t>2,12%</t>
  </si>
  <si>
    <t>3,21%</t>
  </si>
  <si>
    <t>1,98%</t>
  </si>
  <si>
    <t>2,00%</t>
  </si>
  <si>
    <t>0,69%</t>
  </si>
  <si>
    <t>2,35%</t>
  </si>
  <si>
    <t>-0,09%</t>
  </si>
  <si>
    <t>3,40%</t>
  </si>
  <si>
    <t>3,19%</t>
  </si>
  <si>
    <t>2,84%</t>
  </si>
  <si>
    <t>3,23%</t>
  </si>
  <si>
    <t>2,67%</t>
  </si>
  <si>
    <t>2,95%</t>
  </si>
  <si>
    <t>4,02%</t>
  </si>
  <si>
    <t>3,96%</t>
  </si>
  <si>
    <t>3,54%</t>
  </si>
  <si>
    <t>3,55%</t>
  </si>
  <si>
    <t>1,47%</t>
  </si>
  <si>
    <t>3,43%</t>
  </si>
  <si>
    <t>2,01%</t>
  </si>
  <si>
    <t>3,03%</t>
  </si>
  <si>
    <t>3,08%</t>
  </si>
  <si>
    <t>2,34%</t>
  </si>
  <si>
    <t>2,77%</t>
  </si>
  <si>
    <t>1,77%</t>
  </si>
  <si>
    <t>-0,22%</t>
  </si>
  <si>
    <t>2,94%</t>
  </si>
  <si>
    <t>3,38%</t>
  </si>
  <si>
    <t>3,65%</t>
  </si>
  <si>
    <t>0,64%</t>
  </si>
  <si>
    <t>1,80%</t>
  </si>
  <si>
    <t>4,36%</t>
  </si>
  <si>
    <t>4,64%</t>
  </si>
  <si>
    <t>3,22%</t>
  </si>
  <si>
    <t>4,41%</t>
  </si>
  <si>
    <t>3,33%</t>
  </si>
  <si>
    <t>4,46%</t>
  </si>
  <si>
    <t>4,74%</t>
  </si>
  <si>
    <t>5,35%</t>
  </si>
  <si>
    <t>5,47%</t>
  </si>
  <si>
    <t>0,62%</t>
  </si>
  <si>
    <t>6,77%</t>
  </si>
  <si>
    <t>Fuente: cifras provenientes del Departamento Administrativo Nacional de Estadística (DANE) (www.dane.gov.co).</t>
  </si>
  <si>
    <t>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t>
  </si>
  <si>
    <t>Para mayor información consulte la metodología del índice de precios al consumidor en http://www.dane.gov.co/files/investigaciones/fichas/IPC.pdf.</t>
  </si>
  <si>
    <t>Total nacional - Serie histórica para un rango de fechas dado</t>
  </si>
  <si>
    <t xml:space="preserve">TABLAS </t>
  </si>
  <si>
    <t>CONCRETO EL DORADO</t>
  </si>
  <si>
    <t>CONCRETO</t>
  </si>
  <si>
    <t>PRECIO DE LISTA</t>
  </si>
  <si>
    <t>TOTAL</t>
  </si>
  <si>
    <t>MR42</t>
  </si>
  <si>
    <t>MR42 ACEL 3 DIAS</t>
  </si>
  <si>
    <t>MR42 ACEL 7 DIAS</t>
  </si>
  <si>
    <t>3000 PSI</t>
  </si>
  <si>
    <t>3500 PSI</t>
  </si>
  <si>
    <t xml:space="preserve">     * Todos los porcentajes estan relacionados con el salario para 365 dias.</t>
  </si>
  <si>
    <t xml:space="preserve">     * Los 18 feriados hacen referencia a los dias feriados que de lunes a viernes .</t>
  </si>
  <si>
    <t>4.- Un salario minimo por cada 40 trabajadores. El valor se obtiene asi: (Salario minimo x 12 / 40) / Salario anual estudiado.</t>
  </si>
  <si>
    <t>FACTOR MULTIPLICADOR</t>
  </si>
  <si>
    <t>A.  COSTO DIRECTOS</t>
  </si>
  <si>
    <t>A-1  SUELDOS</t>
  </si>
  <si>
    <t>A.2  PRESTACIONES SOCIALES</t>
  </si>
  <si>
    <t>a.</t>
  </si>
  <si>
    <t>Cesantías</t>
  </si>
  <si>
    <t>b.</t>
  </si>
  <si>
    <t>Intereses sobre cesantías (12% anual)</t>
  </si>
  <si>
    <t>c.</t>
  </si>
  <si>
    <t>Prima de servicios</t>
  </si>
  <si>
    <t>Vacaciones (15 días hábiles 2/3x1/12x100)</t>
  </si>
  <si>
    <t>e.</t>
  </si>
  <si>
    <t>Subsidio familiar y Sena</t>
  </si>
  <si>
    <t>f.</t>
  </si>
  <si>
    <t>Capacitación Sena</t>
  </si>
  <si>
    <t>I.C.B.F.</t>
  </si>
  <si>
    <t>Indemnizaciones</t>
  </si>
  <si>
    <t>Servicios y drogas no cubiertos por el I.S.S.</t>
  </si>
  <si>
    <t>Incapacidades</t>
  </si>
  <si>
    <t>Dotación de uniformes</t>
  </si>
  <si>
    <t>Extras</t>
  </si>
  <si>
    <t>Sub-total prestaciones sociales</t>
  </si>
  <si>
    <t>TOTAL COSTOS DIRECTOS (A)</t>
  </si>
  <si>
    <t>Gastos de personal técnico no facturable</t>
  </si>
  <si>
    <t>Gastos de administración</t>
  </si>
  <si>
    <t>d.</t>
  </si>
  <si>
    <t>Costos Financieros</t>
  </si>
  <si>
    <t>Gastos legales</t>
  </si>
  <si>
    <t>Sub-total costos indirectos</t>
  </si>
  <si>
    <t>TOTAL COSTOS (A + B)</t>
  </si>
  <si>
    <t>C.  HONORARIOS</t>
  </si>
  <si>
    <t>D.  TOTAL FACTOR</t>
  </si>
  <si>
    <t xml:space="preserve">FACTOR MULTIPLICADOR </t>
  </si>
  <si>
    <t>B.  COSTOS INDIRECTOS</t>
  </si>
  <si>
    <t>KM-M3</t>
  </si>
  <si>
    <t>RELLENO GRANULAR, INCL. SUMINISTRO Y COMPACTACION ANDENES</t>
  </si>
  <si>
    <t>MR45</t>
  </si>
  <si>
    <t>MR43</t>
  </si>
  <si>
    <t xml:space="preserve">BULDOZER, POTENCIA AL VOLANTE DE 140 HP, MOTOR DE 2200 RPM, LONGITUD DE HOJA 4,80M. </t>
  </si>
  <si>
    <t>VIBROCOMPACTADOR TIPO RANA CON OPERADOR</t>
  </si>
  <si>
    <t>VIBROCOMPACTADOR TIPO RANA - OPERADOR</t>
  </si>
  <si>
    <t>BASE GRANULAR, CON CEMENTO GRIS INCL. SUMINISTRO Y COMPACTACION</t>
  </si>
  <si>
    <t>MOTONIVELADORA ( POT 215 HP, ancho de cuchilla 4,27 m, peso 18 ton.)</t>
  </si>
  <si>
    <t>2900075 4-110 mm $87.368 $101.347</t>
  </si>
  <si>
    <t>2900077 6-160 mm $170.643 $197.946</t>
  </si>
  <si>
    <t>2900079 8-200 mm $233.035 $270.320</t>
  </si>
  <si>
    <t>2900065 10-250 mm  $340.359 $394.816</t>
  </si>
  <si>
    <t>2900067 12-315 mm $503.225 $583.741</t>
  </si>
  <si>
    <t>2902478 14-355 mm $586.924 $680.831</t>
  </si>
  <si>
    <t>2900069 16-400 mm $823.154 $954.859</t>
  </si>
  <si>
    <t>2900071 18-450 mm $1.092.230 $1.266.987</t>
  </si>
  <si>
    <t>2900073 20-500 mm $1.367.737 $1.586.575</t>
  </si>
  <si>
    <t>Tubos S4 (PS 4 kN/m² - 28 psi.) tramos por 6,5 m.</t>
  </si>
  <si>
    <t>2900514 27 pulg. $2.359.891 $2.737.474</t>
  </si>
  <si>
    <t>2906380 30 pulg. $3.074.063 $3.565.914</t>
  </si>
  <si>
    <t>2900506 33 pulg. $3.809.630 $4.419.171</t>
  </si>
  <si>
    <t>Tubos S8 (PS 8 kN/m² - 57 psi.) tramos por 6 m.</t>
  </si>
  <si>
    <t>KL</t>
  </si>
  <si>
    <t>CLAVO DE ACERO</t>
  </si>
  <si>
    <t>UNION PVC 2</t>
  </si>
  <si>
    <t>Referencia</t>
  </si>
  <si>
    <t xml:space="preserve"> Diámetro / Pulg. </t>
  </si>
  <si>
    <t xml:space="preserve">Precio sin IVA </t>
  </si>
  <si>
    <t xml:space="preserve">Precio con IVA </t>
  </si>
  <si>
    <t>2905226 1.1/2 70 $1.927 $2.235</t>
  </si>
  <si>
    <t>2906070 2 70 $2.210 $2.563</t>
  </si>
  <si>
    <t>2905309 3 40 $3.186 $3.696</t>
  </si>
  <si>
    <t>2905359 4 40 $6.353 $7.369</t>
  </si>
  <si>
    <t>2901704 6 8 $27.853 $32.310</t>
  </si>
  <si>
    <t xml:space="preserve"> Unión</t>
  </si>
  <si>
    <t xml:space="preserve">RESOLUCIÓN 747 DEL 9 MAR DE 1998.  </t>
  </si>
  <si>
    <t>MINISTERIO DE TRANSPORTE</t>
  </si>
  <si>
    <r>
      <t xml:space="preserve">"Por la cual se establecen los topes máximos para sueldos y demás gastos que se pueden pagar en los contratos de consultoría, por el </t>
    </r>
    <r>
      <rPr>
        <b/>
        <sz val="12"/>
        <rFont val="Arial"/>
        <family val="2"/>
      </rPr>
      <t>SISTEMA DE COBRO DE COSTOS DIRECTOS MAS SUELDOS AFECTADOS POR UN MULTIPLICADOR</t>
    </r>
    <r>
      <rPr>
        <sz val="10"/>
        <rFont val="Arial"/>
        <family val="2"/>
      </rPr>
      <t>"</t>
    </r>
  </si>
  <si>
    <t>TARIFA DE</t>
  </si>
  <si>
    <t>PERSONAL PROFESIONAL</t>
  </si>
  <si>
    <t>CATEGORIA 1</t>
  </si>
  <si>
    <t>CATEGORIA 2</t>
  </si>
  <si>
    <t>CATEGORIA 3</t>
  </si>
  <si>
    <t>CATEGORIA 4</t>
  </si>
  <si>
    <t>CATEGORIA 5</t>
  </si>
  <si>
    <t>CATEGORIA 6</t>
  </si>
  <si>
    <t>CATEGORIA 7</t>
  </si>
  <si>
    <t>CATEGORIA 8</t>
  </si>
  <si>
    <t>PERSONAL TECNICO</t>
  </si>
  <si>
    <t>Tecnólogo en áreas de Ingeniería</t>
  </si>
  <si>
    <t>Auxiliar de Ingeniería</t>
  </si>
  <si>
    <t>Dibujante 1</t>
  </si>
  <si>
    <t>Dibujante 2</t>
  </si>
  <si>
    <t>Topógrafo Inspector</t>
  </si>
  <si>
    <t>Topógrafo Auxiliar</t>
  </si>
  <si>
    <t>Batimetrista Inspector</t>
  </si>
  <si>
    <t>Batimetrista Auxiliar</t>
  </si>
  <si>
    <t>Laboratorista Inspector</t>
  </si>
  <si>
    <t>Laboratorista Auxiliar</t>
  </si>
  <si>
    <t>Operador Equipo de Perforación</t>
  </si>
  <si>
    <t>Operador Auxiliar de Equipo</t>
  </si>
  <si>
    <t>Inspector 1</t>
  </si>
  <si>
    <t>Inspector 2</t>
  </si>
  <si>
    <t>PERSONAL ADMINISTRATIVO</t>
  </si>
  <si>
    <t>Administrador</t>
  </si>
  <si>
    <t>Auxiliar Administrativo</t>
  </si>
  <si>
    <t>Secretaria 1</t>
  </si>
  <si>
    <t>Secretaria 2</t>
  </si>
  <si>
    <t>PERSONAL AUXILIAR TECNICO</t>
  </si>
  <si>
    <t>Cadenero 1</t>
  </si>
  <si>
    <t>Cadenero 2</t>
  </si>
  <si>
    <t>Secretaria o Motorista</t>
  </si>
  <si>
    <t>Campero, Pick-Up, Camioneta, Camión o similar.</t>
  </si>
  <si>
    <t>1300-2000</t>
  </si>
  <si>
    <t>Costo Diario</t>
  </si>
  <si>
    <t>Costo Mensual</t>
  </si>
  <si>
    <t>&gt; 2000</t>
  </si>
  <si>
    <t>Vehiculos con capacidad de carga de 3 Ton o más</t>
  </si>
  <si>
    <t>TOPOGRAFIA  (Incluye tránsito, nivel y elementos complementarios. El tránsito equivale al 72%, el nivel al 18% y los elementos complementarios el 10% del valor de la tarifa).</t>
  </si>
  <si>
    <t>LABORATORIO - Estudios</t>
  </si>
  <si>
    <t>LABORATORIO - Interventorias</t>
  </si>
  <si>
    <t>EQUIPO COMPLETO DE BATIMETRIA, HIDROMETRIA O SEDIMENTOMETRIA</t>
  </si>
  <si>
    <t>PLOTTER</t>
  </si>
  <si>
    <t>PROGRAMAS COMPUTACIONALES ESPECIALIZADOS  (Se excluye OS, Hojas de Cálculo, Procesadores de Palabra, BD convencionales, programas contables y administrativos)</t>
  </si>
  <si>
    <t>5% del costo de la licencia</t>
  </si>
  <si>
    <t>·        RESOLUCIÓN 747 DE 09 DE MARZO DE 1998</t>
  </si>
  <si>
    <t>·       MINISTERIO DE TRANSPORTE (MINTRANSPORTE)</t>
  </si>
  <si>
    <t>·        CONTENIDO:CONTRATOS DE CONSULTORÍA. SE FIJAN LOS TOPES MÁXIMOS PARA SUELDOS Y DEMÁS GASTOS QUE SE PUEDEN PAGAR POR EL SISTEMA DE COBRO DE COSTOS DIRECTOS MÁS SUELDOS AFECTADOS POR UN MULTIPLICADOR, Y SE ESTABLECE UN SISTEMA DE ACTUALIZACIÓN.</t>
  </si>
  <si>
    <t>·        TEMAS ESPECÍFICOS:ENTIDAD PÚBLICA, CONTRATACIÓN ADMINISTRATIVA</t>
  </si>
  <si>
    <t>·       REVISTA LEGISLACIÓN ECONÓMICA N°:1092 DE ABRIL 15 DE 1998, PG. 663</t>
  </si>
  <si>
    <t>·       BOLETÍN N°:479 DE MARZO 9 DE 1998</t>
  </si>
  <si>
    <t>RESOLUCIÓN 747 DE 1998</t>
  </si>
  <si>
    <t>(Marzo 9)</t>
  </si>
  <si>
    <t>“Por la cual se establecen los topes máximos para sueldos y demás gastos que se pueden pagar en los contratos de consultoría, por el sistema de cobro de costos directos más sueldos afectados por un multiplicador, y se establece un sistema de actualización”.</t>
  </si>
  <si>
    <t>(Nota: Derogada por la Resolución 10946 de 2011 artículo 5° del Ministerio de Transporte)</t>
  </si>
  <si>
    <t>El Ministro de Transporte,</t>
  </si>
  <si>
    <t>en ejercicio de sus facultades constitucionales y legales, en especial las que le confieren el artículo 208 de la Constitución Nacional, el Decreto 2171 de 1992; el Decreto 1050 de 1968 y la Ley 80 de 1993, y</t>
  </si>
  <si>
    <t>CONSIDERANDO:</t>
  </si>
  <si>
    <t>Que por Resolución 1888 del 15 de abril de 1997 se fijaron los topes máximos para sueldos y demás gastos que se pueden pagar por el sistema de cobro de costos directos más sueldos afectados por un multiplicador en los contratos de consultoría;</t>
  </si>
  <si>
    <t>Que se hace necesario actualizar tales montos y establecer un sistema automático de actualización mediante el IPC —índice de precios al consumidor total nacional— del año inmediatamente anterior, fijado por el Departamento Administrativo Nacional de Estadística, DANE,</t>
  </si>
  <si>
    <t>RESUELVE:</t>
  </si>
  <si>
    <t>ART. 1º—Establecer las categorías y determinar los sueldos máximos mensuales que se podrán reconocer en los contratos de consultoría, aplicables a las personas vinculadas laboralmente a las compañías consultoras.</t>
  </si>
  <si>
    <t>Personal profesional (ingenieros y otros)</t>
  </si>
  <si>
    <t>Categoría</t>
  </si>
  <si>
    <t>3.577.000</t>
  </si>
  <si>
    <t>2.726.000</t>
  </si>
  <si>
    <t>2.300.000</t>
  </si>
  <si>
    <t>1.959.000</t>
  </si>
  <si>
    <t>1.767.000</t>
  </si>
  <si>
    <t>1.576.000</t>
  </si>
  <si>
    <t>1.192.000</t>
  </si>
  <si>
    <t>1.124.000</t>
  </si>
  <si>
    <t>Personal técnico</t>
  </si>
  <si>
    <t>Tecnólogo en áreas de ingeniería</t>
  </si>
  <si>
    <t>Auxiliar de ingeniería</t>
  </si>
  <si>
    <t>Topógrafo inspector</t>
  </si>
  <si>
    <t>Topógrafo auxiliar</t>
  </si>
  <si>
    <t>Batimetrista inspector</t>
  </si>
  <si>
    <t>Batimetrista auxiliar</t>
  </si>
  <si>
    <t>Laboratorista inspector</t>
  </si>
  <si>
    <t>Laboratorista auxiliar</t>
  </si>
  <si>
    <t>Operador equipo de perforación</t>
  </si>
  <si>
    <t>Operador auxiliar de equipo</t>
  </si>
  <si>
    <t>Personal administrativo</t>
  </si>
  <si>
    <t>Auxiliar administrativo</t>
  </si>
  <si>
    <t>345 000</t>
  </si>
  <si>
    <t>Personal auxiliar técnico</t>
  </si>
  <si>
    <t>Conductor o motorista</t>
  </si>
  <si>
    <t>PAR. 1º—La entidad contratante reconocerá los valores pagados por los consultores, hasta los valores máximos fijados por la presente resolución, al personal asignado al proyecto, vinculado laboralmente a la firma consultora y en ningún caso aprobará la vinculación de profesionales sin su correspondiente matrícula.</t>
  </si>
  <si>
    <t>PAR. 2º—Para cargos no contemplados en la presente resolución y cuyos salarios sean inferiores al del conductor o motorista, los sueldos se regirán por los del mercado laboral local.</t>
  </si>
  <si>
    <t>PAR. 3º—Para efectos de la presente resolución, el personal profesional se clasifica en ocho (8) categorías.</t>
  </si>
  <si>
    <t>En la definición de las categorías se entiende por experiencia profesional el tiempo transcurrido a partir de la fecha de la expedición o confirmación de la matrícula o tarjeta profesional. En cuanto a la experiencia específica, ésta se determina como la práctica adquirida en el ejercicio de las funciones de el cargo en particular o en una determinada área del trabajo o área de la profesión, ocupación, arte u oficio.</t>
  </si>
  <si>
    <t>Para desempeñar cargos de los niveles directivo, asesor y profesional, se exigirá la correspondiente matrícula profesional para las profesiones legalmente reglamentadas, o el título profesional para aquellas profesiones no reglamentadas.</t>
  </si>
  <si>
    <t>Los profesionales extranjeros deberán acreditar su profesión y obtener los permisos, matrículas y autorizaciones a que haya lugar, en concordancia con la reglamentación vigente para cada profesión.</t>
  </si>
  <si>
    <t>Categoría 1. Profesional calificado para llevar a cabo funciones de director o especialista de proyectos, con experiencia profesional no menor de doce (12) años, de los cuales debe demostrar como mínimo diez (10) años de experiencia específica.</t>
  </si>
  <si>
    <t>Categoría 2. Profesional calificado para realizar funciones de director o especialista de proyectos, con experiencia profesional no menor de diez (10) años, de los cuales debe demostrar como mínimo siete (7) años de experiencia específica.</t>
  </si>
  <si>
    <t>Categoría 3. Profesional con experiencia técnica y administrativa para desempeñar funciones de especialista de proyectos o de residente de proyectos, con experiencia profesional no menor de ocho (8) años, de los cuales debe demostrar como mínimo cinco (5) años de experiencia específica.</t>
  </si>
  <si>
    <t>Categoría 4. Profesional con experiencia técnica y administrativa para desempeñar funciones de ingeniero residente de proyectos, con experiencia profesional no menor de seis (6) años, de los cuales debe demostrar como mínimo cuatro (4) años de experiencia específica.</t>
  </si>
  <si>
    <t>Categoría 5. Profesional con experiencia técnica y administrativa para desempeñar funciones de ingeniero residente de proyectos, con experiencia profesional no menor de cuatro (4) años, de los cuales debe demostrar como mínimo tres (3) años de experiencia específica.</t>
  </si>
  <si>
    <t>Categoría 6. Profesional con experiencia profesional no menor de tres (3) años, de los cuales debe demostrar como mínimo un (1) año de experiencia específica.</t>
  </si>
  <si>
    <t>Categoría 7. Profesional con experiencia profesional no menor de dos (2) años.</t>
  </si>
  <si>
    <t>Categoría 8. Profesional con experiencia profesional inferior a dos (2) años.</t>
  </si>
  <si>
    <t>PAR. 4º—Para la determinación de la experiencia profesional, con estudios de postgrado con título, se hará una equivalencia así:</t>
  </si>
  <si>
    <t>Título</t>
  </si>
  <si>
    <t>Experiencia profesional</t>
  </si>
  <si>
    <t>Especialización</t>
  </si>
  <si>
    <t>Dos (2) años</t>
  </si>
  <si>
    <t>Maestría</t>
  </si>
  <si>
    <t>Tres (3) años</t>
  </si>
  <si>
    <t>Doctorado</t>
  </si>
  <si>
    <t>Cuatro (4) años</t>
  </si>
  <si>
    <t>(Nota: Derogada por la Resolución 10946 de 2011 artículo 1° del Ministerio de Transporte)</t>
  </si>
  <si>
    <t>ART. 2º—Fijar las primas regionales mensuales para el personal que permanezca en el sitio de las obras por lo menos veintidós (22) días durante el mes, así:</t>
  </si>
  <si>
    <t>Profesionales</t>
  </si>
  <si>
    <t>Tecnólogos, auxiliares de ingeniería, topógrafos, batimetristas, laboratoristas e inspectores</t>
  </si>
  <si>
    <t>Dibujantes, cadeneros, conductores, motoristas y operadores de equipos de perforación</t>
  </si>
  <si>
    <t>PAR. 1º—Se reconocerá pago parcial proporcional de la prima regional para períodos de permanencia menor a veintidós (22) días, en los siguientes casos:</t>
  </si>
  <si>
    <t>a) Personal que haya tenido más de ocho (8) días de vacaciones legales o de incapacidad médica en un mes, y</t>
  </si>
  <si>
    <t>b) Personal que debido a su ingreso o retiro laboral, no cumpla con los veintidós (22) días en el frente de trabajo.</t>
  </si>
  <si>
    <t>PAR. 2º—Dicha prima podrá ser revisada en casos especiales en los que la entidad contratante lo considere conveniente por razones de orden público, salubridad y demás condiciones ambientales.</t>
  </si>
  <si>
    <t>PAR. 3º—Cuando de asignación de viáticos se trate, el valor máximo será el de las escalas de viáticos fijadas por la entidad contratante.</t>
  </si>
  <si>
    <t>ART. 3º—Fijar el valor máximo de los cánones que se pueden pagar por alquiler de vehículos y demás equipos asignados por el consultor al servicio exclusivo del proyecto, así:</t>
  </si>
  <si>
    <t>Tarifa de vehículos utilizados en contratos de Consultoría, tipo campero, pick-up, camioneta, camión o similar, incluyendo todos los costos de operación y mantenimiento, excepto el salario del conductor que se reconocerá por separado con cargo al contrato.</t>
  </si>
  <si>
    <t>En ningún caso se aceptarán vehículos que superen los 11 años de servicio.</t>
  </si>
  <si>
    <t>PAR. 3º—En el distanciómetro, el tránsito representa el 34% para el de capacidad de lectura superior a 1.500 metros y 43% en el de menor o igual a 1.500 metros.</t>
  </si>
  <si>
    <t>ART. 4º—Corresponderá a la entidad contratante, por intermedio del funcionario delegado para tal efecto, la aceptación de los ingenieros directores y especialistas y de otros profesionales equivalentes no contemplados en el artículo primero de la presente resolución, así como la fijación del canon de arrendamiento de campamentos, dotación de campamentos y equipos especiales no contemplados en esta resolución.</t>
  </si>
  <si>
    <t>ART. 5º—Los sueldos, costos directos y tarifas establecidas en la presente resolución, serán actualizados anualmente a partir del 1º de enero con la variación en el IPC —índice de precios al consumidor total nacional— del año inmediatamente anterior, publicado por el Departamento Administrativo Nacional de Estadística, DANE, y los valores se redondearán al múltiplo de mil más cercano.</t>
  </si>
  <si>
    <t>ART. 6º—La entidad contratante, cuando se trate de contratos especiales, podrá modificar los topes máximos fijados en esta resolución, con la debida justificación, por medio de resolución motivada.</t>
  </si>
  <si>
    <t>ART. 7º—La presente resolución rige a partir de la fecha de su publicación y se aplicará con efectos retroactivos desde el 1º de enero de 1998 y deroga las disposiciones que le sean contrarias, en especial la Resolución 1888 del 15 de abril de 1997, expedida por el Ministerio de Transporte.</t>
  </si>
  <si>
    <t>Publíquese y cúmplase.</t>
  </si>
  <si>
    <t>Dada en Santafé de Bogotá, D.C., 9 de marzo de 1998.</t>
  </si>
  <si>
    <t>_____________________</t>
  </si>
  <si>
    <t>[FIN]</t>
  </si>
  <si>
    <t>varilla #</t>
  </si>
  <si>
    <r>
      <t>Area (cm</t>
    </r>
    <r>
      <rPr>
        <b/>
        <vertAlign val="superscript"/>
        <sz val="10"/>
        <rFont val="Arial"/>
        <family val="2"/>
      </rPr>
      <t>2</t>
    </r>
    <r>
      <rPr>
        <b/>
        <sz val="10"/>
        <rFont val="Arial"/>
        <family val="2"/>
      </rPr>
      <t>)</t>
    </r>
  </si>
  <si>
    <r>
      <rPr>
        <b/>
        <sz val="12"/>
        <color indexed="18"/>
        <rFont val="Arial"/>
        <family val="2"/>
      </rPr>
      <t xml:space="preserve">Número de varillas  </t>
    </r>
    <r>
      <rPr>
        <b/>
        <sz val="10"/>
        <color indexed="18"/>
        <rFont val="Arial"/>
        <family val="2"/>
      </rPr>
      <t xml:space="preserve">                           </t>
    </r>
  </si>
  <si>
    <t># / 8</t>
  </si>
  <si>
    <t>Peso (kg/m)</t>
  </si>
  <si>
    <r>
      <rPr>
        <b/>
        <sz val="12"/>
        <color indexed="18"/>
        <rFont val="Arial"/>
        <family val="2"/>
      </rPr>
      <t xml:space="preserve">Número de varillas  </t>
    </r>
    <r>
      <rPr>
        <b/>
        <sz val="10"/>
        <color indexed="18"/>
        <rFont val="Arial"/>
        <family val="2"/>
      </rPr>
      <t xml:space="preserve"> (por mts)                          </t>
    </r>
  </si>
  <si>
    <t>Homecenter</t>
  </si>
  <si>
    <t>TANQUE PLASTICO 1.000LT Y ACCESORIOS</t>
  </si>
  <si>
    <t>LISTA DE PRECIOS CONCRETERAS 2016</t>
  </si>
  <si>
    <t>CEMEX COLOMBIA</t>
  </si>
  <si>
    <t>SLM CONSTRUCCIONES S.A.S</t>
  </si>
  <si>
    <t>ARGOS</t>
  </si>
  <si>
    <t>Mod. Rotura</t>
  </si>
  <si>
    <t>PRECIO CON IVA</t>
  </si>
  <si>
    <t>2000 PSI</t>
  </si>
  <si>
    <t>2500 PSI</t>
  </si>
  <si>
    <t>4000 PSI</t>
  </si>
  <si>
    <t>MORTERO 1:3 IMPERMEABILIZADO</t>
  </si>
  <si>
    <t>VALOR</t>
  </si>
  <si>
    <t>pino patula 4 cmx9x3 mts</t>
  </si>
  <si>
    <t>MR50</t>
  </si>
  <si>
    <t>4500 PSI</t>
  </si>
  <si>
    <t>5000 PSI</t>
  </si>
  <si>
    <t>IVA (19%)</t>
  </si>
  <si>
    <t xml:space="preserve">Vibrocompatador, potencia 153 HP, peso 10 Ton. </t>
  </si>
  <si>
    <t>CONCRETO ELABORADO EN OBRA-3.000PSI CLASE D-IMPERMEABILIZADO</t>
  </si>
  <si>
    <t>CONCRETO ELABORADO EN OBRA-3.000PSI CLASE D</t>
  </si>
  <si>
    <t>SIKA-1</t>
  </si>
  <si>
    <t xml:space="preserve">SIKA-1 </t>
  </si>
  <si>
    <t>CONCRETO EL DORADO AÑO 2017</t>
  </si>
  <si>
    <t>TRITURADO (Gravilla 1/2")</t>
  </si>
  <si>
    <t>CONCRETO 3000 PSI ELABORADO EN OBRA</t>
  </si>
  <si>
    <t>CONCRETO 2500 PSI ELABORADO EN OBRA</t>
  </si>
  <si>
    <t xml:space="preserve">LAMINA ONDULADA FIBROCEMENTO  No. 4 </t>
  </si>
  <si>
    <t>CÁMARA CIRCULAR DE INSPECCIÓN/CAÍDA D=1.20 M. EN CONCRETO ELABORADO EN OBRA-3.000PSI CLASE D-ESP. ,15MT</t>
  </si>
  <si>
    <t>BASE-CAÑUELA PARA CÁMARA CIRCULAR INSPEC D=1.20 M EN CONCRETO ELABORADO EN OBRA-3.000PSI CLASE D</t>
  </si>
  <si>
    <t xml:space="preserve">CÁMARA CIRCULAR DE INSPECCIÓN/CAÍDA D=1.50 M. CONCRETO ELABORADO EN OBRA-3.000PSI CLASE D-ESP. ,15MT                                     </t>
  </si>
  <si>
    <t xml:space="preserve">BASE-CAÑUELA PARA CÁMARA CIRCULAR INSPEC D=1.50 M EN CONCRETO ELABORADO EN OBRA-3.000PSI CLASE D                     </t>
  </si>
  <si>
    <t>CONSTRUCCIÓN DE POZO DE INSPECCIÓN DE 1,50 M DE DIAMETRO EXTERNO, MUROS DE 0,15 M DE ALTURA PROMEDIO 3,50 MT-CONCRETO ELABORADO EN OBRA-3.000PSI CLASE D</t>
  </si>
  <si>
    <t>homcenter</t>
  </si>
  <si>
    <t>CUNETA DE .30 X 10 CM DE ESPESOR EN CONCRETO 3000 PSI</t>
  </si>
  <si>
    <t xml:space="preserve">BORDILLO DE 0.15X0.15M, EN CONCRETO  F'C=3.000 PSI. INCLUYE  ACERO DE REFUERZO.              </t>
  </si>
  <si>
    <t>valor con malla electrosoldada</t>
  </si>
  <si>
    <t>CONCRETO 3000 PSI</t>
  </si>
  <si>
    <t>KM/M3</t>
  </si>
  <si>
    <t>CONSTRUCCIÓN DE CALZADA EN CONCRETO  PREMEZCLADO, MR =600 PSI - 42 kg.f/cm2  A LA FLEXIÓN, INCLUYE, INCLUYE FORMALETA, CURADO  CON ANTISOL, SELLOS EN LAS JUNTAS  Y CANASTILLA DE SOPORTE.</t>
  </si>
  <si>
    <t>Aspersor manual</t>
  </si>
  <si>
    <t>dia</t>
  </si>
  <si>
    <t>Compresor (barrido y soplado)</t>
  </si>
  <si>
    <t>Cortadora de pavimento, Máxima profundidad de corte: 160 mm. Capacidad de disco: desde 12´´ hasta 18´´ de diámetro. Peso operacional: 135 kg, 13.5 hp de potencia</t>
  </si>
  <si>
    <t>Formaleta metálica (concreto hidráulico)</t>
  </si>
  <si>
    <t>Regla vibratoria, de longitud de 3 a 5 m, motor de 3600 rpm, potencia 6 HP</t>
  </si>
  <si>
    <t>Vibrador de concreto, Motor de 3 hp a 18.000 rpm Mangueras de 4 mt</t>
  </si>
  <si>
    <t>Barras de transferencia de carga (7/8'')</t>
  </si>
  <si>
    <t>Barras de unión de 1/2´´</t>
  </si>
  <si>
    <t>Cintilla De Poliuretano (Sikarod) (Pavimentos De Concreto Hidráulico)</t>
  </si>
  <si>
    <t>Sello de silicona o sellador autonivelante</t>
  </si>
  <si>
    <t>Antisol blanco (presentación 20 kg)</t>
  </si>
  <si>
    <t>Acero PDR-60 (canastilla)</t>
  </si>
  <si>
    <t>Transporte de concreto</t>
  </si>
  <si>
    <t>M3-KM</t>
  </si>
  <si>
    <t>CONCRETO 3000 PSI IMPERMEABILIZADO</t>
  </si>
  <si>
    <t>CONCRETO 3000 PSI IMPERMEABILIZADO PARA TAPA Y FONDO</t>
  </si>
  <si>
    <t>CONCRETO PREMEZCLADO DE 4000 PSI</t>
  </si>
  <si>
    <t>Con este incremento, el salario mínimo pasa de $737.717 a $781.242 y el auxilio de transporte pasa de $83.140 a $88.211.</t>
  </si>
  <si>
    <t>TRANSPORTE DE AGREGADOS PETROS</t>
  </si>
  <si>
    <t>km/m3</t>
  </si>
  <si>
    <t>MARCO SEGUETA NICHOLSON</t>
  </si>
  <si>
    <t>IMPRIMACIÓN CON EMULSIÓN ASFALTICA CRL-0 (INCLUYE SUMINISTRO, BARRIDO Y RIEGO)</t>
  </si>
  <si>
    <t>CARROTANQUE IRRIGADOR DE ASFALTO, 1000 GALONES DE CAPACIDAD</t>
  </si>
  <si>
    <t>COMPRESOR (BARRIDO Y SOPLADO)</t>
  </si>
  <si>
    <t>EMULSIÓN CRL-0</t>
  </si>
  <si>
    <t xml:space="preserve">Carrotanque de agua(1000 Galones) </t>
  </si>
  <si>
    <t>SARDINEL PREFABRICADO ACHAFLANADO A - 10 DIM:  .20 X .80 X .50H  TIPO IDU (COLOR GRIS NATURAL) -INCL. EXCAVACION DE .20X.20. 4 MPA MODULO DE ROTURA.</t>
  </si>
  <si>
    <t>SARDINEL ACHAFLANADO A10 .20 X .80 X .50H  TIPO IDU. PRECIO UNITARIO  INCLUYE I.V.A</t>
  </si>
  <si>
    <t>SARDINEL PREFABRICADO ACHAFLANADO A - 10 DIM:  .20 X .80 X .50H  TIPO IDU (COLOR AMARILLO, OCRE, GRIS OSCURO) -INCL. EXCAVACION DE .20X.20. 4 MPA MODULO DE ROTURA.</t>
  </si>
  <si>
    <t>SARDINEL ACHAFLANADO A10 .20 X .80 X .50H  TIPO IDU. EL PRECIO UNITARIO  INCLUYE I.V.A.</t>
  </si>
  <si>
    <t>SUMINISTRO E INSTALACION DE SARDINEL PREFABRICADO  PARA CURVAS TIPO IDU  A-10 DIM:  .20 X .40 X .50H  TIPO IDU. (COLOR GRIS NATURAL). 4 MPA MODULO DE ROTURA.</t>
  </si>
  <si>
    <t>SUMINISTRO E INSTALACION DE SARDINEL PREFABRICADO  PARA CURVAS TIPO IDU  A-10 DIM:  .20 X .40 X .50H  TIPO IDU. (COLOR AMARILLO, OCRE, GRIS OSCURO). 4 MPA MODULO DE ROTURA.</t>
  </si>
  <si>
    <t>SUMINISTRO E INSTALACION DE SARDINEL PREFABRICADO TIPO IDU A-100  ESPECIAL RAMPA VEHICULAR.  DIM: 0.60 mt x 0.20mt x 0.50mt,  060 X 0,15mt x 0,45mt, 4 MPA MODULO DE ROTURA.</t>
  </si>
  <si>
    <t>A-100 SARDINEL PREFABRICADO. ESPECIAL RAMPA VEHICULAR TIPO  IDU. DIM: 0.60 mt x 0.20mt x 0.50mt, 060 X 0,15mt x 0,45mt, EL PRECIO UNITARIO  INCLUYE I.V.A</t>
  </si>
  <si>
    <t>SUMINISTRO E INSTALACION DE SARDINEL PREFABRICADO TIPO IDU A-85  BAJO RAMPAS DIM: 0.80 mt x 0.20mt x 0.35mt,  4 MPA MODULO DE ROTURA.</t>
  </si>
  <si>
    <t>A-85 SARDINEL PREFABRICADO BAJO RAMPAS DIM: 0.80 mt x
0.20mt x 0.35mt EL PRECIO UNITARIO  INCLUYE I.V.A</t>
  </si>
  <si>
    <t>SUMINISTRO E INSTALACION  SARDINEL PREFABRICADO TIPO IDU  A-80. DIM: 0.80 mt x 0.20mt x 0.35mt, (CONFINAMIENTO LOSETAS) 4 MPA MODULO DE ROTURA.</t>
  </si>
  <si>
    <t>A-80 SARDINEL PREFABRICADO. DIM: 0.80 mt x 0.20mt x 0.35mt, 2800 (CONFINAMIENTO LOSETAS) EL PRECIO UNITARIO NO INCLUYE I.V.A</t>
  </si>
  <si>
    <t>SUMINISTRO E INSTALACION DE SARDINEL PREFABRICADO TIPO  A-81. DIM: 0.80 mt x 0.15mt x 0.35mt,  (CONFINAMIENTO DE ADOQUIN) 4 MPA MODULO DE ROTURA.</t>
  </si>
  <si>
    <t>A-81 SARDINEL PREFABRICADO. DIM: 0.80 mt x 0.15mt x 0.35mt,  EL PRECIO UNITARIO  INCLUYE I.V.A</t>
  </si>
  <si>
    <t>SUMINISTRO E INSTALACION DE  ADOQUIN GRIS CONCRETO BICAPA,  DIM: 0,20 X 0,20  ESP.  6 CM JUNTA PERDIDA, CON ARENA DE BASE, USO PEATONAL. ACABADO FINO. 5 MPA MODULO DE ROTURA</t>
  </si>
  <si>
    <t>ADOQUIN GRIS CONCRETO  BICAPA,  COLOR GRIS NATURAL.  DIM: 20X20X6 GRIS.  EL PRECIO UNITARIO  INCLUYE I.V.A</t>
  </si>
  <si>
    <t>SUMINISTRO E INSTALACION DE  ADOQUIN EN CONCRETO BICAPA, EN COLOR MINERAL  AL 5 % MARCA  BAYER  (AMARILLO, OCRE, NEGRA) ,  DIM: 0,20 X 0,20  ESP.  6 CM JUNTA PERDIDA, CON ARENA DE BASE, USO PEATONAL. ACABADO FINO.</t>
  </si>
  <si>
    <t xml:space="preserve">SUMINISTRO E INSTALACION DE LOSETA EN CONCRETO BICAPA COLOR GRIS NATURAL, TIPO IDU, MOTIVO CAPA DE RODADURA CUADRATICA. USO PEATONAL DIM: 40X40X6 CM.  JUNTA PERDIDA, CON ARENA DE BASE ESP. 0.06, USO PEATONAL (ANDENES Y PLAZOLETAS, ECT) </t>
  </si>
  <si>
    <t xml:space="preserve">SUMINISTRO E INSTALACION DE LOSETA EN CONCRETO BICAPA COLOR GRIS NATURAL, TIPO IDU, MOTIVO CAPA DE RODADURA CUADRATICA. USO PEATONAL DIM: 40X40X6 CM.  JUNTA PERDIDA, CON ARENA DE BASE ESP. 0.06, USO PEATONAL (PARA DILATACIONES DE ANDEN) </t>
  </si>
  <si>
    <t>DILATACION CON CORTADORA DE CONCRETO</t>
  </si>
  <si>
    <t>MALLA ELECTROSOLDADA 4.5MM 125X15 CM PARA PLACAS EN CONCRETO</t>
  </si>
  <si>
    <t>MALLA ELECTROSOLDADA 4.5mm (6X2.35mt 15X15cm)</t>
  </si>
  <si>
    <t>ALAMBRE RECOCIDO NEGRO No. 18</t>
  </si>
  <si>
    <t>ESTAMPILLA PROCULTURA</t>
  </si>
  <si>
    <t>ESTAMPILLA PROUNICESAR</t>
  </si>
  <si>
    <t>INDUPAL</t>
  </si>
  <si>
    <t>ESTAMPILLA PRODESARROLLO FRONTERIZO</t>
  </si>
  <si>
    <t>SEGURIDAD</t>
  </si>
  <si>
    <t>RETENCION A LA FUENTE</t>
  </si>
  <si>
    <t>TOTAL COSTOS INDIRECTOS (B)</t>
  </si>
  <si>
    <t xml:space="preserve">EMPEDRADO PARA PROTECCION DE 15CM DE ESPESOR EN PIEDRA 40% Y CONCRETO 3000 PSI 60%-INCL. NIVELACION </t>
  </si>
  <si>
    <t>ANTISOL BLANCO PIGMENTADO (200KG)</t>
  </si>
  <si>
    <t>ACTIVIDADES PRELIMINARES</t>
  </si>
  <si>
    <t>EXCAVACIONES</t>
  </si>
  <si>
    <t>BASES Y SUBBASES</t>
  </si>
  <si>
    <t>ANDENES Y SARDINELES</t>
  </si>
  <si>
    <t xml:space="preserve">RELLENO GRANULAR, INCL. SUMINISTRO Y COMPACTACION </t>
  </si>
  <si>
    <t>SUMIDEROS Y POZOS</t>
  </si>
  <si>
    <t>CONCRETO IMPERMEABILIZADO DE 4000 PSI  PARA BOX COLVERT -ACELERADO A 7 DIAS (CON N.F)</t>
  </si>
  <si>
    <t>SUMINISTRO E INSTALACION RED ALCANTARILLADO SANITARIO</t>
  </si>
  <si>
    <t>CONCRETO DE 210 kg/cm2 (3000 PSI) CUNETA DIMENSIONES 0.98m X 0.12m Y 0.20 m DE ALTURA DE SARDINEL</t>
  </si>
  <si>
    <t>TUBERÍA EN CONCRETO REFORZADO, DIÁMETRO 36", INCLUYE SUMINISTRO E INSTALACIÓN</t>
  </si>
  <si>
    <t>TUBO DE CONCRETO REFORZADO D=900 mm (TIPO 1)</t>
  </si>
  <si>
    <t>CONCRETO 3000 PSI PARA CAJA RECOLECCION ALCANTARILLA</t>
  </si>
  <si>
    <t>CONCRETO CICLOPEO (RESISTENCIA 3000 PSI- 60%) PARA CAJAS DE RECOLECCION ALCANTARILLA</t>
  </si>
  <si>
    <t>CONCRETO DE 210 kg/cm2 (3000 PSI) PARA PLACAS, DENTELLONES, VIGAS Y VIGUETAS DE RIOSTRAS</t>
  </si>
  <si>
    <t xml:space="preserve">FILTRO FRANCÉS 30 X 40 (INCLUYE EXCAV+GEONT-1600+TUBO 100MM)   </t>
  </si>
  <si>
    <t>MATERIAL DRENANTE (TAM. MÁX. 2´´)</t>
  </si>
  <si>
    <t xml:space="preserve">TRANSPORTE DE MATERIAL DRENANTE </t>
  </si>
  <si>
    <t>GEOTEXTIL NT-2500 O SIMILAR (PROVEEDORES, PAVCO, GEOMATRIX, TENSAR, OMNES U OTROS)</t>
  </si>
  <si>
    <t>TUBERIA PERFORADA PARA DRENAJE EN POLIETILENO 100MM</t>
  </si>
  <si>
    <t>DISIPADORES DE ENERGÍA Y SEDIMENTADORES EN GAVIONES DE ALAMBRE DE ACERO ENTRELAZADO CLASE 1: RECUBRIMIENTO DE ZINC (GALVANIZADO)</t>
  </si>
  <si>
    <t>PIEDRA PARA GAVIÓN</t>
  </si>
  <si>
    <t>ALAMBRE GALVANIZADO NO. 12</t>
  </si>
  <si>
    <t>MORTERO 1:3 DE RECUBRIMIENTO</t>
  </si>
  <si>
    <t>FORMALETA (GAVIONES, JUNTAS DE BORDILLOS, JUNTAS DE CUNETAS, MUROS, CONCRETOS CLASE D,E, F Y G)</t>
  </si>
  <si>
    <t>MALLA PARA GAVIONES (2M3)</t>
  </si>
  <si>
    <t>EXCAVACIONES Y RELLENOS</t>
  </si>
  <si>
    <t>DEMOLICIONES Y RETIRO</t>
  </si>
  <si>
    <t>ESTRUCTURAS CONCRETOS</t>
  </si>
  <si>
    <t>OBRAS DE CONTENCION Y DRENAJE</t>
  </si>
  <si>
    <t>TRAZADO Y REPLANTEO EN CANCHAS, ZONAS VERDES Y PARQUES.</t>
  </si>
  <si>
    <t xml:space="preserve">LINEA DEMARCACION CONTINUA PINTURA TRAFICO TIPO 1 A=.07, INCL. MANO DE OBRA.            </t>
  </si>
  <si>
    <t>Gln</t>
  </si>
  <si>
    <t xml:space="preserve">EQUIPOS </t>
  </si>
  <si>
    <t xml:space="preserve">LINEA DEMARCACION DISCONTINUA PINTURA TRAFICO TIPO 1 A=.07, INCL. MANO DE OBRA.            </t>
  </si>
  <si>
    <t xml:space="preserve">DEMARCACION DE CANCHA PINTURA TRAFICO TIPO 1 A=.07, INCL. MANO DE OBRA.            </t>
  </si>
  <si>
    <t>PINTURA REFLECTIVA TRAFICO</t>
  </si>
  <si>
    <t>CINTA DE ENMASCARAR</t>
  </si>
  <si>
    <t xml:space="preserve">MARCA VIAL PINTURA TRAFICO       </t>
  </si>
  <si>
    <t>PORTERIA MULTIPLE RODACHIN-TUBO GALV. 3" MULTIFUNCIONAL-TABLERO ACRILICO CAL .10 BASQUETBALL INCL. MALLAS, PINTURA-COLOCACION.</t>
  </si>
  <si>
    <t>MALLA ELECTROSOLDADA E-050 .25X.25</t>
  </si>
  <si>
    <t>FORMALETA SARDINEL</t>
  </si>
  <si>
    <t xml:space="preserve">PLACA DE LA CANCHA DE ESPESOR E=0.15m, EN CONCRETO   f'c=3.000PSI, UTILIZAR FIBRA DE FLEXA NYLON FIBER EN UNA DOSIS DE 600grxM3.    </t>
  </si>
  <si>
    <t>CONCRETO DE f'c=3.000PSI</t>
  </si>
  <si>
    <t>FORMALETA PARA BORDES PLACA CANCHA</t>
  </si>
  <si>
    <t>FLEXA NYLON FIBER</t>
  </si>
  <si>
    <t>PUNTILLA  CON CABEZA 1" - 3"</t>
  </si>
  <si>
    <t>VIBRADOR A GASOLINA CON OPERADOR</t>
  </si>
  <si>
    <t xml:space="preserve">MALLA ELECTROSOLDADA 15x15cm -  PARA PLACA DE LA CANCHA.      </t>
  </si>
  <si>
    <t>CONCRETO DE 2500 PSI</t>
  </si>
  <si>
    <t>TRASLADO DE SEÑALIZACION DE TRANSITO EXISTENTE, INCLUYE LA CONSTRUCCION DE PISO EN CONCRETO ADICIONAL AL EXISTENTE</t>
  </si>
  <si>
    <t xml:space="preserve">TORNILLERIA Y ANGULOS </t>
  </si>
  <si>
    <t>REUBICACION DE ARBOLES EXISTENTES Y PALMERAS (INCLUYE PODA, BLOQUEO, LA ELABOARCION DE HUECO, RELLENO DE ABONO, Y CUIDADO DEL ARBOL DURANTE UN PERIODO NO INFERIOR DE 30 DIAS)-MAYORES DE 3.00 MT DE ALTURA Y DIAMETRO DE .30CM</t>
  </si>
  <si>
    <t>SUMINSTRO Y SIEMBRA ARBOLES NATIVOS-2.50 MT ALTURA-DIAMETRO .10CM DE TALLO.</t>
  </si>
  <si>
    <t>Lts.</t>
  </si>
  <si>
    <t>SUMINISTRO DE PALMAS BOTELLA NO MENOR DE 2.00 MT DE TALLO</t>
  </si>
  <si>
    <t>JARDINERAS A NIVEL DE PISO EN CONCRETO ARMADO  INCLUYE CUATRO (4) PLACAS EN CONCRETO ARMADO DE 3.000 PSI , CON 3 VARILLAS DE Ø 3/8” Y ESTRIBOS CADA .20 CMS DE Ø ¼” .  CADA PLACA TENDRÁ UNA DIMENSIÓN DE 1.50*.25 MT Y ESPESOR .10 MT</t>
  </si>
  <si>
    <t>ACERO PDR 60000</t>
  </si>
  <si>
    <t xml:space="preserve">DESPERDICIO </t>
  </si>
  <si>
    <t>FORMALETA METALICA</t>
  </si>
  <si>
    <t>SUMINISTRO E INSTALACIÓN DE ESTRUCTURAS CONTENEDORAS PARA LAS RAICES DE LOS ÁRBOLES. INCLUYE EXCAVACIÓN. EN LOS SITIOS DONDE SE PLANTARAN LOS NUEVOS ÁRBOLES, SE PROCEDERÁ A FUNDIR UN ANILLO CONTENEDOR DE RAÍCES EN CONCRETO REFORZADO DE 3.000 PSI (210 K/CM2)   A UNA PROFUNDIDAD DE 1.30 MTS Y UN DIÁMETRO DE 1.50 MTS.  PARA SÍ EVITAR QUE LOS PISOS SE FRACTUREN POR EL CRECIMIENTO DE LOS MISMOS-INCL. 8.5 KG DE ACERO DE REFUERZO</t>
  </si>
  <si>
    <t>EMPRADIZACION - GRAMA TIPO TAPETE - (INCLUYE ABONO) AREAS MENORES DE 2.500 M2-INCLUYE MANTENIMIENTO DURANTE 45 DIAS</t>
  </si>
  <si>
    <t xml:space="preserve">GRAMA  TIPO TAPETE </t>
  </si>
  <si>
    <t xml:space="preserve">SUMINISTRO E INSTALACION DE TIERRA AGRICOLA </t>
  </si>
  <si>
    <t>MANO DE OBRA AA- IONCLUYE MANTRENIEMIENTO</t>
  </si>
  <si>
    <t>EMPRADIZACION (INCLUYE ABONO) AREAS MAYORES DE 2.500 M2-INCLUYE MANTENIMIENTO DURANTE 45 DIAS</t>
  </si>
  <si>
    <t>DESMONTE BANCAS EN CONCRETO</t>
  </si>
  <si>
    <t>DESMONTE LAMPARAS EXISTENTES</t>
  </si>
  <si>
    <t>MURO DE CONTENCION EN CONCRETO PARA SOPORTE DE RELLENOS EN VIAS PEATONALES VAN DESDE .80 MTS EN ADELANTE, INCLUYEN 4 VARILLAS DE 3/8 CADA ,25MTS EN SENTIDO VERTICAL Y 4 DE 1/4" CADA ,25MTS. EN SENTIDO LONGITUDINAL</t>
  </si>
  <si>
    <t>SIKA 2 O SIMILAR IMPERMEABILIZANTE DE CONCRETOS ADITIVO LÍQUIDO, ALCALINO, QUE MEZCLADO CON CEMENTO PURO PROPORCIONA UNA PASTA DE RÁPIDO ENDURECIMIENTO. NO CONTIENE CLORUROS</t>
  </si>
  <si>
    <t xml:space="preserve">TORNILLOS ACCESORIOS </t>
  </si>
  <si>
    <t xml:space="preserve">SUMINISTRO E INSTALACION DE  SEÑALES DE TRANSITO DE .75 x .75 EN LAMINA GALVANIZADA CAL. 18, FONDO REFLECTIVO Y LOS SIMBOLOS DE ACUERDO AL COLOR DE LA SEÑAL INDICADA, PARAL VERTICAL EN ANGULO DE HIERRO DE 2X1/4" </t>
  </si>
  <si>
    <t xml:space="preserve">SUMINISTRO E INSTALACION DE SEÑALES VERTICALES DE TRANSITO  DE ACUERDO AL MANUAL SOBRE DISPOSITIVOS PARA EL CONTROL DE TRANSITO EN CALLES Y CARRETERAS EN COLOMBIA Y DEMAS NORMAS </t>
  </si>
  <si>
    <t xml:space="preserve">SUMINISTRO E INSTALACION DE  SEÑALES DE TRANSITO DE .60 x .60 EN LAMINA GALVANIZADA CAL. 18, FONDO REFLECTIVO Y LOS SIMBOLOS DE ACUERDO AL COLOR DE LA SEÑAL INDICADA, PARAL VERTICAL EN ANGULO DE HIERRO DE 2X1/4" </t>
  </si>
  <si>
    <t>SUMINISTRO E INSTALACION DE  SEMAFOROS INCLUYEN INSTALACIONES ELECTRICAS</t>
  </si>
  <si>
    <t>MANO DE OBRA B.B</t>
  </si>
  <si>
    <t>SUMINISTRO E INSTALACION DE CANECAS PARA BASURA M-120 TIPO IDU</t>
  </si>
  <si>
    <t xml:space="preserve">PARQUE INFANTIL REF. TIPO 2 O SALGUERO           </t>
  </si>
  <si>
    <t>PARQUE INFANTIL REF. TIPO 2 O SALGUERO                                      MATERIAL DE FABRICACION Madera de pino patula inmunizada al vacío, tubería y fibra de vidrio CARACTERISTICAS: Dos Módulos mirador en madera de 12 cm., con techo en fibra de vidrio, altura del suelo a la tarima 1.25 mts, altura total 2.85 mts, Una Estructura en madera de 12 cmt de diámetro y 2.8 mts de longitud, con dos columpio en penca sintética, cadena galvanizada de 1/4, montados en balineras ref.; 6203 con canastilla metálica. Un puente de 1.25 x 1.00 mts con barras protectoras, Un tobogán en fibra de vidrio de 2.40 mts x 0.43 mts. Una estructura de 2.45 mts de longitud con aros de gimnasia y trapecio. Tres escaleras de barrotes de ascenso de 1.4 x 0.74 mts. Tornillería galvanizada con tuerca de seguridad, Acabado con base se llador y barniz solar la madera y pintura electrostática las partes metálicas. Anclado en concreto de 3000 psi. Área requerida: 7 x 12 mts, Diámetro madera; 12, 10, 9 cmt y media madera.</t>
  </si>
  <si>
    <t xml:space="preserve">SUMINISTRO E INSTALACION DE BANCAS EN CONCRETO MODULAR M 40 -INCL. EMPOTRAMIENTO </t>
  </si>
  <si>
    <t xml:space="preserve">SUMINISTRO E INSTALACION DE BANCAS MODULAR TIPO IDU M - 40 </t>
  </si>
  <si>
    <t xml:space="preserve">SUMINISTRO E INSTALACION DE BANCAS EN CONCRETO SIN ESPALDAR - TIPO IDU M 31-INCL. EMPOTRAMIENTO </t>
  </si>
  <si>
    <t>SUMINISTRO E INSTALACION DE BANCAS SIN ESPALDAR TIPO IDU  M 31</t>
  </si>
  <si>
    <t xml:space="preserve">SUMINISTRO E INSTALACION DE BANCAS EN MADERA INMUNIZADA Y ESTRUCTURA EN HIERRO FUNDIDO TIPO FRANCESA SEGÚN DISEÑO-INCL. EMPOTRAMIENTO </t>
  </si>
  <si>
    <t xml:space="preserve">SUMINISTRO E INSTALACION DE BANCAS E MADERA INMUNIZADA M - 50 </t>
  </si>
  <si>
    <t>DESMONTE DE REJAS EXISTENTES Y REUBICACION -INCL. PINTURA EN ESMALTE</t>
  </si>
  <si>
    <t>EQUIPO DE SOLDADURA</t>
  </si>
  <si>
    <t xml:space="preserve">FUMIGACION DE MALEZA </t>
  </si>
  <si>
    <t>HA</t>
  </si>
  <si>
    <t xml:space="preserve">PODA DE ARBOLES DE (INCLUYE PODA, Y RETIRO SOBRANTES - MAYOR DE 3.00 MT Y DIAMETRO DE .30 M A 1,0 M  </t>
  </si>
  <si>
    <t xml:space="preserve">TRANSPORTE VOLQUETA 6 M3 </t>
  </si>
  <si>
    <t>TACHA REFLECTIVA</t>
  </si>
  <si>
    <t>RESINA TERMOPLASTICA (pegante epoxico)</t>
  </si>
  <si>
    <t>MAQUINA TERMICA (pegatachas)</t>
  </si>
  <si>
    <t>SEÑALIZACION</t>
  </si>
  <si>
    <t>MOVILIARIO URBANO</t>
  </si>
  <si>
    <t>PARQUES Y ZONAS DEPORTIVAS</t>
  </si>
  <si>
    <t>SUMINISTRO E INSTALACIÓN DE SEÑAL DOBLE DE 75CM REFLECTIVO ALTA INTENSIDAD TIPO IV O SUPERIOR, EN LÁMINA GALVANIZADA C-16, PEDESTAL EN ÁNGULO SP/SR CUMPLIENDO NORMATIVIDAD VIGENTE.</t>
  </si>
  <si>
    <t>SEÑAL DOBLE DE 75CM REFLECTIVO ALTA INTENSIDAD TIPO IV O SUPERIOR, EN LÁMINA GALVANIZADA C-16, PEDESTAL EN ÁNGULO SP/SR</t>
  </si>
  <si>
    <t>MARCA VIAL SIMBOLOS Y FLECHAS</t>
  </si>
  <si>
    <t>SUMINISTRO Y ANCLAJE DE ESTOPEROLES METÁLICOS CON ESPIGO DE MÍNIMO 10 CM DE DIÁMETRO Y MÁXIMO 2,5 CM DE ALTURA CON UN ESPIGO DE MÍNIMO 5 CM (NTC 4745) INCLUYE ELEMENTOS DE FIJACIÓN.</t>
  </si>
  <si>
    <t>ESTOPEROLES METÁLICOS CON ESPIGO DE MÍNIMO 10 CM DE DIÁMETRO Y MÁXIMO 2,5 CM DE ALTURA CON UN ESPIGO DE MÍNIMO 5 CM (NTC 4745) INCLUYE ELEMENTOS DE FIJACIÓN.</t>
  </si>
  <si>
    <t>SUMINISTRO Y EXTENDIDO DE ABONO</t>
  </si>
  <si>
    <t>ACOMETIDAS SANITARIAS</t>
  </si>
  <si>
    <t>KIT DE SILLA YEE DE 8"x6" PARA ALCANTARILLADO. INCLUYE SUMINISTRO E INSTALACIÓN.</t>
  </si>
  <si>
    <t>KIT SILLA YEE SANITARIA 8"X6"</t>
  </si>
  <si>
    <t>KIT DE SILLA YEE DE 10"x6" PARA ALCANTARILLADO. INCLUYE SUMINISTRO E INSTALACIÓN.</t>
  </si>
  <si>
    <t>KIT SILLA YEE SANITARIA 10"X6"</t>
  </si>
  <si>
    <t>KIT DE SILLA YEE DE 12"x6" PARA ALCANTARILLADO. INCLUYE SUMINISTRO E INSTALACIÓN.</t>
  </si>
  <si>
    <t>KIT SILLA YEE SANITARIA 12"X6"</t>
  </si>
  <si>
    <t>CODO DE 6" DE 45° PARA ALCANTARILLADO. INCLUYE SUMINISTRO E INSTALACIÓN.</t>
  </si>
  <si>
    <t>CODO PVC 45° DE 6"</t>
  </si>
  <si>
    <t>CILINDRO POZO INSPECCIÓN, CONCRETO 28 MPA. IMPERMEABILIZADO E=0.2 M DEXT=1.60 M</t>
  </si>
  <si>
    <t>CONCRETO 4000 PSI ELABORADO EN OBRA</t>
  </si>
  <si>
    <t>CONCRETO 2500 PSI ELABORADO EN OBRA-SOLADO</t>
  </si>
  <si>
    <t>AROBASE EN LAMINA DE 1/8"</t>
  </si>
  <si>
    <t>TAPA EN CONCRETO DE 4000 PSI REFORZADO</t>
  </si>
  <si>
    <t>AROTAPA EN LAMINA DE 3/16"</t>
  </si>
  <si>
    <t xml:space="preserve">BASE-CAÑUELA PARA CÁMARA CIRCULAR INSPEC D=1.60 M EN CONCRETO ELABORADO EN OBRA-3.000PSI CLASE D                     </t>
  </si>
  <si>
    <t>ALCANTARILLADO PLUVIAL</t>
  </si>
  <si>
    <t>TUBERÍA GRP ALCANTARILLADO PLUVIAL 900MM INCLUYE ACCESORIOS</t>
  </si>
  <si>
    <t>TUBERIA GRP ALCANTARILLADO PLUVIAL 900 MM SN2500</t>
  </si>
  <si>
    <t xml:space="preserve">MANO DE OBRA BB </t>
  </si>
  <si>
    <t>TUBERÍA GRP ALCANTARILLADO PLUVIAL 1000MM INCLUYE ACCESORIOS</t>
  </si>
  <si>
    <t>TUBERIA GRP ALCANTARILLADO PLUVIAL 1000 MM SN2500</t>
  </si>
  <si>
    <t>TUBERÍA GRP ALCANTARILLADO PLUVIAL 1300MM INCLUYE ACCESORIOS</t>
  </si>
  <si>
    <t>TUBERIA GRP ALCANTARILLADO PLUVIAL 1300 MM SN2500</t>
  </si>
  <si>
    <t>TUBERÍA GRP ALCANTARILLADO PLUVIAL 1400MM INCLUYE ACCESORIOS</t>
  </si>
  <si>
    <t>TUBERIA GRP ALCANTARILLADO PLUVIAL 1400 MM SN2500</t>
  </si>
  <si>
    <t>TUBERÍA GRP ALCANTARILLADO PLUVIAL 1600MM INCLUYE ACCESORIOS</t>
  </si>
  <si>
    <t>TUBERIA GRP ALCANTARILLADO PLUVIAL 1600 MM SN2500</t>
  </si>
  <si>
    <t>TUBERÍA GRP ALCANTARILLADO PLUVIAL 1700MM INCLUYE ACCESORIOS</t>
  </si>
  <si>
    <t>TUBERIA GRP ALCANTARILLADO PLUVIAL 1700 MM SN2500</t>
  </si>
  <si>
    <t>TUBERÍA GRP ALCANTARILLADO PLUVIAL 1900MM INCLUYE ACCESORIOS</t>
  </si>
  <si>
    <t>SUMINISTRO E INSTALACION DE UNION GRP 900 MM</t>
  </si>
  <si>
    <t>UNION GRP 700 MM</t>
  </si>
  <si>
    <t>SUMINISTRO E INSTALACION DE UNION GRP 1000 MM</t>
  </si>
  <si>
    <t>UNION GRP 1000 MM</t>
  </si>
  <si>
    <t>SUMINISTRO E INSTALACION DE UNION GRP 1300 MM</t>
  </si>
  <si>
    <t>UNION GRP 1300 MM</t>
  </si>
  <si>
    <t>SUMINISTRO E INSTALAICON DE UNION GRP 1400 MM</t>
  </si>
  <si>
    <t>UNION GRP 1400 MM</t>
  </si>
  <si>
    <t>SUMINISTRO E INSTALACION DE UNION GRP 1600 MM</t>
  </si>
  <si>
    <t>UNION GRP 1600 MM</t>
  </si>
  <si>
    <t>SUMINISTRO E INSTALACION DE UNION GRP 1700 MM</t>
  </si>
  <si>
    <t>UNION GRP 1700 MM</t>
  </si>
  <si>
    <t>SUMINISTRO E INSTALACION DE UNION GRP 1900 MM</t>
  </si>
  <si>
    <t>UNION GRP 1900 MM</t>
  </si>
  <si>
    <t>SUMINISTRO E INSTALACION DE CAMARA GRP 1000 MM</t>
  </si>
  <si>
    <t>CAMARA GRP 1000 MM</t>
  </si>
  <si>
    <t>SUMINISTRO E INSTALACION DE CAMARA GRP 1300 MM</t>
  </si>
  <si>
    <t>CAMARA GRP 1300 MM</t>
  </si>
  <si>
    <t>SUMINISTRO E INSTALACION DE CAMARA GRP 1400 MM</t>
  </si>
  <si>
    <t>CAMARA GRP 1400 MM</t>
  </si>
  <si>
    <t>SUMINISTRO E INSTALACION DE CAMARA GRP 1600 MM</t>
  </si>
  <si>
    <t>CAMARA GRP 1600 MM</t>
  </si>
  <si>
    <t>SUMINISTRO E INSTALACION DE CAMARA GRP 1700 MM</t>
  </si>
  <si>
    <t>CAMARA GRP 1700 MM</t>
  </si>
  <si>
    <t>SUMINISTRO E INSTALACION DE CAMARA GRP 1900 MM</t>
  </si>
  <si>
    <t>CAMARA GRP 1900 MM</t>
  </si>
  <si>
    <t>ACTIVIDADES</t>
  </si>
  <si>
    <t>MOTONIVELADORA  POTENCIA 215 HP, ANCHO DE CUCHILLA 4,27 M, PESO 18 TON.</t>
  </si>
  <si>
    <t>CARGADOR : POTENCIA EN EL VOLANTE 110 HP, CLASIFICACIÓN DE RPM DEL MOTOR 2300.</t>
  </si>
  <si>
    <t>CARGADOR : POTENCIA EN EL VOLANTE 125 HP, CLASIFICACIÓN DE RPM DEL MOTOR 2300.</t>
  </si>
  <si>
    <t>RETROEXCAVADORA SOBRE LLANTAS, MOTOR 62HP, PROFUNDIDAD DE EXCAVACIÓN DE 5.41 METROS.</t>
  </si>
  <si>
    <t>SOLADO CONCRETO 2.500 PSI</t>
  </si>
  <si>
    <t>PISO DE 15 CM DE ESPESOR EN PIEDRA LAJA 40% Y CONCRETO 3000 PSI 60% PARA CALZADAS</t>
  </si>
  <si>
    <t>PLACA HUELLA EN CONCRETO 3000 PSI CLASE D,  PLACA DE 0.15 DE ESPESOR Y ANCHO DE 0.90 CADA FRANJA Y PIEDRA PEGADA CON MORTERO 1:4 ANCHO 0.90 MT, INCLUYE NIVELACION DE TERRENO</t>
  </si>
  <si>
    <t>PLACA HUELLA EN CONCRETO CLASE D,  PLACA DE 0.17 DE ESPESOR Y ANCHO DE 0.90 CADA FRANJA Y PIEDRA PEGADA CON MORTERO 1:4 ANCHO 0.90 MT, INCLUYE NIVELACION DE TERRENO</t>
  </si>
  <si>
    <t>CONCRETO 2500 PSI</t>
  </si>
  <si>
    <t xml:space="preserve">DEMOLICIÓN DE PAVIMENTOS EN CONCRETO ASFÁLTICO  MANUAL                                                                   </t>
  </si>
  <si>
    <t>CORTE DE ARBOL PORTE BAJO SACADO DE RAIZ,  HASTA 0.20 MT DE DIAMETRO,  INCL.  RETIRO AL BOTADERO OFICIAL,  RELLENO DE HUECO Y PERMISO DE CORPOCESAR</t>
  </si>
  <si>
    <t>CORTE DE ARBOL PORTE MEDIO SACADO DE RAIZ,  HASTA 0.80 MT DE DIAMETRO, INCL. RETIRO AL BOTADERO OFICIAL,  RELLENO DE HUECO Y PERMISO DE CORPOCESAR</t>
  </si>
  <si>
    <t>CORTE DE ARBOL GRAN PORTE SACADO DE RAIZ,  MAYOR DE 0.80 MT DE DIAMETRO, INCL. RETIRO AL BOTADERO OFICIAL,  RELLENO DE HUECO Y PERMISO DE CORPOCESAR</t>
  </si>
  <si>
    <t>CONCRETO 1:2:2 1/2 ELABORADO EN OBRA- (2800 -3200 PSI)</t>
  </si>
  <si>
    <t>CONCRETO 1:4:5 (1800 A 2000 PSI) ELABORADO EN OBRA</t>
  </si>
  <si>
    <t>CONCRETO 1:4:8 (1500 A 1800 PSI) ELABORADO EN OBRA</t>
  </si>
  <si>
    <t>JUEGOS DIDACTICOS TIPO 1 O HURTADO .</t>
  </si>
  <si>
    <t>CONCRETO ELABORADO EN OBRA-3.000PSI</t>
  </si>
  <si>
    <t>Características: Tres Módulos miradores en dos niveles, con techos en fibra de vidrio, tres plataformas planas, un puente inclinado con barras protectoras, un túnel de conexión horizontal en poliestireno plástico, un túnel deslizadero en poliestireno plástico, un deslizadero sencillo en fibra de vidrio, un deslizadero doble en fibra de vidrio, una escalera de acceso de peldaños, una escalera de acceso con tacos en resina poliéster, una escalera en forma de gotas, un pasamanos en forma de gotas, Empotrado en concreto de 3000 psi. Materiales de Fabricación: Tubería ovalada en acero AISI/SAE 1008, Ø4"(114mm) - Espesor e=3 mm. (Ø1 1/4" -espesor e= 2,5 mm), Ø 1 1/2" (72 mm) - Espesor e=2,9 mm. Tubo ovalado 5.5 cm x 2.5 cm - 4 cm x 2,5 cm. Lamina en alfajor 3mm dimensión 98 cm². Discos Ø 250 MM Espesor e= 6.3 mm o Ø1/4" electro soldado con Soldadura MIG-MAG. Lamina de alfajor en 3mm, dimensión 140 cm x 84 cm , tacos en resina poliéster, Tubería ovalada en acero AISI/SAE 1008 1" espesor e= 2.5 mm Ø 1 1/4"(114mm) - Espesor e=2.9 mm. Lamina en alfajor en 3mm, dimesion160 cms x 98 cms, Techos en Fibra de vidrio, Túneles en Poliestireno plástico, Tubería en acero AISI/SAE 1008, dimensión (9 cm x 4 cm) Espesor e=2,9 mm, tubo en acero Ø 1" espesor e= 2.5 mm, tubería Ø 4" espesor e=2,5mm, Toboganes en fibra de vidrio, escaleras en Tubo en acero AISI/SAE 1008, Ø 1 1/4"(114mm) - Espesor e=2.9 mm., Ø 1 " (72 mm) - Espesor e=2.5 mm. Tubo ovalado 5.5 cm x 2.5 cm - 4 cm x 2,5 cm. Lamina aceitada y decapada, Acabado en pintura electrostática poliéster para exteriores con espesor de 60 micras, Soldadura MIG-MAG, Empotrado en concreto de 3000 psi.</t>
  </si>
  <si>
    <t>PARQUE INFANTIL REF. RE-003</t>
  </si>
  <si>
    <t>PARQUE INFANTIL REF. TIPO 2 O SALGUERO
CARACTERISTICAS: Dos Módulos mirador en madera de 12 cm., con techo en fibra de vidrio, altura del suelo a la tarima 1.25 mts, altura total 2.85 mts, Una Estructura en madera de 12 cmt de diámetro y 2.8 mts de longitud, con dos columpio en penca sintética, cadena galvanizada de 1/4, montados en balineras ref.; 6203 con canastilla metálica. Un puente de 1.25 x 1.00 mts con barras protectoras, Un tobogán en fibra de vidrio de 2.40 mts x 0.43 mts. Una estructura de 2.45 mts de longitud con aros de gimnasia y trapecio. Tres escaleras de barrotes de ascenso de 1.4 x 0.74 mts. Tornillería galvanizada con tuerca de seguridad, Acabado con base sellador y barniz solar la madera y pintura electrostática las partes metálicas. Empotrado en concreto de 3000 psi.</t>
  </si>
  <si>
    <t>ESTRUCTURA CON TRES (3) COLUMPIOS</t>
  </si>
  <si>
    <t>ESTRUCTURA CON TRES (3) COLUMPIOS
Características: Estructura fabricada en tubo redondo de 3”, cadena galvanizada de ¼”, penca sintética montados en balineras, acabado con pintura electrostática poliéster para exteriores con espesor de 60 micras, empotrado en concreto de 3000 psi.</t>
  </si>
  <si>
    <t>JUEGO INFANTIL TELEFERICO</t>
  </si>
  <si>
    <t>JUEGO INFANTIL REF. TELEFÉRICO
Características: Dos estructuras con plataformas planas, con sistema de
transporte aéreo de mano para desplazamiento de una estructura a la otra.
Material de fabricación: Estructura fabricada en tubo de acero redondo 114 mm de diámetro, con 3.2 mm de espesor, plataformas en lámina de alfajor de 3 mm de espesor, tubo de 2 ½” de diámetro x 2.9 mm de espesor, tubería de 1 1/4” de diámetro en 3.2 mm de espesor, lámina HR de 6.3 mm de espesor, pasadores en acero 10-20 recubiertos en cromo, rodamientos ref. 6205 sellados, ruedas en teflón para trabajo pesado, frenos amortiguadores en caucho, manilares en empack, acabado con pintura electrostática poliéster para exteriores con espesor de 60 micras, empotrado en concreto de 3000 psi.</t>
  </si>
  <si>
    <t>CERRAMIENTO PERIMETRAL PARA ZONA DE JUEGOS</t>
  </si>
  <si>
    <t>CERRAMIENTO PERIMETRAL PARA ZONA DE JUEGOS
Características: Estructura fabricada en tubo redondo de 3”, y tubo rectangular, acabado con pintura electrostática poliéster para exteriores con espesor de 60 micras, empotrado en concreto de 3000 psi.</t>
  </si>
  <si>
    <t>BALANCÍN METÁLICO 4 PUESTOS</t>
  </si>
  <si>
    <t>PARQUE INFANTIL REF.: TIPO 3 O WAKEDT
CARACTERISTICAS: Tres Módulos mirador en madera de 12 cm., con techo en fibra de vidrio, altura del suelo a la tarima 1.25 mts, altura total 2.85 mts, Una
Estructura en madera de 12 cmt de diámetro y 2.8 mts de longitud, con dos columpio en penca sintética, cadena galvanizada de 1/4, montados en balineras ref.; 6203 con canastilla metálica. Un puente fijo con barras protectoras en tubo galv. de 11/2" y 3/4" de 1.25 mts de longitud. Dos tobogán en fibra de vidrio de 2.40 mts x 0.43 mt, Una estructura para pasamanos metálica de 2.0 mts, Un túnel en fibra de vidrio de 1.22 mts x 0.59 de diámetro. Tres escaleras de barrotes de ascenso de 1.4 mts x 0.74 mts, Una estructura de 2.45 mts de longitud con aros de gimnasia y trapecio. Tornillería galvanizada con tuerca de seguridad. Acabado con base sellador y barniz solar la madera y pintura electrostática lo metálico. Empotrado en concreto de 3000 psi.</t>
  </si>
  <si>
    <t>PARQUE INFANTIL REF. TIPO 3 O WAKEDT</t>
  </si>
  <si>
    <t>PARQUE INFANTIL REF. CANDY
CARACTERISTICAS: Dos Módulos miradores en madera de 12 cm., Dos techos (uno en fibra de vidrio y el otro en madera de 9 cm. de diámetro, entrelazados con varilla lisa de 10.5 mm), altura del suelo a la tarima 1.25 mts, altura total 2.85 mts, Una Estructura en madera de 12 cmt de diámetro y 2.8 mts de longitud, con dos columpio en penca sintética, cadena galvanizada de 1/4, montados en balineras ref.; 6203 con canastilla metálica. Un túnel en fibra de vidrio de 1.22 mts x 0.59 de diámetro. Dos escaleras de ascenso (Una de barrotes y Una de Malla). Tornillería galvanizada con tuerca de seguridad, Acabado con base sellador y barniz solar la madera, las partes metálicas con pintura en polvo electrostática horneable. Empotrado en concreto de 3000 psi.</t>
  </si>
  <si>
    <t>PARQUE INFANTIL REF. CANDY</t>
  </si>
  <si>
    <t>ESTRUCTURA COLUMPIO X 3</t>
  </si>
  <si>
    <t>ESTRUCTURA DE COLUMPIOS X 3
CARACTERISTICAS: Estructura en madera de 12 cmt de diámetro y 2.8 mts de longitud, con tres columpio en penca sintética, cadena galvanizada de 1/4, montados en balineras ref.; 6203 con canastilla metálica. Tornillería galvanizada con tuercas de seguridad. Acabado con base sellador y barniz solar. Empotrado en concreto de 3000 psi.</t>
  </si>
  <si>
    <t>RUEDA GIRATORIA</t>
  </si>
  <si>
    <t>RUEDA GIRATORIA
CARACTERISTICAS: Estructura en tubo de 5", 3/4" y ángulo de 1 x 3/16", doble balinera, cubierta en madera, medidas; 1.78 x 1.78 mts, con 6 lados de 0.82 mts. Acabado con anticorrosivo y esmalte sintético, tornillería galvanizada con tuerca de seguridad. Empotrado en concreto de 3000 psi.</t>
  </si>
  <si>
    <t>MEDIO MUNDO</t>
  </si>
  <si>
    <t>MEDIO MUNDO
CARACTERISTICAS: Elaborado en tubería de 1" y 3/4" galvanizada, de 3.3 mts de longitud x 1.0 mts de ancho x 1.75 de alto. Acabado con base wasprimer y esmalte sintético. Empotrado en concreto de 3000 psi.</t>
  </si>
  <si>
    <t>SUBE Y BAJA</t>
  </si>
  <si>
    <t>SUBE Y BAJA
CARACTERISTICAS: Elaborado en madera inmunizada de 12 cms, de diámetro x 2.40 mts de longitud y 0.45 mts de alto, Sillas en fibra de vidrio, de 0.26 x 0.14 mts. Agarraderas en tubo galvanizado de 3/4". Acabado con base selladora y barniz solar para la madera y pintura electrostática para el metal. Empotrado en concreto de 3000 psi.</t>
  </si>
  <si>
    <t>CANECA DE BASURA GIRATORIA
CARACTERISTICAS: Elaborada en fibra de vidrio, vaso de 60 x 40 cmt, soportes en madera inmunizada de 12 cmt de diámetros, tapones decorativos, montada en balineras ref.: 6203. Acabado de los soportes con sellador, base y laca. Acabado del Vaso con laca. Empotrado en concreto de 3000 psi.</t>
  </si>
  <si>
    <t xml:space="preserve">CANECA DE BASURA GIRATORIA </t>
  </si>
  <si>
    <t>SUMINISTRO E INSTALACION ELIPTICA DE GIMNASIO BIOSALUDABLES</t>
  </si>
  <si>
    <t>SUMINISTRO E INSTALACION DE BICICLETA ESTATICA DE GIMNASIO BIOSALUDABLES</t>
  </si>
  <si>
    <t>SUMINISTRO E INSTALACION DE MARCHA DE GIMNASIO BIOSALUDABLES</t>
  </si>
  <si>
    <t>SUMINISTRO E INSTALACION DE ESCALADOR DE GIMNASIO BIOSALUDABLES</t>
  </si>
  <si>
    <t>SUMINISTRO E INSTALACION DE PECHO DE GIMNASIO BIOSALUDABLES</t>
  </si>
  <si>
    <t>PECHO</t>
  </si>
  <si>
    <t>SUMINISTRO E INSTALACION DE CAMINADORA DE GIMNASIO BIOSALUDABLES</t>
  </si>
  <si>
    <t>CAMINADORA</t>
  </si>
  <si>
    <t>SUMINISTRO E INSTALACION DE DORSALES DE GIMNASIO BIOSALUDABLES</t>
  </si>
  <si>
    <t>DORSALES</t>
  </si>
  <si>
    <t>SUMINISTRO E INSTALACION DE ABDOMINAL DE GIMNASIO BIOSALUDABLES</t>
  </si>
  <si>
    <t>ABDOMINAL</t>
  </si>
  <si>
    <t>SUMINISTRO E INSTALACION DE PIERNAS DE GIMNASIO BIOSALUDABLES</t>
  </si>
  <si>
    <t>PIERNAS</t>
  </si>
  <si>
    <t>SUMINISTRO E INSTALACION DE POTRO DE GIMNASIO BIOSALUDABLES</t>
  </si>
  <si>
    <t>POTRO</t>
  </si>
  <si>
    <t>SUMINISTRO E INSTALACION DE REMO DE GIMNASIO BIOSALUDABLES</t>
  </si>
  <si>
    <t>REMO</t>
  </si>
  <si>
    <t>SUMINISTRO E INSTALACION DE BRAZOS DE GIMNASIO BIOSALUDABLES</t>
  </si>
  <si>
    <t>BRAZOS</t>
  </si>
  <si>
    <t>SUMINISTRO E INSTALACION DE CINTURA DE GIMNASIO BIOSALUDABLES</t>
  </si>
  <si>
    <t>SUMINISTRO E INSTALACION DE MASAJE DE GIMNASIO BIOSALUDABLES</t>
  </si>
  <si>
    <t>MASAJE</t>
  </si>
  <si>
    <t>SUMINISTRO E INSTALACION DE ROTACION DE MUÑECAS DE GIMNASIO BIOSALUDABLES</t>
  </si>
  <si>
    <t>ROTACION DE MUÑECAS</t>
  </si>
  <si>
    <t>SUMINISTRO E INSTALACION DE EXTENSION DE BRAZOS DE GIMNASIO BIOSALUDABLES</t>
  </si>
  <si>
    <t>EXTENSION DE BRAZOS</t>
  </si>
  <si>
    <t>SUMINISTRO E INSTALACION DE BARRAS DE GIMNASIO BIOSALUDABLES</t>
  </si>
  <si>
    <t>BARRAS</t>
  </si>
  <si>
    <t>SUMINISTRO E INSTALACION DE BARRAS PARALELAS DE GIMNASIO BIOSALUDABLES</t>
  </si>
  <si>
    <t>BARRAS PARALELAS</t>
  </si>
  <si>
    <t>SUMINISTRO E INSTALACION DE MESA DE JUEGO DE GIMNASIO BIOSALUDABLES</t>
  </si>
  <si>
    <t>MESA DE JUEGO</t>
  </si>
  <si>
    <t>SUMINISTRO E INSTALACION DE TORRE DE ESTIRAMIENTO DE GIMNASIO BIOSALUDABLES</t>
  </si>
  <si>
    <t>TORRE DE ESTIRAMIENTO</t>
  </si>
  <si>
    <t>SUMINISTRO E INSTALACION DE BICICLETA DISCAPACITADO DE GIMNASIO BIOSALUDABLES</t>
  </si>
  <si>
    <t>BICICLETA DE DISCAPACITADO</t>
  </si>
  <si>
    <t>SUMINISTRO E INSTALACION DE BRAZOS DISCAPACITADO DE GIMNASIO BIOSALUDABLES</t>
  </si>
  <si>
    <t>BRAZOS DISCAPACITADO</t>
  </si>
  <si>
    <t>SUMINISTRO E INSTALACION DE VALLA INSTRUCTIVA DE GIMNASIO BIOSALUDABLES</t>
  </si>
  <si>
    <t>VALLA INSTRUCTIVA</t>
  </si>
  <si>
    <t>LUBRICANTE PVC 500 GRAMOS</t>
  </si>
  <si>
    <t>137137.33</t>
  </si>
  <si>
    <t>RED AGUAS NEGRAS PVC  10" -  250 MM -INSTALACION</t>
  </si>
  <si>
    <t>RED AGUAS NEGRAS PVC  12"  - 315MM - INSTALACION</t>
  </si>
  <si>
    <t>RED AGUAS NEGRAS PVC  14" - 355 MM -INSTALACION</t>
  </si>
  <si>
    <t>RED AGUAS NEGRAS PVC  16" - 400 MM - INSTALACION</t>
  </si>
  <si>
    <t>RED AGUAS NEGRAS PVC  42" - INSTALACION</t>
  </si>
  <si>
    <t xml:space="preserve">RED AGUAS NEGRAS PVC  51" UNION MECANICA -INSTALACION </t>
  </si>
  <si>
    <t>RED AGUAS NEGRAS PVC  60" - INSTALACION</t>
  </si>
  <si>
    <t>ANALISIS DE PRECIOS UNITARIOS URBANISMO -VALLEDUPAR</t>
  </si>
  <si>
    <t>ANALISIS DE PRECIOS UNITARIOS REDES ALCANTARILLADO -VALLEDUPAR</t>
  </si>
  <si>
    <t>ANALISIS DE PRECIOS UNITARIOS VIAS URBANAS Y RURALES -VALLEDUPAR</t>
  </si>
  <si>
    <t>CANTIDAD</t>
  </si>
  <si>
    <t>MALLA ELEC. 5.0 MM 15 X 15 M131</t>
  </si>
  <si>
    <t>Concreto hidráulico premezclado MR-4.2 Mpa. Acelerado a 7 dias</t>
  </si>
  <si>
    <t>PUNTO SANITARIO PVC  4"</t>
  </si>
  <si>
    <t>PUNTO SANITARIO PVC 2"</t>
  </si>
  <si>
    <t>RED SANITARIA PVC 3"</t>
  </si>
  <si>
    <t>RED SANITARIA PVC 2"</t>
  </si>
  <si>
    <t>RED SANITARIA PVC 4- 110 MM</t>
  </si>
  <si>
    <t>PISO DE 0.07 CM DE ESPESOR EN PIEDRA LAJA 40% Y CONCRETO 3000 PSI 60% PARA ANDENES</t>
  </si>
  <si>
    <t>CONCRETO ELABORADO EN OBRA -3.000 PSI CLASE D</t>
  </si>
  <si>
    <t>IMPUESTOS MUNICIPALES ALCALDIA VALLEDUPAR</t>
  </si>
  <si>
    <t>TRAZADO Y REPLANTEO EN CERRAMIENTOS</t>
  </si>
  <si>
    <t>TOPÓGRAFO</t>
  </si>
  <si>
    <t>CERRAMIENTO EN ALAMBRE DE PUAS CA3. 12.5 -  5 HILOS,  POSTE CONCRETO C/2MT DE .10X.10X2.30 DE 3000 PSI-INCL. SUINGLEA CADA .50-H=.50</t>
  </si>
  <si>
    <t>CONCRETO CICLOPEO ANCLAJE .40X.40X.50</t>
  </si>
  <si>
    <t>CONCERTINA DE ø 14" DE SEGURIDAD</t>
  </si>
  <si>
    <t xml:space="preserve">MALLA ESLABONADA 60MM-INCLUYE SUMINISTRO Y COLOCACION-PARA ALTURA DE 1.00MT </t>
  </si>
  <si>
    <t>SOLDADURA</t>
  </si>
  <si>
    <t>MALLA ESLABONADA 60MM-TUBO GALVANIZADO CERRAMIENTO DE 2 1/2"-INCLUYE SUMINISTRO Y COLOCACION-PARA ALTURA DE 2.00MT Y APOYOS CADA 3MT</t>
  </si>
  <si>
    <t>TUBO GALVANIZADO CERRAMIENTO  2 1/2"X 2.3MM</t>
  </si>
  <si>
    <t>CONCRETO 1:2:3 ELABORADO EN OBRA</t>
  </si>
  <si>
    <t>CERRAMIENTO EN MODULOS DE MALLA ESLABONADA 60MM-INCLUYE SUMINISTRO Y COLOCACION-PARA ALTURA DE 1.00MT X 2MT DE ANCHO Y ANTEPECHO EN MURO A LA VISTA EN BLOQUE SPLIT Y MURO LLENO DE 2.00MT DE ALTURA X 2.00 MT DE ANCHO-INCL. CIEMENTACION EN VIGAS DE CIMIENTO DE ,25X,25, SOBRECIMIENTO PAÑETADO POR LAS TRES CARAS Y COLUMNAS DE COMFINAMIENTO. MODULO DE 4X2 DE ALTURA</t>
  </si>
  <si>
    <t>VIGA DE PISO EN CONCRETO 3.000 PSI DE ,25X,25</t>
  </si>
  <si>
    <t>TUBO GALVANIZADO CERRAMIENTO  4"</t>
  </si>
  <si>
    <t>TUBO GALVANIZADO CERRAMIENTO  2" X 2.5MM</t>
  </si>
  <si>
    <t>TUBO GALVANIZADO CERRAMIENTO  1 1/2"X 1,5MM</t>
  </si>
  <si>
    <t>SOLDADURA 6011X1/8"</t>
  </si>
  <si>
    <t>GAL</t>
  </si>
  <si>
    <t>SEÑALES DE TRANSITO MOVIL</t>
  </si>
  <si>
    <t>VALLAS MÓVILES - BARRERAS.</t>
  </si>
  <si>
    <t>CINTA DEMARCADORA</t>
  </si>
  <si>
    <t>VALLAS MOVILES DE INFORMACION COMUNIDAD (2 UND/5 PTOS INTERVENIDOS SIMULTANEOS)</t>
  </si>
  <si>
    <t>VALLAS MOVILES DE INFORMACION COMUNIDAD</t>
  </si>
  <si>
    <t>CONSTRUCCIÓN DE CALZADA EN CONCRETO  PREMEZCLADO, MR =600 PSI - 42 kg.f/cm2  A LA FLEXIÓN E=0.17 MTS, INCLUYE, INCLUYE FORMALETA, CURADO  CON ANTISOL, SELLOS EN LAS JUNTAS  Y CANASTILLA DE SOPORTE.</t>
  </si>
  <si>
    <t>CONCRETO  PREMEZCLADO, MR =600 PSI - 42 kg.f/cm2  A LA FLEXIÓN PARA CALZADA DE 0,25 MT-INCL. PASADORES DE ACERO LISO 1 1/4"  CADA .45MT-LONG .30MT Y BARRAS DE UNIÓN CORRUGADO 1/2" CADA 1.20MT-LONG .85MT-ACELALERADO A 7 DIAS.</t>
  </si>
  <si>
    <t>TAPA Y ARO BASE  EN  CONCRETO 3000 PSI ELABORADO EN OBRA PARA POZO DE INSPECCIÓN. JUNTA DE INSONORIZACIÓN EN POLIETILENO.</t>
  </si>
  <si>
    <t xml:space="preserve">ANTISOL ROJO </t>
  </si>
  <si>
    <t>ARO METALICO PARA POZO DE INSPECCION</t>
  </si>
  <si>
    <t>PINTURA DEMARCACION EN BORDILLOS ( TRES CARAS)</t>
  </si>
  <si>
    <t>PINTURA PARA DEMARCACION  TRAFICO AMARILLO</t>
  </si>
  <si>
    <t>EQUIPOS PINTURA</t>
  </si>
  <si>
    <t>GLN</t>
  </si>
  <si>
    <t>LIMPIEZA Y BARRIDA DE JUNTAS</t>
  </si>
  <si>
    <t>REPARACIÓN Y/O RECONSTRUCCIÓN DE JUNTAS DE PAVIMENTO EN CONCRETO HIDRÁULICO MEDIANTE EL USO DE CONCRETO POLIMÉRICO DE ALTA RESISTENCIA. (A = 10 CM., H = 5 CM). INCLUYE: CORTE DE JUNTA, PULIDA Y LIMPIEZA DE CAJA.</t>
  </si>
  <si>
    <t>MARTILLOS DEMOLEDORES (18-25 CFM)</t>
  </si>
  <si>
    <t>ESMERILADORA ANGULAR 9"</t>
  </si>
  <si>
    <t>MASTEREMACO P 1040</t>
  </si>
  <si>
    <t>MASTEREMACO T 200</t>
  </si>
  <si>
    <t>AGUA (TANQUES Y MOTOBOMBA)</t>
  </si>
  <si>
    <t>GRAVA DE 3/8"</t>
  </si>
  <si>
    <t>COMBUSTIBLES Y LUBRICANTES</t>
  </si>
  <si>
    <t>galon</t>
  </si>
  <si>
    <t>FUNGIBLES</t>
  </si>
  <si>
    <t>ACONDICIONAMIENTO, LIMPIEZA Y SELLO DE JUNTA REPARADA, PROF. = 10 MM.</t>
  </si>
  <si>
    <t>HIDROLAVADORA INDUSTRIAL 3000 PSI</t>
  </si>
  <si>
    <t>MASTERSEAL CR 125</t>
  </si>
  <si>
    <t>REPARACIÓN SUPERFICIAL (TOPPING) DE LOSAS EN CONCRETO HIDRÁULICO MEDIANTE EL USO DE MORTERO CEMENTOSO PERMANENTE (BICOMPONENTE), DE ESPESOR ENTRE 3  Y 4 MM.</t>
  </si>
  <si>
    <t>PLANTA ELÉCTRICA 3,3 KV</t>
  </si>
  <si>
    <t>MEZCLADOR ELÉCTRICO</t>
  </si>
  <si>
    <t>MASTEREMACO S 490</t>
  </si>
  <si>
    <t>PERFORACION PARA ANCLAJE EN LOSA DE PAVIMENTOS EN CONCRETO  EXISTENTE</t>
  </si>
  <si>
    <t>TALADRO PERCUTOR</t>
  </si>
  <si>
    <t>PLANTA ELECTRICA DE 7 KVA</t>
  </si>
  <si>
    <t>BROCA 7/8"</t>
  </si>
  <si>
    <t>SIKA DUR 31</t>
  </si>
  <si>
    <t>PASADORES DE ACERO LISO DE 7/8" - 1"</t>
  </si>
  <si>
    <t>kG</t>
  </si>
  <si>
    <t>DESPERDICIO MATERIALES</t>
  </si>
  <si>
    <t>PEDRAPLÉN COMPACTO</t>
  </si>
  <si>
    <t>EQUIPO DE ESTENDIDA</t>
  </si>
  <si>
    <t>EQUIPO DE COMPACTACION</t>
  </si>
  <si>
    <t>MEJORAMIENTO DE LA SUBRASANTE CON ADICIÓN DE MATERIAL DE TERRAPLÉN.</t>
  </si>
  <si>
    <t>EQUIPO DE HUMEDECIMIENTO</t>
  </si>
  <si>
    <t>ESTOPEROLES PARA INTERSECCIONES (1 franjas, cada sección conformada por 4 filas y ubicadas cada 25cm)</t>
  </si>
  <si>
    <t>ESTOPEROL DE 13cm DE DIAMETRO Y 3cm DE ALTURA y 5 cm DE ESPIGO</t>
  </si>
  <si>
    <t xml:space="preserve">UN </t>
  </si>
  <si>
    <t>PEGANTE EPOXICO</t>
  </si>
  <si>
    <t>TALADRO</t>
  </si>
  <si>
    <t>PLANTA ELECTRICA</t>
  </si>
  <si>
    <t>PALMERA REAL ALTURA NO MENOR DE 2  MTS.</t>
  </si>
  <si>
    <t>SUMINISTRO E INSTALACION DE BANCAS METALICAS EN ACERO INOXIDABLE SEGÚN DISEÑO</t>
  </si>
  <si>
    <t>BANCAS METALICAS EN ACERO INOXIDABLE</t>
  </si>
  <si>
    <t xml:space="preserve">CONSTRUCCIÓN DE PLACA CANCHA EN CONCRETO  PREMEZCLADO E-0,12 M; MR =600 PSI - 42 kg.f/cm2  A LA FLEXIÓN, INCLUYE, INCLUYE FORMALETA, CURADO  CON ANTISOL. </t>
  </si>
  <si>
    <t>Disco diamantado de 14"</t>
  </si>
  <si>
    <t xml:space="preserve">un </t>
  </si>
  <si>
    <t xml:space="preserve">Allanadora Helicóptero eléctrico con extension de 40 m </t>
  </si>
  <si>
    <t>Concreto hidráulico premezclado MR-42</t>
  </si>
  <si>
    <t>Tubo 4" calibre 2,5mm astm a 500gra. Galvanizado long=1,3m</t>
  </si>
  <si>
    <t>Desperdicio</t>
  </si>
  <si>
    <t>Herramientas menores</t>
  </si>
  <si>
    <t>Mano de Obra AA</t>
  </si>
  <si>
    <t>ACABADO SUPERFICIAL CANCHA DEPORTIVAS  CON PINTURA ACRILICA TEXTURIZADA PARA TRAFICO PESADO, DE LOS COLORES INDICASUMINISTRO, COLOCACIÓN E INSTALACIÓN DE SISTEMA HERCULAN MF MULTIFUNCIONAL EN POLIURETANO A CINCO MANOS, PARA EMPORADO, NIVELACIÓN DE ESPESORES MENORES Y ACABADO FINAL. CUMPLE LA FUNCIÓN DE IMPRIMANTE DEL RESTO DEL RECUBRIMIENTO. INCLUYE DEMARCAIONES EN SISTEMA POLIURETANO - PINTURA DE DOBLE COMPONENTE</t>
  </si>
  <si>
    <t>SISTEMA HERCULAN MF MULTIFUNCIONAL EN POLIURETANO</t>
  </si>
  <si>
    <t xml:space="preserve">PINTURA ACRILICA TEXTURIZADA PARA TRAFICO PESADO </t>
  </si>
  <si>
    <t>THINNER</t>
  </si>
  <si>
    <t>CINTA DE ENMASCARRAR</t>
  </si>
  <si>
    <t>MALLA PROTECTORA PARA SALIDA DE BALONES (CONSTRUIDA EN TUBOS DE ACERO ESTRUCTURAL DE D=4", DE 5.0m DE ALTURA, EMPOTRADOS 1.0m EN BASES DE CONCRETO DE 0.50 x 0.50 x 1.00m - CADA 3.00m)</t>
  </si>
  <si>
    <t>TUBO DE ACERO 4"</t>
  </si>
  <si>
    <t>TUBO DE ACERO 2"</t>
  </si>
  <si>
    <t>MALLA ESLABONADA RECUBRIMIENTO PLASTICO</t>
  </si>
  <si>
    <t>CANECAS DE BASURA M-120 TIPO IDU</t>
  </si>
  <si>
    <t>BANCAS EN CONCRETO  M-30 TIPO IDU</t>
  </si>
  <si>
    <t>SUMINISTRO E INSTALACION DE BANCAS EN CONCRETO  M-30 TIPO IDU,  (INCLUYE DADOS EN CONCRETO), INLUYE BASE Y PINTURA PINTUCO. ESPALDAR COLOR PLATEADA TRES MANOS (EVITAR OXIDACION)</t>
  </si>
  <si>
    <t>SUMINISTRO E INSTALACION DE  DE BOLARDOS EN CONCRETO O GUARDA ACERAS LISO TIPO (M- 60) TIPO IDU, 3000 PSI, INLUYE DADOS EN CONCRETO, PARA SU FIJACION</t>
  </si>
  <si>
    <t>BOLARDO EN CONCRETO INCLUYE ARO O PLATINA CORBATIN EL PRECIO UNITARIO  INCLUYE I.V.A</t>
  </si>
  <si>
    <t>GIMNASIO BIOSALUDABLE X 11 MÁQUINAS. CARACTERISTICAS: SUMINISTRO E INSTALACIÓN DE PARQUE Y/O GIMNASIO BIOSALUDABLES PARA ESPACIOS PÚBLICOS COMPUESTO POR 11 MÁQUINAS, INCLUYE VALLA INSTRUCTIVA PARA EL DESARROLLO DE LOS EJERCICIOS, INCLUYE TRANSPORTE A LOS SITIOS BENEFICIADOS E INSTALACIÓN:  ELÍPTICA - MARCHA - DORSALES – BRAZOS - ROTACIÓN DE MUÑECAS - PIERNAS - CINTURA - POTRO - ESCALADORA - ABDOMINAL BICICLETA ESTÁTICA.</t>
  </si>
  <si>
    <t xml:space="preserve">GIMNASIO BIOSALUDABLE X 11 MÁQUINAS: </t>
  </si>
  <si>
    <t>SUMINISTRO, TRANSPORTE E INSTALACIÓN JUEGO DE ARCOS EN CANCHA MULTIPLE CON LOS SIGUIENTES ELEMENTOS: ESTRUCTURA Y TABLEROS BALONCESTO, MARCOS PARA MICROFUTBOL Y ESTRUCTURA PARA VOLEYBOL.</t>
  </si>
  <si>
    <t>Hc</t>
  </si>
  <si>
    <t>VIAJE</t>
  </si>
  <si>
    <t xml:space="preserve">PODA DE ARBOLES, INCLUYE RETIRO DE MATERIAL VEGETAL - MENOR DE 3.00 MT Y DIAMETRO DE .30 M A 1,0 M  </t>
  </si>
  <si>
    <t>SUMINISTRO, TRANSPORTE Y COLOCACIÓN DE FILTRO DE 4". RIEGO DE ARBOLES</t>
  </si>
  <si>
    <t>TUBERIA PVC PARA FILTRO DE 4"</t>
  </si>
  <si>
    <t>UNION 4"</t>
  </si>
  <si>
    <t>SOLDADURA PVC 1/4</t>
  </si>
  <si>
    <t>MANTO NO TEJIDO</t>
  </si>
  <si>
    <t xml:space="preserve">MANTENIMIENTO DE MODULO DE PARQUE DE MADERA ROLLIZA INCLUYE PINTURA Y RETIRO D E LISTONES AFECTADOS CON INSTALACION DE NUEVOS LISTONES </t>
  </si>
  <si>
    <t>LISTONES</t>
  </si>
  <si>
    <t>U.M</t>
  </si>
  <si>
    <t>U.M.</t>
  </si>
  <si>
    <t>DEMOLICIONES DE ENCHAPES</t>
  </si>
  <si>
    <t>DEMOLICION DE PAÑETE</t>
  </si>
  <si>
    <t>LADRILLO RUSTICO 6X11X24CM 38U/M2 3.1K</t>
  </si>
  <si>
    <t>CARAVISTA ESTRUCTURAL 6X12X24CM</t>
  </si>
  <si>
    <t>MURO  SENCILLO 0.15, H=15 LADRILLO RUSTICO 6X11X24CM INCLUYE MORTERO 1:4</t>
  </si>
  <si>
    <t>PLANTILLA EN CONCRETO 3.000 PSI - ESP.  0.07 MT.</t>
  </si>
  <si>
    <t>MORTERO DE NIVELACION 1:4 -ESP.  0.05 MT.</t>
  </si>
  <si>
    <t>DISCRIMINACION FACTOR MULTIPLICADOR PERSONAL PROFESIONAL Y TÉCNICO</t>
  </si>
  <si>
    <t>Gastos de promoción e instalaciones (oficinas)</t>
  </si>
  <si>
    <t>e.1  Impuestos oficiales</t>
  </si>
  <si>
    <t>e.2  Póliza de cumplimiento</t>
  </si>
  <si>
    <t>e.3  Póliza de anticipo</t>
  </si>
  <si>
    <t>e.4  Póliza salarios y prestaciones socales</t>
  </si>
  <si>
    <t>e.5  Industria y comercio</t>
  </si>
  <si>
    <t>e.6  Calidad servicio</t>
  </si>
  <si>
    <t>SUMINISTRO, TRANSPORTE E INSTALACION DE TERRAPLEN SELECTO</t>
  </si>
  <si>
    <t>MOTONIVELADORA  POTENCIA 215 HP, ANCHO DE CUCHILLA 4,27 M, PESO 18 TON</t>
  </si>
  <si>
    <t>CONCRETO 1:1 1/2:2 ELABORADO EN OBRA (4000  PSI)</t>
  </si>
  <si>
    <t>CONCRETO 1:2:2 ELABORADO EN OBRA-(3500 PSI CLASE C)</t>
  </si>
  <si>
    <t>PISO EN CONCRETO 3.000 PSI-ESP.  0.10 MT, INCL. MALLA ELECTROSOLDADA E-050 .25X.25</t>
  </si>
  <si>
    <t>DESCAPOTE A MANUAL EN TERRENO COMUN, HASTA ESP .15 MT</t>
  </si>
  <si>
    <t xml:space="preserve">ADOQUIN EN CONCRETO BICAPA, EN COLOR MINERAL DIM: 0,20 X 0,20 </t>
  </si>
  <si>
    <t>FORMALETA METALICA COLUMNA CUADRADA HASTA .40 X .40 LONG. 2.40MT</t>
  </si>
  <si>
    <t>ANDENES EN CONCRETO CLASE D (3000 PSI) ESP. 0.07 MTS</t>
  </si>
  <si>
    <t>Seguridad Social (salud + pensión)</t>
  </si>
  <si>
    <t>MANTO EDIL ESTÁNDAR 3MM ROLLO</t>
  </si>
  <si>
    <t>ELEMENTOS DE LIMPIEZA</t>
  </si>
  <si>
    <t>m2</t>
  </si>
  <si>
    <t>ASEO GENERAL ENTREGA (AREAS INTERNAS MENORES DE 1000 M2)</t>
  </si>
  <si>
    <t>Alambre negro N° 18</t>
  </si>
  <si>
    <t>CERRAMIENTO PROVISIONAL EN TELA VERDE  H=2.10M</t>
  </si>
  <si>
    <t>RELLENO ELECCIONADO</t>
  </si>
  <si>
    <t>PLACA DE FONDO e=0,20M CONCRETO REFORZADO DE 4000 PSI</t>
  </si>
  <si>
    <t>PLACA SUPERIOR e=0,25M CONCRETO REFORZADO DE 4000 PSI INC ARO HF</t>
  </si>
  <si>
    <t>FORMALETA VIGAS Y VIGUETAS</t>
  </si>
  <si>
    <t>SARDINEL PREFABRICADO  PARA CURVAS TIPO IDU  A-10 DIM:  .20 X .40 X .50H  TIPO IDU. (COLOR GRIS NATURAL). 4 MPA</t>
  </si>
  <si>
    <t>SARDINEL PREFABRICADO  PARA CURVAS TIPO IDU  A-10 DIM:  .20 X .40 X .50H  TIPO IDU. (COLOR AMARILLO, OCRE, GRIS OSCURO). 4 MPA</t>
  </si>
  <si>
    <t>EQUIPOS DEMARCACIÓN</t>
  </si>
  <si>
    <t>FORMALETA METALICA JARDIN</t>
  </si>
  <si>
    <t>FORMALETA MURO CONTENCION</t>
  </si>
  <si>
    <t>ELIPTICA DE GIMNASIO BIOSALUDABLES</t>
  </si>
  <si>
    <t>MARCHA GIMNASIO BIOSALUDABLES</t>
  </si>
  <si>
    <t>BICICLETA ESTATICA GIMNASIO BIOSALUDABLES</t>
  </si>
  <si>
    <t>ESCALADOR GIMNASIO BIOSALUDABLES</t>
  </si>
  <si>
    <t>CINTURA DE GIMNASIO BIOSALUDABLES</t>
  </si>
  <si>
    <t>ESMALTE SINTETICO DE ALTO BRILLO</t>
  </si>
  <si>
    <t xml:space="preserve">ÍTEM: </t>
  </si>
  <si>
    <t xml:space="preserve">No. </t>
  </si>
  <si>
    <t>UNIDAD:</t>
  </si>
  <si>
    <t xml:space="preserve">  </t>
  </si>
  <si>
    <t>I. MATERIALES</t>
  </si>
  <si>
    <t>DESCRIPCIÓN</t>
  </si>
  <si>
    <t>UN.</t>
  </si>
  <si>
    <t>PRECIO UNIT.</t>
  </si>
  <si>
    <t>Teja de zinc para cerramiento h=2.4m</t>
  </si>
  <si>
    <t>Listón en amargo de 2x4"</t>
  </si>
  <si>
    <t>Vara de madera rolliza L=6m</t>
  </si>
  <si>
    <t>Puntilla de 1 a 6"</t>
  </si>
  <si>
    <t>Concreto mezclado en obra 14 MPa</t>
  </si>
  <si>
    <t>Cerramiento provisional en lámina metálica h=2,4m</t>
  </si>
  <si>
    <t>TOPELLANTA, INCL. INSTALACIÓN CON EPOXICO Y PINTURA TIPO TRÁFICO</t>
  </si>
  <si>
    <t>EPÓXICO Y ANCLAJE 600 CC</t>
  </si>
  <si>
    <t>SUMINISTRO E INSTALACIÓN DE PIEDRA BLANCA PARA JARDINES e = 5 CM</t>
  </si>
  <si>
    <t>PIEDRA PARA JARDÍN X 40 KG BULTO</t>
  </si>
  <si>
    <t>SUMINISTRO E INSTALACIÓN DE GRAVILLA PARA JARDINES e = 5 CM</t>
  </si>
  <si>
    <t>TRITURADO DE 3/4"</t>
  </si>
  <si>
    <t>PISO EN RIPIO DE CAUCHO DECORATIVO e= 2.0 CMS RESISTENTE A LA INTERPERIE PARA PARQUES INFANTILES, INCLUYE INSTALACION, TRANSPORTE Y BASE EN MORTERO 1:4.</t>
  </si>
  <si>
    <t>RECUBRIMIENTO PARA PISO EN GRANULOS DE CAUCHO DECORATIVO RESISTENTE A LA INTERPERIE ESPESOR DE 2CM</t>
  </si>
  <si>
    <t>HISTÓRICO DE TARIFAS 1998 - 2017</t>
  </si>
  <si>
    <t>JUEGO INFANTIL DE 3 A 12 AÑOS DE 9,5X13.50</t>
  </si>
  <si>
    <t>REVISAR</t>
  </si>
  <si>
    <t>JUEGO INFANTIL DE 3 A 12 AÑOS DE 9,5X13.50, REFE:EKOM 01-4</t>
  </si>
  <si>
    <t>ESTRUCTURA METALICA CON CUATRO (4) COLUMPIOS,Todos los elementos utilizados en este juego están diseñados y fabricados de acuerdo con las normas internacionales de seguridad de Juegos Infantiles. El plástico LLDPE no incluye ningún material tóxico que ponga n peligro la salud de los niños.  Los asientos están hechos de LLDPE que se fabrica por medio de una técnica de moldeado en ruta. Las abrazaderas utilizadas en el patio de recreo están hechas de PE con una técnica de inyección de plástico. los pernos, tuercas y arandelas utilizados en el sistema están recubiertos con dacromet. Las tuberías se cerrarán con tapas de plástico hechas de PE con técnica de inyección. Todos los puntos de conexión están ocultos. El metal utilizado en el producto está galvanizado y recubierto de polvo</t>
  </si>
  <si>
    <t>ESTRUCTURA CON CUATRO (4) COLUMPIOS</t>
  </si>
  <si>
    <t>JUEGO INFANTIL DE 3 A 12 AÑOS DE 9,5X13.50, Todos los elementos utilizados en el equipo deben diseñarse y fabricarse de acuerdo con las normas internacionales de seguridad del patio de recreo. El plástico LLDPE no incluye ningún material tóxico que ponga en peligro la salud de los niños. (Por favor, pregunte por el informe de prueba). Las plataformas están cubiertos con plástico para reducir el impacto en caso de una caída. Las pinzas utilizadas en el patio de recreo están hechas de PE con una técnica de inyección de plástico.  Los pernos, tuercas y arandelas que se usan en el sistema están cubiertos con dacromet.</t>
  </si>
  <si>
    <t>JUEGO INFANTIL DE 3 A 12 AÑOS DE 9,5X13.50, REFE:CL 03-1</t>
  </si>
  <si>
    <t>JUEGO INFANTIL HEMPA SWING DE 12 AÑOS EN ADELANTE DE 9,5X13.50, Producto elaborada en Postes de Madera laminada el producto tiene un columpio de Cuerda especial Hempa , esta Cuerda esta conectada a una estructura principal con conectores especiales y cuerdas armadas</t>
  </si>
  <si>
    <t xml:space="preserve">JUEGO INFANTIL HEMPA SWING DE  12 AÑOS EN ADELANTE  </t>
  </si>
  <si>
    <t>JUEGO INFANTIL ESCALADA DOBLE EN CUERDAS (CLIMBING NET)
DOUBLE DE 12 AÑOS EN ADELANTE DE 23,2X17,5x6.12alto</t>
  </si>
  <si>
    <t>JUEGO INFANTIL SERIE BARCOS
DOUBLE DE 12 AÑOS EN ADELANTE DE 11X14.50</t>
  </si>
  <si>
    <t xml:space="preserve">JUEGO INFANTIL REF: 4GK 314, SERIE BARCOS   DE  12 AÑOS EN ADELANTE  </t>
  </si>
  <si>
    <t>JUEGO INFANTIL  PARA NIÑOS CON LIMITACIONES FISICAS CA 104 REF:  DE 2 AÑOS EN ADELANTE , 6.40X6.70,X3MTS ALTO Todos los elementos utilizados en este juego están diseñados y fabricados de acuerdo con las normas internacionales de seguridad de Juegos Infantiles amortiguación y oscilaciones. Todos los puntos de conexión están ocultos.  EL metal utilizado en el producto es galvanizado en caliente y recubierta de polvo. Todos los datos deben ser diseñados y fabricados según las normas internacionales. Todos los tornillos están cubiertos con tapas de plástico tuerca
y arandelas.</t>
  </si>
  <si>
    <t xml:space="preserve">LETRAS "VALLEDUPAR LA MAS LINDA"ELABORADO EN LAMINAS DE SUPER BOARD ESPECIAL PARA EXTERIOR, TRATADO Y PINTADO LETRAS INDIVIDUALES DE 200 CMS DE ALTO POR 135 Y 150DE ANCHO Y ENTAMBORADO COM VOLUMEN HASTA DE 50 </t>
  </si>
  <si>
    <t>LETRAS "VALLEDUPAR LA MAS LINDA"ELABORADO EN LAMINAS DE SUPER BOARD ESPECIAL PARA EXTERIOR, TRATADO Y PINTADO LETRAS INDIVIDUALES DE 200 CMS DE ALTO POR 135 Y 150DE ANCHO Y ENTAMBORADO COM VOLUMEN HASTA DE 50 , • CADA LETRA TENDRA TUBOS DE HIERRO POR DENTRO PARA FIJARLA Y DARLES ESTABILIDAD ANTE EL ALTO TRAFICO QUE PUEDAN TENER, • CADA LETRA INDIVIDUAL SE PINTARA DE UN COLOR EN BASE BLANCA O EN ALGUN COLOR ESPECIAL EN ACUERDO PINTURA KORAZA ULTRA DE PINTUCO.</t>
  </si>
  <si>
    <t xml:space="preserve">JUEGO INFANTIL CLIMBING NET DOUBLE  DE  12 AÑOS EN ADELANTE  </t>
  </si>
  <si>
    <t xml:space="preserve">JUEGO INFANTIL PARA NIÑOS CON LIMITACIONES FISICAS REF: CA 104 DE 12 AÑOS EN ADELANTE  </t>
  </si>
  <si>
    <t>JUEGO COMPLETO DE TABLEROS DE VIDRIO Y ESTRUCTURA PARA CANCHA MULTIFUNCIONAL</t>
  </si>
  <si>
    <t>INSUMOS</t>
  </si>
  <si>
    <t>LOSETA EN CONCRETO BICAPA  COLOR, MOTIVOS CAPA DE RODADURA. CUADRATICAS, OLAS , GUIA Y TOPEROL. DIM:  .40X.40X.6 CM</t>
  </si>
  <si>
    <t>LOSETA EN CONCRETO BICAPA  COLOR, MOTIVOS CAPA DE RODADURA. CUADRATICAS, OLAS , GUIA Y TOPEROL. DIM:  .40X.40X.6 CM. EL PRECIO UNITARIO  INCLUYE I.V.A</t>
  </si>
  <si>
    <t>DESCAPOTE A MANUAL EN TERRENO CON PIEDRA, HASTA ESP .15 MT</t>
  </si>
  <si>
    <t>DESCAPOTE A MAQUINA ESP &lt; O = A .20-AREAS MAYORES A 2000M2-INCL.RETIRO SOBRANTE A 2KM</t>
  </si>
  <si>
    <t>CONCRETO CLASE D (3000 PSI) PARA ANDENES ESP. 0,07 MTS</t>
  </si>
  <si>
    <t>Tendrá un incremento del 6%, equivalente a $46.874. Auxilio de transporte queda en $97.032. El total que recibirán los trabajadores es de $925.148.</t>
  </si>
  <si>
    <t>Al anunciar el aumento del 6% para el salario y del 10% para el auxilio del transporte, el presidente señaló que "es el aumento real más significativo en 25 años".</t>
  </si>
  <si>
    <t>De igual manera, agregó: "Esto muestra que nos  podemos poner de acuerdo en lo que le conviene al país. Colombia necesita reactivar la economía y al mismo tiempo ir mejorando las condiciones de todos los trabajadores y generando más empleos formales". </t>
  </si>
  <si>
    <t>El aumento fue celebrado tanto por empresarios com</t>
  </si>
  <si>
    <t>SUMINISTRO E INSTALACION DE LOSETA EN CONCRETO BICAPA  COLOR MINERAL  AL 4.2 % MARCA  BAYER  (AMARILLO, OCRE, NEGRA)  MOTIVOS CAPA DE RODADURA. CUADRATICAS, OLAS, GUIA Y TOPEROL. DIM:  .40X.40X.6 CM TIPO IDU,  ,  JUNTA PERDIDA, CON ARENA DE BASE ESP. 0.06 MT,USO  PEATONAL (ANDENES Y PLAZOLETAS, ECT)</t>
  </si>
  <si>
    <t>PAVIMENTOS</t>
  </si>
  <si>
    <t>ESPESOR DE LA LOSA</t>
  </si>
  <si>
    <t>DIÁMETRO DEL PASADOR</t>
  </si>
  <si>
    <t>EMPOTRAMIENTO DEL PASADOR +</t>
  </si>
  <si>
    <t>LONGITUD TOTAL DEL PASADOR</t>
  </si>
  <si>
    <t>Parqueaderos</t>
  </si>
  <si>
    <t>Pulg.</t>
  </si>
  <si>
    <t>mm.</t>
  </si>
  <si>
    <t>5*</t>
  </si>
  <si>
    <t>6*</t>
  </si>
  <si>
    <t>7*</t>
  </si>
  <si>
    <t xml:space="preserve">Calles de ciudad, pavimento reforzado con </t>
  </si>
  <si>
    <t xml:space="preserve">uniones </t>
  </si>
  <si>
    <t>espaciadas menores a 6m.</t>
  </si>
  <si>
    <t>Carreteras</t>
  </si>
  <si>
    <t>18x</t>
  </si>
  <si>
    <t>450x</t>
  </si>
  <si>
    <t>20x</t>
  </si>
  <si>
    <t>500x</t>
  </si>
  <si>
    <t>Canastilla Pasajunta para Concreto</t>
  </si>
  <si>
    <t>Publicado hace 23 días Bosa, Bogotá, Bogotá</t>
  </si>
  <si>
    <t>Somos fabricantes de canastillas pasajuntas para concreto 6 mts soldadura mig</t>
  </si>
  <si>
    <t>VR. UNITARIO 2018</t>
  </si>
  <si>
    <t>MR41</t>
  </si>
  <si>
    <t>RESISTENCIA ESPECIFICA A LOS 28 DIAS</t>
  </si>
  <si>
    <t>PINTURA VINILO TIPO 1 CUÑETE</t>
  </si>
  <si>
    <t>MASILLA SUPERMASTIK CUÑETE</t>
  </si>
  <si>
    <t>LADRILLO BOCADILLO 30 X 15 X 9.0</t>
  </si>
  <si>
    <t>LADRILLO BOCADILLO 19 x 15x 9</t>
  </si>
  <si>
    <t>TABLEROS PARA MUROS .40 X 1.20</t>
  </si>
  <si>
    <t>3000 ACEL 3 DIAS</t>
  </si>
  <si>
    <t>3000 ACEL 7 DIAS</t>
  </si>
  <si>
    <t>3500 ACEL 3 DIAS</t>
  </si>
  <si>
    <t>3500 ACEL 7 DIAS</t>
  </si>
  <si>
    <t>4000 ACEL 3 DIAS</t>
  </si>
  <si>
    <t>4000 ACEL 7 DIAS</t>
  </si>
  <si>
    <t>4500 ACEL 3 DIAS</t>
  </si>
  <si>
    <t>4500 ACEL 7 DIAS</t>
  </si>
  <si>
    <t>5000 ACEL 3 DIAS</t>
  </si>
  <si>
    <t>5000 ACEL 7 DIAS</t>
  </si>
  <si>
    <t>COMPRESOR 120 HP, CON MARTILLO.</t>
  </si>
  <si>
    <t>PEGACOR  BLANCO 1Kg</t>
  </si>
  <si>
    <t>PEGANTE PEGACOR PORCELANATO GRIS X 10 KL</t>
  </si>
  <si>
    <t>CINTA TEFLON 1/2 X 8 MTS</t>
  </si>
  <si>
    <t>CONCRETO EL DORADO AÑO 2019</t>
  </si>
  <si>
    <t>ESTUKA ACRILICO (20KG)</t>
  </si>
  <si>
    <t>TOPELLANTA EN CONCRETO HIDRAULICO DE 3500 PSI 0,80X,25M</t>
  </si>
  <si>
    <t>CONCRETO PREMEZCLADO DE 4000 PSI  PARA BOX COLVERT - (SIN N.F)</t>
  </si>
  <si>
    <t>CONCRETO PREMEZCLADO DE 4000 PSI ACELERADO 7 DIAS</t>
  </si>
  <si>
    <t>ESTAMPILLA BIENESTAR ADULTO MAYOR</t>
  </si>
  <si>
    <t>RETEICA</t>
  </si>
  <si>
    <t xml:space="preserve">IMPUESTOS DEPARTAMENTALES </t>
  </si>
  <si>
    <t>SECRETARÍA DE OBRAS PÚBLICAS MUNICIPAL</t>
  </si>
  <si>
    <t>FECHA: ENERO DE 2020</t>
  </si>
  <si>
    <t>SECRETARÍA DE OBRAS PÚBLICAS</t>
  </si>
  <si>
    <t>SECRETARIA DE OBRAS PUBLICAS MUNICIPAL</t>
  </si>
  <si>
    <t xml:space="preserve">                  SECRETARÍA DE OBRAS PÚBLICAS MUNICIPAL </t>
  </si>
  <si>
    <t xml:space="preserve">                     SECRETARÍA DE OBRAS PÚBLICAS MUNICIPAL</t>
  </si>
  <si>
    <t>TARIFAS MANO DE OBRA Y PRESTACIONES SOCIALES</t>
  </si>
  <si>
    <t>FECHA: ENERO DE 2019</t>
  </si>
  <si>
    <t>SECRETARIA DE OBRAS PUBLICAS</t>
  </si>
  <si>
    <t>MUNICIPIO DE VALLEDUPAR</t>
  </si>
  <si>
    <t>Subtotal</t>
  </si>
  <si>
    <t>INSTALACIONES HIDRAULICAS</t>
  </si>
  <si>
    <t>PUNTO HIDRAULICO PVC PRESION DE 1/2"</t>
  </si>
  <si>
    <t>RED SUMINISTRO PVC 1/2</t>
  </si>
  <si>
    <t>RED SUMINISTRO PVC 3/4</t>
  </si>
  <si>
    <t>XI</t>
  </si>
  <si>
    <t>CARPINTERIA MADERA-METALICA Y ALUMINIO</t>
  </si>
  <si>
    <t>VENTANA 744 ANOLOCK-VIDRIO BRONCE UNA NAVE FIJA Y UNA CORREDIZA 1.00X1.20 5020 ANOLOCK, INCLUYE VIDRIO BRONCE</t>
  </si>
  <si>
    <t>MANO DE OBRA DD INSTALACION</t>
  </si>
  <si>
    <t>PUERTAS - DIVISIONES BAÑOS  LAMINA CAL. 18, EN ACERO INOXIDABLE, INSTALADA.</t>
  </si>
  <si>
    <t>ELEMENTOS DE FIJACIÓN DIVISIÓN ORINAL SOCODA</t>
  </si>
  <si>
    <t>MARCOS PUERTAS LAMINA CAL. 18, INCL.  ANTICORROSIVO -SUB-CONTRATO.</t>
  </si>
  <si>
    <t xml:space="preserve"> PINTURA ACABADO EN ESMALTE -SUB-CONTRATO</t>
  </si>
  <si>
    <t xml:space="preserve"> VIDRIO TRANSPARENTE 4 MM </t>
  </si>
  <si>
    <t>CONCRETO 3000 PSI CLASE D</t>
  </si>
  <si>
    <t xml:space="preserve">MANO DE OBRA D.D </t>
  </si>
  <si>
    <t>ACABADOS Y PINTURAS</t>
  </si>
  <si>
    <t>DISOLVENTE THINNER PINTUCO O SIMILAR</t>
  </si>
  <si>
    <t>ESTUCO ACRILICO</t>
  </si>
  <si>
    <t>LIJA DE AGUA 3M N°80</t>
  </si>
  <si>
    <t>VINILO 3 MANOS, PINTURA TIPO 1  NUEVA</t>
  </si>
  <si>
    <t xml:space="preserve">VINILO TIPO 1 </t>
  </si>
  <si>
    <t>ESMALTE PARA REJAS Y VENTANAS</t>
  </si>
  <si>
    <t>APARATOS SANITARIOS-LLAVES DE CONTROL</t>
  </si>
  <si>
    <t>LLAVE TERMINAL CROMADA 1/2 GRIVAL O SIMILAR</t>
  </si>
  <si>
    <t>TEFLON</t>
  </si>
  <si>
    <t xml:space="preserve">LLAVE TERMINAL 97720 GRIVAL O SIMILAR DE JARDÍN </t>
  </si>
  <si>
    <t>LLAVE CONTROL DE  1/2"-RED WHITE O SIMILAR</t>
  </si>
  <si>
    <t>ADAPTADOR MACHO 1/2"</t>
  </si>
  <si>
    <t>LLAVE DE CONTROL DE 1/2" RED WHITE</t>
  </si>
  <si>
    <t>FLOTADOR Ø  3/4"</t>
  </si>
  <si>
    <t>CHEQUE DE PASO Ø  3/4" RED WITTE O SIMILAR</t>
  </si>
  <si>
    <t>LLAVE DE PASO Ø  3/4" RED WITTE O SIMILAR</t>
  </si>
  <si>
    <t>TUBO PRESIÓN PVC 3/4</t>
  </si>
  <si>
    <t>TANQUE PLASTICO PARA RESERVA DE AGUA 1.000LT-INCL. ACCESORIOS NECESARIOS PARA SU INSTALACION Y FUNCIONAMIENTO</t>
  </si>
  <si>
    <t>TANQUE PLASTICO 1.000LT</t>
  </si>
  <si>
    <t>PUERTA METALICA EN LAMINA CAL. 18 1,00 X2.50, INCLUYE MONTANTE EN VIDRIO, CERRADURA TIPO YALE, ANTICORROSIVO, PINTURA EN ESMALTE Y COLOCACION</t>
  </si>
  <si>
    <t>COSTO DIRECTO</t>
  </si>
  <si>
    <t>ADMINISTRACION</t>
  </si>
  <si>
    <t>IMPREVISTO</t>
  </si>
  <si>
    <t>UTILIDAD</t>
  </si>
  <si>
    <t>L</t>
  </si>
  <si>
    <t>J</t>
  </si>
  <si>
    <t>S</t>
  </si>
  <si>
    <t>SEMANA  1</t>
  </si>
  <si>
    <t>SEMANA  2</t>
  </si>
  <si>
    <t>SEMANA  3</t>
  </si>
  <si>
    <t>SEMANA  4</t>
  </si>
  <si>
    <t>MES 1</t>
  </si>
  <si>
    <t>VALOR. UNITARIO</t>
  </si>
  <si>
    <t>VALOR TOTAL</t>
  </si>
  <si>
    <t>CRONOGRAMA DE ACTIVIDADES</t>
  </si>
  <si>
    <t>MES 2</t>
  </si>
  <si>
    <t>MES 3</t>
  </si>
  <si>
    <t>% DE INCIDENCIA</t>
  </si>
  <si>
    <t>TOTAL COSTOS INDIRECTOS</t>
  </si>
  <si>
    <t>TOTAL COSTO NETO</t>
  </si>
  <si>
    <t>VALOR TOTAL DEL PROYECTO</t>
  </si>
  <si>
    <t>PRESUPUESTO OFICIAL</t>
  </si>
  <si>
    <t>DURACION</t>
  </si>
  <si>
    <t>COMIENZO</t>
  </si>
  <si>
    <t>FIN</t>
  </si>
  <si>
    <t>90DIAS</t>
  </si>
  <si>
    <t>TAREAS</t>
  </si>
  <si>
    <t>OBJETO: REPARACION Y MEJORAMIENTO DE LAS BATERIAS SANITARIA DE LA INSTITUCION EDUCATIVA LOPERENA LA ESPERANZA</t>
  </si>
  <si>
    <t>SEMANA  5</t>
  </si>
  <si>
    <t>SEMANA  6</t>
  </si>
  <si>
    <t>SEMANA  7</t>
  </si>
  <si>
    <t>SEMANA  8</t>
  </si>
  <si>
    <t>SEMANA  9</t>
  </si>
  <si>
    <t>SEMANA  10</t>
  </si>
  <si>
    <t>SEMANA  11</t>
  </si>
  <si>
    <t>SEMANA 12</t>
  </si>
  <si>
    <t>VR. PROG.</t>
  </si>
  <si>
    <t>DIAS</t>
  </si>
  <si>
    <t>VR. MES PROG</t>
  </si>
  <si>
    <t>REVISION DE CUBIERTAS CANALETA ASBESTO CEMENTO, INCLUYE REPARACION DE GOTERAS</t>
  </si>
  <si>
    <t>EXCAVACION MANUAL  PARA RETIRO DE TUBERIA Y ZAPATAS DE TANQUE ELEVADO</t>
  </si>
  <si>
    <t>DIAS POR ITEMS</t>
  </si>
  <si>
    <t>SUBTOTAL</t>
  </si>
  <si>
    <t>SUB TOTAL</t>
  </si>
  <si>
    <t>Valor Mensual</t>
  </si>
  <si>
    <t>% mensual</t>
  </si>
  <si>
    <t>Valor Mensual Acom.</t>
  </si>
  <si>
    <t>% Mensual Acom</t>
  </si>
  <si>
    <t>% Semanal</t>
  </si>
  <si>
    <t>% Semanal Acumul</t>
  </si>
  <si>
    <t>Valor Semanal</t>
  </si>
  <si>
    <t xml:space="preserve">Valor Sem Acomul </t>
  </si>
  <si>
    <t>Valor Sem Acomul + AIU</t>
  </si>
  <si>
    <t>:</t>
  </si>
  <si>
    <t>SUB TOTAL POR MES</t>
  </si>
  <si>
    <t>DURACION  EN DIAS</t>
  </si>
  <si>
    <t>DIA 1</t>
  </si>
  <si>
    <t>1 DIA</t>
  </si>
  <si>
    <t>2 DIAS</t>
  </si>
  <si>
    <t>DIA 17</t>
  </si>
  <si>
    <t>DIA 18</t>
  </si>
  <si>
    <t>DIA 19</t>
  </si>
  <si>
    <t>DIA 20</t>
  </si>
  <si>
    <t>DIA 21</t>
  </si>
  <si>
    <t>DIA 14</t>
  </si>
  <si>
    <t>DIA 15</t>
  </si>
  <si>
    <t>DIA 16</t>
  </si>
  <si>
    <t>DIA 2</t>
  </si>
  <si>
    <t>DIA 3</t>
  </si>
  <si>
    <t>DIA 4</t>
  </si>
  <si>
    <t>DIA 5</t>
  </si>
  <si>
    <t>4 DIAS</t>
  </si>
  <si>
    <t>DIA 6</t>
  </si>
  <si>
    <t>DIA 9</t>
  </si>
  <si>
    <t>DIA 10</t>
  </si>
  <si>
    <t>DIA 13</t>
  </si>
  <si>
    <t>DIA 90</t>
  </si>
  <si>
    <t>DIA 23</t>
  </si>
  <si>
    <t>DIA 24</t>
  </si>
  <si>
    <t>DIA 25</t>
  </si>
  <si>
    <t>DIA 26</t>
  </si>
  <si>
    <t>DIA 27</t>
  </si>
  <si>
    <t>DIA 28</t>
  </si>
  <si>
    <t>DIA 29</t>
  </si>
  <si>
    <t>DIA 30</t>
  </si>
  <si>
    <t>DIA 31</t>
  </si>
  <si>
    <t>DIA 32</t>
  </si>
  <si>
    <t>DIA 34</t>
  </si>
  <si>
    <t>DIA 35</t>
  </si>
  <si>
    <t>9 DIA</t>
  </si>
  <si>
    <t>DIA 42</t>
  </si>
  <si>
    <t>DIA 33</t>
  </si>
  <si>
    <t>3 DIA</t>
  </si>
  <si>
    <t>5 DIA</t>
  </si>
  <si>
    <t>10 DIAS</t>
  </si>
  <si>
    <t>5 DIAS</t>
  </si>
  <si>
    <t xml:space="preserve">5 DIAS </t>
  </si>
  <si>
    <t>6 DIAS</t>
  </si>
  <si>
    <t>3 DIAS</t>
  </si>
  <si>
    <t>DIA 40</t>
  </si>
  <si>
    <t>DIA 49</t>
  </si>
  <si>
    <t>DIA 39</t>
  </si>
  <si>
    <t>DIA 53</t>
  </si>
  <si>
    <t>DIA 57</t>
  </si>
  <si>
    <t>DIA 65</t>
  </si>
  <si>
    <t>DIA 71</t>
  </si>
  <si>
    <t>DIA 70</t>
  </si>
  <si>
    <t>DIA 50</t>
  </si>
  <si>
    <t>DIA 52</t>
  </si>
  <si>
    <t>DIA 58</t>
  </si>
  <si>
    <t>DIA 62</t>
  </si>
  <si>
    <t>DIA 63</t>
  </si>
  <si>
    <t>DIA 64</t>
  </si>
  <si>
    <t>DIA 61</t>
  </si>
  <si>
    <t>1 DIAS</t>
  </si>
  <si>
    <t>DIA 80</t>
  </si>
  <si>
    <t>DIA 81</t>
  </si>
  <si>
    <t>DIA 79</t>
  </si>
  <si>
    <t>DIA 73</t>
  </si>
  <si>
    <t>DIA 74</t>
  </si>
  <si>
    <t>DIA 76</t>
  </si>
  <si>
    <t>DIA 77</t>
  </si>
  <si>
    <t>DIA 66</t>
  </si>
  <si>
    <t>DIA 83</t>
  </si>
  <si>
    <t>DIA 87</t>
  </si>
  <si>
    <t>DIA 84</t>
  </si>
  <si>
    <t>DIA 88</t>
  </si>
  <si>
    <t>DIA 89</t>
  </si>
  <si>
    <t>SALIDA DE INTERRUPTOR SENCILLO  A 120V EN TUBERIA PVC CONDUIT DE 3/4" Y CABLE Cu THHN No 2x12 AWG EXZHELLENT (LIBRE DE HALOGENUROS)</t>
  </si>
  <si>
    <t xml:space="preserve">TUBO PVC CONDUIT 3/4" </t>
  </si>
  <si>
    <t>ADAPTADOR TERMINAL PVC CONDUIT 3/4"</t>
  </si>
  <si>
    <t>CURVA PVC CONDUIT 3/4"</t>
  </si>
  <si>
    <t>Cable Cu THHN No 12 EXZHELLENT (LIBRE DE HALOGENUROS)</t>
  </si>
  <si>
    <t>INTERRUPTOR SENCILLO 120V</t>
  </si>
  <si>
    <t>CAJA RECTANGULAR  GALVANIZADA 2"X 4".</t>
  </si>
  <si>
    <t>%MAT</t>
  </si>
  <si>
    <t>XIII</t>
  </si>
  <si>
    <t>INSTALACIONES ELECTRICAS</t>
  </si>
  <si>
    <t>SALIDA PANEL LED RECTANGULAR P27265-41  INCRUSTAR   40W  120X30  6K  MARCA SYLVANIA O SIMILAR - 100V / 240V   EN TUBERIA METALICA EMT 3/4" Y CABLE  Cu THHN No 3X12 AWG EXZHELLENT (LIBRE DE HALOGENUROS)</t>
  </si>
  <si>
    <t>PANEL LED RECTANGULAR P27265-41  INCRUSTAR   40W  120X30  6K  MARCA SYLVANIA O SIMILAR - 100V / 240V</t>
  </si>
  <si>
    <t xml:space="preserve">TUBO EMT 3/4" </t>
  </si>
  <si>
    <t>ADAPTADOR TERMINAL EMT DE 3/4"</t>
  </si>
  <si>
    <t>UNION EMT DE 3/4"</t>
  </si>
  <si>
    <t>CURVA EMT DE 3/4"</t>
  </si>
  <si>
    <t>CAJA METALICA RAWELLD OCTAGONAL</t>
  </si>
  <si>
    <t>ACCESORIOS DE FIJACION</t>
  </si>
  <si>
    <t>DESMONTE DE LAMPARAS FLUORESCENTES DE 2X48</t>
  </si>
  <si>
    <t xml:space="preserve">1 DIA </t>
  </si>
  <si>
    <t>gobernacon 2020</t>
  </si>
  <si>
    <t>invias</t>
  </si>
  <si>
    <t>ojo preguntar</t>
  </si>
  <si>
    <t>GOBERNACION 2020</t>
  </si>
  <si>
    <t>FERRECESAR</t>
  </si>
  <si>
    <t xml:space="preserve">SE DEJO EL MISMO </t>
  </si>
  <si>
    <t>EL MISMO</t>
  </si>
  <si>
    <t>INTERNET</t>
  </si>
  <si>
    <t>GOBERNACION</t>
  </si>
  <si>
    <t>POR PORCENTAJE</t>
  </si>
  <si>
    <t xml:space="preserve">TABLERO MADERA .60 X 1.20 (CHAZAS) </t>
  </si>
  <si>
    <t>MURO PARA SOPORTE DE PLACA DE CONCRETO PARA LAVAAMOS</t>
  </si>
  <si>
    <t>ESTRUCTURA EN CONCRETO REFORZADO PARA SOPORTE DE TANQUE 4.30 X 2.00 X 8.00H SEGÚN DISEÑO.</t>
  </si>
  <si>
    <t>MORTERO 1:4 PARA PEGA Y PAÑETE</t>
  </si>
  <si>
    <t>ACERO DE REFUERZO PARA VIGA DE CIMENTACION</t>
  </si>
  <si>
    <t>FORMALETA PARA COLUMNA</t>
  </si>
  <si>
    <t>PLACA MACIZA EN MESONES  H/.07 X .60 DE ANCHO, INCLUYE MORTERO NIVELACION</t>
  </si>
  <si>
    <t>LA MISMA</t>
  </si>
  <si>
    <t>GOBERNACIION</t>
  </si>
  <si>
    <t>SE DEJO LA MISMA</t>
  </si>
  <si>
    <t>el mismo</t>
  </si>
  <si>
    <t>ferrecesar</t>
  </si>
  <si>
    <t>la misma</t>
  </si>
  <si>
    <t>el msmo</t>
  </si>
  <si>
    <t>PISO TABLON SAHARA 30.5X30.5 ALF</t>
  </si>
  <si>
    <t>CERÁMICA DUROPISO CORONA ALTO TRAFICO 60x60</t>
  </si>
  <si>
    <t>ENCH CORN MACEDONIA BCO 25X43X2 MTS</t>
  </si>
  <si>
    <t>VENTANA 744 ANOLOCK-VIDRIO BRONCE UNA NAVE FIJA Y UNA CORREDIZA 1.00X1.0</t>
  </si>
  <si>
    <t>ELEMENTOS DE FIJACIN DE DIVISION DE BAÑOS</t>
  </si>
  <si>
    <t>ELEMENTOS DE FIJACIN DE DIVISION DE ORNAL</t>
  </si>
  <si>
    <t>VIDRIO TRANSPARENTE 4MM</t>
  </si>
  <si>
    <t>EN PORCENTAGE</t>
  </si>
  <si>
    <t>FERRECESAR Y EL MISMO</t>
  </si>
  <si>
    <t>GRIFERÍA LAVAMANOS MONO BAJO ECO FRIENDLY STRETTO O SIMILAR</t>
  </si>
  <si>
    <t>REJILLA C/SOSCO 3 X 2 BRONCE ANTICUCARA</t>
  </si>
  <si>
    <t>PORCENTAGE</t>
  </si>
  <si>
    <t>PAPELERA, GANCHO ELITE O SIMILAR</t>
  </si>
  <si>
    <t>home center</t>
  </si>
  <si>
    <t>PEGANTE FORTE PORCELANATO GRIS X 25</t>
  </si>
  <si>
    <t>BOLSA</t>
  </si>
  <si>
    <t>BOQUILLA PORCELANATO NEGRA X 5 KLS</t>
  </si>
  <si>
    <t xml:space="preserve">CCC PISO PORCELANATO ARTICA NEGRO 56628 </t>
  </si>
  <si>
    <t>PÀQUETE</t>
  </si>
  <si>
    <t>PORCELANATO DE 1.20X0.60X12CM0 EN MESONES POR DOS CARAS DE PRIMERA CALIDAD, TIPO CORONA O SIMILAR, INCLUYE ESQUINERO</t>
  </si>
  <si>
    <t>ESQUINERO CERAMICO ( 1 MTS)</t>
  </si>
  <si>
    <t>Secretario de Obras Públicas Municipal</t>
  </si>
  <si>
    <t>Arquitecto  S.O.P.M</t>
  </si>
  <si>
    <t>OBRAS VARIAS</t>
  </si>
  <si>
    <t>13.1</t>
  </si>
  <si>
    <t>13.2</t>
  </si>
  <si>
    <t>14.1</t>
  </si>
  <si>
    <t>14.2</t>
  </si>
  <si>
    <t>DIVISION METALICA DE BAÑO EN ACERO INOXIDABLE  ENTANBORADO TIPO SOCODA REF 304</t>
  </si>
  <si>
    <t xml:space="preserve">DIVISION ORINAL DE 1.48x0.46m EN ACERO INOXIDABLE  ENTANBORADO TIPO SOCODA REF.:304 CALB. 20 </t>
  </si>
  <si>
    <t>se dejop el m,mismo</t>
  </si>
  <si>
    <t>GRI. FLUXOMETRO ORINAL REF 70710/70634</t>
  </si>
  <si>
    <t>HOMO CENTER</t>
  </si>
  <si>
    <t>ORINAL TIPO ARRECIFE O SIMILAR PARA FLUXOMETRO BLANCO SECC 35.2 CM X 31,2</t>
  </si>
  <si>
    <t>COR. TAZA FLUXOMETRO C/GRIF.</t>
  </si>
  <si>
    <t>CERAMICA MACEDONIA EN MUROS DE PRIMERA CALIDAD, TIPO CORONA O SIMILAR, INCLUYE PIRLAN DE ALUMINIO</t>
  </si>
  <si>
    <t>TAPAGOTERA SUPER EPOXICO METALICO 1/8</t>
  </si>
  <si>
    <t>DISPENSADOR DE PAPEL HIGIENICO</t>
  </si>
  <si>
    <t>SOCODA</t>
  </si>
  <si>
    <t>BARRA ABATIBLE SUPERIOR 800MM DISCAPACITADOS VERTICAL</t>
  </si>
  <si>
    <t>BARRA RECTA 600 DISCAPACITADOS</t>
  </si>
  <si>
    <t>SANITARIO INFANTIL KIDDY SINGLE EN CAJA BLANCO</t>
  </si>
  <si>
    <t>HOME CENTER</t>
  </si>
  <si>
    <t xml:space="preserve">SUMINISTRO, TRANSPORTE  E INSTALACIÓN DE DIVISIONES EN PANELES DE ACERO INOXIDABLE TIPO SOCODA REF.: 304 CALIBRE 20, O EQUIVALENTE, CON UNA ALTURA DE 1.80m, INCLUYE PUERTAS, PARALES, CHAPAS, BISAGRAS, EMPAQUES, PASADORES BARRAS DE 1.5"       </t>
  </si>
  <si>
    <t xml:space="preserve">ENCHAPE DE MURO EN  CERAMICA EGEO DE PRIMERA CALIDAD TIPO DE CORONA O SIMILAR SECCION 25X35  </t>
  </si>
  <si>
    <t>VIGA AEREA EN CONCRETO 3.000 PSI.</t>
  </si>
  <si>
    <t>FORMALETA PARA VIGAS-VIGA CANAL-DESCOLGADO 11.11ML O .3X.3</t>
  </si>
  <si>
    <t>ENCHAPE  DE MUROS DE MENOS DE 50 CMS EN CERAMICA DE 20X35 DE PRIMERA CALIDAD, TIPO CORONA O SIMILAR.</t>
  </si>
  <si>
    <t>DISPENSADOR DE JABON</t>
  </si>
  <si>
    <t>BARRAS DE SEGURIDAD, PARA MINUSVALIDOS LONG. .75MT, ACABADO CRMADO EN ACERO INOXIDABLE, INCLUYE BARRA ABATIBLE DE 800MM Y BARRA RECTA DE 600MM</t>
  </si>
  <si>
    <t>CICLOPEOS 60% CONCRETO 3000 PSI Y 40% PIEDRA</t>
  </si>
  <si>
    <t>PAÑETE ALLANADO EN MUROS 1:4</t>
  </si>
  <si>
    <t>FILOS Y DILATACIONES</t>
  </si>
  <si>
    <t>MURO DOBLE 0.25, LADRILLO RUSTICO 6X11X24CM, INCLUYE MORTERO 1:4</t>
  </si>
  <si>
    <t>DIVISION ORINAL DE 1.48x0.46m EN ACERO INOXIDABLE TIPO SOCODA REF.:304 CALB. 20</t>
  </si>
  <si>
    <t>ESMALTE SOBRE MURO, DE ALTA RESISTENCIA A LA INTEMPERIE</t>
  </si>
  <si>
    <t xml:space="preserve">BEBEDERO ESCOLAR  EN ACERO INOXIDABLE DE 5 PUESTOS,  SECCION 3MTS LARGO X60CM ANCHO, INCLUYE GRIFERIA </t>
  </si>
  <si>
    <t>BEBEDERO ESCOLAR ENACERO INOXIDABLE DE 5M DE ARGO X60CMS DE ANCHO DE 5 LLAVES</t>
  </si>
  <si>
    <t>GRIFERIA LAVAPLATOS KIT LP MZ PRAKTI O SIMILAR-INCL. DESAGUE</t>
  </si>
  <si>
    <t>PUERTA EN ACERO INOXIDABLE DE 1.48X0,57 P. MURO CALIDAD TIPO SOCODA</t>
  </si>
  <si>
    <t>PUERTA EN ACERO INOXIDABLE DE 1.48X0,87 P. MURO CALIDAD TIPO SOCODA</t>
  </si>
  <si>
    <t>PARAL C PARA PARALES EN ACERO INOXIDABLE0,03X1,71</t>
  </si>
  <si>
    <t>C EXTREMO  EN ACERO INOXIDABLE 0,0455X1,80</t>
  </si>
  <si>
    <t xml:space="preserve">SUMINISTRO, TRANSPORTE  E INSTALACIÓN DE DIVISIÓN PARA ORINALES EN LÁMINA DE ACERO INOXIDABLE TIPO SOCODA REF.: 304 CALIBRE 20, O EQUIVALENTE, CON DIMENSIONES 1.48x0.46m, INCLUYE FIJACIONES Y TODOS LOS ELEMENTOS REQUERIDOS PARA EL CORRECTO FUNCIONAMIENTO     </t>
  </si>
  <si>
    <t>PARAL C PARA  TABIQUE EN ACERO INOXIDABLE 0,03X1,48</t>
  </si>
  <si>
    <t>RECIBIDOR ,005*1,48</t>
  </si>
  <si>
    <t>PARAL EN ACERO INOPXIDABLE 0,37*1,80</t>
  </si>
  <si>
    <t>DIVISION METALICA DE BAÑO EN ACERO INOXIDABLE  ENTANBORADO TIPO SOCODA REF 304  - TABIQUE 1,37X1,48 -</t>
  </si>
  <si>
    <t>ANGULO 3/16" X 2 1/2" X 6 ML</t>
  </si>
  <si>
    <t>SOLD. W/ARCO 6010 X 1/8  504195</t>
  </si>
  <si>
    <t>ESMALTE SINTETICO TIPO 1</t>
  </si>
  <si>
    <t>ANTICORROSIVO GRIS</t>
  </si>
  <si>
    <t>THINNER CORRIENTE</t>
  </si>
  <si>
    <t>TABLON FACHALETA 14 X 0.8 SHORA X 1 MTR</t>
  </si>
  <si>
    <t>CUBIERTA EN LAMINA ONDULADA FIBRO CEMENTO # 6</t>
  </si>
  <si>
    <t>GANCHOS</t>
  </si>
  <si>
    <t>AMARRES N. 16</t>
  </si>
  <si>
    <t>IMPERMEABILIZACION DE PLACA EN MANTO EDIL 3 MM STANDAR INCL. IMPRIMANTE Y PINTURA BITUMINOSA</t>
  </si>
  <si>
    <t>ALUMOL (16 KG) PINTURA REFLECTIVA DE ALUMINIO CON BASE ASFÁLTICA DE BAJA VISCOSIDAD</t>
  </si>
  <si>
    <t>IGASOL CUBIERTA (20 KG) EMULSIÓN ANIÓNICA CON BASE EN ASFALTO REFINADO, MEJORADO CON LLENANTES ESPECIALES</t>
  </si>
  <si>
    <t xml:space="preserve">HERRAMIENTAS MENORES - SOPLETE GAS </t>
  </si>
  <si>
    <t>AMARRES</t>
  </si>
  <si>
    <t>ALQUILER DE ANDAMIOS COMPLETO CON TABLON</t>
  </si>
  <si>
    <t>CONSTRUCCION DE CANAL  EN CONCRETO DE 3000 PSI PARA RECOGER AGUAS LLUVIAS EN EL ACCESO PRINCIPALY LOS PATIOS Y LAS CANCHAS, INCLUYE REGILLA EN ANGULO DE 3/16 CON VARILLAS CORRUGADAS de 5/8" CADA 4CMS DE DIASTANCIA ENTRE VARILLAS, CON ANTICORROSIVO GRIS Y ESMALTE SINTETICO, SECCION 30CMS DE ANCHO X 40CMS DE PROFUNDIDAD, ESPESORES DE MUROS 15CMS Y TABLON FACHALETA DE 1E4X0,8 PARA ACABADOS DEL CANAL</t>
  </si>
  <si>
    <t>OBJETO: MEJORAMIENTO Y REPARACIONES GENERALES BASICAS DE LA INFRAESTRUCTURA FISICA DEL JARDIN NACIONAL ANEXA A LA INSTITUCION EDUCATIVA CASD SIMON BOLIVAR DEL MUNICIPIO DE VALLEDUPAR</t>
  </si>
  <si>
    <t>EFRAIN ALFREDO QUINTERO TERNERA</t>
  </si>
  <si>
    <t>Elaboró: GENECO VASQUES BERRIO</t>
  </si>
  <si>
    <t>FECHA: OCTUBRE 2021</t>
  </si>
  <si>
    <t>Aprobo:EFRAIN ALFREDO QUINTERO TERNERA</t>
  </si>
  <si>
    <t>Elaboro: JAIR SUAREZ VANEGAS</t>
  </si>
  <si>
    <t>Actualizo: GENECO VASQUES BERRIO</t>
  </si>
  <si>
    <t xml:space="preserve">Profesional Universitario </t>
  </si>
  <si>
    <t>FECHA: ENERO DE 2021</t>
  </si>
  <si>
    <t>ANALISIS UNITARIOS ÀRA EL PROYECTO                                                                                                 MEJORAMIENTO Y REPARACIONES GENERALES BASICAS DE LA INFRAESTRUCTURA FISICA DEL JARDIN NACIONAL ANEXA A LA INSTITUCION EDUCATIVA CASD SIMON BOLIVAR DEL MUNICIPIO DE VALLEDUPAR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</si>
</sst>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5">
    <numFmt numFmtId="8" formatCode="&quot;$&quot;\ #,##0.00;[Red]\-&quot;$&quot;\ #,##0.00"/>
    <numFmt numFmtId="44" formatCode="_-&quot;$&quot;\ * #,##0.00_-;\-&quot;$&quot;\ * #,##0.00_-;_-&quot;$&quot;\ * &quot;-&quot;??_-;_-@_-"/>
    <numFmt numFmtId="43" formatCode="_-* #,##0.00_-;\-* #,##0.00_-;_-* &quot;-&quot;??_-;_-@_-"/>
    <numFmt numFmtId="164" formatCode="_-* #,##0.00\ _€_-;\-* #,##0.00\ _€_-;_-* &quot;-&quot;??\ _€_-;_-@_-"/>
    <numFmt numFmtId="165" formatCode="_(&quot;$&quot;\ * #,##0_);_(&quot;$&quot;\ * \(#,##0\);_(&quot;$&quot;\ * &quot;-&quot;_);_(@_)"/>
    <numFmt numFmtId="166" formatCode="_(&quot;$&quot;\ * #,##0.00_);_(&quot;$&quot;\ * \(#,##0.00\);_(&quot;$&quot;\ * &quot;-&quot;??_);_(@_)"/>
    <numFmt numFmtId="167" formatCode="_(* #,##0.00_);_(* \(#,##0.00\);_(* &quot;-&quot;??_);_(@_)"/>
    <numFmt numFmtId="168" formatCode="&quot;$&quot;#,##0;[Red]\-&quot;$&quot;#,##0"/>
    <numFmt numFmtId="169" formatCode="&quot;$&quot;#,##0.00;[Red]\-&quot;$&quot;#,##0.00"/>
    <numFmt numFmtId="170" formatCode="_-&quot;$&quot;* #,##0_-;\-&quot;$&quot;* #,##0_-;_-&quot;$&quot;* &quot;-&quot;_-;_-@_-"/>
    <numFmt numFmtId="171" formatCode="_-&quot;$&quot;* #,##0.00_-;\-&quot;$&quot;* #,##0.00_-;_-&quot;$&quot;* &quot;-&quot;??_-;_-@_-"/>
    <numFmt numFmtId="172" formatCode="_ &quot;$&quot;\ * #,##0_ ;_ &quot;$&quot;\ * \-#,##0_ ;_ &quot;$&quot;\ * &quot;-&quot;_ ;_ @_ "/>
    <numFmt numFmtId="173" formatCode="_ * #,##0_ ;_ * \-#,##0_ ;_ * &quot;-&quot;_ ;_ @_ "/>
    <numFmt numFmtId="174" formatCode="_ &quot;$&quot;\ * #,##0.00_ ;_ &quot;$&quot;\ * \-#,##0.00_ ;_ &quot;$&quot;\ * &quot;-&quot;??_ ;_ @_ "/>
    <numFmt numFmtId="175" formatCode="_ * #,##0.00_ ;_ * \-#,##0.00_ ;_ * &quot;-&quot;??_ ;_ @_ "/>
    <numFmt numFmtId="176" formatCode="#,##0.00_);\-#,##0.00"/>
    <numFmt numFmtId="177" formatCode="#,##0.0000_);\-#,##0.0000"/>
    <numFmt numFmtId="178" formatCode="[$$-240A]\ #,##0.00"/>
    <numFmt numFmtId="179" formatCode="_ * #,##0.000_ ;_ * \-#,##0.000_ ;_ * &quot;-&quot;??_ ;_ @_ "/>
    <numFmt numFmtId="180" formatCode="_ * #,##0.0000_ ;_ * \-#,##0.0000_ ;_ * &quot;-&quot;??_ ;_ @_ "/>
    <numFmt numFmtId="181" formatCode="[$-240A]d&quot; de &quot;mmmm&quot; de &quot;yyyy;@"/>
    <numFmt numFmtId="182" formatCode="_-* #,##0.00\ _P_t_s_-;\-* #,##0.00\ _P_t_s_-;_-* &quot;-&quot;??\ _P_t_s_-;_-@_-"/>
    <numFmt numFmtId="183" formatCode="_ * #,##0.0_ ;_ * \-#,##0.0_ ;_ * &quot;-&quot;??_ ;_ @_ "/>
    <numFmt numFmtId="184" formatCode="_ * #,##0.00000_ ;_ * \-#,##0.00000_ ;_ * &quot;-&quot;??_ ;_ @_ "/>
    <numFmt numFmtId="185" formatCode="_ * #,##0_ ;_ * \-#,##0_ ;_ * &quot;-&quot;??_ ;_ @_ "/>
    <numFmt numFmtId="186" formatCode="0.0"/>
    <numFmt numFmtId="187" formatCode="_-[$$-240A]* #,##0.00_-;\-[$$-240A]* #,##0.00_-;_-[$$-240A]* &quot;-&quot;??_-;_-@_-"/>
    <numFmt numFmtId="188" formatCode="_ &quot;$&quot;\ * #,##0.00_ ;_ &quot;$&quot;\ * \-#,##0.00_ ;_ &quot;$&quot;\ * &quot;-&quot;_ ;_ @_ "/>
    <numFmt numFmtId="189" formatCode="_-&quot;$&quot;* #,##0.00_-;\-&quot;$&quot;* #,##0.00_-;_-&quot;$&quot;* &quot;-&quot;_-;_-@_-"/>
    <numFmt numFmtId="190" formatCode="0.0%"/>
    <numFmt numFmtId="191" formatCode="0.000"/>
    <numFmt numFmtId="192" formatCode="_ &quot;$&quot;\ * #,##0.0000_ ;_ &quot;$&quot;\ * \-#,##0.0000_ ;_ &quot;$&quot;\ * &quot;-&quot;_ ;_ @_ "/>
    <numFmt numFmtId="193" formatCode="#,##0.000000"/>
    <numFmt numFmtId="194" formatCode="&quot;$&quot;#,##0.00"/>
    <numFmt numFmtId="195" formatCode="#,##0.00;[Red]#,##0.00"/>
    <numFmt numFmtId="196" formatCode="_-* #,##0.000_-;\-* #,##0.000_-;_-* &quot;-&quot;??_-;_-@_-"/>
    <numFmt numFmtId="197" formatCode="_-* #,##0.00000_-;\-* #,##0.00000_-;_-* &quot;-&quot;??_-;_-@_-"/>
    <numFmt numFmtId="198" formatCode="&quot;$&quot;#,##0.00_);\(&quot;$&quot;#,##0.00\)"/>
    <numFmt numFmtId="199" formatCode="_-[$$-240A]\ * #,##0.00_-;\-[$$-240A]\ * #,##0.00_-;_-[$$-240A]\ * &quot;-&quot;??_-;_-@_-"/>
    <numFmt numFmtId="200" formatCode="&quot;$&quot;\ #,##0"/>
    <numFmt numFmtId="201" formatCode="#,##0.0;[Red]#,##0.0"/>
    <numFmt numFmtId="202" formatCode="#,##0.0000"/>
    <numFmt numFmtId="203" formatCode="#,##0;[Red]#,##0"/>
    <numFmt numFmtId="204" formatCode="#,##0.0000;[Red]#,##0.0000"/>
    <numFmt numFmtId="205" formatCode="#,##0.00000;[Red]#,##0.00000"/>
  </numFmts>
  <fonts count="89">
    <font>
      <sz val="10"/>
      <color indexed="8"/>
      <name val="MS Sans Serif"/>
    </font>
    <font>
      <sz val="11"/>
      <color theme="1"/>
      <name val="Calibri"/>
      <family val="2"/>
      <scheme val="minor"/>
    </font>
    <font>
      <sz val="11"/>
      <color theme="1"/>
      <name val="Calibri"/>
      <family val="2"/>
      <scheme val="minor"/>
    </font>
    <font>
      <sz val="7.9"/>
      <color indexed="8"/>
      <name val="Arial"/>
      <family val="2"/>
    </font>
    <font>
      <sz val="8"/>
      <name val="MS Sans Serif"/>
      <family val="2"/>
    </font>
    <font>
      <u/>
      <sz val="10"/>
      <color indexed="12"/>
      <name val="MS Sans Serif"/>
      <family val="2"/>
    </font>
    <font>
      <sz val="10"/>
      <name val="Arial"/>
      <family val="2"/>
    </font>
    <font>
      <sz val="10"/>
      <color indexed="8"/>
      <name val="MS Sans Serif"/>
      <family val="2"/>
    </font>
    <font>
      <b/>
      <sz val="10"/>
      <color indexed="8"/>
      <name val="MS Sans Serif"/>
      <family val="2"/>
    </font>
    <font>
      <b/>
      <sz val="12"/>
      <color indexed="8"/>
      <name val="Arial"/>
      <family val="2"/>
    </font>
    <font>
      <sz val="9"/>
      <color indexed="81"/>
      <name val="Tahoma"/>
      <family val="2"/>
    </font>
    <font>
      <b/>
      <sz val="9"/>
      <color indexed="81"/>
      <name val="Tahoma"/>
      <family val="2"/>
    </font>
    <font>
      <b/>
      <sz val="10"/>
      <name val="Arial"/>
      <family val="2"/>
    </font>
    <font>
      <b/>
      <sz val="10"/>
      <color indexed="10"/>
      <name val="Arial"/>
      <family val="2"/>
    </font>
    <font>
      <b/>
      <sz val="11"/>
      <color indexed="10"/>
      <name val="Arial"/>
      <family val="2"/>
    </font>
    <font>
      <b/>
      <sz val="10"/>
      <color indexed="8"/>
      <name val="Arial"/>
      <family val="2"/>
    </font>
    <font>
      <sz val="10"/>
      <color indexed="8"/>
      <name val="Arial"/>
      <family val="2"/>
    </font>
    <font>
      <b/>
      <sz val="8.5"/>
      <color indexed="8"/>
      <name val="MS Sans Serif"/>
      <family val="2"/>
    </font>
    <font>
      <sz val="7.9"/>
      <color indexed="8"/>
      <name val="Arial"/>
      <family val="2"/>
    </font>
    <font>
      <sz val="10"/>
      <name val="Verdana"/>
      <family val="2"/>
    </font>
    <font>
      <b/>
      <sz val="14"/>
      <color indexed="8"/>
      <name val="Arial"/>
      <family val="2"/>
    </font>
    <font>
      <b/>
      <sz val="11"/>
      <color indexed="8"/>
      <name val="Arial"/>
      <family val="2"/>
    </font>
    <font>
      <sz val="9"/>
      <color indexed="8"/>
      <name val="Arial"/>
      <family val="2"/>
    </font>
    <font>
      <u/>
      <sz val="9"/>
      <color indexed="12"/>
      <name val="MS Sans Serif"/>
      <family val="2"/>
    </font>
    <font>
      <b/>
      <sz val="16"/>
      <color indexed="8"/>
      <name val="Arial"/>
      <family val="2"/>
    </font>
    <font>
      <sz val="10"/>
      <color indexed="8"/>
      <name val="MS Sans Serif"/>
    </font>
    <font>
      <sz val="11"/>
      <color indexed="8"/>
      <name val="Calibri"/>
      <family val="2"/>
    </font>
    <font>
      <sz val="11"/>
      <name val="Arial"/>
      <family val="2"/>
    </font>
    <font>
      <b/>
      <sz val="11"/>
      <name val="Arial"/>
      <family val="2"/>
    </font>
    <font>
      <b/>
      <sz val="14"/>
      <name val="Arial"/>
      <family val="2"/>
    </font>
    <font>
      <b/>
      <sz val="20"/>
      <name val="Arial"/>
      <family val="2"/>
    </font>
    <font>
      <b/>
      <sz val="12"/>
      <name val="Arial"/>
      <family val="2"/>
    </font>
    <font>
      <b/>
      <sz val="16"/>
      <color indexed="10"/>
      <name val="Arial"/>
      <family val="2"/>
    </font>
    <font>
      <i/>
      <sz val="10"/>
      <name val="Arial"/>
      <family val="2"/>
    </font>
    <font>
      <b/>
      <sz val="24"/>
      <name val="Arial"/>
      <family val="2"/>
    </font>
    <font>
      <b/>
      <vertAlign val="superscript"/>
      <sz val="10"/>
      <name val="Arial"/>
      <family val="2"/>
    </font>
    <font>
      <b/>
      <sz val="10"/>
      <color indexed="18"/>
      <name val="Arial"/>
      <family val="2"/>
    </font>
    <font>
      <b/>
      <sz val="12"/>
      <color indexed="18"/>
      <name val="Arial"/>
      <family val="2"/>
    </font>
    <font>
      <b/>
      <i/>
      <sz val="10"/>
      <name val="Arial"/>
      <family val="2"/>
    </font>
    <font>
      <sz val="11"/>
      <color theme="1"/>
      <name val="Calibri"/>
      <family val="2"/>
      <scheme val="minor"/>
    </font>
    <font>
      <sz val="10"/>
      <color rgb="FF000000"/>
      <name val="MS Sans Serif"/>
      <family val="2"/>
    </font>
    <font>
      <sz val="11"/>
      <color theme="1"/>
      <name val="Calibri"/>
      <family val="2"/>
    </font>
    <font>
      <sz val="10"/>
      <color rgb="FFFF0000"/>
      <name val="Arial"/>
      <family val="2"/>
    </font>
    <font>
      <sz val="10"/>
      <color rgb="FF0070C0"/>
      <name val="Arial"/>
      <family val="2"/>
    </font>
    <font>
      <b/>
      <sz val="10"/>
      <color rgb="FF0070C0"/>
      <name val="Arial"/>
      <family val="2"/>
    </font>
    <font>
      <b/>
      <sz val="10"/>
      <color rgb="FFFF0000"/>
      <name val="Arial"/>
      <family val="2"/>
    </font>
    <font>
      <sz val="9"/>
      <color theme="1"/>
      <name val="Arial"/>
      <family val="2"/>
    </font>
    <font>
      <b/>
      <sz val="9"/>
      <color rgb="FF000000"/>
      <name val="Arial"/>
      <family val="2"/>
    </font>
    <font>
      <sz val="9"/>
      <color rgb="FF000000"/>
      <name val="Arial"/>
      <family val="2"/>
    </font>
    <font>
      <sz val="10"/>
      <color theme="1"/>
      <name val="Arial"/>
      <family val="2"/>
    </font>
    <font>
      <u/>
      <sz val="10"/>
      <color theme="10"/>
      <name val="Arial"/>
      <family val="2"/>
    </font>
    <font>
      <b/>
      <sz val="10"/>
      <color theme="1"/>
      <name val="Arial"/>
      <family val="2"/>
    </font>
    <font>
      <sz val="11"/>
      <color theme="1"/>
      <name val="Arial"/>
      <family val="2"/>
    </font>
    <font>
      <b/>
      <sz val="11"/>
      <color theme="1"/>
      <name val="Arial"/>
      <family val="2"/>
    </font>
    <font>
      <b/>
      <sz val="10"/>
      <color theme="9" tint="-0.249977111117893"/>
      <name val="Arial"/>
      <family val="2"/>
    </font>
    <font>
      <b/>
      <sz val="10"/>
      <color theme="6" tint="-0.249977111117893"/>
      <name val="Arial"/>
      <family val="2"/>
    </font>
    <font>
      <b/>
      <sz val="10"/>
      <color theme="3" tint="0.39997558519241921"/>
      <name val="Arial"/>
      <family val="2"/>
    </font>
    <font>
      <sz val="10"/>
      <color theme="3" tint="0.39997558519241921"/>
      <name val="Arial"/>
      <family val="2"/>
    </font>
    <font>
      <b/>
      <sz val="10"/>
      <color theme="8" tint="-0.249977111117893"/>
      <name val="Arial"/>
      <family val="2"/>
    </font>
    <font>
      <b/>
      <sz val="9"/>
      <color theme="1"/>
      <name val="Arial"/>
      <family val="2"/>
    </font>
    <font>
      <b/>
      <sz val="10"/>
      <color theme="4" tint="-0.249977111117893"/>
      <name val="Arial"/>
      <family val="2"/>
    </font>
    <font>
      <sz val="10"/>
      <color rgb="FF000000"/>
      <name val="Arial"/>
      <family val="2"/>
    </font>
    <font>
      <sz val="10"/>
      <color rgb="FFFFFFFF"/>
      <name val="Arial"/>
      <family val="2"/>
    </font>
    <font>
      <sz val="12"/>
      <color rgb="FF333399"/>
      <name val="Arial"/>
      <family val="2"/>
    </font>
    <font>
      <b/>
      <sz val="9"/>
      <name val="Ancizar Sans"/>
      <family val="2"/>
    </font>
    <font>
      <sz val="9"/>
      <name val="Ancizar Sans"/>
      <family val="2"/>
    </font>
    <font>
      <b/>
      <i/>
      <sz val="9"/>
      <name val="Ancizar Sans"/>
      <family val="2"/>
    </font>
    <font>
      <b/>
      <sz val="10"/>
      <color indexed="8"/>
      <name val="MS Sans Serif"/>
    </font>
    <font>
      <b/>
      <sz val="11"/>
      <color indexed="8"/>
      <name val="Calibri"/>
      <family val="2"/>
    </font>
    <font>
      <sz val="10"/>
      <color indexed="8"/>
      <name val="Calibri"/>
      <family val="2"/>
    </font>
    <font>
      <b/>
      <sz val="10"/>
      <color indexed="8"/>
      <name val="Calibri"/>
      <family val="2"/>
    </font>
    <font>
      <sz val="9"/>
      <color indexed="8"/>
      <name val="Calibri"/>
      <family val="2"/>
    </font>
    <font>
      <b/>
      <sz val="24"/>
      <color indexed="8"/>
      <name val="MS Sans Serif"/>
    </font>
    <font>
      <b/>
      <sz val="10"/>
      <color theme="3"/>
      <name val="Arial"/>
      <family val="2"/>
    </font>
    <font>
      <b/>
      <sz val="10"/>
      <color theme="3" tint="-0.249977111117893"/>
      <name val="Arial"/>
      <family val="2"/>
    </font>
    <font>
      <b/>
      <sz val="8"/>
      <color theme="3" tint="-0.249977111117893"/>
      <name val="Arial"/>
      <family val="2"/>
    </font>
    <font>
      <b/>
      <sz val="12"/>
      <color rgb="FFFF0000"/>
      <name val="Arial"/>
      <family val="2"/>
    </font>
    <font>
      <b/>
      <sz val="9"/>
      <name val="Arial"/>
      <family val="2"/>
    </font>
    <font>
      <b/>
      <sz val="7"/>
      <color indexed="8"/>
      <name val="Arial"/>
      <family val="2"/>
    </font>
    <font>
      <sz val="8"/>
      <color indexed="8"/>
      <name val="Arial"/>
      <family val="2"/>
    </font>
    <font>
      <sz val="7"/>
      <color indexed="8"/>
      <name val="Arial"/>
      <family val="2"/>
    </font>
    <font>
      <sz val="7"/>
      <name val="Arial"/>
      <family val="2"/>
    </font>
    <font>
      <b/>
      <sz val="8"/>
      <name val="Arial"/>
      <family val="2"/>
    </font>
    <font>
      <sz val="6"/>
      <color indexed="8"/>
      <name val="Arial"/>
      <family val="2"/>
    </font>
    <font>
      <b/>
      <sz val="6"/>
      <color indexed="8"/>
      <name val="Arial"/>
      <family val="2"/>
    </font>
    <font>
      <sz val="11"/>
      <color rgb="FF333333"/>
      <name val="Arial"/>
      <family val="2"/>
    </font>
    <font>
      <sz val="10"/>
      <color indexed="64"/>
      <name val="Arial"/>
      <family val="2"/>
    </font>
    <font>
      <b/>
      <sz val="10"/>
      <color indexed="64"/>
      <name val="Arial"/>
      <family val="2"/>
    </font>
    <font>
      <sz val="8"/>
      <color theme="1"/>
      <name val="Arial"/>
      <family val="2"/>
    </font>
  </fonts>
  <fills count="36">
    <fill>
      <patternFill patternType="none"/>
    </fill>
    <fill>
      <patternFill patternType="gray125"/>
    </fill>
    <fill>
      <patternFill patternType="solid">
        <fgColor indexed="22"/>
        <bgColor indexed="64"/>
      </patternFill>
    </fill>
    <fill>
      <patternFill patternType="solid">
        <fgColor indexed="11"/>
        <bgColor indexed="64"/>
      </patternFill>
    </fill>
    <fill>
      <patternFill patternType="solid">
        <fgColor indexed="49"/>
        <bgColor indexed="64"/>
      </patternFill>
    </fill>
    <fill>
      <patternFill patternType="solid">
        <fgColor indexed="41"/>
        <bgColor indexed="64"/>
      </patternFill>
    </fill>
    <fill>
      <patternFill patternType="solid">
        <fgColor indexed="43"/>
        <bgColor indexed="64"/>
      </patternFill>
    </fill>
    <fill>
      <patternFill patternType="solid">
        <fgColor indexed="40"/>
        <bgColor indexed="64"/>
      </patternFill>
    </fill>
    <fill>
      <patternFill patternType="solid">
        <fgColor indexed="47"/>
        <bgColor indexed="64"/>
      </patternFill>
    </fill>
    <fill>
      <patternFill patternType="solid">
        <fgColor theme="5" tint="0.59999389629810485"/>
        <bgColor indexed="64"/>
      </patternFill>
    </fill>
    <fill>
      <patternFill patternType="solid">
        <fgColor theme="0"/>
        <bgColor indexed="64"/>
      </patternFill>
    </fill>
    <fill>
      <patternFill patternType="solid">
        <fgColor theme="3" tint="0.79998168889431442"/>
        <bgColor indexed="64"/>
      </patternFill>
    </fill>
    <fill>
      <patternFill patternType="solid">
        <fgColor rgb="FFFFFF00"/>
        <bgColor indexed="64"/>
      </patternFill>
    </fill>
    <fill>
      <patternFill patternType="solid">
        <fgColor theme="3" tint="0.59999389629810485"/>
        <bgColor indexed="64"/>
      </patternFill>
    </fill>
    <fill>
      <patternFill patternType="solid">
        <fgColor theme="4" tint="0.79998168889431442"/>
        <bgColor indexed="64"/>
      </patternFill>
    </fill>
    <fill>
      <patternFill patternType="solid">
        <fgColor theme="5" tint="0.39997558519241921"/>
        <bgColor indexed="64"/>
      </patternFill>
    </fill>
    <fill>
      <patternFill patternType="solid">
        <fgColor rgb="FFEEEEEE"/>
        <bgColor indexed="64"/>
      </patternFill>
    </fill>
    <fill>
      <patternFill patternType="solid">
        <fgColor theme="0" tint="-0.14999847407452621"/>
        <bgColor indexed="64"/>
      </patternFill>
    </fill>
    <fill>
      <patternFill patternType="solid">
        <fgColor theme="3" tint="0.79998168889431442"/>
        <bgColor rgb="FF000000"/>
      </patternFill>
    </fill>
    <fill>
      <patternFill patternType="solid">
        <fgColor theme="4" tint="0.59999389629810485"/>
        <bgColor indexed="64"/>
      </patternFill>
    </fill>
    <fill>
      <patternFill patternType="solid">
        <fgColor rgb="FFFFFFFF"/>
        <bgColor indexed="64"/>
      </patternFill>
    </fill>
    <fill>
      <patternFill patternType="solid">
        <fgColor theme="6" tint="0.59999389629810485"/>
        <bgColor indexed="64"/>
      </patternFill>
    </fill>
    <fill>
      <patternFill patternType="solid">
        <fgColor theme="9" tint="-0.249977111117893"/>
        <bgColor indexed="64"/>
      </patternFill>
    </fill>
    <fill>
      <patternFill patternType="solid">
        <fgColor theme="6" tint="0.39997558519241921"/>
        <bgColor indexed="64"/>
      </patternFill>
    </fill>
    <fill>
      <patternFill patternType="solid">
        <fgColor theme="5" tint="0.79998168889431442"/>
        <bgColor indexed="64"/>
      </patternFill>
    </fill>
    <fill>
      <patternFill patternType="solid">
        <fgColor rgb="FFFFFFFF"/>
        <bgColor rgb="FF000000"/>
      </patternFill>
    </fill>
    <fill>
      <patternFill patternType="solid">
        <fgColor theme="9" tint="0.39997558519241921"/>
        <bgColor indexed="64"/>
      </patternFill>
    </fill>
    <fill>
      <patternFill patternType="solid">
        <fgColor rgb="FF5BC5B1"/>
        <bgColor indexed="64"/>
      </patternFill>
    </fill>
    <fill>
      <patternFill patternType="solid">
        <fgColor theme="4" tint="0.79998168889431442"/>
        <bgColor rgb="FF000000"/>
      </patternFill>
    </fill>
    <fill>
      <patternFill patternType="solid">
        <fgColor theme="6" tint="0.79998168889431442"/>
        <bgColor indexed="64"/>
      </patternFill>
    </fill>
    <fill>
      <patternFill patternType="solid">
        <fgColor theme="0" tint="-0.249977111117893"/>
        <bgColor indexed="64"/>
      </patternFill>
    </fill>
    <fill>
      <patternFill patternType="solid">
        <fgColor rgb="FFFFD966"/>
        <bgColor indexed="64"/>
      </patternFill>
    </fill>
    <fill>
      <patternFill patternType="solid">
        <fgColor rgb="FFF2F2F2"/>
        <bgColor indexed="64"/>
      </patternFill>
    </fill>
    <fill>
      <patternFill patternType="solid">
        <fgColor rgb="FFFF0000"/>
        <bgColor indexed="64"/>
      </patternFill>
    </fill>
    <fill>
      <patternFill patternType="solid">
        <fgColor rgb="FF99FF99"/>
        <bgColor indexed="64"/>
      </patternFill>
    </fill>
    <fill>
      <patternFill patternType="solid">
        <fgColor rgb="FF92D050"/>
        <bgColor indexed="64"/>
      </patternFill>
    </fill>
  </fills>
  <borders count="8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bottom/>
      <diagonal/>
    </border>
    <border>
      <left/>
      <right/>
      <top style="thin">
        <color rgb="FF000000"/>
      </top>
      <bottom/>
      <diagonal/>
    </border>
    <border>
      <left/>
      <right style="thin">
        <color rgb="FF000000"/>
      </right>
      <top style="thin">
        <color rgb="FF000000"/>
      </top>
      <bottom/>
      <diagonal/>
    </border>
    <border>
      <left/>
      <right/>
      <top/>
      <bottom style="thick">
        <color rgb="FF6666CC"/>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diagonal/>
    </border>
  </borders>
  <cellStyleXfs count="77">
    <xf numFmtId="0" fontId="0" fillId="0" borderId="0"/>
    <xf numFmtId="0" fontId="5" fillId="0" borderId="0" applyNumberFormat="0" applyFill="0" applyBorder="0" applyAlignment="0" applyProtection="0">
      <alignment vertical="top"/>
      <protection locked="0"/>
    </xf>
    <xf numFmtId="175" fontId="3" fillId="0" borderId="0" applyFont="0" applyFill="0" applyBorder="0" applyAlignment="0" applyProtection="0"/>
    <xf numFmtId="173" fontId="6" fillId="0" borderId="0" applyFont="0" applyFill="0" applyBorder="0" applyAlignment="0" applyProtection="0"/>
    <xf numFmtId="175" fontId="18" fillId="0" borderId="0" applyFont="0" applyFill="0" applyBorder="0" applyAlignment="0" applyProtection="0"/>
    <xf numFmtId="175" fontId="18" fillId="0" borderId="0" applyFont="0" applyFill="0" applyBorder="0" applyAlignment="0" applyProtection="0"/>
    <xf numFmtId="175" fontId="18" fillId="0" borderId="0" applyFont="0" applyFill="0" applyBorder="0" applyAlignment="0" applyProtection="0"/>
    <xf numFmtId="167" fontId="39" fillId="0" borderId="0" applyFont="0" applyFill="0" applyBorder="0" applyAlignment="0" applyProtection="0"/>
    <xf numFmtId="175" fontId="18" fillId="0" borderId="0" applyFont="0" applyFill="0" applyBorder="0" applyAlignment="0" applyProtection="0"/>
    <xf numFmtId="167" fontId="39" fillId="0" borderId="0" applyFont="0" applyFill="0" applyBorder="0" applyAlignment="0" applyProtection="0"/>
    <xf numFmtId="43" fontId="39" fillId="0" borderId="0" applyFont="0" applyFill="0" applyBorder="0" applyAlignment="0" applyProtection="0"/>
    <xf numFmtId="198" fontId="18" fillId="0" borderId="0" applyFont="0" applyFill="0" applyBorder="0" applyAlignment="0" applyProtection="0"/>
    <xf numFmtId="167" fontId="39" fillId="0" borderId="0" applyFont="0" applyFill="0" applyBorder="0" applyAlignment="0" applyProtection="0"/>
    <xf numFmtId="175" fontId="18" fillId="0" borderId="0" applyFont="0" applyFill="0" applyBorder="0" applyAlignment="0" applyProtection="0"/>
    <xf numFmtId="175" fontId="18" fillId="0" borderId="0" applyFont="0" applyFill="0" applyBorder="0" applyAlignment="0" applyProtection="0"/>
    <xf numFmtId="175" fontId="6" fillId="0" borderId="0" applyFont="0" applyFill="0" applyBorder="0" applyAlignment="0" applyProtection="0"/>
    <xf numFmtId="174" fontId="3" fillId="0" borderId="0" applyFont="0" applyFill="0" applyBorder="0" applyAlignment="0" applyProtection="0"/>
    <xf numFmtId="172" fontId="3"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65" fontId="39" fillId="0" borderId="0" applyFont="0" applyFill="0" applyBorder="0" applyAlignment="0" applyProtection="0"/>
    <xf numFmtId="172" fontId="18" fillId="0" borderId="0" applyFont="0" applyFill="0" applyBorder="0" applyAlignment="0" applyProtection="0"/>
    <xf numFmtId="170" fontId="39" fillId="0" borderId="0" applyFont="0" applyFill="0" applyBorder="0" applyAlignment="0" applyProtection="0"/>
    <xf numFmtId="172" fontId="18" fillId="0" borderId="0" applyFont="0" applyFill="0" applyBorder="0" applyAlignment="0" applyProtection="0"/>
    <xf numFmtId="172" fontId="18" fillId="0" borderId="0" applyFont="0" applyFill="0" applyBorder="0" applyAlignment="0" applyProtection="0"/>
    <xf numFmtId="0" fontId="19" fillId="0" borderId="0" applyFont="0" applyFill="0" applyBorder="0" applyAlignment="0" applyProtection="0"/>
    <xf numFmtId="0" fontId="3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 fillId="0" borderId="0"/>
    <xf numFmtId="0" fontId="25" fillId="0" borderId="0"/>
    <xf numFmtId="0" fontId="25" fillId="0" borderId="0"/>
    <xf numFmtId="0" fontId="40" fillId="0" borderId="0"/>
    <xf numFmtId="0" fontId="41" fillId="0" borderId="0"/>
    <xf numFmtId="0" fontId="6" fillId="0" borderId="0"/>
    <xf numFmtId="9" fontId="3"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6" fillId="0" borderId="0" applyFont="0" applyFill="0" applyBorder="0" applyAlignment="0" applyProtection="0"/>
    <xf numFmtId="165" fontId="2" fillId="0" borderId="0" applyFont="0" applyFill="0" applyBorder="0" applyAlignment="0" applyProtection="0"/>
    <xf numFmtId="170" fontId="7" fillId="0" borderId="0" applyFont="0" applyFill="0" applyBorder="0" applyAlignment="0" applyProtection="0"/>
    <xf numFmtId="0" fontId="25" fillId="0" borderId="0"/>
    <xf numFmtId="172" fontId="3" fillId="0" borderId="0" applyFont="0" applyFill="0" applyBorder="0" applyAlignment="0" applyProtection="0"/>
    <xf numFmtId="172" fontId="3" fillId="0" borderId="0" applyFont="0" applyFill="0" applyBorder="0" applyAlignment="0" applyProtection="0"/>
    <xf numFmtId="175" fontId="3" fillId="0" borderId="0" applyFont="0" applyFill="0" applyBorder="0" applyAlignment="0" applyProtection="0"/>
    <xf numFmtId="43" fontId="1" fillId="0" borderId="0" applyFont="0" applyFill="0" applyBorder="0" applyAlignment="0" applyProtection="0"/>
    <xf numFmtId="0" fontId="6" fillId="0" borderId="0"/>
    <xf numFmtId="0" fontId="6" fillId="0" borderId="0" applyAlignment="0"/>
    <xf numFmtId="0" fontId="86" fillId="0" borderId="0"/>
  </cellStyleXfs>
  <cellXfs count="1316">
    <xf numFmtId="0" fontId="0" fillId="0" borderId="0" xfId="0"/>
    <xf numFmtId="175" fontId="0" fillId="0" borderId="0" xfId="2" applyFont="1"/>
    <xf numFmtId="175" fontId="6" fillId="0" borderId="0" xfId="2" applyFont="1"/>
    <xf numFmtId="0" fontId="6" fillId="0" borderId="0" xfId="0" applyFont="1"/>
    <xf numFmtId="0" fontId="12" fillId="0" borderId="0" xfId="0" applyFont="1"/>
    <xf numFmtId="0" fontId="13" fillId="0" borderId="1" xfId="0" applyFont="1" applyBorder="1" applyAlignment="1">
      <alignment horizontal="center"/>
    </xf>
    <xf numFmtId="0" fontId="13" fillId="0" borderId="2" xfId="0" applyFont="1" applyBorder="1" applyAlignment="1">
      <alignment horizontal="center"/>
    </xf>
    <xf numFmtId="21" fontId="6" fillId="0" borderId="3" xfId="0" applyNumberFormat="1" applyFont="1" applyBorder="1" applyAlignment="1">
      <alignment horizontal="center"/>
    </xf>
    <xf numFmtId="0" fontId="6" fillId="0" borderId="3" xfId="0" applyFont="1" applyBorder="1" applyAlignment="1">
      <alignment horizontal="center"/>
    </xf>
    <xf numFmtId="0" fontId="6" fillId="0" borderId="4" xfId="0" applyFont="1" applyBorder="1" applyAlignment="1">
      <alignment horizontal="center"/>
    </xf>
    <xf numFmtId="0" fontId="6" fillId="0" borderId="5" xfId="0" applyFont="1" applyBorder="1" applyAlignment="1">
      <alignment horizontal="center"/>
    </xf>
    <xf numFmtId="0" fontId="6" fillId="0" borderId="6" xfId="0" applyFont="1" applyBorder="1" applyAlignment="1">
      <alignment horizontal="center"/>
    </xf>
    <xf numFmtId="0" fontId="6" fillId="0" borderId="7" xfId="0" applyFont="1" applyBorder="1" applyAlignment="1">
      <alignment horizontal="center"/>
    </xf>
    <xf numFmtId="0" fontId="6" fillId="0" borderId="8" xfId="0" applyFont="1" applyBorder="1" applyAlignment="1">
      <alignment horizontal="center"/>
    </xf>
    <xf numFmtId="175" fontId="16" fillId="0" borderId="0" xfId="2" applyFont="1" applyAlignment="1">
      <alignment horizontal="right" vertical="center"/>
    </xf>
    <xf numFmtId="3" fontId="6" fillId="0" borderId="5" xfId="0" applyNumberFormat="1" applyFont="1" applyBorder="1" applyAlignment="1">
      <alignment horizontal="center"/>
    </xf>
    <xf numFmtId="3" fontId="6" fillId="0" borderId="7" xfId="0" applyNumberFormat="1" applyFont="1" applyBorder="1" applyAlignment="1">
      <alignment horizontal="center"/>
    </xf>
    <xf numFmtId="0" fontId="16" fillId="0" borderId="0" xfId="0" applyFont="1" applyAlignment="1">
      <alignment horizontal="left" vertical="center"/>
    </xf>
    <xf numFmtId="0" fontId="6" fillId="0" borderId="0" xfId="0" applyFont="1" applyAlignment="1">
      <alignment horizontal="center"/>
    </xf>
    <xf numFmtId="175" fontId="0" fillId="0" borderId="0" xfId="0" applyNumberFormat="1"/>
    <xf numFmtId="165" fontId="6" fillId="0" borderId="0" xfId="0" applyNumberFormat="1" applyFont="1"/>
    <xf numFmtId="0" fontId="42" fillId="0" borderId="0" xfId="0" applyFont="1" applyAlignment="1">
      <alignment horizontal="center"/>
    </xf>
    <xf numFmtId="175" fontId="43" fillId="0" borderId="0" xfId="2" applyFont="1" applyAlignment="1">
      <alignment horizontal="right" vertical="center"/>
    </xf>
    <xf numFmtId="175" fontId="44" fillId="0" borderId="0" xfId="2" applyFont="1" applyAlignment="1">
      <alignment horizontal="right" vertical="center"/>
    </xf>
    <xf numFmtId="185" fontId="44" fillId="0" borderId="0" xfId="2" applyNumberFormat="1" applyFont="1" applyAlignment="1">
      <alignment horizontal="right" vertical="center"/>
    </xf>
    <xf numFmtId="0" fontId="16" fillId="0" borderId="0" xfId="26" applyFont="1"/>
    <xf numFmtId="0" fontId="16" fillId="0" borderId="0" xfId="0" applyFont="1"/>
    <xf numFmtId="0" fontId="16" fillId="0" borderId="0" xfId="0" applyFont="1" applyAlignment="1">
      <alignment horizontal="center" vertical="center"/>
    </xf>
    <xf numFmtId="175" fontId="16" fillId="0" borderId="0" xfId="2" applyFont="1"/>
    <xf numFmtId="176" fontId="16" fillId="0" borderId="0" xfId="0" applyNumberFormat="1" applyFont="1"/>
    <xf numFmtId="175" fontId="16" fillId="0" borderId="0" xfId="0" applyNumberFormat="1" applyFont="1"/>
    <xf numFmtId="175" fontId="6" fillId="0" borderId="0" xfId="2" applyFont="1" applyAlignment="1">
      <alignment horizontal="left" vertical="top" wrapText="1"/>
    </xf>
    <xf numFmtId="0" fontId="16" fillId="0" borderId="0" xfId="0" applyFont="1" applyAlignment="1">
      <alignment horizontal="center"/>
    </xf>
    <xf numFmtId="0" fontId="15" fillId="0" borderId="0" xfId="0" applyFont="1" applyAlignment="1">
      <alignment horizontal="left" vertical="top" wrapText="1"/>
    </xf>
    <xf numFmtId="0" fontId="6" fillId="0" borderId="0" xfId="0" applyFont="1" applyAlignment="1">
      <alignment horizontal="left" vertical="top" wrapText="1"/>
    </xf>
    <xf numFmtId="176" fontId="15" fillId="0" borderId="0" xfId="0" applyNumberFormat="1" applyFont="1" applyAlignment="1">
      <alignment horizontal="right" vertical="center"/>
    </xf>
    <xf numFmtId="0" fontId="6" fillId="10" borderId="0" xfId="0" applyFont="1" applyFill="1" applyAlignment="1">
      <alignment horizontal="left" vertical="top" wrapText="1"/>
    </xf>
    <xf numFmtId="181" fontId="16" fillId="0" borderId="0" xfId="0" applyNumberFormat="1" applyFont="1"/>
    <xf numFmtId="178" fontId="16" fillId="0" borderId="0" xfId="0" applyNumberFormat="1" applyFont="1"/>
    <xf numFmtId="181" fontId="42" fillId="0" borderId="0" xfId="2" applyNumberFormat="1" applyFont="1"/>
    <xf numFmtId="175" fontId="42" fillId="0" borderId="0" xfId="2" applyFont="1"/>
    <xf numFmtId="181" fontId="42" fillId="0" borderId="0" xfId="0" applyNumberFormat="1" applyFont="1"/>
    <xf numFmtId="175" fontId="42" fillId="0" borderId="0" xfId="2" applyFont="1" applyAlignment="1">
      <alignment horizontal="left" vertical="top" wrapText="1"/>
    </xf>
    <xf numFmtId="0" fontId="6" fillId="0" borderId="0" xfId="0" applyFont="1" applyAlignment="1">
      <alignment horizontal="left" vertical="center"/>
    </xf>
    <xf numFmtId="175" fontId="43" fillId="0" borderId="0" xfId="2" applyFont="1"/>
    <xf numFmtId="0" fontId="42" fillId="0" borderId="0" xfId="0" applyFont="1"/>
    <xf numFmtId="0" fontId="43" fillId="0" borderId="0" xfId="0" applyFont="1"/>
    <xf numFmtId="181" fontId="6" fillId="0" borderId="0" xfId="2" applyNumberFormat="1" applyFont="1"/>
    <xf numFmtId="16" fontId="16" fillId="0" borderId="0" xfId="0" applyNumberFormat="1" applyFont="1"/>
    <xf numFmtId="185" fontId="6" fillId="0" borderId="0" xfId="2" applyNumberFormat="1" applyFont="1"/>
    <xf numFmtId="181" fontId="6" fillId="0" borderId="0" xfId="0" applyNumberFormat="1" applyFont="1"/>
    <xf numFmtId="185" fontId="43" fillId="0" borderId="0" xfId="2" applyNumberFormat="1" applyFont="1"/>
    <xf numFmtId="175" fontId="43" fillId="0" borderId="0" xfId="2" applyFont="1" applyAlignment="1">
      <alignment horizontal="right"/>
    </xf>
    <xf numFmtId="167" fontId="16" fillId="0" borderId="0" xfId="0" applyNumberFormat="1" applyFont="1"/>
    <xf numFmtId="181" fontId="43" fillId="0" borderId="0" xfId="0" applyNumberFormat="1" applyFont="1"/>
    <xf numFmtId="178" fontId="42" fillId="0" borderId="0" xfId="0" applyNumberFormat="1" applyFont="1"/>
    <xf numFmtId="1" fontId="43" fillId="0" borderId="0" xfId="0" applyNumberFormat="1" applyFont="1"/>
    <xf numFmtId="38" fontId="16" fillId="0" borderId="0" xfId="0" applyNumberFormat="1" applyFont="1"/>
    <xf numFmtId="14" fontId="16" fillId="0" borderId="0" xfId="0" applyNumberFormat="1" applyFont="1" applyAlignment="1">
      <alignment horizontal="center"/>
    </xf>
    <xf numFmtId="175" fontId="6" fillId="0" borderId="0" xfId="2" applyFont="1" applyAlignment="1">
      <alignment horizontal="right" vertical="center"/>
    </xf>
    <xf numFmtId="176" fontId="42" fillId="0" borderId="0" xfId="0" applyNumberFormat="1" applyFont="1" applyAlignment="1">
      <alignment horizontal="right" vertical="center"/>
    </xf>
    <xf numFmtId="176" fontId="16" fillId="0" borderId="0" xfId="0" applyNumberFormat="1" applyFont="1" applyAlignment="1">
      <alignment horizontal="right" vertical="center"/>
    </xf>
    <xf numFmtId="176" fontId="6" fillId="0" borderId="0" xfId="0" applyNumberFormat="1" applyFont="1" applyAlignment="1">
      <alignment horizontal="right" vertical="center"/>
    </xf>
    <xf numFmtId="0" fontId="42" fillId="0" borderId="0" xfId="0" applyFont="1" applyAlignment="1">
      <alignment horizontal="left" vertical="top" wrapText="1"/>
    </xf>
    <xf numFmtId="0" fontId="6" fillId="0" borderId="0" xfId="0" applyFont="1" applyAlignment="1">
      <alignment horizontal="center" vertical="center"/>
    </xf>
    <xf numFmtId="187" fontId="6" fillId="0" borderId="0" xfId="2" applyNumberFormat="1" applyFont="1" applyAlignment="1">
      <alignment horizontal="right" vertical="center"/>
    </xf>
    <xf numFmtId="175" fontId="12" fillId="0" borderId="0" xfId="2" applyFont="1" applyAlignment="1">
      <alignment horizontal="right" vertical="center"/>
    </xf>
    <xf numFmtId="175" fontId="6" fillId="0" borderId="0" xfId="2" applyFont="1" applyAlignment="1">
      <alignment horizontal="center" vertical="center"/>
    </xf>
    <xf numFmtId="172" fontId="16" fillId="0" borderId="0" xfId="17" applyFont="1"/>
    <xf numFmtId="172" fontId="42" fillId="0" borderId="0" xfId="17" applyFont="1"/>
    <xf numFmtId="188" fontId="6" fillId="0" borderId="0" xfId="17" applyNumberFormat="1" applyFont="1" applyAlignment="1">
      <alignment horizontal="right" vertical="center"/>
    </xf>
    <xf numFmtId="188" fontId="6" fillId="12" borderId="0" xfId="17" applyNumberFormat="1" applyFont="1" applyFill="1" applyAlignment="1">
      <alignment horizontal="right" vertical="center"/>
    </xf>
    <xf numFmtId="0" fontId="12" fillId="13" borderId="0" xfId="0" applyFont="1" applyFill="1" applyAlignment="1">
      <alignment horizontal="left" vertical="center" wrapText="1"/>
    </xf>
    <xf numFmtId="0" fontId="6" fillId="14" borderId="0" xfId="0" applyFont="1" applyFill="1"/>
    <xf numFmtId="188" fontId="6" fillId="14" borderId="0" xfId="17" applyNumberFormat="1" applyFont="1" applyFill="1"/>
    <xf numFmtId="188" fontId="12" fillId="14" borderId="0" xfId="17" applyNumberFormat="1" applyFont="1" applyFill="1" applyAlignment="1">
      <alignment horizontal="right" vertical="center"/>
    </xf>
    <xf numFmtId="0" fontId="12" fillId="14" borderId="0" xfId="0" applyFont="1" applyFill="1" applyAlignment="1">
      <alignment horizontal="center" vertical="center"/>
    </xf>
    <xf numFmtId="0" fontId="6" fillId="10" borderId="0" xfId="0" applyFont="1" applyFill="1" applyAlignment="1">
      <alignment horizontal="center" vertical="center"/>
    </xf>
    <xf numFmtId="175" fontId="6" fillId="10" borderId="0" xfId="2" applyFont="1" applyFill="1" applyAlignment="1">
      <alignment horizontal="right" vertical="center"/>
    </xf>
    <xf numFmtId="188" fontId="6" fillId="10" borderId="0" xfId="17" applyNumberFormat="1" applyFont="1" applyFill="1" applyAlignment="1">
      <alignment horizontal="right" vertical="center"/>
    </xf>
    <xf numFmtId="179" fontId="6" fillId="10" borderId="0" xfId="2" applyNumberFormat="1" applyFont="1" applyFill="1" applyAlignment="1">
      <alignment horizontal="right" vertical="center"/>
    </xf>
    <xf numFmtId="180" fontId="6" fillId="10" borderId="0" xfId="2" applyNumberFormat="1" applyFont="1" applyFill="1" applyAlignment="1">
      <alignment horizontal="right" vertical="center"/>
    </xf>
    <xf numFmtId="184" fontId="6" fillId="10" borderId="0" xfId="2" applyNumberFormat="1" applyFont="1" applyFill="1" applyAlignment="1">
      <alignment horizontal="right" vertical="center"/>
    </xf>
    <xf numFmtId="0" fontId="12" fillId="14" borderId="0" xfId="0" applyFont="1" applyFill="1" applyAlignment="1">
      <alignment horizontal="left" vertical="center" wrapText="1"/>
    </xf>
    <xf numFmtId="185" fontId="12" fillId="15" borderId="10" xfId="2" applyNumberFormat="1" applyFont="1" applyFill="1" applyBorder="1" applyAlignment="1">
      <alignment horizontal="center" vertical="center" wrapText="1"/>
    </xf>
    <xf numFmtId="0" fontId="12" fillId="15" borderId="11" xfId="0" applyFont="1" applyFill="1" applyBorder="1" applyAlignment="1">
      <alignment horizontal="center" vertical="center"/>
    </xf>
    <xf numFmtId="188" fontId="12" fillId="15" borderId="12" xfId="17" applyNumberFormat="1" applyFont="1" applyFill="1" applyBorder="1" applyAlignment="1">
      <alignment horizontal="center" vertical="center"/>
    </xf>
    <xf numFmtId="0" fontId="12" fillId="15" borderId="9" xfId="0" applyFont="1" applyFill="1" applyBorder="1" applyAlignment="1">
      <alignment horizontal="center" vertical="center" wrapText="1"/>
    </xf>
    <xf numFmtId="0" fontId="12" fillId="15" borderId="9" xfId="0" applyFont="1" applyFill="1" applyBorder="1" applyAlignment="1">
      <alignment horizontal="center" vertical="center"/>
    </xf>
    <xf numFmtId="188" fontId="12" fillId="15" borderId="9" xfId="17" applyNumberFormat="1" applyFont="1" applyFill="1" applyBorder="1" applyAlignment="1">
      <alignment horizontal="center" vertical="center"/>
    </xf>
    <xf numFmtId="0" fontId="16" fillId="0" borderId="0" xfId="0" applyFont="1" applyAlignment="1">
      <alignment vertical="center"/>
    </xf>
    <xf numFmtId="172" fontId="12" fillId="15" borderId="9" xfId="17" applyFont="1" applyFill="1" applyBorder="1" applyAlignment="1">
      <alignment horizontal="center" vertical="center"/>
    </xf>
    <xf numFmtId="172" fontId="12" fillId="15" borderId="12" xfId="17" applyFont="1" applyFill="1" applyBorder="1" applyAlignment="1">
      <alignment horizontal="center" vertical="center"/>
    </xf>
    <xf numFmtId="172" fontId="15" fillId="0" borderId="0" xfId="17" applyFont="1" applyAlignment="1">
      <alignment horizontal="right" vertical="center"/>
    </xf>
    <xf numFmtId="172" fontId="16" fillId="0" borderId="0" xfId="17" applyFont="1" applyAlignment="1">
      <alignment horizontal="right" vertical="center"/>
    </xf>
    <xf numFmtId="172" fontId="44" fillId="0" borderId="0" xfId="17" applyFont="1" applyAlignment="1">
      <alignment horizontal="right" vertical="center"/>
    </xf>
    <xf numFmtId="175" fontId="43" fillId="0" borderId="0" xfId="2" applyFont="1" applyAlignment="1">
      <alignment vertical="center"/>
    </xf>
    <xf numFmtId="175" fontId="16" fillId="0" borderId="0" xfId="2" applyFont="1" applyAlignment="1">
      <alignment horizontal="right" vertical="center" wrapText="1"/>
    </xf>
    <xf numFmtId="0" fontId="15" fillId="12" borderId="0" xfId="0" applyFont="1" applyFill="1"/>
    <xf numFmtId="175" fontId="43" fillId="0" borderId="0" xfId="2" applyFont="1" applyAlignment="1">
      <alignment horizontal="left" vertical="center"/>
    </xf>
    <xf numFmtId="175" fontId="43" fillId="0" borderId="0" xfId="2" applyFont="1" applyAlignment="1">
      <alignment horizontal="left" vertical="center" wrapText="1"/>
    </xf>
    <xf numFmtId="176" fontId="43" fillId="0" borderId="0" xfId="0" applyNumberFormat="1" applyFont="1" applyAlignment="1">
      <alignment horizontal="right" vertical="center"/>
    </xf>
    <xf numFmtId="10" fontId="15" fillId="0" borderId="0" xfId="0" applyNumberFormat="1" applyFont="1"/>
    <xf numFmtId="0" fontId="42" fillId="0" borderId="0" xfId="0" applyFont="1" applyAlignment="1">
      <alignment horizontal="center" vertical="center"/>
    </xf>
    <xf numFmtId="17" fontId="16" fillId="0" borderId="0" xfId="0" applyNumberFormat="1" applyFont="1"/>
    <xf numFmtId="172" fontId="43" fillId="0" borderId="0" xfId="17" applyFont="1"/>
    <xf numFmtId="0" fontId="44" fillId="0" borderId="0" xfId="0" applyFont="1" applyAlignment="1">
      <alignment wrapText="1"/>
    </xf>
    <xf numFmtId="0" fontId="44" fillId="0" borderId="0" xfId="0" applyFont="1"/>
    <xf numFmtId="0" fontId="15" fillId="0" borderId="0" xfId="0" applyFont="1" applyAlignment="1">
      <alignment wrapText="1"/>
    </xf>
    <xf numFmtId="176" fontId="6" fillId="0" borderId="0" xfId="0" applyNumberFormat="1" applyFont="1"/>
    <xf numFmtId="0" fontId="12" fillId="0" borderId="0" xfId="0" applyFont="1" applyAlignment="1">
      <alignment vertical="center"/>
    </xf>
    <xf numFmtId="0" fontId="16" fillId="13" borderId="0" xfId="0" applyFont="1" applyFill="1" applyAlignment="1">
      <alignment horizontal="center" vertical="center"/>
    </xf>
    <xf numFmtId="175" fontId="16" fillId="13" borderId="0" xfId="2" applyFont="1" applyFill="1"/>
    <xf numFmtId="172" fontId="16" fillId="13" borderId="0" xfId="17" applyFont="1" applyFill="1"/>
    <xf numFmtId="172" fontId="16" fillId="14" borderId="0" xfId="17" applyFont="1" applyFill="1"/>
    <xf numFmtId="0" fontId="15" fillId="14" borderId="0" xfId="0" applyFont="1" applyFill="1" applyAlignment="1">
      <alignment horizontal="center" vertical="center"/>
    </xf>
    <xf numFmtId="10" fontId="16" fillId="0" borderId="0" xfId="0" applyNumberFormat="1" applyFont="1"/>
    <xf numFmtId="0" fontId="45" fillId="0" borderId="0" xfId="0" applyFont="1"/>
    <xf numFmtId="182" fontId="6" fillId="0" borderId="0" xfId="2" applyNumberFormat="1" applyFont="1"/>
    <xf numFmtId="9" fontId="6" fillId="0" borderId="0" xfId="0" applyNumberFormat="1" applyFont="1"/>
    <xf numFmtId="10" fontId="6" fillId="0" borderId="0" xfId="0" applyNumberFormat="1" applyFont="1"/>
    <xf numFmtId="10" fontId="6" fillId="0" borderId="0" xfId="2" applyNumberFormat="1" applyFont="1" applyAlignment="1">
      <alignment horizontal="center" vertical="center"/>
    </xf>
    <xf numFmtId="0" fontId="12" fillId="13" borderId="0" xfId="0" applyFont="1" applyFill="1"/>
    <xf numFmtId="0" fontId="12" fillId="13" borderId="0" xfId="0" applyFont="1" applyFill="1" applyAlignment="1">
      <alignment horizontal="center" vertical="center"/>
    </xf>
    <xf numFmtId="0" fontId="12" fillId="13" borderId="0" xfId="0" applyFont="1" applyFill="1" applyAlignment="1">
      <alignment horizontal="center"/>
    </xf>
    <xf numFmtId="172" fontId="12" fillId="13" borderId="0" xfId="17" applyFont="1" applyFill="1"/>
    <xf numFmtId="10" fontId="12" fillId="13" borderId="0" xfId="2" applyNumberFormat="1" applyFont="1" applyFill="1" applyAlignment="1">
      <alignment horizontal="center" vertical="center"/>
    </xf>
    <xf numFmtId="0" fontId="16" fillId="13" borderId="0" xfId="0" applyFont="1" applyFill="1"/>
    <xf numFmtId="0" fontId="12" fillId="15" borderId="0" xfId="0" applyFont="1" applyFill="1"/>
    <xf numFmtId="0" fontId="15" fillId="15" borderId="0" xfId="0" applyFont="1" applyFill="1" applyAlignment="1">
      <alignment horizontal="center" vertical="center"/>
    </xf>
    <xf numFmtId="0" fontId="12" fillId="15" borderId="0" xfId="0" applyFont="1" applyFill="1" applyAlignment="1">
      <alignment horizontal="center"/>
    </xf>
    <xf numFmtId="0" fontId="16" fillId="15" borderId="0" xfId="0" applyFont="1" applyFill="1"/>
    <xf numFmtId="188" fontId="12" fillId="15" borderId="0" xfId="17" applyNumberFormat="1" applyFont="1" applyFill="1"/>
    <xf numFmtId="0" fontId="22" fillId="0" borderId="0" xfId="26" applyFont="1"/>
    <xf numFmtId="0" fontId="46" fillId="0" borderId="0" xfId="0" applyFont="1" applyAlignment="1">
      <alignment horizontal="center" vertical="center"/>
    </xf>
    <xf numFmtId="0" fontId="46" fillId="0" borderId="0" xfId="0" applyFont="1"/>
    <xf numFmtId="0" fontId="47" fillId="16" borderId="65" xfId="0" applyFont="1" applyFill="1" applyBorder="1" applyAlignment="1">
      <alignment horizontal="center" vertical="center" wrapText="1"/>
    </xf>
    <xf numFmtId="0" fontId="47" fillId="16" borderId="66" xfId="0" applyFont="1" applyFill="1" applyBorder="1" applyAlignment="1">
      <alignment horizontal="center" vertical="center" wrapText="1"/>
    </xf>
    <xf numFmtId="0" fontId="7" fillId="0" borderId="9" xfId="0" applyFont="1" applyBorder="1"/>
    <xf numFmtId="0" fontId="7" fillId="0" borderId="9" xfId="0" applyFont="1" applyBorder="1" applyAlignment="1">
      <alignment horizontal="center" vertical="center"/>
    </xf>
    <xf numFmtId="0" fontId="0" fillId="0" borderId="9" xfId="0" applyBorder="1"/>
    <xf numFmtId="0" fontId="0" fillId="0" borderId="9" xfId="0" applyBorder="1" applyAlignment="1">
      <alignment horizontal="center"/>
    </xf>
    <xf numFmtId="0" fontId="8" fillId="11" borderId="9" xfId="0" applyFont="1" applyFill="1" applyBorder="1"/>
    <xf numFmtId="0" fontId="0" fillId="11" borderId="9" xfId="0" applyFill="1" applyBorder="1"/>
    <xf numFmtId="0" fontId="0" fillId="11" borderId="10" xfId="0" applyFill="1" applyBorder="1"/>
    <xf numFmtId="0" fontId="0" fillId="11" borderId="12" xfId="0" applyFill="1" applyBorder="1"/>
    <xf numFmtId="0" fontId="17" fillId="11" borderId="9" xfId="0" applyFont="1" applyFill="1" applyBorder="1" applyAlignment="1">
      <alignment horizontal="center" vertical="center"/>
    </xf>
    <xf numFmtId="186" fontId="7" fillId="0" borderId="9" xfId="0" applyNumberFormat="1" applyFont="1" applyBorder="1" applyAlignment="1">
      <alignment horizontal="center" vertical="center"/>
    </xf>
    <xf numFmtId="171" fontId="16" fillId="0" borderId="0" xfId="0" applyNumberFormat="1" applyFont="1"/>
    <xf numFmtId="0" fontId="16" fillId="0" borderId="9" xfId="58" applyFont="1" applyBorder="1" applyAlignment="1">
      <alignment horizontal="left" vertical="center"/>
    </xf>
    <xf numFmtId="189" fontId="16" fillId="0" borderId="9" xfId="17" applyNumberFormat="1" applyFont="1" applyBorder="1" applyAlignment="1">
      <alignment horizontal="center" vertical="center"/>
    </xf>
    <xf numFmtId="0" fontId="15" fillId="13" borderId="9" xfId="58" applyFont="1" applyFill="1" applyBorder="1" applyAlignment="1">
      <alignment horizontal="center" vertical="center"/>
    </xf>
    <xf numFmtId="179" fontId="6" fillId="0" borderId="0" xfId="2" applyNumberFormat="1" applyFont="1" applyAlignment="1">
      <alignment vertical="center"/>
    </xf>
    <xf numFmtId="0" fontId="27" fillId="0" borderId="0" xfId="26" applyFont="1"/>
    <xf numFmtId="0" fontId="27" fillId="0" borderId="16" xfId="26" applyFont="1" applyBorder="1" applyAlignment="1">
      <alignment horizontal="center"/>
    </xf>
    <xf numFmtId="0" fontId="27" fillId="0" borderId="17" xfId="26" applyFont="1" applyBorder="1" applyAlignment="1">
      <alignment horizontal="center"/>
    </xf>
    <xf numFmtId="0" fontId="27" fillId="0" borderId="18" xfId="26" applyFont="1" applyBorder="1" applyAlignment="1">
      <alignment horizontal="center"/>
    </xf>
    <xf numFmtId="4" fontId="27" fillId="0" borderId="0" xfId="26" applyNumberFormat="1" applyFont="1"/>
    <xf numFmtId="0" fontId="12" fillId="17" borderId="0" xfId="0" applyFont="1" applyFill="1" applyAlignment="1">
      <alignment horizontal="left" vertical="center" wrapText="1"/>
    </xf>
    <xf numFmtId="0" fontId="12" fillId="17" borderId="0" xfId="0" applyFont="1" applyFill="1" applyAlignment="1">
      <alignment horizontal="center" vertical="center"/>
    </xf>
    <xf numFmtId="0" fontId="15" fillId="0" borderId="0" xfId="0" applyFont="1"/>
    <xf numFmtId="0" fontId="12" fillId="18" borderId="0" xfId="0" applyFont="1" applyFill="1" applyAlignment="1">
      <alignment horizontal="left" vertical="center" wrapText="1"/>
    </xf>
    <xf numFmtId="0" fontId="12" fillId="18" borderId="0" xfId="0" applyFont="1" applyFill="1" applyAlignment="1">
      <alignment horizontal="center" vertical="center"/>
    </xf>
    <xf numFmtId="0" fontId="12" fillId="19" borderId="0" xfId="0" applyFont="1" applyFill="1" applyAlignment="1">
      <alignment horizontal="left" vertical="center" wrapText="1"/>
    </xf>
    <xf numFmtId="0" fontId="12" fillId="19" borderId="0" xfId="0" applyFont="1" applyFill="1" applyAlignment="1">
      <alignment horizontal="center" vertical="center"/>
    </xf>
    <xf numFmtId="0" fontId="6" fillId="10" borderId="0" xfId="0" applyFont="1" applyFill="1" applyAlignment="1">
      <alignment horizontal="left" vertical="center" wrapText="1"/>
    </xf>
    <xf numFmtId="185" fontId="42" fillId="0" borderId="0" xfId="2" applyNumberFormat="1" applyFont="1"/>
    <xf numFmtId="169" fontId="16" fillId="0" borderId="0" xfId="0" applyNumberFormat="1" applyFont="1"/>
    <xf numFmtId="189" fontId="12" fillId="17" borderId="0" xfId="18" applyNumberFormat="1" applyFont="1" applyFill="1" applyAlignment="1">
      <alignment horizontal="center" vertical="center"/>
    </xf>
    <xf numFmtId="167" fontId="6" fillId="10" borderId="0" xfId="7" applyFont="1" applyFill="1" applyAlignment="1">
      <alignment horizontal="center" vertical="center"/>
    </xf>
    <xf numFmtId="188" fontId="6" fillId="10" borderId="0" xfId="17" applyNumberFormat="1" applyFont="1" applyFill="1" applyAlignment="1">
      <alignment horizontal="center" vertical="center"/>
    </xf>
    <xf numFmtId="175" fontId="6" fillId="10" borderId="0" xfId="2" applyFont="1" applyFill="1" applyAlignment="1">
      <alignment horizontal="center" vertical="center"/>
    </xf>
    <xf numFmtId="175" fontId="6" fillId="17" borderId="0" xfId="8" applyFont="1" applyFill="1" applyAlignment="1">
      <alignment horizontal="center" vertical="center"/>
    </xf>
    <xf numFmtId="189" fontId="6" fillId="17" borderId="0" xfId="18" applyNumberFormat="1" applyFont="1" applyFill="1" applyAlignment="1">
      <alignment horizontal="center" vertical="center"/>
    </xf>
    <xf numFmtId="0" fontId="6" fillId="14" borderId="0" xfId="0" applyFont="1" applyFill="1" applyAlignment="1">
      <alignment horizontal="center" vertical="center"/>
    </xf>
    <xf numFmtId="0" fontId="15" fillId="0" borderId="9" xfId="0" applyFont="1" applyBorder="1" applyAlignment="1">
      <alignment horizontal="center" vertical="center"/>
    </xf>
    <xf numFmtId="169" fontId="15" fillId="0" borderId="9" xfId="0" applyNumberFormat="1" applyFont="1" applyBorder="1" applyAlignment="1">
      <alignment horizontal="center" vertical="center"/>
    </xf>
    <xf numFmtId="0" fontId="48" fillId="16" borderId="9" xfId="0" applyFont="1" applyFill="1" applyBorder="1" applyAlignment="1">
      <alignment horizontal="center" vertical="center" wrapText="1"/>
    </xf>
    <xf numFmtId="3" fontId="46" fillId="20" borderId="9" xfId="0" applyNumberFormat="1" applyFont="1" applyFill="1" applyBorder="1" applyAlignment="1">
      <alignment horizontal="center" vertical="center" wrapText="1"/>
    </xf>
    <xf numFmtId="0" fontId="46" fillId="20" borderId="9" xfId="0" applyFont="1" applyFill="1" applyBorder="1" applyAlignment="1">
      <alignment horizontal="center" vertical="center" wrapText="1"/>
    </xf>
    <xf numFmtId="0" fontId="48" fillId="16" borderId="19" xfId="0" applyFont="1" applyFill="1" applyBorder="1" applyAlignment="1">
      <alignment horizontal="center" vertical="center" wrapText="1"/>
    </xf>
    <xf numFmtId="0" fontId="46" fillId="20" borderId="19" xfId="0" applyFont="1" applyFill="1" applyBorder="1" applyAlignment="1">
      <alignment horizontal="center" vertical="center" wrapText="1"/>
    </xf>
    <xf numFmtId="0" fontId="46" fillId="20" borderId="20" xfId="0" applyFont="1" applyFill="1" applyBorder="1" applyAlignment="1">
      <alignment horizontal="center" vertical="center" wrapText="1"/>
    </xf>
    <xf numFmtId="0" fontId="46" fillId="20" borderId="21" xfId="0" applyFont="1" applyFill="1" applyBorder="1" applyAlignment="1">
      <alignment horizontal="center" vertical="center" wrapText="1"/>
    </xf>
    <xf numFmtId="0" fontId="48" fillId="16" borderId="22" xfId="0" applyFont="1" applyFill="1" applyBorder="1" applyAlignment="1">
      <alignment horizontal="center" vertical="center" wrapText="1"/>
    </xf>
    <xf numFmtId="0" fontId="46" fillId="20" borderId="22" xfId="0" applyFont="1" applyFill="1" applyBorder="1" applyAlignment="1">
      <alignment horizontal="center" vertical="center" wrapText="1"/>
    </xf>
    <xf numFmtId="0" fontId="46" fillId="20" borderId="23" xfId="0" applyFont="1" applyFill="1" applyBorder="1" applyAlignment="1">
      <alignment horizontal="center" vertical="center" wrapText="1"/>
    </xf>
    <xf numFmtId="0" fontId="48" fillId="16" borderId="24" xfId="0" applyFont="1" applyFill="1" applyBorder="1" applyAlignment="1">
      <alignment horizontal="center" vertical="center" wrapText="1"/>
    </xf>
    <xf numFmtId="0" fontId="46" fillId="20" borderId="24" xfId="0" applyFont="1" applyFill="1" applyBorder="1" applyAlignment="1">
      <alignment horizontal="center" vertical="center" wrapText="1"/>
    </xf>
    <xf numFmtId="0" fontId="46" fillId="20" borderId="25" xfId="0" applyFont="1" applyFill="1" applyBorder="1" applyAlignment="1">
      <alignment horizontal="center" vertical="center" wrapText="1"/>
    </xf>
    <xf numFmtId="0" fontId="6" fillId="0" borderId="0" xfId="62"/>
    <xf numFmtId="0" fontId="6" fillId="10" borderId="0" xfId="62" applyFill="1"/>
    <xf numFmtId="185" fontId="6" fillId="10" borderId="0" xfId="15" applyNumberFormat="1" applyFill="1" applyAlignment="1">
      <alignment horizontal="left" vertical="center"/>
    </xf>
    <xf numFmtId="185" fontId="6" fillId="10" borderId="0" xfId="15" applyNumberFormat="1" applyFill="1"/>
    <xf numFmtId="185" fontId="12" fillId="21" borderId="9" xfId="15" applyNumberFormat="1" applyFont="1" applyFill="1" applyBorder="1" applyAlignment="1">
      <alignment horizontal="center" vertical="center"/>
    </xf>
    <xf numFmtId="10" fontId="12" fillId="21" borderId="9" xfId="66" applyNumberFormat="1" applyFont="1" applyFill="1" applyBorder="1" applyAlignment="1">
      <alignment horizontal="center" vertical="center"/>
    </xf>
    <xf numFmtId="10" fontId="12" fillId="21" borderId="9" xfId="62" applyNumberFormat="1" applyFont="1" applyFill="1" applyBorder="1" applyAlignment="1">
      <alignment horizontal="center" vertical="center"/>
    </xf>
    <xf numFmtId="0" fontId="12" fillId="21" borderId="9" xfId="62" applyFont="1" applyFill="1" applyBorder="1" applyAlignment="1">
      <alignment horizontal="center" vertical="center"/>
    </xf>
    <xf numFmtId="0" fontId="49" fillId="0" borderId="9" xfId="62" applyFont="1" applyBorder="1" applyAlignment="1">
      <alignment horizontal="left" vertical="center"/>
    </xf>
    <xf numFmtId="187" fontId="6" fillId="0" borderId="9" xfId="20" applyNumberFormat="1" applyFont="1" applyBorder="1" applyAlignment="1">
      <alignment horizontal="right" vertical="center"/>
    </xf>
    <xf numFmtId="0" fontId="6" fillId="0" borderId="9" xfId="62" applyBorder="1" applyAlignment="1">
      <alignment horizontal="left" vertical="center"/>
    </xf>
    <xf numFmtId="0" fontId="6" fillId="10" borderId="11" xfId="62" applyFill="1" applyBorder="1"/>
    <xf numFmtId="0" fontId="6" fillId="10" borderId="11" xfId="62" applyFill="1" applyBorder="1" applyAlignment="1">
      <alignment horizontal="left" vertical="center"/>
    </xf>
    <xf numFmtId="185" fontId="6" fillId="10" borderId="11" xfId="15" applyNumberFormat="1" applyFill="1" applyBorder="1"/>
    <xf numFmtId="185" fontId="6" fillId="0" borderId="9" xfId="15" applyNumberFormat="1" applyBorder="1" applyAlignment="1">
      <alignment horizontal="left" vertical="center"/>
    </xf>
    <xf numFmtId="185" fontId="6" fillId="10" borderId="11" xfId="15" applyNumberFormat="1" applyFill="1" applyBorder="1" applyAlignment="1">
      <alignment horizontal="left" vertical="center"/>
    </xf>
    <xf numFmtId="185" fontId="12" fillId="10" borderId="10" xfId="15" applyNumberFormat="1" applyFont="1" applyFill="1" applyBorder="1" applyAlignment="1">
      <alignment vertical="center" wrapText="1"/>
    </xf>
    <xf numFmtId="185" fontId="6" fillId="10" borderId="26" xfId="15" applyNumberFormat="1" applyFill="1" applyBorder="1"/>
    <xf numFmtId="0" fontId="6" fillId="10" borderId="26" xfId="62" applyFill="1" applyBorder="1"/>
    <xf numFmtId="185" fontId="12" fillId="0" borderId="9" xfId="15" applyNumberFormat="1" applyFont="1" applyBorder="1" applyAlignment="1">
      <alignment horizontal="left" vertical="center"/>
    </xf>
    <xf numFmtId="185" fontId="6" fillId="10" borderId="14" xfId="15" applyNumberFormat="1" applyFill="1" applyBorder="1"/>
    <xf numFmtId="0" fontId="6" fillId="10" borderId="14" xfId="62" applyFill="1" applyBorder="1"/>
    <xf numFmtId="185" fontId="33" fillId="0" borderId="9" xfId="15" applyNumberFormat="1" applyFont="1" applyBorder="1" applyAlignment="1">
      <alignment horizontal="left" vertical="center"/>
    </xf>
    <xf numFmtId="185" fontId="6" fillId="10" borderId="10" xfId="15" applyNumberFormat="1" applyFill="1" applyBorder="1"/>
    <xf numFmtId="185" fontId="6" fillId="0" borderId="0" xfId="15" applyNumberFormat="1" applyAlignment="1">
      <alignment horizontal="left" vertical="center"/>
    </xf>
    <xf numFmtId="185" fontId="12" fillId="10" borderId="27" xfId="15" applyNumberFormat="1" applyFont="1" applyFill="1" applyBorder="1" applyAlignment="1">
      <alignment vertical="center" wrapText="1"/>
    </xf>
    <xf numFmtId="185" fontId="6" fillId="10" borderId="26" xfId="15" applyNumberFormat="1" applyFill="1" applyBorder="1" applyAlignment="1">
      <alignment horizontal="left" vertical="center"/>
    </xf>
    <xf numFmtId="185" fontId="12" fillId="10" borderId="0" xfId="15" applyNumberFormat="1" applyFont="1" applyFill="1" applyAlignment="1">
      <alignment vertical="center" wrapText="1"/>
    </xf>
    <xf numFmtId="185" fontId="12" fillId="0" borderId="0" xfId="15" applyNumberFormat="1" applyFont="1" applyAlignment="1">
      <alignment vertical="center" wrapText="1"/>
    </xf>
    <xf numFmtId="185" fontId="6" fillId="0" borderId="11" xfId="15" applyNumberFormat="1" applyBorder="1" applyAlignment="1">
      <alignment horizontal="left" vertical="center"/>
    </xf>
    <xf numFmtId="185" fontId="6" fillId="0" borderId="0" xfId="15" applyNumberFormat="1"/>
    <xf numFmtId="185" fontId="6" fillId="0" borderId="11" xfId="15" applyNumberFormat="1" applyBorder="1"/>
    <xf numFmtId="185" fontId="12" fillId="10" borderId="11" xfId="15" applyNumberFormat="1" applyFont="1" applyFill="1" applyBorder="1" applyAlignment="1">
      <alignment vertical="center" wrapText="1"/>
    </xf>
    <xf numFmtId="185" fontId="6" fillId="10" borderId="0" xfId="15" applyNumberFormat="1" applyFill="1" applyAlignment="1">
      <alignment horizontal="center" vertical="center" wrapText="1"/>
    </xf>
    <xf numFmtId="185" fontId="6" fillId="4" borderId="9" xfId="15" applyNumberFormat="1" applyFill="1" applyBorder="1" applyAlignment="1">
      <alignment vertical="center" wrapText="1"/>
    </xf>
    <xf numFmtId="0" fontId="49" fillId="10" borderId="28" xfId="0" applyFont="1" applyFill="1" applyBorder="1" applyAlignment="1">
      <alignment vertical="center"/>
    </xf>
    <xf numFmtId="0" fontId="49" fillId="10" borderId="29" xfId="0" applyFont="1" applyFill="1" applyBorder="1"/>
    <xf numFmtId="185" fontId="6" fillId="10" borderId="29" xfId="15" applyNumberFormat="1" applyFill="1" applyBorder="1"/>
    <xf numFmtId="0" fontId="6" fillId="10" borderId="29" xfId="62" applyFill="1" applyBorder="1"/>
    <xf numFmtId="0" fontId="6" fillId="10" borderId="30" xfId="62" applyFill="1" applyBorder="1"/>
    <xf numFmtId="0" fontId="49" fillId="10" borderId="31" xfId="0" applyFont="1" applyFill="1" applyBorder="1" applyAlignment="1">
      <alignment vertical="center"/>
    </xf>
    <xf numFmtId="0" fontId="49" fillId="10" borderId="0" xfId="0" applyFont="1" applyFill="1"/>
    <xf numFmtId="0" fontId="6" fillId="10" borderId="32" xfId="62" applyFill="1" applyBorder="1"/>
    <xf numFmtId="0" fontId="49" fillId="10" borderId="31" xfId="0" applyFont="1" applyFill="1" applyBorder="1" applyAlignment="1">
      <alignment horizontal="left" vertical="center" indent="5"/>
    </xf>
    <xf numFmtId="0" fontId="50" fillId="10" borderId="31" xfId="1" applyFont="1" applyFill="1" applyBorder="1" applyAlignment="1" applyProtection="1">
      <alignment vertical="center"/>
    </xf>
    <xf numFmtId="0" fontId="51" fillId="10" borderId="31" xfId="0" applyFont="1" applyFill="1" applyBorder="1" applyAlignment="1">
      <alignment vertical="center"/>
    </xf>
    <xf numFmtId="0" fontId="49" fillId="10" borderId="33" xfId="0" applyFont="1" applyFill="1" applyBorder="1" applyAlignment="1">
      <alignment vertical="center"/>
    </xf>
    <xf numFmtId="0" fontId="49" fillId="10" borderId="34" xfId="0" applyFont="1" applyFill="1" applyBorder="1"/>
    <xf numFmtId="185" fontId="6" fillId="10" borderId="34" xfId="15" applyNumberFormat="1" applyFill="1" applyBorder="1"/>
    <xf numFmtId="0" fontId="6" fillId="10" borderId="34" xfId="62" applyFill="1" applyBorder="1"/>
    <xf numFmtId="0" fontId="6" fillId="10" borderId="2" xfId="62" applyFill="1" applyBorder="1"/>
    <xf numFmtId="185" fontId="12" fillId="10" borderId="35" xfId="15" applyNumberFormat="1" applyFont="1" applyFill="1" applyBorder="1" applyAlignment="1">
      <alignment vertical="center" wrapText="1"/>
    </xf>
    <xf numFmtId="0" fontId="6" fillId="0" borderId="0" xfId="26" applyFont="1"/>
    <xf numFmtId="0" fontId="6" fillId="0" borderId="0" xfId="26" applyFont="1" applyAlignment="1">
      <alignment horizontal="center" vertical="center"/>
    </xf>
    <xf numFmtId="178" fontId="6" fillId="0" borderId="0" xfId="0" applyNumberFormat="1" applyFont="1"/>
    <xf numFmtId="175" fontId="12" fillId="0" borderId="0" xfId="2" applyFont="1" applyAlignment="1">
      <alignment horizontal="center" vertical="top" wrapText="1"/>
    </xf>
    <xf numFmtId="1" fontId="12" fillId="14" borderId="0" xfId="0" applyNumberFormat="1" applyFont="1" applyFill="1" applyAlignment="1">
      <alignment horizontal="center" vertical="center"/>
    </xf>
    <xf numFmtId="175" fontId="12" fillId="0" borderId="0" xfId="2" applyFont="1"/>
    <xf numFmtId="176" fontId="12" fillId="0" borderId="0" xfId="0" applyNumberFormat="1" applyFont="1" applyAlignment="1">
      <alignment horizontal="right" vertical="center"/>
    </xf>
    <xf numFmtId="171" fontId="6" fillId="0" borderId="0" xfId="0" applyNumberFormat="1" applyFont="1"/>
    <xf numFmtId="0" fontId="6" fillId="0" borderId="0" xfId="0" applyFont="1" applyAlignment="1">
      <alignment vertical="center"/>
    </xf>
    <xf numFmtId="0" fontId="6" fillId="0" borderId="9" xfId="0" applyFont="1" applyBorder="1" applyAlignment="1">
      <alignment horizontal="center" vertical="center"/>
    </xf>
    <xf numFmtId="171" fontId="6" fillId="0" borderId="9" xfId="0" applyNumberFormat="1" applyFont="1" applyBorder="1" applyAlignment="1">
      <alignment horizontal="center" vertical="center"/>
    </xf>
    <xf numFmtId="0" fontId="12" fillId="0" borderId="9" xfId="0" applyFont="1" applyBorder="1" applyAlignment="1">
      <alignment horizontal="center" vertical="center"/>
    </xf>
    <xf numFmtId="169" fontId="12" fillId="0" borderId="9" xfId="0" applyNumberFormat="1" applyFont="1" applyBorder="1" applyAlignment="1">
      <alignment horizontal="center" vertical="center"/>
    </xf>
    <xf numFmtId="178" fontId="6" fillId="0" borderId="0" xfId="0" applyNumberFormat="1" applyFont="1" applyAlignment="1">
      <alignment horizontal="right"/>
    </xf>
    <xf numFmtId="175" fontId="6" fillId="0" borderId="0" xfId="2" applyFont="1" applyAlignment="1">
      <alignment horizontal="left" vertical="center"/>
    </xf>
    <xf numFmtId="175" fontId="6" fillId="0" borderId="0" xfId="2" quotePrefix="1" applyFont="1"/>
    <xf numFmtId="175" fontId="12" fillId="0" borderId="0" xfId="2" applyFont="1" applyAlignment="1">
      <alignment horizontal="left" vertical="top" wrapText="1"/>
    </xf>
    <xf numFmtId="188" fontId="6" fillId="0" borderId="0" xfId="17" applyNumberFormat="1" applyFont="1"/>
    <xf numFmtId="0" fontId="16" fillId="10" borderId="0" xfId="0" applyFont="1" applyFill="1" applyAlignment="1">
      <alignment vertical="center"/>
    </xf>
    <xf numFmtId="0" fontId="16" fillId="10" borderId="0" xfId="0" applyFont="1" applyFill="1" applyAlignment="1">
      <alignment horizontal="center" vertical="center"/>
    </xf>
    <xf numFmtId="175" fontId="16" fillId="10" borderId="0" xfId="2" applyFont="1" applyFill="1" applyAlignment="1">
      <alignment horizontal="right" vertical="center"/>
    </xf>
    <xf numFmtId="189" fontId="16" fillId="10" borderId="0" xfId="17" applyNumberFormat="1" applyFont="1" applyFill="1" applyAlignment="1">
      <alignment horizontal="right" vertical="center"/>
    </xf>
    <xf numFmtId="172" fontId="16" fillId="10" borderId="0" xfId="17" applyFont="1" applyFill="1" applyAlignment="1">
      <alignment horizontal="right" vertical="center"/>
    </xf>
    <xf numFmtId="167" fontId="6" fillId="10" borderId="0" xfId="7" applyFont="1" applyFill="1" applyAlignment="1">
      <alignment horizontal="center"/>
    </xf>
    <xf numFmtId="188" fontId="6" fillId="10" borderId="0" xfId="17" applyNumberFormat="1" applyFont="1" applyFill="1"/>
    <xf numFmtId="175" fontId="6" fillId="10" borderId="0" xfId="7" applyNumberFormat="1" applyFont="1" applyFill="1" applyAlignment="1">
      <alignment horizontal="right" vertical="center"/>
    </xf>
    <xf numFmtId="177" fontId="6" fillId="10" borderId="0" xfId="0" applyNumberFormat="1" applyFont="1" applyFill="1" applyAlignment="1">
      <alignment horizontal="right" vertical="center"/>
    </xf>
    <xf numFmtId="167" fontId="6" fillId="10" borderId="0" xfId="7" applyFont="1" applyFill="1" applyAlignment="1">
      <alignment horizontal="right" vertical="center"/>
    </xf>
    <xf numFmtId="0" fontId="6" fillId="10" borderId="0" xfId="0" applyFont="1" applyFill="1" applyAlignment="1">
      <alignment horizontal="center"/>
    </xf>
    <xf numFmtId="0" fontId="6" fillId="10" borderId="0" xfId="0" applyFont="1" applyFill="1" applyAlignment="1">
      <alignment vertical="center"/>
    </xf>
    <xf numFmtId="0" fontId="6" fillId="10" borderId="0" xfId="0" applyFont="1" applyFill="1"/>
    <xf numFmtId="0" fontId="31" fillId="5" borderId="36" xfId="0" applyFont="1" applyFill="1" applyBorder="1" applyAlignment="1" applyProtection="1">
      <alignment horizontal="center"/>
      <protection hidden="1"/>
    </xf>
    <xf numFmtId="0" fontId="36" fillId="6" borderId="37" xfId="0" applyFont="1" applyFill="1" applyBorder="1" applyAlignment="1" applyProtection="1">
      <alignment horizontal="center"/>
      <protection locked="0"/>
    </xf>
    <xf numFmtId="0" fontId="36" fillId="6" borderId="14" xfId="0" applyFont="1" applyFill="1" applyBorder="1" applyAlignment="1" applyProtection="1">
      <alignment horizontal="center"/>
      <protection locked="0"/>
    </xf>
    <xf numFmtId="0" fontId="36" fillId="6" borderId="38" xfId="0" applyFont="1" applyFill="1" applyBorder="1" applyAlignment="1" applyProtection="1">
      <alignment horizontal="center"/>
      <protection locked="0"/>
    </xf>
    <xf numFmtId="0" fontId="31" fillId="5" borderId="39" xfId="0" applyFont="1" applyFill="1" applyBorder="1" applyAlignment="1" applyProtection="1">
      <alignment horizontal="center"/>
      <protection hidden="1"/>
    </xf>
    <xf numFmtId="191" fontId="0" fillId="0" borderId="9" xfId="0" applyNumberFormat="1" applyBorder="1" applyAlignment="1" applyProtection="1">
      <alignment horizontal="center"/>
      <protection hidden="1"/>
    </xf>
    <xf numFmtId="191" fontId="0" fillId="0" borderId="10" xfId="0" applyNumberFormat="1" applyBorder="1" applyAlignment="1" applyProtection="1">
      <alignment horizontal="center"/>
      <protection hidden="1"/>
    </xf>
    <xf numFmtId="191" fontId="0" fillId="0" borderId="21" xfId="0" applyNumberFormat="1" applyBorder="1" applyAlignment="1" applyProtection="1">
      <alignment horizontal="center"/>
      <protection hidden="1"/>
    </xf>
    <xf numFmtId="0" fontId="31" fillId="5" borderId="40" xfId="0" applyFont="1" applyFill="1" applyBorder="1" applyAlignment="1" applyProtection="1">
      <alignment horizontal="center"/>
      <protection hidden="1"/>
    </xf>
    <xf numFmtId="191" fontId="0" fillId="0" borderId="22" xfId="0" applyNumberFormat="1" applyBorder="1" applyAlignment="1" applyProtection="1">
      <alignment horizontal="center"/>
      <protection hidden="1"/>
    </xf>
    <xf numFmtId="191" fontId="0" fillId="0" borderId="41" xfId="0" applyNumberFormat="1" applyBorder="1" applyAlignment="1" applyProtection="1">
      <alignment horizontal="center"/>
      <protection hidden="1"/>
    </xf>
    <xf numFmtId="191" fontId="0" fillId="0" borderId="23" xfId="0" applyNumberFormat="1" applyBorder="1" applyAlignment="1" applyProtection="1">
      <alignment horizontal="center"/>
      <protection hidden="1"/>
    </xf>
    <xf numFmtId="0" fontId="31" fillId="5" borderId="42" xfId="0" applyFont="1" applyFill="1" applyBorder="1" applyAlignment="1" applyProtection="1">
      <alignment horizontal="center"/>
      <protection hidden="1"/>
    </xf>
    <xf numFmtId="0" fontId="36" fillId="6" borderId="19" xfId="0" applyFont="1" applyFill="1" applyBorder="1" applyAlignment="1" applyProtection="1">
      <alignment horizontal="center"/>
      <protection locked="0"/>
    </xf>
    <xf numFmtId="0" fontId="36" fillId="6" borderId="43" xfId="0" applyFont="1" applyFill="1" applyBorder="1" applyAlignment="1" applyProtection="1">
      <alignment horizontal="center"/>
      <protection locked="0"/>
    </xf>
    <xf numFmtId="0" fontId="36" fillId="6" borderId="20" xfId="0" applyFont="1" applyFill="1" applyBorder="1" applyAlignment="1" applyProtection="1">
      <alignment horizontal="center"/>
      <protection locked="0"/>
    </xf>
    <xf numFmtId="0" fontId="31" fillId="5" borderId="44" xfId="0" applyFont="1" applyFill="1" applyBorder="1" applyAlignment="1" applyProtection="1">
      <alignment horizontal="center"/>
      <protection hidden="1"/>
    </xf>
    <xf numFmtId="0" fontId="52" fillId="10" borderId="0" xfId="0" applyFont="1" applyFill="1"/>
    <xf numFmtId="0" fontId="51" fillId="22" borderId="9" xfId="0" applyFont="1" applyFill="1" applyBorder="1" applyAlignment="1">
      <alignment horizontal="center" vertical="center"/>
    </xf>
    <xf numFmtId="0" fontId="51" fillId="22" borderId="9" xfId="0" applyFont="1" applyFill="1" applyBorder="1" applyAlignment="1">
      <alignment horizontal="center" vertical="center" wrapText="1"/>
    </xf>
    <xf numFmtId="0" fontId="49" fillId="14" borderId="9" xfId="0" applyFont="1" applyFill="1" applyBorder="1" applyAlignment="1">
      <alignment horizontal="center" vertical="center" wrapText="1"/>
    </xf>
    <xf numFmtId="0" fontId="6" fillId="14" borderId="9" xfId="0" applyFont="1" applyFill="1" applyBorder="1" applyAlignment="1">
      <alignment horizontal="center"/>
    </xf>
    <xf numFmtId="0" fontId="6" fillId="23" borderId="37" xfId="16" applyNumberFormat="1" applyFont="1" applyFill="1" applyBorder="1" applyAlignment="1">
      <alignment horizontal="center"/>
    </xf>
    <xf numFmtId="166" fontId="12" fillId="10" borderId="37" xfId="16" applyNumberFormat="1" applyFont="1" applyFill="1" applyBorder="1"/>
    <xf numFmtId="0" fontId="6" fillId="23" borderId="9" xfId="16" applyNumberFormat="1" applyFont="1" applyFill="1" applyBorder="1" applyAlignment="1">
      <alignment horizontal="center"/>
    </xf>
    <xf numFmtId="166" fontId="12" fillId="10" borderId="9" xfId="16" applyNumberFormat="1" applyFont="1" applyFill="1" applyBorder="1"/>
    <xf numFmtId="0" fontId="6" fillId="19" borderId="0" xfId="0" applyFont="1" applyFill="1"/>
    <xf numFmtId="188" fontId="6" fillId="19" borderId="0" xfId="20" applyNumberFormat="1" applyFont="1" applyFill="1"/>
    <xf numFmtId="188" fontId="12" fillId="19" borderId="0" xfId="20" applyNumberFormat="1" applyFont="1" applyFill="1" applyAlignment="1">
      <alignment horizontal="right" vertical="center"/>
    </xf>
    <xf numFmtId="179" fontId="6" fillId="10" borderId="0" xfId="9" applyNumberFormat="1" applyFont="1" applyFill="1" applyAlignment="1">
      <alignment horizontal="right" vertical="center"/>
    </xf>
    <xf numFmtId="188" fontId="6" fillId="10" borderId="0" xfId="22" applyNumberFormat="1" applyFont="1" applyFill="1" applyAlignment="1">
      <alignment horizontal="right" vertical="center"/>
    </xf>
    <xf numFmtId="167" fontId="6" fillId="10" borderId="0" xfId="9" applyFont="1" applyFill="1" applyAlignment="1">
      <alignment horizontal="right" vertical="center"/>
    </xf>
    <xf numFmtId="188" fontId="6" fillId="19" borderId="0" xfId="17" applyNumberFormat="1" applyFont="1" applyFill="1"/>
    <xf numFmtId="188" fontId="12" fillId="19" borderId="0" xfId="17" applyNumberFormat="1" applyFont="1" applyFill="1" applyAlignment="1">
      <alignment horizontal="right" vertical="center"/>
    </xf>
    <xf numFmtId="189" fontId="6" fillId="10" borderId="0" xfId="17" applyNumberFormat="1" applyFont="1" applyFill="1" applyAlignment="1">
      <alignment horizontal="right" vertical="center"/>
    </xf>
    <xf numFmtId="188" fontId="6" fillId="14" borderId="0" xfId="22" applyNumberFormat="1" applyFont="1" applyFill="1"/>
    <xf numFmtId="188" fontId="12" fillId="14" borderId="0" xfId="22" applyNumberFormat="1" applyFont="1" applyFill="1" applyAlignment="1">
      <alignment horizontal="right" vertical="center"/>
    </xf>
    <xf numFmtId="2" fontId="16" fillId="10" borderId="0" xfId="0" applyNumberFormat="1" applyFont="1" applyFill="1" applyAlignment="1">
      <alignment horizontal="center" vertical="center"/>
    </xf>
    <xf numFmtId="0" fontId="49" fillId="17" borderId="45" xfId="0" applyFont="1" applyFill="1" applyBorder="1" applyAlignment="1">
      <alignment horizontal="center" vertical="center" wrapText="1"/>
    </xf>
    <xf numFmtId="0" fontId="49" fillId="17" borderId="46" xfId="0" applyFont="1" applyFill="1" applyBorder="1" applyAlignment="1">
      <alignment horizontal="center" vertical="center" wrapText="1"/>
    </xf>
    <xf numFmtId="0" fontId="49" fillId="17" borderId="47" xfId="0" applyFont="1" applyFill="1" applyBorder="1" applyAlignment="1">
      <alignment horizontal="center" vertical="center" wrapText="1"/>
    </xf>
    <xf numFmtId="0" fontId="51" fillId="17" borderId="9" xfId="0" applyFont="1" applyFill="1" applyBorder="1" applyAlignment="1">
      <alignment horizontal="center" vertical="center" wrapText="1"/>
    </xf>
    <xf numFmtId="0" fontId="51" fillId="24" borderId="9" xfId="0" applyFont="1" applyFill="1" applyBorder="1" applyAlignment="1">
      <alignment horizontal="center" vertical="center" wrapText="1"/>
    </xf>
    <xf numFmtId="0" fontId="51" fillId="24" borderId="47" xfId="0" applyFont="1" applyFill="1" applyBorder="1" applyAlignment="1">
      <alignment horizontal="center" vertical="center" wrapText="1"/>
    </xf>
    <xf numFmtId="0" fontId="51" fillId="24" borderId="45" xfId="0" applyFont="1" applyFill="1" applyBorder="1" applyAlignment="1">
      <alignment horizontal="center" vertical="center" wrapText="1"/>
    </xf>
    <xf numFmtId="0" fontId="51" fillId="24" borderId="46" xfId="0" applyFont="1" applyFill="1" applyBorder="1" applyAlignment="1">
      <alignment horizontal="center" vertical="center" wrapText="1"/>
    </xf>
    <xf numFmtId="0" fontId="49" fillId="17" borderId="45" xfId="0" applyFont="1" applyFill="1" applyBorder="1" applyAlignment="1">
      <alignment vertical="center" wrapText="1"/>
    </xf>
    <xf numFmtId="0" fontId="49" fillId="17" borderId="46" xfId="0" applyFont="1" applyFill="1" applyBorder="1" applyAlignment="1">
      <alignment vertical="center" wrapText="1"/>
    </xf>
    <xf numFmtId="0" fontId="49" fillId="17" borderId="47" xfId="0" applyFont="1" applyFill="1" applyBorder="1" applyAlignment="1">
      <alignment vertical="center" wrapText="1"/>
    </xf>
    <xf numFmtId="0" fontId="49" fillId="17" borderId="48" xfId="0" applyFont="1" applyFill="1" applyBorder="1" applyAlignment="1">
      <alignment vertical="center" wrapText="1"/>
    </xf>
    <xf numFmtId="0" fontId="51" fillId="24" borderId="48" xfId="0" applyFont="1" applyFill="1" applyBorder="1" applyAlignment="1">
      <alignment horizontal="center" vertical="center" wrapText="1"/>
    </xf>
    <xf numFmtId="0" fontId="49" fillId="17" borderId="49" xfId="0" applyFont="1" applyFill="1" applyBorder="1" applyAlignment="1">
      <alignment vertical="center" wrapText="1"/>
    </xf>
    <xf numFmtId="0" fontId="51" fillId="24" borderId="49" xfId="0" applyFont="1" applyFill="1" applyBorder="1" applyAlignment="1">
      <alignment horizontal="center" vertical="center" wrapText="1"/>
    </xf>
    <xf numFmtId="172" fontId="6" fillId="10" borderId="0" xfId="17" applyFont="1" applyFill="1" applyAlignment="1">
      <alignment horizontal="right" vertical="center"/>
    </xf>
    <xf numFmtId="0" fontId="16" fillId="10" borderId="0" xfId="0" applyFont="1" applyFill="1"/>
    <xf numFmtId="175" fontId="16" fillId="10" borderId="0" xfId="2" applyFont="1" applyFill="1"/>
    <xf numFmtId="172" fontId="16" fillId="10" borderId="0" xfId="17" applyFont="1" applyFill="1"/>
    <xf numFmtId="0" fontId="15" fillId="10" borderId="0" xfId="0" applyFont="1" applyFill="1" applyAlignment="1">
      <alignment horizontal="left" vertical="top" wrapText="1"/>
    </xf>
    <xf numFmtId="172" fontId="42" fillId="10" borderId="0" xfId="17" applyFont="1" applyFill="1"/>
    <xf numFmtId="175" fontId="43" fillId="10" borderId="0" xfId="2" applyFont="1" applyFill="1"/>
    <xf numFmtId="0" fontId="16" fillId="10" borderId="0" xfId="0" applyFont="1" applyFill="1" applyAlignment="1">
      <alignment horizontal="left" vertical="top" wrapText="1"/>
    </xf>
    <xf numFmtId="175" fontId="43" fillId="10" borderId="0" xfId="2" applyFont="1" applyFill="1" applyAlignment="1">
      <alignment horizontal="right" vertical="center"/>
    </xf>
    <xf numFmtId="192" fontId="16" fillId="10" borderId="0" xfId="17" applyNumberFormat="1" applyFont="1" applyFill="1"/>
    <xf numFmtId="0" fontId="53" fillId="10" borderId="0" xfId="0" applyFont="1" applyFill="1" applyAlignment="1">
      <alignment horizontal="center"/>
    </xf>
    <xf numFmtId="193" fontId="46" fillId="20" borderId="9" xfId="0" applyNumberFormat="1" applyFont="1" applyFill="1" applyBorder="1" applyAlignment="1">
      <alignment horizontal="center" vertical="center" wrapText="1"/>
    </xf>
    <xf numFmtId="170" fontId="16" fillId="0" borderId="9" xfId="58" applyNumberFormat="1" applyFont="1" applyBorder="1" applyAlignment="1">
      <alignment horizontal="center" vertical="center"/>
    </xf>
    <xf numFmtId="0" fontId="0" fillId="10" borderId="0" xfId="0" applyFill="1"/>
    <xf numFmtId="187" fontId="6" fillId="0" borderId="0" xfId="2" applyNumberFormat="1" applyFont="1"/>
    <xf numFmtId="170" fontId="54" fillId="0" borderId="9" xfId="58" applyNumberFormat="1" applyFont="1" applyBorder="1" applyAlignment="1">
      <alignment horizontal="center" vertical="center"/>
    </xf>
    <xf numFmtId="172" fontId="54" fillId="10" borderId="0" xfId="17" applyFont="1" applyFill="1" applyAlignment="1">
      <alignment horizontal="right" vertical="center"/>
    </xf>
    <xf numFmtId="188" fontId="54" fillId="10" borderId="0" xfId="17" applyNumberFormat="1" applyFont="1" applyFill="1" applyAlignment="1">
      <alignment horizontal="right" vertical="center"/>
    </xf>
    <xf numFmtId="194" fontId="6" fillId="0" borderId="0" xfId="0" applyNumberFormat="1" applyFont="1"/>
    <xf numFmtId="194" fontId="6" fillId="0" borderId="0" xfId="0" applyNumberFormat="1" applyFont="1" applyAlignment="1">
      <alignment wrapText="1"/>
    </xf>
    <xf numFmtId="194" fontId="6" fillId="0" borderId="0" xfId="0" applyNumberFormat="1" applyFont="1" applyAlignment="1">
      <alignment horizontal="right" vertical="center"/>
    </xf>
    <xf numFmtId="175" fontId="6" fillId="10" borderId="0" xfId="2" applyFont="1" applyFill="1" applyAlignment="1">
      <alignment horizontal="center"/>
    </xf>
    <xf numFmtId="10" fontId="6" fillId="10" borderId="0" xfId="2" applyNumberFormat="1" applyFont="1" applyFill="1"/>
    <xf numFmtId="172" fontId="6" fillId="10" borderId="0" xfId="17" applyFont="1" applyFill="1"/>
    <xf numFmtId="10" fontId="6" fillId="10" borderId="0" xfId="2" applyNumberFormat="1" applyFont="1" applyFill="1" applyAlignment="1">
      <alignment horizontal="center" vertical="center"/>
    </xf>
    <xf numFmtId="175" fontId="6" fillId="10" borderId="0" xfId="2" applyFont="1" applyFill="1"/>
    <xf numFmtId="0" fontId="12" fillId="10" borderId="0" xfId="0" applyFont="1" applyFill="1"/>
    <xf numFmtId="3" fontId="6" fillId="10" borderId="0" xfId="0" applyNumberFormat="1" applyFont="1" applyFill="1" applyAlignment="1">
      <alignment horizontal="center" vertical="center"/>
    </xf>
    <xf numFmtId="182" fontId="6" fillId="10" borderId="0" xfId="2" applyNumberFormat="1" applyFont="1" applyFill="1"/>
    <xf numFmtId="182" fontId="6" fillId="10" borderId="0" xfId="2" applyNumberFormat="1" applyFont="1" applyFill="1" applyAlignment="1">
      <alignment horizontal="center" vertical="center"/>
    </xf>
    <xf numFmtId="3" fontId="6" fillId="10" borderId="0" xfId="0" applyNumberFormat="1" applyFont="1" applyFill="1"/>
    <xf numFmtId="172" fontId="6" fillId="10" borderId="0" xfId="17" applyFont="1" applyFill="1" applyAlignment="1">
      <alignment horizontal="center" vertical="center"/>
    </xf>
    <xf numFmtId="0" fontId="6" fillId="10" borderId="0" xfId="0" applyFont="1" applyFill="1" applyAlignment="1">
      <alignment horizontal="left" vertical="center"/>
    </xf>
    <xf numFmtId="0" fontId="6" fillId="10" borderId="0" xfId="0" applyFont="1" applyFill="1" applyAlignment="1">
      <alignment horizontal="center" wrapText="1"/>
    </xf>
    <xf numFmtId="10" fontId="16" fillId="10" borderId="0" xfId="63" applyNumberFormat="1" applyFont="1" applyFill="1" applyAlignment="1">
      <alignment horizontal="center" vertical="center"/>
    </xf>
    <xf numFmtId="10" fontId="6" fillId="10" borderId="0" xfId="2" applyNumberFormat="1" applyFont="1" applyFill="1" applyAlignment="1">
      <alignment horizontal="center"/>
    </xf>
    <xf numFmtId="181" fontId="45" fillId="0" borderId="0" xfId="0" applyNumberFormat="1" applyFont="1" applyAlignment="1">
      <alignment horizontal="center" vertical="center"/>
    </xf>
    <xf numFmtId="1" fontId="6" fillId="0" borderId="0" xfId="0" applyNumberFormat="1" applyFont="1"/>
    <xf numFmtId="0" fontId="6" fillId="18" borderId="0" xfId="0" applyFont="1" applyFill="1"/>
    <xf numFmtId="188" fontId="6" fillId="18" borderId="0" xfId="22" applyNumberFormat="1" applyFont="1" applyFill="1"/>
    <xf numFmtId="188" fontId="12" fillId="18" borderId="0" xfId="22" applyNumberFormat="1" applyFont="1" applyFill="1" applyAlignment="1">
      <alignment horizontal="right" vertical="center"/>
    </xf>
    <xf numFmtId="179" fontId="6" fillId="10" borderId="0" xfId="8" applyNumberFormat="1" applyFont="1" applyFill="1" applyAlignment="1">
      <alignment horizontal="right" vertical="center"/>
    </xf>
    <xf numFmtId="175" fontId="6" fillId="10" borderId="0" xfId="8" applyFont="1" applyFill="1" applyAlignment="1">
      <alignment horizontal="right" vertical="center"/>
    </xf>
    <xf numFmtId="188" fontId="6" fillId="0" borderId="0" xfId="0" applyNumberFormat="1" applyFont="1"/>
    <xf numFmtId="189" fontId="6" fillId="10" borderId="0" xfId="22" applyNumberFormat="1" applyFont="1" applyFill="1" applyAlignment="1">
      <alignment horizontal="right" vertical="center"/>
    </xf>
    <xf numFmtId="188" fontId="6" fillId="10" borderId="0" xfId="23" applyNumberFormat="1" applyFont="1" applyFill="1" applyAlignment="1">
      <alignment horizontal="right" vertical="center"/>
    </xf>
    <xf numFmtId="189" fontId="6" fillId="14" borderId="0" xfId="22" applyNumberFormat="1" applyFont="1" applyFill="1"/>
    <xf numFmtId="0" fontId="6" fillId="25" borderId="0" xfId="0" applyFont="1" applyFill="1" applyAlignment="1">
      <alignment horizontal="left" vertical="top" wrapText="1"/>
    </xf>
    <xf numFmtId="0" fontId="6" fillId="25" borderId="0" xfId="0" applyFont="1" applyFill="1" applyAlignment="1">
      <alignment horizontal="center" vertical="center"/>
    </xf>
    <xf numFmtId="188" fontId="6" fillId="25" borderId="0" xfId="20" applyNumberFormat="1" applyFont="1" applyFill="1" applyAlignment="1">
      <alignment horizontal="right" vertical="center"/>
    </xf>
    <xf numFmtId="175" fontId="6" fillId="25" borderId="0" xfId="8" applyFont="1" applyFill="1" applyAlignment="1">
      <alignment horizontal="right" vertical="center"/>
    </xf>
    <xf numFmtId="188" fontId="6" fillId="14" borderId="0" xfId="23" applyNumberFormat="1" applyFont="1" applyFill="1"/>
    <xf numFmtId="188" fontId="12" fillId="14" borderId="0" xfId="21" applyNumberFormat="1" applyFont="1" applyFill="1" applyAlignment="1">
      <alignment horizontal="right" vertical="center"/>
    </xf>
    <xf numFmtId="175" fontId="6" fillId="10" borderId="0" xfId="4" applyFont="1" applyFill="1" applyAlignment="1">
      <alignment horizontal="right" vertical="center"/>
    </xf>
    <xf numFmtId="175" fontId="45" fillId="0" borderId="0" xfId="2" applyFont="1" applyAlignment="1">
      <alignment horizontal="center" vertical="center"/>
    </xf>
    <xf numFmtId="188" fontId="45" fillId="0" borderId="0" xfId="17" applyNumberFormat="1" applyFont="1" applyAlignment="1">
      <alignment horizontal="center" vertical="center"/>
    </xf>
    <xf numFmtId="172" fontId="15" fillId="10" borderId="0" xfId="17" applyFont="1" applyFill="1" applyAlignment="1">
      <alignment horizontal="right" vertical="center"/>
    </xf>
    <xf numFmtId="0" fontId="16" fillId="0" borderId="0" xfId="0" applyFont="1" applyAlignment="1">
      <alignment horizontal="left" wrapText="1"/>
    </xf>
    <xf numFmtId="0" fontId="6" fillId="10" borderId="0" xfId="0" applyFont="1" applyFill="1" applyAlignment="1">
      <alignment vertical="center" wrapText="1"/>
    </xf>
    <xf numFmtId="0" fontId="6" fillId="0" borderId="0" xfId="0" applyFont="1" applyAlignment="1">
      <alignment horizontal="left" vertical="center" wrapText="1"/>
    </xf>
    <xf numFmtId="0" fontId="15" fillId="10" borderId="0" xfId="26" applyFont="1" applyFill="1" applyAlignment="1">
      <alignment horizontal="center" vertical="center" wrapText="1"/>
    </xf>
    <xf numFmtId="0" fontId="9" fillId="10" borderId="0" xfId="26" applyFont="1" applyFill="1" applyAlignment="1">
      <alignment horizontal="center" vertical="center"/>
    </xf>
    <xf numFmtId="0" fontId="12" fillId="0" borderId="0" xfId="0" applyFont="1" applyAlignment="1">
      <alignment horizontal="center" vertical="center" wrapText="1"/>
    </xf>
    <xf numFmtId="196" fontId="6" fillId="10" borderId="0" xfId="7" applyNumberFormat="1" applyFont="1" applyFill="1" applyAlignment="1">
      <alignment horizontal="right" vertical="center"/>
    </xf>
    <xf numFmtId="188" fontId="6" fillId="10" borderId="0" xfId="20" applyNumberFormat="1" applyFont="1" applyFill="1" applyAlignment="1">
      <alignment horizontal="right" vertical="center"/>
    </xf>
    <xf numFmtId="175" fontId="6" fillId="0" borderId="0" xfId="8" applyFont="1" applyAlignment="1">
      <alignment horizontal="right" vertical="center"/>
    </xf>
    <xf numFmtId="188" fontId="6" fillId="0" borderId="0" xfId="20" applyNumberFormat="1" applyFont="1" applyAlignment="1">
      <alignment horizontal="right" vertical="center"/>
    </xf>
    <xf numFmtId="179" fontId="6" fillId="10" borderId="0" xfId="7" applyNumberFormat="1" applyFont="1" applyFill="1" applyAlignment="1">
      <alignment horizontal="right" vertical="center"/>
    </xf>
    <xf numFmtId="188" fontId="42" fillId="10" borderId="0" xfId="20" applyNumberFormat="1" applyFont="1" applyFill="1" applyAlignment="1">
      <alignment horizontal="right" vertical="center"/>
    </xf>
    <xf numFmtId="189" fontId="6" fillId="10" borderId="0" xfId="18" applyNumberFormat="1" applyFont="1" applyFill="1" applyAlignment="1">
      <alignment horizontal="right" vertical="center"/>
    </xf>
    <xf numFmtId="188" fontId="6" fillId="10" borderId="0" xfId="21" applyNumberFormat="1" applyFont="1" applyFill="1" applyAlignment="1">
      <alignment horizontal="right" vertical="center"/>
    </xf>
    <xf numFmtId="187" fontId="12" fillId="9" borderId="0" xfId="0" applyNumberFormat="1" applyFont="1" applyFill="1" applyAlignment="1">
      <alignment horizontal="center" vertical="center"/>
    </xf>
    <xf numFmtId="187" fontId="6" fillId="10" borderId="0" xfId="2" applyNumberFormat="1" applyFont="1" applyFill="1" applyAlignment="1">
      <alignment horizontal="right" vertical="center"/>
    </xf>
    <xf numFmtId="189" fontId="54" fillId="10" borderId="0" xfId="58" applyNumberFormat="1" applyFont="1" applyFill="1" applyAlignment="1">
      <alignment horizontal="center" vertical="center"/>
    </xf>
    <xf numFmtId="189" fontId="55" fillId="10" borderId="0" xfId="58" applyNumberFormat="1" applyFont="1" applyFill="1" applyAlignment="1">
      <alignment horizontal="center" vertical="center"/>
    </xf>
    <xf numFmtId="187" fontId="38" fillId="26" borderId="0" xfId="2" applyNumberFormat="1" applyFont="1" applyFill="1" applyAlignment="1">
      <alignment horizontal="right" vertical="center"/>
    </xf>
    <xf numFmtId="187" fontId="6" fillId="10" borderId="0" xfId="2" applyNumberFormat="1" applyFont="1" applyFill="1"/>
    <xf numFmtId="187" fontId="54" fillId="10" borderId="0" xfId="2" applyNumberFormat="1" applyFont="1" applyFill="1" applyAlignment="1">
      <alignment horizontal="right" vertical="center"/>
    </xf>
    <xf numFmtId="0" fontId="27" fillId="0" borderId="9" xfId="26" applyFont="1" applyBorder="1" applyAlignment="1">
      <alignment horizontal="center" vertical="center"/>
    </xf>
    <xf numFmtId="0" fontId="27" fillId="0" borderId="9" xfId="26" applyFont="1" applyBorder="1" applyAlignment="1">
      <alignment horizontal="left" vertical="center"/>
    </xf>
    <xf numFmtId="190" fontId="27" fillId="0" borderId="9" xfId="26" applyNumberFormat="1" applyFont="1" applyBorder="1" applyAlignment="1">
      <alignment horizontal="center" vertical="center"/>
    </xf>
    <xf numFmtId="4" fontId="27" fillId="10" borderId="0" xfId="26" applyNumberFormat="1" applyFont="1" applyFill="1"/>
    <xf numFmtId="0" fontId="27" fillId="10" borderId="0" xfId="26" applyFont="1" applyFill="1"/>
    <xf numFmtId="10" fontId="27" fillId="10" borderId="45" xfId="26" applyNumberFormat="1" applyFont="1" applyFill="1" applyBorder="1" applyAlignment="1">
      <alignment horizontal="center" vertical="center"/>
    </xf>
    <xf numFmtId="10" fontId="27" fillId="10" borderId="46" xfId="26" applyNumberFormat="1" applyFont="1" applyFill="1" applyBorder="1" applyAlignment="1">
      <alignment horizontal="center" vertical="center"/>
    </xf>
    <xf numFmtId="0" fontId="27" fillId="10" borderId="16" xfId="26" applyFont="1" applyFill="1" applyBorder="1" applyAlignment="1">
      <alignment horizontal="center"/>
    </xf>
    <xf numFmtId="0" fontId="27" fillId="10" borderId="32" xfId="26" quotePrefix="1" applyFont="1" applyFill="1" applyBorder="1" applyAlignment="1">
      <alignment horizontal="center" vertical="center"/>
    </xf>
    <xf numFmtId="0" fontId="28" fillId="0" borderId="0" xfId="26" applyFont="1"/>
    <xf numFmtId="187" fontId="56" fillId="10" borderId="0" xfId="2" applyNumberFormat="1" applyFont="1" applyFill="1" applyAlignment="1">
      <alignment horizontal="right" vertical="center"/>
    </xf>
    <xf numFmtId="189" fontId="56" fillId="10" borderId="0" xfId="58" applyNumberFormat="1" applyFont="1" applyFill="1" applyAlignment="1">
      <alignment horizontal="center" vertical="center"/>
    </xf>
    <xf numFmtId="174" fontId="6" fillId="10" borderId="0" xfId="16" applyFont="1" applyFill="1" applyAlignment="1">
      <alignment horizontal="right" vertical="center"/>
    </xf>
    <xf numFmtId="174" fontId="6" fillId="10" borderId="0" xfId="16" applyFont="1" applyFill="1"/>
    <xf numFmtId="189" fontId="57" fillId="10" borderId="0" xfId="58" applyNumberFormat="1" applyFont="1" applyFill="1" applyAlignment="1">
      <alignment horizontal="center" vertical="center"/>
    </xf>
    <xf numFmtId="187" fontId="56" fillId="26" borderId="0" xfId="2" applyNumberFormat="1" applyFont="1" applyFill="1" applyAlignment="1">
      <alignment horizontal="right" vertical="center"/>
    </xf>
    <xf numFmtId="175" fontId="12" fillId="14" borderId="0" xfId="2" applyFont="1" applyFill="1" applyAlignment="1">
      <alignment horizontal="right" vertical="center"/>
    </xf>
    <xf numFmtId="0" fontId="12" fillId="14" borderId="0" xfId="0" applyFont="1" applyFill="1" applyAlignment="1">
      <alignment horizontal="left" vertical="center"/>
    </xf>
    <xf numFmtId="0" fontId="12" fillId="11" borderId="0" xfId="0" applyFont="1" applyFill="1" applyAlignment="1">
      <alignment vertical="center" wrapText="1"/>
    </xf>
    <xf numFmtId="0" fontId="12" fillId="11" borderId="0" xfId="0" applyFont="1" applyFill="1" applyAlignment="1">
      <alignment horizontal="center" vertical="center"/>
    </xf>
    <xf numFmtId="175" fontId="12" fillId="11" borderId="0" xfId="2" applyFont="1" applyFill="1" applyAlignment="1">
      <alignment horizontal="right" vertical="center"/>
    </xf>
    <xf numFmtId="188" fontId="12" fillId="11" borderId="0" xfId="22" applyNumberFormat="1" applyFont="1" applyFill="1" applyAlignment="1">
      <alignment horizontal="right" vertical="center"/>
    </xf>
    <xf numFmtId="175" fontId="6" fillId="10" borderId="0" xfId="12" applyNumberFormat="1" applyFont="1" applyFill="1" applyAlignment="1">
      <alignment horizontal="right" vertical="center"/>
    </xf>
    <xf numFmtId="1" fontId="12" fillId="10" borderId="0" xfId="0" applyNumberFormat="1" applyFont="1" applyFill="1" applyAlignment="1">
      <alignment horizontal="center" vertical="center"/>
    </xf>
    <xf numFmtId="171" fontId="6" fillId="0" borderId="0" xfId="0" applyNumberFormat="1" applyFont="1" applyAlignment="1">
      <alignment horizontal="center" vertical="center"/>
    </xf>
    <xf numFmtId="189" fontId="6" fillId="12" borderId="0" xfId="22" applyNumberFormat="1" applyFont="1" applyFill="1" applyAlignment="1">
      <alignment horizontal="right" vertical="center"/>
    </xf>
    <xf numFmtId="188" fontId="6" fillId="14" borderId="0" xfId="21" applyNumberFormat="1" applyFont="1" applyFill="1"/>
    <xf numFmtId="188" fontId="16" fillId="10" borderId="0" xfId="21" applyNumberFormat="1" applyFont="1" applyFill="1"/>
    <xf numFmtId="184" fontId="6" fillId="10" borderId="0" xfId="4" applyNumberFormat="1" applyFont="1" applyFill="1" applyAlignment="1">
      <alignment horizontal="right" vertical="center"/>
    </xf>
    <xf numFmtId="180" fontId="6" fillId="10" borderId="0" xfId="4" applyNumberFormat="1" applyFont="1" applyFill="1" applyAlignment="1">
      <alignment horizontal="right" vertical="center"/>
    </xf>
    <xf numFmtId="197" fontId="6" fillId="10" borderId="0" xfId="4" applyNumberFormat="1" applyFont="1" applyFill="1" applyAlignment="1">
      <alignment horizontal="right" vertical="center"/>
    </xf>
    <xf numFmtId="43" fontId="6" fillId="10" borderId="0" xfId="4" applyNumberFormat="1" applyFont="1" applyFill="1" applyAlignment="1">
      <alignment horizontal="right" vertical="center"/>
    </xf>
    <xf numFmtId="188" fontId="43" fillId="10" borderId="0" xfId="21" applyNumberFormat="1" applyFont="1" applyFill="1" applyAlignment="1">
      <alignment horizontal="right" vertical="center"/>
    </xf>
    <xf numFmtId="189" fontId="6" fillId="10" borderId="0" xfId="19" applyNumberFormat="1" applyFont="1" applyFill="1" applyAlignment="1">
      <alignment horizontal="right" vertical="center"/>
    </xf>
    <xf numFmtId="188" fontId="42" fillId="10" borderId="0" xfId="21" applyNumberFormat="1" applyFont="1" applyFill="1" applyAlignment="1">
      <alignment horizontal="right" vertical="center"/>
    </xf>
    <xf numFmtId="179" fontId="6" fillId="10" borderId="0" xfId="12" applyNumberFormat="1" applyFont="1" applyFill="1" applyAlignment="1">
      <alignment horizontal="right" vertical="center"/>
    </xf>
    <xf numFmtId="188" fontId="6" fillId="10" borderId="0" xfId="21" applyNumberFormat="1" applyFont="1" applyFill="1"/>
    <xf numFmtId="164" fontId="6" fillId="10" borderId="0" xfId="4" applyNumberFormat="1" applyFont="1" applyFill="1"/>
    <xf numFmtId="0" fontId="6" fillId="10" borderId="0" xfId="0" applyFont="1" applyFill="1" applyAlignment="1">
      <alignment wrapText="1"/>
    </xf>
    <xf numFmtId="188" fontId="16" fillId="10" borderId="0" xfId="21" applyNumberFormat="1" applyFont="1" applyFill="1" applyAlignment="1">
      <alignment horizontal="right" vertical="center"/>
    </xf>
    <xf numFmtId="179" fontId="6" fillId="10" borderId="0" xfId="4" applyNumberFormat="1" applyFont="1" applyFill="1" applyAlignment="1">
      <alignment horizontal="right" vertical="center"/>
    </xf>
    <xf numFmtId="180" fontId="6" fillId="10" borderId="0" xfId="11" applyNumberFormat="1" applyFont="1" applyFill="1" applyAlignment="1">
      <alignment horizontal="right" vertical="center"/>
    </xf>
    <xf numFmtId="184" fontId="6" fillId="10" borderId="0" xfId="7" applyNumberFormat="1" applyFont="1" applyFill="1" applyAlignment="1">
      <alignment horizontal="right" vertical="center"/>
    </xf>
    <xf numFmtId="2" fontId="6" fillId="10" borderId="0" xfId="4" applyNumberFormat="1" applyFont="1" applyFill="1" applyAlignment="1">
      <alignment horizontal="right" vertical="center"/>
    </xf>
    <xf numFmtId="2" fontId="6" fillId="10" borderId="0" xfId="0" applyNumberFormat="1" applyFont="1" applyFill="1"/>
    <xf numFmtId="199" fontId="6" fillId="10" borderId="0" xfId="16" applyNumberFormat="1" applyFont="1" applyFill="1"/>
    <xf numFmtId="0" fontId="6" fillId="10" borderId="0" xfId="58" applyFont="1" applyFill="1"/>
    <xf numFmtId="0" fontId="6" fillId="10" borderId="0" xfId="58" applyFont="1" applyFill="1" applyAlignment="1">
      <alignment horizontal="center" vertical="center"/>
    </xf>
    <xf numFmtId="2" fontId="6" fillId="10" borderId="0" xfId="58" applyNumberFormat="1" applyFont="1" applyFill="1"/>
    <xf numFmtId="185" fontId="12" fillId="27" borderId="0" xfId="0" applyNumberFormat="1" applyFont="1" applyFill="1" applyAlignment="1">
      <alignment horizontal="center" vertical="center" wrapText="1"/>
    </xf>
    <xf numFmtId="0" fontId="12" fillId="27" borderId="0" xfId="0" applyFont="1" applyFill="1" applyAlignment="1">
      <alignment horizontal="left" vertical="center" wrapText="1"/>
    </xf>
    <xf numFmtId="0" fontId="6" fillId="27" borderId="0" xfId="0" applyFont="1" applyFill="1" applyAlignment="1">
      <alignment horizontal="center"/>
    </xf>
    <xf numFmtId="0" fontId="6" fillId="27" borderId="0" xfId="0" applyFont="1" applyFill="1"/>
    <xf numFmtId="188" fontId="6" fillId="27" borderId="0" xfId="17" applyNumberFormat="1" applyFont="1" applyFill="1"/>
    <xf numFmtId="1" fontId="12" fillId="27" borderId="0" xfId="0" applyNumberFormat="1" applyFont="1" applyFill="1" applyAlignment="1">
      <alignment horizontal="center" vertical="center"/>
    </xf>
    <xf numFmtId="0" fontId="6" fillId="27" borderId="0" xfId="0" applyFont="1" applyFill="1" applyAlignment="1">
      <alignment horizontal="center" vertical="center"/>
    </xf>
    <xf numFmtId="175" fontId="6" fillId="27" borderId="0" xfId="2" applyFont="1" applyFill="1" applyAlignment="1">
      <alignment horizontal="right" vertical="center"/>
    </xf>
    <xf numFmtId="188" fontId="6" fillId="27" borderId="0" xfId="17" applyNumberFormat="1" applyFont="1" applyFill="1" applyAlignment="1">
      <alignment horizontal="right" vertical="center"/>
    </xf>
    <xf numFmtId="179" fontId="6" fillId="27" borderId="0" xfId="2" applyNumberFormat="1" applyFont="1" applyFill="1" applyAlignment="1">
      <alignment horizontal="right" vertical="center"/>
    </xf>
    <xf numFmtId="180" fontId="6" fillId="27" borderId="0" xfId="11" applyNumberFormat="1" applyFont="1" applyFill="1" applyAlignment="1">
      <alignment horizontal="right" vertical="center"/>
    </xf>
    <xf numFmtId="188" fontId="6" fillId="27" borderId="0" xfId="21" applyNumberFormat="1" applyFont="1" applyFill="1" applyAlignment="1">
      <alignment horizontal="right" vertical="center"/>
    </xf>
    <xf numFmtId="175" fontId="6" fillId="27" borderId="0" xfId="4" applyFont="1" applyFill="1" applyAlignment="1">
      <alignment horizontal="right" vertical="center"/>
    </xf>
    <xf numFmtId="188" fontId="16" fillId="27" borderId="0" xfId="21" applyNumberFormat="1" applyFont="1" applyFill="1"/>
    <xf numFmtId="188" fontId="6" fillId="14" borderId="0" xfId="20" applyNumberFormat="1" applyFont="1" applyFill="1"/>
    <xf numFmtId="188" fontId="12" fillId="14" borderId="0" xfId="20" applyNumberFormat="1" applyFont="1" applyFill="1" applyAlignment="1">
      <alignment horizontal="right" vertical="center"/>
    </xf>
    <xf numFmtId="175" fontId="6" fillId="14" borderId="0" xfId="8" applyFont="1" applyFill="1" applyAlignment="1">
      <alignment horizontal="center" vertical="center"/>
    </xf>
    <xf numFmtId="189" fontId="6" fillId="14" borderId="0" xfId="18" applyNumberFormat="1" applyFont="1" applyFill="1" applyAlignment="1">
      <alignment horizontal="center" vertical="center"/>
    </xf>
    <xf numFmtId="189" fontId="12" fillId="14" borderId="0" xfId="18" applyNumberFormat="1" applyFont="1" applyFill="1" applyAlignment="1">
      <alignment horizontal="center" vertical="center"/>
    </xf>
    <xf numFmtId="0" fontId="12" fillId="14" borderId="0" xfId="0" applyFont="1" applyFill="1" applyAlignment="1">
      <alignment vertical="center" wrapText="1"/>
    </xf>
    <xf numFmtId="0" fontId="12" fillId="28" borderId="0" xfId="0" applyFont="1" applyFill="1" applyAlignment="1">
      <alignment vertical="center" wrapText="1"/>
    </xf>
    <xf numFmtId="0" fontId="12" fillId="28" borderId="0" xfId="0" applyFont="1" applyFill="1" applyAlignment="1">
      <alignment horizontal="center" vertical="center"/>
    </xf>
    <xf numFmtId="0" fontId="6" fillId="28" borderId="0" xfId="0" applyFont="1" applyFill="1"/>
    <xf numFmtId="188" fontId="6" fillId="28" borderId="0" xfId="22" applyNumberFormat="1" applyFont="1" applyFill="1"/>
    <xf numFmtId="188" fontId="12" fillId="28" borderId="0" xfId="22" applyNumberFormat="1" applyFont="1" applyFill="1" applyAlignment="1">
      <alignment horizontal="right" vertical="center"/>
    </xf>
    <xf numFmtId="0" fontId="12" fillId="28" borderId="0" xfId="0" applyFont="1" applyFill="1" applyAlignment="1">
      <alignment horizontal="left" vertical="center" wrapText="1"/>
    </xf>
    <xf numFmtId="188" fontId="12" fillId="14" borderId="0" xfId="23" applyNumberFormat="1" applyFont="1" applyFill="1" applyAlignment="1">
      <alignment horizontal="right" vertical="center"/>
    </xf>
    <xf numFmtId="2" fontId="6" fillId="14" borderId="0" xfId="0" applyNumberFormat="1" applyFont="1" applyFill="1"/>
    <xf numFmtId="174" fontId="12" fillId="14" borderId="0" xfId="16" applyFont="1" applyFill="1" applyAlignment="1">
      <alignment horizontal="right" vertical="center"/>
    </xf>
    <xf numFmtId="0" fontId="12" fillId="14" borderId="0" xfId="58" applyFont="1" applyFill="1" applyAlignment="1">
      <alignment horizontal="center" vertical="center"/>
    </xf>
    <xf numFmtId="0" fontId="12" fillId="14" borderId="0" xfId="58" applyFont="1" applyFill="1"/>
    <xf numFmtId="0" fontId="51" fillId="14" borderId="0" xfId="0" applyFont="1" applyFill="1" applyAlignment="1">
      <alignment horizontal="center" vertical="center"/>
    </xf>
    <xf numFmtId="2" fontId="51" fillId="14" borderId="0" xfId="0" applyNumberFormat="1" applyFont="1" applyFill="1"/>
    <xf numFmtId="174" fontId="51" fillId="14" borderId="0" xfId="16" applyFont="1" applyFill="1"/>
    <xf numFmtId="174" fontId="51" fillId="14" borderId="0" xfId="16" applyFont="1" applyFill="1" applyAlignment="1">
      <alignment horizontal="right" vertical="center"/>
    </xf>
    <xf numFmtId="0" fontId="6" fillId="10" borderId="49" xfId="0" applyFont="1" applyFill="1" applyBorder="1" applyAlignment="1">
      <alignment horizontal="center" vertical="center"/>
    </xf>
    <xf numFmtId="187" fontId="6" fillId="10" borderId="49" xfId="2" applyNumberFormat="1" applyFont="1" applyFill="1" applyBorder="1" applyAlignment="1">
      <alignment horizontal="right" vertical="center"/>
    </xf>
    <xf numFmtId="0" fontId="6" fillId="10" borderId="45" xfId="0" applyFont="1" applyFill="1" applyBorder="1" applyAlignment="1">
      <alignment horizontal="center" vertical="center"/>
    </xf>
    <xf numFmtId="187" fontId="6" fillId="10" borderId="45" xfId="2" applyNumberFormat="1" applyFont="1" applyFill="1" applyBorder="1" applyAlignment="1">
      <alignment horizontal="right" vertical="center"/>
    </xf>
    <xf numFmtId="187" fontId="56" fillId="10" borderId="45" xfId="2" applyNumberFormat="1" applyFont="1" applyFill="1" applyBorder="1" applyAlignment="1">
      <alignment horizontal="right" vertical="center"/>
    </xf>
    <xf numFmtId="187" fontId="38" fillId="26" borderId="45" xfId="2" applyNumberFormat="1" applyFont="1" applyFill="1" applyBorder="1" applyAlignment="1">
      <alignment horizontal="right" vertical="center"/>
    </xf>
    <xf numFmtId="187" fontId="58" fillId="10" borderId="45" xfId="2" applyNumberFormat="1" applyFont="1" applyFill="1" applyBorder="1" applyAlignment="1">
      <alignment horizontal="right" vertical="center"/>
    </xf>
    <xf numFmtId="0" fontId="6" fillId="10" borderId="45" xfId="0" applyFont="1" applyFill="1" applyBorder="1" applyAlignment="1">
      <alignment horizontal="left" vertical="center" wrapText="1"/>
    </xf>
    <xf numFmtId="188" fontId="54" fillId="10" borderId="50" xfId="17" applyNumberFormat="1" applyFont="1" applyFill="1" applyBorder="1" applyAlignment="1">
      <alignment horizontal="right" vertical="center"/>
    </xf>
    <xf numFmtId="187" fontId="58" fillId="10" borderId="0" xfId="2" applyNumberFormat="1" applyFont="1" applyFill="1" applyAlignment="1">
      <alignment horizontal="right" vertical="center"/>
    </xf>
    <xf numFmtId="187" fontId="58" fillId="10" borderId="0" xfId="2" applyNumberFormat="1" applyFont="1" applyFill="1"/>
    <xf numFmtId="0" fontId="16" fillId="10" borderId="0" xfId="0" applyFont="1" applyFill="1" applyAlignment="1">
      <alignment horizontal="center"/>
    </xf>
    <xf numFmtId="0" fontId="48" fillId="16" borderId="37" xfId="0" applyFont="1" applyFill="1" applyBorder="1" applyAlignment="1">
      <alignment horizontal="center" vertical="center" wrapText="1"/>
    </xf>
    <xf numFmtId="0" fontId="46" fillId="20" borderId="37" xfId="0" applyFont="1" applyFill="1" applyBorder="1" applyAlignment="1">
      <alignment horizontal="center" vertical="center" wrapText="1"/>
    </xf>
    <xf numFmtId="0" fontId="16" fillId="0" borderId="0" xfId="0" applyFont="1" applyAlignment="1">
      <alignment horizontal="left" vertical="center" wrapText="1"/>
    </xf>
    <xf numFmtId="10" fontId="46" fillId="20" borderId="9" xfId="63" applyNumberFormat="1" applyFont="1" applyFill="1" applyBorder="1" applyAlignment="1">
      <alignment horizontal="center" vertical="center" wrapText="1"/>
    </xf>
    <xf numFmtId="3" fontId="46" fillId="20" borderId="24" xfId="0" applyNumberFormat="1" applyFont="1" applyFill="1" applyBorder="1" applyAlignment="1">
      <alignment horizontal="center" vertical="center" wrapText="1"/>
    </xf>
    <xf numFmtId="3" fontId="46" fillId="20" borderId="37" xfId="0" applyNumberFormat="1" applyFont="1" applyFill="1" applyBorder="1" applyAlignment="1">
      <alignment horizontal="center" vertical="center" wrapText="1"/>
    </xf>
    <xf numFmtId="3" fontId="46" fillId="20" borderId="19" xfId="0" applyNumberFormat="1" applyFont="1" applyFill="1" applyBorder="1" applyAlignment="1">
      <alignment horizontal="center" vertical="center" wrapText="1"/>
    </xf>
    <xf numFmtId="3" fontId="46" fillId="20" borderId="22" xfId="0" applyNumberFormat="1" applyFont="1" applyFill="1" applyBorder="1" applyAlignment="1">
      <alignment horizontal="center" vertical="center" wrapText="1"/>
    </xf>
    <xf numFmtId="0" fontId="59" fillId="12" borderId="24" xfId="0" applyFont="1" applyFill="1" applyBorder="1" applyAlignment="1">
      <alignment horizontal="center" vertical="center" wrapText="1"/>
    </xf>
    <xf numFmtId="0" fontId="59" fillId="12" borderId="23" xfId="0" applyFont="1" applyFill="1" applyBorder="1" applyAlignment="1">
      <alignment horizontal="center" vertical="center" wrapText="1"/>
    </xf>
    <xf numFmtId="10" fontId="46" fillId="20" borderId="21" xfId="63" applyNumberFormat="1" applyFont="1" applyFill="1" applyBorder="1" applyAlignment="1">
      <alignment horizontal="center" vertical="center" wrapText="1"/>
    </xf>
    <xf numFmtId="193" fontId="46" fillId="20" borderId="22" xfId="0" applyNumberFormat="1" applyFont="1" applyFill="1" applyBorder="1" applyAlignment="1">
      <alignment horizontal="center" vertical="center" wrapText="1"/>
    </xf>
    <xf numFmtId="10" fontId="46" fillId="20" borderId="22" xfId="63" applyNumberFormat="1" applyFont="1" applyFill="1" applyBorder="1" applyAlignment="1">
      <alignment horizontal="center" vertical="center" wrapText="1"/>
    </xf>
    <xf numFmtId="10" fontId="59" fillId="12" borderId="23" xfId="63" applyNumberFormat="1" applyFont="1" applyFill="1" applyBorder="1" applyAlignment="1">
      <alignment horizontal="center" vertical="center" wrapText="1"/>
    </xf>
    <xf numFmtId="193" fontId="46" fillId="20" borderId="19" xfId="0" applyNumberFormat="1" applyFont="1" applyFill="1" applyBorder="1" applyAlignment="1">
      <alignment horizontal="center" vertical="center" wrapText="1"/>
    </xf>
    <xf numFmtId="10" fontId="46" fillId="20" borderId="19" xfId="63" applyNumberFormat="1" applyFont="1" applyFill="1" applyBorder="1" applyAlignment="1">
      <alignment horizontal="center" vertical="center" wrapText="1"/>
    </xf>
    <xf numFmtId="10" fontId="46" fillId="20" borderId="20" xfId="63" applyNumberFormat="1" applyFont="1" applyFill="1" applyBorder="1" applyAlignment="1">
      <alignment horizontal="center" vertical="center" wrapText="1"/>
    </xf>
    <xf numFmtId="0" fontId="46" fillId="10" borderId="0" xfId="0" applyFont="1" applyFill="1" applyAlignment="1">
      <alignment horizontal="center" vertical="center"/>
    </xf>
    <xf numFmtId="0" fontId="46" fillId="10" borderId="0" xfId="0" applyFont="1" applyFill="1" applyAlignment="1">
      <alignment horizontal="left" vertical="center" wrapText="1"/>
    </xf>
    <xf numFmtId="0" fontId="8" fillId="10" borderId="0" xfId="0" applyFont="1" applyFill="1"/>
    <xf numFmtId="0" fontId="7" fillId="10" borderId="0" xfId="0" applyFont="1" applyFill="1"/>
    <xf numFmtId="0" fontId="0" fillId="10" borderId="0" xfId="0" applyFill="1" applyAlignment="1">
      <alignment horizontal="center"/>
    </xf>
    <xf numFmtId="0" fontId="6" fillId="10" borderId="49" xfId="0" applyFont="1" applyFill="1" applyBorder="1" applyAlignment="1">
      <alignment horizontal="left" vertical="center" wrapText="1"/>
    </xf>
    <xf numFmtId="0" fontId="6" fillId="10" borderId="45" xfId="0" applyFont="1" applyFill="1" applyBorder="1" applyAlignment="1">
      <alignment vertical="center" wrapText="1"/>
    </xf>
    <xf numFmtId="0" fontId="43" fillId="10" borderId="45" xfId="0" applyFont="1" applyFill="1" applyBorder="1" applyAlignment="1">
      <alignment horizontal="left" vertical="center" wrapText="1"/>
    </xf>
    <xf numFmtId="0" fontId="6" fillId="10" borderId="45" xfId="0" applyFont="1" applyFill="1" applyBorder="1" applyAlignment="1">
      <alignment vertical="center"/>
    </xf>
    <xf numFmtId="1" fontId="16" fillId="10" borderId="49" xfId="0" applyNumberFormat="1" applyFont="1" applyFill="1" applyBorder="1" applyAlignment="1">
      <alignment horizontal="center" vertical="center"/>
    </xf>
    <xf numFmtId="1" fontId="16" fillId="10" borderId="45" xfId="0" applyNumberFormat="1" applyFont="1" applyFill="1" applyBorder="1" applyAlignment="1">
      <alignment horizontal="center" vertical="center"/>
    </xf>
    <xf numFmtId="1" fontId="15" fillId="0" borderId="0" xfId="2" applyNumberFormat="1" applyFont="1" applyAlignment="1">
      <alignment horizontal="left" vertical="top" wrapText="1"/>
    </xf>
    <xf numFmtId="185" fontId="12" fillId="10" borderId="0" xfId="2" applyNumberFormat="1" applyFont="1" applyFill="1" applyAlignment="1">
      <alignment horizontal="center" vertical="center" wrapText="1"/>
    </xf>
    <xf numFmtId="185" fontId="12" fillId="27" borderId="0" xfId="2" applyNumberFormat="1" applyFont="1" applyFill="1" applyAlignment="1">
      <alignment horizontal="center" vertical="center" wrapText="1"/>
    </xf>
    <xf numFmtId="185" fontId="12" fillId="0" borderId="0" xfId="2" applyNumberFormat="1" applyFont="1" applyAlignment="1">
      <alignment horizontal="center" vertical="center" wrapText="1"/>
    </xf>
    <xf numFmtId="0" fontId="12" fillId="14" borderId="0" xfId="58" applyFont="1" applyFill="1" applyAlignment="1">
      <alignment horizontal="left" vertical="center" wrapText="1"/>
    </xf>
    <xf numFmtId="0" fontId="6" fillId="10" borderId="0" xfId="58" applyFont="1" applyFill="1" applyAlignment="1">
      <alignment horizontal="left" vertical="center"/>
    </xf>
    <xf numFmtId="185" fontId="12" fillId="10" borderId="0" xfId="0" applyNumberFormat="1" applyFont="1" applyFill="1" applyAlignment="1">
      <alignment horizontal="center" vertical="center" wrapText="1"/>
    </xf>
    <xf numFmtId="44" fontId="6" fillId="0" borderId="0" xfId="0" applyNumberFormat="1" applyFont="1"/>
    <xf numFmtId="168" fontId="6" fillId="0" borderId="0" xfId="0" applyNumberFormat="1" applyFont="1"/>
    <xf numFmtId="3" fontId="6" fillId="0" borderId="0" xfId="0" applyNumberFormat="1" applyFont="1"/>
    <xf numFmtId="188" fontId="6" fillId="10" borderId="0" xfId="21" applyNumberFormat="1" applyFont="1" applyFill="1" applyAlignment="1">
      <alignment vertical="center"/>
    </xf>
    <xf numFmtId="168" fontId="6" fillId="0" borderId="0" xfId="0" applyNumberFormat="1" applyFont="1" applyAlignment="1">
      <alignment horizontal="center" vertical="center"/>
    </xf>
    <xf numFmtId="189" fontId="60" fillId="10" borderId="45" xfId="58" applyNumberFormat="1" applyFont="1" applyFill="1" applyBorder="1" applyAlignment="1">
      <alignment horizontal="right" vertical="center"/>
    </xf>
    <xf numFmtId="0" fontId="6" fillId="10" borderId="0" xfId="58" applyFont="1" applyFill="1" applyAlignment="1">
      <alignment horizontal="left" vertical="center" wrapText="1"/>
    </xf>
    <xf numFmtId="188" fontId="12" fillId="10" borderId="0" xfId="17" applyNumberFormat="1" applyFont="1" applyFill="1" applyAlignment="1">
      <alignment horizontal="right" vertical="center"/>
    </xf>
    <xf numFmtId="1" fontId="15" fillId="14" borderId="0" xfId="0" applyNumberFormat="1" applyFont="1" applyFill="1" applyAlignment="1">
      <alignment horizontal="center" vertical="center"/>
    </xf>
    <xf numFmtId="175" fontId="16" fillId="10" borderId="0" xfId="4" applyFont="1" applyFill="1" applyAlignment="1">
      <alignment horizontal="center"/>
    </xf>
    <xf numFmtId="178" fontId="16" fillId="10" borderId="0" xfId="0" applyNumberFormat="1" applyFont="1" applyFill="1"/>
    <xf numFmtId="185" fontId="12" fillId="10" borderId="0" xfId="4" applyNumberFormat="1" applyFont="1" applyFill="1" applyAlignment="1">
      <alignment horizontal="left" vertical="top" wrapText="1"/>
    </xf>
    <xf numFmtId="185" fontId="12" fillId="10" borderId="0" xfId="7" applyNumberFormat="1" applyFont="1" applyFill="1" applyAlignment="1">
      <alignment horizontal="left" vertical="top" wrapText="1"/>
    </xf>
    <xf numFmtId="186" fontId="12" fillId="14" borderId="0" xfId="0" applyNumberFormat="1" applyFont="1" applyFill="1" applyAlignment="1">
      <alignment horizontal="left" vertical="center" wrapText="1"/>
    </xf>
    <xf numFmtId="186" fontId="12" fillId="14" borderId="0" xfId="0" applyNumberFormat="1" applyFont="1" applyFill="1" applyAlignment="1">
      <alignment horizontal="center" vertical="center"/>
    </xf>
    <xf numFmtId="186" fontId="6" fillId="14" borderId="0" xfId="0" applyNumberFormat="1" applyFont="1" applyFill="1"/>
    <xf numFmtId="186" fontId="6" fillId="14" borderId="0" xfId="17" applyNumberFormat="1" applyFont="1" applyFill="1"/>
    <xf numFmtId="186" fontId="6" fillId="0" borderId="0" xfId="2" applyNumberFormat="1" applyFont="1"/>
    <xf numFmtId="186" fontId="6" fillId="0" borderId="0" xfId="0" applyNumberFormat="1" applyFont="1"/>
    <xf numFmtId="186" fontId="6" fillId="0" borderId="0" xfId="0" applyNumberFormat="1" applyFont="1" applyAlignment="1">
      <alignment horizontal="center" vertical="center"/>
    </xf>
    <xf numFmtId="197" fontId="6" fillId="10" borderId="0" xfId="2" applyNumberFormat="1" applyFont="1" applyFill="1" applyAlignment="1">
      <alignment horizontal="right" vertical="center"/>
    </xf>
    <xf numFmtId="184" fontId="6" fillId="10" borderId="0" xfId="8" applyNumberFormat="1" applyFont="1" applyFill="1" applyAlignment="1">
      <alignment horizontal="right" vertical="center"/>
    </xf>
    <xf numFmtId="188" fontId="6" fillId="25" borderId="0" xfId="21" applyNumberFormat="1" applyFont="1" applyFill="1" applyAlignment="1">
      <alignment horizontal="right" vertical="center"/>
    </xf>
    <xf numFmtId="0" fontId="61" fillId="25" borderId="0" xfId="60" applyFont="1" applyFill="1"/>
    <xf numFmtId="188" fontId="6" fillId="25" borderId="0" xfId="22" applyNumberFormat="1" applyFont="1" applyFill="1" applyAlignment="1">
      <alignment horizontal="right" vertical="center"/>
    </xf>
    <xf numFmtId="180" fontId="6" fillId="25" borderId="0" xfId="8" applyNumberFormat="1" applyFont="1" applyFill="1" applyAlignment="1">
      <alignment horizontal="right" vertical="center"/>
    </xf>
    <xf numFmtId="179" fontId="6" fillId="25" borderId="0" xfId="8" applyNumberFormat="1" applyFont="1" applyFill="1" applyAlignment="1">
      <alignment horizontal="right" vertical="center"/>
    </xf>
    <xf numFmtId="0" fontId="62" fillId="25" borderId="0" xfId="60" applyFont="1" applyFill="1"/>
    <xf numFmtId="179" fontId="6" fillId="10" borderId="0" xfId="6" applyNumberFormat="1" applyFont="1" applyFill="1" applyAlignment="1">
      <alignment horizontal="right" vertical="center"/>
    </xf>
    <xf numFmtId="165" fontId="16" fillId="10" borderId="0" xfId="20" applyFont="1" applyFill="1" applyAlignment="1">
      <alignment horizontal="right" vertical="center"/>
    </xf>
    <xf numFmtId="180" fontId="6" fillId="10" borderId="0" xfId="10" applyNumberFormat="1" applyFont="1" applyFill="1" applyAlignment="1">
      <alignment horizontal="right" vertical="center"/>
    </xf>
    <xf numFmtId="43" fontId="16" fillId="10" borderId="0" xfId="10" applyFont="1" applyFill="1" applyAlignment="1">
      <alignment horizontal="right" vertical="center"/>
    </xf>
    <xf numFmtId="189" fontId="16" fillId="10" borderId="0" xfId="22" applyNumberFormat="1" applyFont="1" applyFill="1" applyAlignment="1">
      <alignment horizontal="right" vertical="center"/>
    </xf>
    <xf numFmtId="170" fontId="16" fillId="10" borderId="0" xfId="22" applyFont="1" applyFill="1" applyAlignment="1">
      <alignment horizontal="right" vertical="center"/>
    </xf>
    <xf numFmtId="43" fontId="6" fillId="10" borderId="0" xfId="10" applyFont="1" applyFill="1" applyAlignment="1">
      <alignment horizontal="right" vertical="center"/>
    </xf>
    <xf numFmtId="179" fontId="6" fillId="10" borderId="0" xfId="10" applyNumberFormat="1" applyFont="1" applyFill="1" applyAlignment="1">
      <alignment horizontal="right" vertical="center"/>
    </xf>
    <xf numFmtId="167" fontId="6" fillId="10" borderId="0" xfId="12" applyFont="1" applyFill="1" applyAlignment="1">
      <alignment horizontal="right" vertical="center"/>
    </xf>
    <xf numFmtId="0" fontId="6" fillId="25" borderId="0" xfId="0" applyFont="1" applyFill="1" applyAlignment="1">
      <alignment horizontal="left" vertical="center" wrapText="1"/>
    </xf>
    <xf numFmtId="179" fontId="6" fillId="25" borderId="0" xfId="12" applyNumberFormat="1" applyFont="1" applyFill="1" applyAlignment="1">
      <alignment horizontal="right" vertical="center"/>
    </xf>
    <xf numFmtId="0" fontId="16" fillId="10" borderId="0" xfId="58" applyFont="1" applyFill="1" applyAlignment="1">
      <alignment horizontal="left" vertical="center" wrapText="1"/>
    </xf>
    <xf numFmtId="0" fontId="16" fillId="10" borderId="0" xfId="58" applyFont="1" applyFill="1"/>
    <xf numFmtId="180" fontId="6" fillId="10" borderId="0" xfId="8" applyNumberFormat="1" applyFont="1" applyFill="1" applyAlignment="1">
      <alignment horizontal="right" vertical="center"/>
    </xf>
    <xf numFmtId="185" fontId="12" fillId="10" borderId="0" xfId="8" applyNumberFormat="1" applyFont="1" applyFill="1" applyAlignment="1">
      <alignment horizontal="left" vertical="top" wrapText="1"/>
    </xf>
    <xf numFmtId="195" fontId="6" fillId="14" borderId="0" xfId="0" applyNumberFormat="1" applyFont="1" applyFill="1" applyAlignment="1">
      <alignment vertical="center"/>
    </xf>
    <xf numFmtId="195" fontId="6" fillId="10" borderId="0" xfId="8" applyNumberFormat="1" applyFont="1" applyFill="1" applyAlignment="1">
      <alignment vertical="center"/>
    </xf>
    <xf numFmtId="0" fontId="6" fillId="10" borderId="0" xfId="60" applyFont="1" applyFill="1" applyAlignment="1">
      <alignment horizontal="left" vertical="center" wrapText="1"/>
    </xf>
    <xf numFmtId="0" fontId="6" fillId="10" borderId="0" xfId="60" applyFont="1" applyFill="1" applyAlignment="1">
      <alignment horizontal="center" vertical="center"/>
    </xf>
    <xf numFmtId="179" fontId="6" fillId="10" borderId="0" xfId="13" applyNumberFormat="1" applyFont="1" applyFill="1" applyAlignment="1">
      <alignment horizontal="right" vertical="center"/>
    </xf>
    <xf numFmtId="188" fontId="6" fillId="10" borderId="0" xfId="24" applyNumberFormat="1" applyFont="1" applyFill="1" applyAlignment="1">
      <alignment horizontal="right" vertical="center"/>
    </xf>
    <xf numFmtId="0" fontId="27" fillId="10" borderId="17" xfId="26" applyFont="1" applyFill="1" applyBorder="1" applyAlignment="1">
      <alignment horizontal="center"/>
    </xf>
    <xf numFmtId="190" fontId="28" fillId="14" borderId="9" xfId="65" applyNumberFormat="1" applyFont="1" applyFill="1" applyBorder="1" applyAlignment="1">
      <alignment horizontal="center" vertical="center"/>
    </xf>
    <xf numFmtId="10" fontId="27" fillId="0" borderId="47" xfId="65" applyNumberFormat="1" applyFont="1" applyBorder="1" applyAlignment="1">
      <alignment horizontal="center" vertical="center"/>
    </xf>
    <xf numFmtId="10" fontId="27" fillId="0" borderId="45" xfId="65" applyNumberFormat="1" applyFont="1" applyBorder="1" applyAlignment="1">
      <alignment horizontal="center" vertical="center"/>
    </xf>
    <xf numFmtId="10" fontId="27" fillId="0" borderId="48" xfId="65" applyNumberFormat="1" applyFont="1" applyBorder="1" applyAlignment="1">
      <alignment horizontal="center" vertical="center"/>
    </xf>
    <xf numFmtId="190" fontId="28" fillId="19" borderId="9" xfId="65" applyNumberFormat="1" applyFont="1" applyFill="1" applyBorder="1" applyAlignment="1">
      <alignment horizontal="center" vertical="center"/>
    </xf>
    <xf numFmtId="10" fontId="27" fillId="10" borderId="47" xfId="65" applyNumberFormat="1" applyFont="1" applyFill="1" applyBorder="1" applyAlignment="1">
      <alignment horizontal="center" vertical="center"/>
    </xf>
    <xf numFmtId="10" fontId="27" fillId="10" borderId="45" xfId="65" applyNumberFormat="1" applyFont="1" applyFill="1" applyBorder="1" applyAlignment="1">
      <alignment horizontal="center" vertical="center"/>
    </xf>
    <xf numFmtId="10" fontId="28" fillId="19" borderId="9" xfId="65" applyNumberFormat="1" applyFont="1" applyFill="1" applyBorder="1" applyAlignment="1">
      <alignment horizontal="center"/>
    </xf>
    <xf numFmtId="10" fontId="28" fillId="14" borderId="9" xfId="65" applyNumberFormat="1" applyFont="1" applyFill="1" applyBorder="1" applyAlignment="1">
      <alignment horizontal="center" vertical="center"/>
    </xf>
    <xf numFmtId="187" fontId="28" fillId="9" borderId="9" xfId="0" applyNumberFormat="1" applyFont="1" applyFill="1" applyBorder="1" applyAlignment="1">
      <alignment horizontal="right" vertical="center"/>
    </xf>
    <xf numFmtId="189" fontId="54" fillId="10" borderId="45" xfId="58" applyNumberFormat="1" applyFont="1" applyFill="1" applyBorder="1" applyAlignment="1">
      <alignment horizontal="right" vertical="center"/>
    </xf>
    <xf numFmtId="189" fontId="6" fillId="10" borderId="45" xfId="58" applyNumberFormat="1" applyFont="1" applyFill="1" applyBorder="1" applyAlignment="1">
      <alignment horizontal="right" vertical="center"/>
    </xf>
    <xf numFmtId="189" fontId="56" fillId="10" borderId="45" xfId="58" applyNumberFormat="1" applyFont="1" applyFill="1" applyBorder="1" applyAlignment="1">
      <alignment horizontal="right" vertical="center"/>
    </xf>
    <xf numFmtId="189" fontId="55" fillId="10" borderId="45" xfId="58" applyNumberFormat="1" applyFont="1" applyFill="1" applyBorder="1" applyAlignment="1">
      <alignment horizontal="right" vertical="center"/>
    </xf>
    <xf numFmtId="175" fontId="6" fillId="10" borderId="0" xfId="8" applyFont="1" applyFill="1" applyAlignment="1">
      <alignment vertical="center"/>
    </xf>
    <xf numFmtId="0" fontId="6" fillId="10" borderId="0" xfId="0" applyFont="1" applyFill="1" applyAlignment="1">
      <alignment horizontal="justify" vertical="center" wrapText="1"/>
    </xf>
    <xf numFmtId="189" fontId="6" fillId="10" borderId="0" xfId="68" applyNumberFormat="1" applyFont="1" applyFill="1" applyAlignment="1">
      <alignment horizontal="right" vertical="center"/>
    </xf>
    <xf numFmtId="188" fontId="12" fillId="12" borderId="0" xfId="21" applyNumberFormat="1" applyFont="1" applyFill="1" applyAlignment="1">
      <alignment horizontal="right" vertical="center"/>
    </xf>
    <xf numFmtId="0" fontId="16" fillId="10" borderId="0" xfId="0" applyFont="1" applyFill="1" applyAlignment="1">
      <alignment horizontal="left" vertical="center" wrapText="1"/>
    </xf>
    <xf numFmtId="0" fontId="64" fillId="0" borderId="58" xfId="0" applyFont="1" applyBorder="1" applyProtection="1">
      <protection locked="0"/>
    </xf>
    <xf numFmtId="0" fontId="64" fillId="0" borderId="1" xfId="0" applyFont="1" applyBorder="1" applyProtection="1">
      <protection locked="0"/>
    </xf>
    <xf numFmtId="0" fontId="65" fillId="0" borderId="1" xfId="0" applyFont="1" applyBorder="1" applyAlignment="1">
      <alignment horizontal="center"/>
    </xf>
    <xf numFmtId="0" fontId="65" fillId="0" borderId="0" xfId="0" applyFont="1" applyProtection="1">
      <protection locked="0"/>
    </xf>
    <xf numFmtId="0" fontId="65" fillId="0" borderId="0" xfId="0" applyFont="1" applyAlignment="1" applyProtection="1">
      <alignment horizontal="center"/>
      <protection locked="0"/>
    </xf>
    <xf numFmtId="2" fontId="65" fillId="0" borderId="0" xfId="0" applyNumberFormat="1" applyFont="1" applyAlignment="1" applyProtection="1">
      <alignment horizontal="center"/>
      <protection locked="0"/>
    </xf>
    <xf numFmtId="194" fontId="65" fillId="0" borderId="0" xfId="0" applyNumberFormat="1" applyFont="1" applyProtection="1">
      <protection locked="0"/>
    </xf>
    <xf numFmtId="0" fontId="66" fillId="0" borderId="0" xfId="0" applyFont="1" applyAlignment="1" applyProtection="1">
      <alignment horizontal="left"/>
      <protection locked="0"/>
    </xf>
    <xf numFmtId="0" fontId="64" fillId="0" borderId="60" xfId="0" applyFont="1" applyBorder="1" applyAlignment="1" applyProtection="1">
      <alignment horizontal="center"/>
      <protection locked="0"/>
    </xf>
    <xf numFmtId="2" fontId="64" fillId="0" borderId="59" xfId="0" applyNumberFormat="1" applyFont="1" applyBorder="1" applyAlignment="1" applyProtection="1">
      <alignment horizontal="center"/>
      <protection locked="0"/>
    </xf>
    <xf numFmtId="0" fontId="64" fillId="0" borderId="1" xfId="0" applyFont="1" applyBorder="1" applyAlignment="1" applyProtection="1">
      <alignment horizontal="center"/>
      <protection locked="0"/>
    </xf>
    <xf numFmtId="194" fontId="64" fillId="0" borderId="0" xfId="0" applyNumberFormat="1" applyFont="1" applyAlignment="1" applyProtection="1">
      <alignment horizontal="center"/>
      <protection locked="0"/>
    </xf>
    <xf numFmtId="194" fontId="65" fillId="0" borderId="4" xfId="0" applyNumberFormat="1" applyFont="1" applyBorder="1" applyAlignment="1">
      <alignment horizontal="center"/>
    </xf>
    <xf numFmtId="2" fontId="65" fillId="0" borderId="43" xfId="0" applyNumberFormat="1" applyFont="1" applyBorder="1" applyAlignment="1" applyProtection="1">
      <alignment horizontal="center"/>
      <protection locked="0"/>
    </xf>
    <xf numFmtId="200" fontId="65" fillId="0" borderId="3" xfId="0" applyNumberFormat="1" applyFont="1" applyBorder="1" applyAlignment="1">
      <alignment horizontal="center"/>
    </xf>
    <xf numFmtId="166" fontId="65" fillId="0" borderId="3" xfId="0" applyNumberFormat="1" applyFont="1" applyBorder="1" applyAlignment="1">
      <alignment horizontal="center"/>
    </xf>
    <xf numFmtId="0" fontId="65" fillId="0" borderId="6" xfId="0" applyFont="1" applyBorder="1" applyAlignment="1">
      <alignment horizontal="center"/>
    </xf>
    <xf numFmtId="2" fontId="65" fillId="0" borderId="11" xfId="0" applyNumberFormat="1" applyFont="1" applyBorder="1" applyAlignment="1" applyProtection="1">
      <alignment horizontal="center"/>
      <protection locked="0"/>
    </xf>
    <xf numFmtId="200" fontId="65" fillId="0" borderId="71" xfId="0" applyNumberFormat="1" applyFont="1" applyBorder="1" applyAlignment="1">
      <alignment horizontal="center"/>
    </xf>
    <xf numFmtId="166" fontId="65" fillId="0" borderId="71" xfId="0" applyNumberFormat="1" applyFont="1" applyBorder="1" applyAlignment="1">
      <alignment horizontal="center"/>
    </xf>
    <xf numFmtId="0" fontId="65" fillId="0" borderId="8" xfId="0" applyFont="1" applyBorder="1" applyAlignment="1">
      <alignment horizontal="center"/>
    </xf>
    <xf numFmtId="191" fontId="65" fillId="0" borderId="73" xfId="0" applyNumberFormat="1" applyFont="1" applyBorder="1" applyAlignment="1" applyProtection="1">
      <alignment horizontal="center"/>
      <protection locked="0"/>
    </xf>
    <xf numFmtId="200" fontId="65" fillId="0" borderId="57" xfId="0" applyNumberFormat="1" applyFont="1" applyBorder="1" applyAlignment="1">
      <alignment horizontal="center"/>
    </xf>
    <xf numFmtId="166" fontId="65" fillId="0" borderId="57" xfId="0" applyNumberFormat="1" applyFont="1" applyBorder="1" applyAlignment="1">
      <alignment horizontal="center"/>
    </xf>
    <xf numFmtId="178" fontId="6" fillId="10" borderId="0" xfId="0" applyNumberFormat="1" applyFont="1" applyFill="1"/>
    <xf numFmtId="0" fontId="12" fillId="14" borderId="0" xfId="69" applyFont="1" applyFill="1" applyAlignment="1">
      <alignment horizontal="justify" vertical="center" wrapText="1"/>
    </xf>
    <xf numFmtId="0" fontId="12" fillId="14" borderId="0" xfId="69" applyFont="1" applyFill="1" applyAlignment="1">
      <alignment horizontal="center" vertical="center"/>
    </xf>
    <xf numFmtId="0" fontId="6" fillId="14" borderId="0" xfId="69" applyFont="1" applyFill="1"/>
    <xf numFmtId="188" fontId="6" fillId="14" borderId="0" xfId="70" applyNumberFormat="1" applyFont="1" applyFill="1"/>
    <xf numFmtId="0" fontId="6" fillId="10" borderId="0" xfId="69" applyFont="1" applyFill="1" applyAlignment="1">
      <alignment horizontal="justify" vertical="center" wrapText="1"/>
    </xf>
    <xf numFmtId="0" fontId="6" fillId="10" borderId="0" xfId="69" applyFont="1" applyFill="1" applyAlignment="1">
      <alignment horizontal="center" vertical="center"/>
    </xf>
    <xf numFmtId="175" fontId="6" fillId="10" borderId="0" xfId="14" applyFont="1" applyFill="1" applyAlignment="1">
      <alignment horizontal="right" vertical="center"/>
    </xf>
    <xf numFmtId="188" fontId="6" fillId="10" borderId="0" xfId="70" applyNumberFormat="1" applyFont="1" applyFill="1" applyAlignment="1">
      <alignment horizontal="right" vertical="center"/>
    </xf>
    <xf numFmtId="0" fontId="12" fillId="0" borderId="0" xfId="60" applyFont="1"/>
    <xf numFmtId="0" fontId="6" fillId="0" borderId="0" xfId="60" applyFont="1"/>
    <xf numFmtId="195" fontId="12" fillId="10" borderId="0" xfId="0" applyNumberFormat="1" applyFont="1" applyFill="1" applyAlignment="1">
      <alignment horizontal="center" vertical="center"/>
    </xf>
    <xf numFmtId="1" fontId="6" fillId="10" borderId="0" xfId="0" applyNumberFormat="1" applyFont="1" applyFill="1" applyAlignment="1">
      <alignment horizontal="left" vertical="center" wrapText="1"/>
    </xf>
    <xf numFmtId="1" fontId="6" fillId="10" borderId="0" xfId="0" applyNumberFormat="1" applyFont="1" applyFill="1" applyAlignment="1">
      <alignment horizontal="center" vertical="center"/>
    </xf>
    <xf numFmtId="195" fontId="12" fillId="10" borderId="0" xfId="72" applyNumberFormat="1" applyFont="1" applyFill="1" applyAlignment="1">
      <alignment horizontal="center" vertical="center" wrapText="1"/>
    </xf>
    <xf numFmtId="1" fontId="6" fillId="10" borderId="0" xfId="0" applyNumberFormat="1" applyFont="1" applyFill="1" applyAlignment="1">
      <alignment horizontal="center"/>
    </xf>
    <xf numFmtId="0" fontId="12" fillId="0" borderId="0" xfId="60" applyFont="1" applyAlignment="1">
      <alignment horizontal="center" vertical="center"/>
    </xf>
    <xf numFmtId="0" fontId="6" fillId="10" borderId="0" xfId="60" applyFont="1" applyFill="1" applyAlignment="1">
      <alignment vertical="center"/>
    </xf>
    <xf numFmtId="0" fontId="6" fillId="10" borderId="0" xfId="60" applyFont="1" applyFill="1"/>
    <xf numFmtId="2" fontId="6" fillId="10" borderId="0" xfId="60" applyNumberFormat="1" applyFont="1" applyFill="1"/>
    <xf numFmtId="167" fontId="6" fillId="10" borderId="0" xfId="60" applyNumberFormat="1" applyFont="1" applyFill="1" applyAlignment="1">
      <alignment horizontal="center" vertical="center"/>
    </xf>
    <xf numFmtId="44" fontId="16" fillId="0" borderId="0" xfId="0" applyNumberFormat="1" applyFont="1"/>
    <xf numFmtId="0" fontId="70" fillId="32" borderId="2" xfId="0" applyFont="1" applyFill="1" applyBorder="1" applyAlignment="1">
      <alignment horizontal="center" vertical="center" wrapText="1"/>
    </xf>
    <xf numFmtId="0" fontId="69" fillId="32" borderId="2" xfId="0" applyFont="1" applyFill="1" applyBorder="1" applyAlignment="1">
      <alignment horizontal="center" vertical="center" wrapText="1"/>
    </xf>
    <xf numFmtId="16" fontId="69" fillId="32" borderId="2" xfId="0" applyNumberFormat="1" applyFont="1" applyFill="1" applyBorder="1" applyAlignment="1">
      <alignment horizontal="center" vertical="center" wrapText="1"/>
    </xf>
    <xf numFmtId="12" fontId="69" fillId="32" borderId="2" xfId="0" applyNumberFormat="1" applyFont="1" applyFill="1" applyBorder="1" applyAlignment="1">
      <alignment horizontal="center" vertical="center" wrapText="1"/>
    </xf>
    <xf numFmtId="0" fontId="71" fillId="32" borderId="31" xfId="0" applyFont="1" applyFill="1" applyBorder="1" applyAlignment="1">
      <alignment vertical="center" wrapText="1"/>
    </xf>
    <xf numFmtId="0" fontId="0" fillId="32" borderId="31" xfId="0" applyFill="1" applyBorder="1" applyAlignment="1">
      <alignment vertical="center" wrapText="1"/>
    </xf>
    <xf numFmtId="0" fontId="71" fillId="32" borderId="33" xfId="0" applyFont="1" applyFill="1" applyBorder="1" applyAlignment="1">
      <alignment vertical="center" wrapText="1"/>
    </xf>
    <xf numFmtId="0" fontId="72" fillId="0" borderId="0" xfId="0" applyFont="1" applyAlignment="1">
      <alignment vertical="center"/>
    </xf>
    <xf numFmtId="0" fontId="5" fillId="0" borderId="0" xfId="1" applyAlignment="1" applyProtection="1"/>
    <xf numFmtId="8" fontId="67" fillId="0" borderId="0" xfId="0" applyNumberFormat="1" applyFont="1"/>
    <xf numFmtId="0" fontId="34" fillId="10" borderId="0" xfId="62" applyFont="1" applyFill="1" applyAlignment="1">
      <alignment horizontal="center"/>
    </xf>
    <xf numFmtId="0" fontId="34" fillId="10" borderId="0" xfId="62" applyFont="1" applyFill="1" applyAlignment="1">
      <alignment horizontal="center" wrapText="1"/>
    </xf>
    <xf numFmtId="0" fontId="30" fillId="10" borderId="0" xfId="62" applyFont="1" applyFill="1" applyAlignment="1">
      <alignment horizontal="center" vertical="center"/>
    </xf>
    <xf numFmtId="0" fontId="6" fillId="10" borderId="0" xfId="62" applyFill="1" applyAlignment="1">
      <alignment horizontal="center" vertical="center" wrapText="1"/>
    </xf>
    <xf numFmtId="173" fontId="32" fillId="10" borderId="0" xfId="3" applyFont="1" applyFill="1" applyAlignment="1">
      <alignment horizontal="center" vertical="center" wrapText="1"/>
    </xf>
    <xf numFmtId="0" fontId="12" fillId="23" borderId="0" xfId="16" applyNumberFormat="1" applyFont="1" applyFill="1" applyAlignment="1">
      <alignment horizontal="left" vertical="center"/>
    </xf>
    <xf numFmtId="193" fontId="46" fillId="20" borderId="0" xfId="0" applyNumberFormat="1" applyFont="1" applyFill="1" applyAlignment="1">
      <alignment horizontal="center" vertical="center" wrapText="1"/>
    </xf>
    <xf numFmtId="10" fontId="46" fillId="20" borderId="0" xfId="63" applyNumberFormat="1" applyFont="1" applyFill="1" applyAlignment="1">
      <alignment horizontal="center" vertical="center" wrapText="1"/>
    </xf>
    <xf numFmtId="10" fontId="59" fillId="10" borderId="0" xfId="63" applyNumberFormat="1" applyFont="1" applyFill="1" applyAlignment="1">
      <alignment horizontal="center" vertical="center" wrapText="1"/>
    </xf>
    <xf numFmtId="0" fontId="48" fillId="16" borderId="74" xfId="0" applyFont="1" applyFill="1" applyBorder="1" applyAlignment="1">
      <alignment horizontal="center" vertical="center" wrapText="1"/>
    </xf>
    <xf numFmtId="0" fontId="48" fillId="16" borderId="10" xfId="0" applyFont="1" applyFill="1" applyBorder="1" applyAlignment="1">
      <alignment horizontal="center" vertical="center" wrapText="1"/>
    </xf>
    <xf numFmtId="0" fontId="48" fillId="16" borderId="41" xfId="0" applyFont="1" applyFill="1" applyBorder="1" applyAlignment="1">
      <alignment horizontal="center" vertical="center" wrapText="1"/>
    </xf>
    <xf numFmtId="193" fontId="46" fillId="20" borderId="37" xfId="0" applyNumberFormat="1" applyFont="1" applyFill="1" applyBorder="1" applyAlignment="1">
      <alignment horizontal="center" vertical="center" wrapText="1"/>
    </xf>
    <xf numFmtId="10" fontId="46" fillId="20" borderId="37" xfId="63" applyNumberFormat="1" applyFont="1" applyFill="1" applyBorder="1" applyAlignment="1">
      <alignment horizontal="center" vertical="center" wrapText="1"/>
    </xf>
    <xf numFmtId="10" fontId="46" fillId="20" borderId="38" xfId="63" applyNumberFormat="1" applyFont="1" applyFill="1" applyBorder="1" applyAlignment="1">
      <alignment horizontal="center" vertical="center" wrapText="1"/>
    </xf>
    <xf numFmtId="193" fontId="46" fillId="20" borderId="42" xfId="0" applyNumberFormat="1" applyFont="1" applyFill="1" applyBorder="1" applyAlignment="1">
      <alignment horizontal="center" vertical="center" wrapText="1"/>
    </xf>
    <xf numFmtId="193" fontId="46" fillId="20" borderId="39" xfId="0" applyNumberFormat="1" applyFont="1" applyFill="1" applyBorder="1" applyAlignment="1">
      <alignment horizontal="center" vertical="center" wrapText="1"/>
    </xf>
    <xf numFmtId="193" fontId="46" fillId="20" borderId="40" xfId="0" applyNumberFormat="1" applyFont="1" applyFill="1" applyBorder="1" applyAlignment="1">
      <alignment horizontal="center" vertical="center" wrapText="1"/>
    </xf>
    <xf numFmtId="185" fontId="6" fillId="0" borderId="0" xfId="15" applyNumberFormat="1" applyAlignment="1">
      <alignment horizontal="center" vertical="center" wrapText="1"/>
    </xf>
    <xf numFmtId="188" fontId="6" fillId="12" borderId="0" xfId="20" applyNumberFormat="1" applyFont="1" applyFill="1" applyAlignment="1">
      <alignment horizontal="right" vertical="center"/>
    </xf>
    <xf numFmtId="0" fontId="9" fillId="10" borderId="0" xfId="26" applyFont="1" applyFill="1" applyBorder="1" applyAlignment="1">
      <alignment horizontal="center" vertical="center"/>
    </xf>
    <xf numFmtId="0" fontId="15" fillId="10" borderId="0" xfId="26" applyFont="1" applyFill="1" applyBorder="1" applyAlignment="1">
      <alignment horizontal="center" vertical="center" wrapText="1"/>
    </xf>
    <xf numFmtId="0" fontId="12" fillId="0" borderId="0" xfId="0" applyFont="1" applyBorder="1" applyAlignment="1">
      <alignment horizontal="center" vertical="center" wrapText="1"/>
    </xf>
    <xf numFmtId="187" fontId="28" fillId="9" borderId="0" xfId="0" applyNumberFormat="1" applyFont="1" applyFill="1" applyBorder="1" applyAlignment="1">
      <alignment horizontal="right" vertical="center"/>
    </xf>
    <xf numFmtId="187" fontId="6" fillId="10" borderId="0" xfId="2" applyNumberFormat="1" applyFont="1" applyFill="1" applyBorder="1" applyAlignment="1">
      <alignment horizontal="right" vertical="center"/>
    </xf>
    <xf numFmtId="187" fontId="56" fillId="10" borderId="0" xfId="2" applyNumberFormat="1" applyFont="1" applyFill="1" applyBorder="1" applyAlignment="1">
      <alignment horizontal="right" vertical="center"/>
    </xf>
    <xf numFmtId="189" fontId="54" fillId="10" borderId="0" xfId="58" applyNumberFormat="1" applyFont="1" applyFill="1" applyBorder="1" applyAlignment="1">
      <alignment horizontal="right" vertical="center"/>
    </xf>
    <xf numFmtId="189" fontId="56" fillId="10" borderId="0" xfId="58" applyNumberFormat="1" applyFont="1" applyFill="1" applyBorder="1" applyAlignment="1">
      <alignment horizontal="right" vertical="center"/>
    </xf>
    <xf numFmtId="189" fontId="6" fillId="10" borderId="0" xfId="58" applyNumberFormat="1" applyFont="1" applyFill="1" applyBorder="1" applyAlignment="1">
      <alignment horizontal="right" vertical="center"/>
    </xf>
    <xf numFmtId="189" fontId="55" fillId="10" borderId="0" xfId="58" applyNumberFormat="1" applyFont="1" applyFill="1" applyBorder="1" applyAlignment="1">
      <alignment horizontal="right" vertical="center"/>
    </xf>
    <xf numFmtId="189" fontId="60" fillId="10" borderId="0" xfId="58" applyNumberFormat="1" applyFont="1" applyFill="1" applyBorder="1" applyAlignment="1">
      <alignment horizontal="right" vertical="center"/>
    </xf>
    <xf numFmtId="187" fontId="38" fillId="26" borderId="0" xfId="2" applyNumberFormat="1" applyFont="1" applyFill="1" applyBorder="1" applyAlignment="1">
      <alignment horizontal="right" vertical="center"/>
    </xf>
    <xf numFmtId="187" fontId="58" fillId="10" borderId="0" xfId="2" applyNumberFormat="1" applyFont="1" applyFill="1" applyBorder="1" applyAlignment="1">
      <alignment horizontal="right" vertical="center"/>
    </xf>
    <xf numFmtId="188" fontId="54" fillId="10" borderId="0" xfId="17" applyNumberFormat="1" applyFont="1" applyFill="1" applyBorder="1" applyAlignment="1">
      <alignment horizontal="right" vertical="center"/>
    </xf>
    <xf numFmtId="175" fontId="16" fillId="14" borderId="0" xfId="2" applyNumberFormat="1" applyFont="1" applyFill="1"/>
    <xf numFmtId="175" fontId="16" fillId="14" borderId="0" xfId="17" applyNumberFormat="1" applyFont="1" applyFill="1"/>
    <xf numFmtId="175" fontId="15" fillId="14" borderId="0" xfId="17" applyNumberFormat="1" applyFont="1" applyFill="1" applyAlignment="1">
      <alignment horizontal="right" vertical="center"/>
    </xf>
    <xf numFmtId="175" fontId="16" fillId="10" borderId="0" xfId="2" applyNumberFormat="1" applyFont="1" applyFill="1" applyAlignment="1">
      <alignment horizontal="right" vertical="center"/>
    </xf>
    <xf numFmtId="175" fontId="16" fillId="10" borderId="0" xfId="17" applyNumberFormat="1" applyFont="1" applyFill="1" applyAlignment="1">
      <alignment horizontal="right" vertical="center"/>
    </xf>
    <xf numFmtId="175" fontId="6" fillId="10" borderId="0" xfId="2" applyNumberFormat="1" applyFont="1" applyFill="1" applyAlignment="1">
      <alignment horizontal="right" vertical="center"/>
    </xf>
    <xf numFmtId="175" fontId="6" fillId="10" borderId="0" xfId="17" applyNumberFormat="1" applyFont="1" applyFill="1" applyAlignment="1">
      <alignment horizontal="right" vertical="center"/>
    </xf>
    <xf numFmtId="175" fontId="16" fillId="10" borderId="0" xfId="2" applyNumberFormat="1" applyFont="1" applyFill="1"/>
    <xf numFmtId="175" fontId="16" fillId="10" borderId="0" xfId="17" applyNumberFormat="1" applyFont="1" applyFill="1"/>
    <xf numFmtId="175" fontId="15" fillId="10" borderId="0" xfId="17" applyNumberFormat="1" applyFont="1" applyFill="1"/>
    <xf numFmtId="175" fontId="42" fillId="10" borderId="0" xfId="17" applyNumberFormat="1" applyFont="1" applyFill="1"/>
    <xf numFmtId="188" fontId="73" fillId="10" borderId="0" xfId="17" applyNumberFormat="1" applyFont="1" applyFill="1" applyAlignment="1">
      <alignment horizontal="right" vertical="center"/>
    </xf>
    <xf numFmtId="189" fontId="16" fillId="10" borderId="9" xfId="17" applyNumberFormat="1" applyFont="1" applyFill="1" applyBorder="1" applyAlignment="1">
      <alignment horizontal="center" vertical="center"/>
    </xf>
    <xf numFmtId="0" fontId="29" fillId="10" borderId="35" xfId="26" applyFont="1" applyFill="1" applyBorder="1" applyAlignment="1">
      <alignment vertical="center"/>
    </xf>
    <xf numFmtId="0" fontId="29" fillId="10" borderId="54" xfId="26" applyFont="1" applyFill="1" applyBorder="1" applyAlignment="1">
      <alignment vertical="center"/>
    </xf>
    <xf numFmtId="0" fontId="9" fillId="10" borderId="0" xfId="26" applyFont="1" applyFill="1" applyBorder="1" applyAlignment="1">
      <alignment vertical="center"/>
    </xf>
    <xf numFmtId="190" fontId="28" fillId="0" borderId="0" xfId="26" applyNumberFormat="1" applyFont="1" applyAlignment="1">
      <alignment horizontal="center"/>
    </xf>
    <xf numFmtId="0" fontId="76" fillId="10" borderId="0" xfId="26" applyFont="1" applyFill="1" applyBorder="1" applyAlignment="1">
      <alignment vertical="center"/>
    </xf>
    <xf numFmtId="187" fontId="42" fillId="0" borderId="0" xfId="2" applyNumberFormat="1" applyFont="1" applyAlignment="1">
      <alignment horizontal="right" vertical="center"/>
    </xf>
    <xf numFmtId="0" fontId="15" fillId="9" borderId="9" xfId="0" applyFont="1" applyFill="1" applyBorder="1" applyAlignment="1">
      <alignment horizontal="center" vertical="center"/>
    </xf>
    <xf numFmtId="186" fontId="16" fillId="10" borderId="0" xfId="0" applyNumberFormat="1" applyFont="1" applyFill="1" applyBorder="1" applyAlignment="1">
      <alignment horizontal="center" vertical="center"/>
    </xf>
    <xf numFmtId="186" fontId="16" fillId="10" borderId="80" xfId="0" applyNumberFormat="1" applyFont="1" applyFill="1" applyBorder="1" applyAlignment="1">
      <alignment horizontal="center" vertical="center"/>
    </xf>
    <xf numFmtId="164" fontId="16" fillId="10" borderId="0" xfId="0" applyNumberFormat="1" applyFont="1" applyFill="1" applyBorder="1" applyAlignment="1">
      <alignment vertical="center"/>
    </xf>
    <xf numFmtId="201" fontId="12" fillId="15" borderId="10" xfId="2" applyNumberFormat="1" applyFont="1" applyFill="1" applyBorder="1" applyAlignment="1">
      <alignment horizontal="center" vertical="center" wrapText="1"/>
    </xf>
    <xf numFmtId="201" fontId="12" fillId="27" borderId="0" xfId="0" applyNumberFormat="1" applyFont="1" applyFill="1" applyAlignment="1">
      <alignment horizontal="center" vertical="center" wrapText="1"/>
    </xf>
    <xf numFmtId="201" fontId="12" fillId="14" borderId="0" xfId="0" applyNumberFormat="1" applyFont="1" applyFill="1" applyAlignment="1">
      <alignment horizontal="center" vertical="center"/>
    </xf>
    <xf numFmtId="201" fontId="12" fillId="11" borderId="10" xfId="0" applyNumberFormat="1" applyFont="1" applyFill="1" applyBorder="1" applyAlignment="1">
      <alignment horizontal="center" vertical="center" wrapText="1"/>
    </xf>
    <xf numFmtId="201" fontId="16" fillId="10" borderId="79" xfId="0" applyNumberFormat="1" applyFont="1" applyFill="1" applyBorder="1" applyAlignment="1">
      <alignment horizontal="center" vertical="center"/>
    </xf>
    <xf numFmtId="201" fontId="6" fillId="10" borderId="0" xfId="0" applyNumberFormat="1" applyFont="1" applyFill="1" applyAlignment="1">
      <alignment horizontal="center" vertical="center" wrapText="1"/>
    </xf>
    <xf numFmtId="201" fontId="6" fillId="0" borderId="0" xfId="0" applyNumberFormat="1" applyFont="1" applyAlignment="1">
      <alignment horizontal="center" vertical="center" wrapText="1"/>
    </xf>
    <xf numFmtId="201" fontId="16" fillId="10" borderId="0" xfId="0" applyNumberFormat="1" applyFont="1" applyFill="1" applyBorder="1" applyAlignment="1">
      <alignment horizontal="center" vertical="center"/>
    </xf>
    <xf numFmtId="0" fontId="12" fillId="34" borderId="0" xfId="0" applyNumberFormat="1" applyFont="1" applyFill="1" applyBorder="1" applyAlignment="1" applyProtection="1">
      <alignment horizontal="left" vertical="center" wrapText="1"/>
    </xf>
    <xf numFmtId="0" fontId="6" fillId="34" borderId="0" xfId="0" applyNumberFormat="1" applyFont="1" applyFill="1" applyBorder="1" applyAlignment="1" applyProtection="1">
      <alignment horizontal="center"/>
    </xf>
    <xf numFmtId="0" fontId="6" fillId="34" borderId="0" xfId="0" applyNumberFormat="1" applyFont="1" applyFill="1" applyBorder="1" applyAlignment="1" applyProtection="1"/>
    <xf numFmtId="188" fontId="6" fillId="34" borderId="0" xfId="17" applyNumberFormat="1" applyFont="1" applyFill="1" applyBorder="1" applyAlignment="1" applyProtection="1"/>
    <xf numFmtId="0" fontId="12" fillId="14" borderId="0" xfId="0" applyFont="1" applyFill="1" applyBorder="1" applyAlignment="1">
      <alignment horizontal="left" vertical="center" wrapText="1"/>
    </xf>
    <xf numFmtId="0" fontId="12" fillId="14" borderId="0" xfId="0" applyFont="1" applyFill="1" applyBorder="1" applyAlignment="1">
      <alignment horizontal="center" vertical="center"/>
    </xf>
    <xf numFmtId="0" fontId="6" fillId="14" borderId="0" xfId="0" applyNumberFormat="1" applyFont="1" applyFill="1" applyBorder="1" applyAlignment="1" applyProtection="1"/>
    <xf numFmtId="188" fontId="6" fillId="14" borderId="0" xfId="17" applyNumberFormat="1" applyFont="1" applyFill="1" applyBorder="1" applyAlignment="1" applyProtection="1"/>
    <xf numFmtId="188" fontId="12" fillId="14" borderId="0" xfId="17" applyNumberFormat="1" applyFont="1" applyFill="1" applyBorder="1" applyAlignment="1">
      <alignment horizontal="right" vertical="center"/>
    </xf>
    <xf numFmtId="0" fontId="6" fillId="10" borderId="0" xfId="0" applyFont="1" applyFill="1" applyBorder="1" applyAlignment="1">
      <alignment horizontal="center" vertical="center"/>
    </xf>
    <xf numFmtId="175" fontId="6" fillId="10" borderId="0" xfId="2" applyFont="1" applyFill="1" applyBorder="1" applyAlignment="1">
      <alignment horizontal="right" vertical="center"/>
    </xf>
    <xf numFmtId="188" fontId="6" fillId="10" borderId="0" xfId="17" applyNumberFormat="1" applyFont="1" applyFill="1" applyBorder="1" applyAlignment="1">
      <alignment horizontal="right" vertical="center"/>
    </xf>
    <xf numFmtId="0" fontId="6" fillId="10" borderId="0" xfId="0" applyFont="1" applyFill="1" applyBorder="1" applyAlignment="1">
      <alignment horizontal="left" vertical="center" wrapText="1"/>
    </xf>
    <xf numFmtId="0" fontId="6" fillId="10" borderId="0" xfId="0" applyNumberFormat="1" applyFont="1" applyFill="1" applyBorder="1" applyAlignment="1" applyProtection="1">
      <alignment horizontal="left" vertical="center" wrapText="1"/>
    </xf>
    <xf numFmtId="188" fontId="6" fillId="10" borderId="0" xfId="17" applyNumberFormat="1" applyFont="1" applyFill="1" applyBorder="1" applyAlignment="1" applyProtection="1"/>
    <xf numFmtId="188" fontId="16" fillId="10" borderId="0" xfId="17" applyNumberFormat="1" applyFont="1" applyFill="1" applyBorder="1" applyAlignment="1" applyProtection="1"/>
    <xf numFmtId="49" fontId="49" fillId="10" borderId="0" xfId="0" applyNumberFormat="1" applyFont="1" applyFill="1" applyBorder="1" applyAlignment="1">
      <alignment horizontal="left" vertical="center" wrapText="1"/>
    </xf>
    <xf numFmtId="49" fontId="49" fillId="10" borderId="0" xfId="0" applyNumberFormat="1" applyFont="1" applyFill="1" applyBorder="1" applyAlignment="1">
      <alignment horizontal="center"/>
    </xf>
    <xf numFmtId="188" fontId="49" fillId="10" borderId="0" xfId="17" applyNumberFormat="1" applyFont="1" applyFill="1" applyBorder="1" applyAlignment="1">
      <alignment horizontal="right"/>
    </xf>
    <xf numFmtId="0" fontId="6" fillId="10" borderId="0" xfId="0" applyNumberFormat="1" applyFont="1" applyFill="1" applyBorder="1" applyAlignment="1" applyProtection="1">
      <alignment horizontal="justify" vertical="center" wrapText="1"/>
    </xf>
    <xf numFmtId="189" fontId="6" fillId="10" borderId="0" xfId="17" applyNumberFormat="1" applyFont="1" applyFill="1" applyBorder="1" applyAlignment="1">
      <alignment horizontal="right" vertical="center"/>
    </xf>
    <xf numFmtId="202" fontId="49" fillId="10" borderId="0" xfId="0" applyNumberFormat="1" applyFont="1" applyFill="1" applyBorder="1" applyAlignment="1">
      <alignment horizontal="right"/>
    </xf>
    <xf numFmtId="0" fontId="6" fillId="10" borderId="0" xfId="0" applyNumberFormat="1" applyFont="1" applyFill="1" applyBorder="1" applyAlignment="1" applyProtection="1">
      <alignment horizontal="left" vertical="top" wrapText="1"/>
    </xf>
    <xf numFmtId="175" fontId="6" fillId="0" borderId="0" xfId="2" applyFont="1" applyAlignment="1">
      <alignment horizontal="left" vertical="top" wrapText="1"/>
    </xf>
    <xf numFmtId="201" fontId="12" fillId="10" borderId="0" xfId="2" applyNumberFormat="1" applyFont="1" applyFill="1" applyAlignment="1">
      <alignment horizontal="center" vertical="center" wrapText="1"/>
    </xf>
    <xf numFmtId="201" fontId="12" fillId="0" borderId="0" xfId="2" applyNumberFormat="1" applyFont="1" applyAlignment="1">
      <alignment horizontal="center" vertical="center" wrapText="1"/>
    </xf>
    <xf numFmtId="201" fontId="12" fillId="34" borderId="0" xfId="0" applyNumberFormat="1" applyFont="1" applyFill="1" applyBorder="1" applyAlignment="1" applyProtection="1">
      <alignment horizontal="center" vertical="center" wrapText="1"/>
    </xf>
    <xf numFmtId="201" fontId="15" fillId="14" borderId="0" xfId="0" applyNumberFormat="1" applyFont="1" applyFill="1" applyBorder="1" applyAlignment="1" applyProtection="1">
      <alignment horizontal="center" vertical="center"/>
    </xf>
    <xf numFmtId="201" fontId="6" fillId="10" borderId="0" xfId="0" applyNumberFormat="1" applyFont="1" applyFill="1" applyBorder="1" applyAlignment="1" applyProtection="1">
      <alignment horizontal="center" vertical="center" wrapText="1"/>
    </xf>
    <xf numFmtId="201" fontId="12" fillId="10" borderId="0" xfId="2" applyNumberFormat="1" applyFont="1" applyFill="1" applyBorder="1" applyAlignment="1" applyProtection="1">
      <alignment horizontal="center" vertical="center" wrapText="1"/>
    </xf>
    <xf numFmtId="195" fontId="15" fillId="14" borderId="0" xfId="0" applyNumberFormat="1" applyFont="1" applyFill="1" applyBorder="1" applyAlignment="1" applyProtection="1">
      <alignment horizontal="center" vertical="center"/>
    </xf>
    <xf numFmtId="195" fontId="12" fillId="10" borderId="0" xfId="2" applyNumberFormat="1" applyFont="1" applyFill="1" applyBorder="1" applyAlignment="1" applyProtection="1">
      <alignment horizontal="center" vertical="center" wrapText="1"/>
    </xf>
    <xf numFmtId="174" fontId="6" fillId="10" borderId="0" xfId="16" applyFont="1" applyFill="1" applyBorder="1" applyAlignment="1">
      <alignment horizontal="center" vertical="center"/>
    </xf>
    <xf numFmtId="195" fontId="16" fillId="10" borderId="81" xfId="0" applyNumberFormat="1" applyFont="1" applyFill="1" applyBorder="1" applyAlignment="1">
      <alignment horizontal="center" vertical="center"/>
    </xf>
    <xf numFmtId="195" fontId="16" fillId="10" borderId="0" xfId="0" applyNumberFormat="1" applyFont="1" applyFill="1" applyBorder="1" applyAlignment="1">
      <alignment horizontal="center" vertical="center"/>
    </xf>
    <xf numFmtId="195" fontId="16" fillId="10" borderId="0" xfId="0" applyNumberFormat="1" applyFont="1" applyFill="1" applyAlignment="1">
      <alignment horizontal="center" vertical="center"/>
    </xf>
    <xf numFmtId="195" fontId="16" fillId="0" borderId="0" xfId="0" applyNumberFormat="1" applyFont="1" applyAlignment="1">
      <alignment horizontal="center" vertical="center"/>
    </xf>
    <xf numFmtId="0" fontId="6" fillId="0" borderId="0" xfId="0" applyFont="1" applyAlignment="1">
      <alignment horizontal="justify" vertical="top" wrapText="1"/>
    </xf>
    <xf numFmtId="10" fontId="16" fillId="0" borderId="0" xfId="0" applyNumberFormat="1" applyFont="1" applyAlignment="1">
      <alignment horizontal="center" vertical="center"/>
    </xf>
    <xf numFmtId="201" fontId="12" fillId="11" borderId="35" xfId="0" applyNumberFormat="1" applyFont="1" applyFill="1" applyBorder="1" applyAlignment="1">
      <alignment horizontal="center" vertical="center" wrapText="1"/>
    </xf>
    <xf numFmtId="0" fontId="16" fillId="9" borderId="11" xfId="0" applyFont="1" applyFill="1" applyBorder="1" applyAlignment="1">
      <alignment horizontal="center"/>
    </xf>
    <xf numFmtId="195" fontId="16" fillId="9" borderId="11" xfId="0" applyNumberFormat="1" applyFont="1" applyFill="1" applyBorder="1" applyAlignment="1">
      <alignment horizontal="center" vertical="center"/>
    </xf>
    <xf numFmtId="187" fontId="6" fillId="9" borderId="11" xfId="2" applyNumberFormat="1" applyFont="1" applyFill="1" applyBorder="1"/>
    <xf numFmtId="164" fontId="15" fillId="9" borderId="9" xfId="0" applyNumberFormat="1" applyFont="1" applyFill="1" applyBorder="1" applyAlignment="1">
      <alignment vertical="center"/>
    </xf>
    <xf numFmtId="164" fontId="15" fillId="9" borderId="37" xfId="0" applyNumberFormat="1" applyFont="1" applyFill="1" applyBorder="1" applyAlignment="1">
      <alignment vertical="center"/>
    </xf>
    <xf numFmtId="174" fontId="12" fillId="9" borderId="9" xfId="16" applyFont="1" applyFill="1" applyBorder="1" applyAlignment="1">
      <alignment horizontal="center" vertical="center"/>
    </xf>
    <xf numFmtId="174" fontId="12" fillId="9" borderId="37" xfId="16" applyFont="1" applyFill="1" applyBorder="1" applyAlignment="1">
      <alignment horizontal="center" vertical="center"/>
    </xf>
    <xf numFmtId="164" fontId="15" fillId="9" borderId="11" xfId="0" applyNumberFormat="1" applyFont="1" applyFill="1" applyBorder="1" applyAlignment="1">
      <alignment vertical="center"/>
    </xf>
    <xf numFmtId="0" fontId="15" fillId="10" borderId="0" xfId="0" applyFont="1" applyFill="1" applyAlignment="1">
      <alignment vertical="center"/>
    </xf>
    <xf numFmtId="10" fontId="16" fillId="10" borderId="0" xfId="0" applyNumberFormat="1" applyFont="1" applyFill="1" applyBorder="1" applyAlignment="1">
      <alignment horizontal="center" vertical="center"/>
    </xf>
    <xf numFmtId="10" fontId="16" fillId="0" borderId="0" xfId="0" applyNumberFormat="1" applyFont="1" applyFill="1" applyAlignment="1">
      <alignment horizontal="center" vertical="center"/>
    </xf>
    <xf numFmtId="10" fontId="45" fillId="9" borderId="14" xfId="0" applyNumberFormat="1" applyFont="1" applyFill="1" applyBorder="1" applyAlignment="1">
      <alignment horizontal="center" vertical="center"/>
    </xf>
    <xf numFmtId="10" fontId="45" fillId="9" borderId="11" xfId="0" applyNumberFormat="1" applyFont="1" applyFill="1" applyBorder="1" applyAlignment="1">
      <alignment horizontal="center" vertical="center"/>
    </xf>
    <xf numFmtId="10" fontId="45" fillId="9" borderId="10" xfId="0" applyNumberFormat="1" applyFont="1" applyFill="1" applyBorder="1" applyAlignment="1">
      <alignment horizontal="center" vertical="center"/>
    </xf>
    <xf numFmtId="10" fontId="16" fillId="10" borderId="0" xfId="0" applyNumberFormat="1" applyFont="1" applyFill="1" applyBorder="1" applyAlignment="1">
      <alignment vertical="center"/>
    </xf>
    <xf numFmtId="10" fontId="16" fillId="10" borderId="27" xfId="0" applyNumberFormat="1" applyFont="1" applyFill="1" applyBorder="1" applyAlignment="1">
      <alignment vertical="center"/>
    </xf>
    <xf numFmtId="0" fontId="80" fillId="0" borderId="9" xfId="0" applyFont="1" applyBorder="1" applyAlignment="1">
      <alignment horizontal="center" vertical="center"/>
    </xf>
    <xf numFmtId="185" fontId="12" fillId="0" borderId="0" xfId="2" applyNumberFormat="1" applyFont="1" applyAlignment="1">
      <alignment horizontal="left" vertical="top" wrapText="1"/>
    </xf>
    <xf numFmtId="185" fontId="12" fillId="10" borderId="0" xfId="2" applyNumberFormat="1" applyFont="1" applyFill="1" applyAlignment="1">
      <alignment horizontal="left" vertical="top" wrapText="1"/>
    </xf>
    <xf numFmtId="195" fontId="12" fillId="14" borderId="0" xfId="0" applyNumberFormat="1" applyFont="1" applyFill="1" applyAlignment="1">
      <alignment horizontal="center" vertical="center"/>
    </xf>
    <xf numFmtId="0" fontId="80" fillId="9" borderId="0" xfId="0" applyFont="1" applyFill="1"/>
    <xf numFmtId="0" fontId="77" fillId="9" borderId="37" xfId="0" applyFont="1" applyFill="1" applyBorder="1" applyAlignment="1">
      <alignment horizontal="center" vertical="center" wrapText="1"/>
    </xf>
    <xf numFmtId="0" fontId="78" fillId="17" borderId="12" xfId="0" applyFont="1" applyFill="1" applyBorder="1" applyAlignment="1">
      <alignment horizontal="center" vertical="center"/>
    </xf>
    <xf numFmtId="0" fontId="78" fillId="17" borderId="9" xfId="0" applyFont="1" applyFill="1" applyBorder="1" applyAlignment="1">
      <alignment horizontal="center" vertical="center"/>
    </xf>
    <xf numFmtId="0" fontId="78" fillId="17" borderId="11" xfId="0" applyFont="1" applyFill="1" applyBorder="1" applyAlignment="1">
      <alignment horizontal="center" vertical="center"/>
    </xf>
    <xf numFmtId="0" fontId="78" fillId="17" borderId="10" xfId="0" applyFont="1" applyFill="1" applyBorder="1" applyAlignment="1">
      <alignment horizontal="center" vertical="center"/>
    </xf>
    <xf numFmtId="10" fontId="15" fillId="17" borderId="0" xfId="0" applyNumberFormat="1" applyFont="1" applyFill="1" applyBorder="1" applyAlignment="1">
      <alignment vertical="center"/>
    </xf>
    <xf numFmtId="0" fontId="16" fillId="17" borderId="9" xfId="0" applyFont="1" applyFill="1" applyBorder="1"/>
    <xf numFmtId="0" fontId="15" fillId="9" borderId="0" xfId="0" applyFont="1" applyFill="1" applyAlignment="1">
      <alignment horizontal="center" vertical="center"/>
    </xf>
    <xf numFmtId="10" fontId="45" fillId="0" borderId="0" xfId="0" applyNumberFormat="1" applyFont="1" applyFill="1" applyBorder="1" applyAlignment="1">
      <alignment vertical="center"/>
    </xf>
    <xf numFmtId="0" fontId="16" fillId="0" borderId="0" xfId="0" applyFont="1" applyFill="1" applyBorder="1"/>
    <xf numFmtId="0" fontId="16" fillId="0" borderId="54" xfId="0" applyFont="1" applyFill="1" applyBorder="1"/>
    <xf numFmtId="0" fontId="12" fillId="9" borderId="11" xfId="0" applyFont="1" applyFill="1" applyBorder="1" applyAlignment="1">
      <alignment vertical="center" wrapText="1"/>
    </xf>
    <xf numFmtId="0" fontId="12" fillId="9" borderId="12" xfId="0" applyFont="1" applyFill="1" applyBorder="1" applyAlignment="1">
      <alignment vertical="center" wrapText="1"/>
    </xf>
    <xf numFmtId="201" fontId="6" fillId="10" borderId="35" xfId="0" applyNumberFormat="1" applyFont="1" applyFill="1" applyBorder="1" applyAlignment="1">
      <alignment horizontal="center" vertical="center" wrapText="1"/>
    </xf>
    <xf numFmtId="201" fontId="6" fillId="10" borderId="27" xfId="0" applyNumberFormat="1" applyFont="1" applyFill="1" applyBorder="1" applyAlignment="1">
      <alignment horizontal="center" vertical="center" wrapText="1"/>
    </xf>
    <xf numFmtId="10" fontId="16" fillId="10" borderId="26" xfId="0" applyNumberFormat="1" applyFont="1" applyFill="1" applyBorder="1" applyAlignment="1">
      <alignment horizontal="center" vertical="center"/>
    </xf>
    <xf numFmtId="10" fontId="45" fillId="9" borderId="13" xfId="0" applyNumberFormat="1" applyFont="1" applyFill="1" applyBorder="1" applyAlignment="1">
      <alignment horizontal="center" vertical="center"/>
    </xf>
    <xf numFmtId="10" fontId="45" fillId="0" borderId="11" xfId="0" applyNumberFormat="1" applyFont="1" applyBorder="1" applyAlignment="1">
      <alignment horizontal="center" vertical="center"/>
    </xf>
    <xf numFmtId="10" fontId="42" fillId="10" borderId="11" xfId="0" applyNumberFormat="1" applyFont="1" applyFill="1" applyBorder="1" applyAlignment="1">
      <alignment horizontal="center" vertical="center"/>
    </xf>
    <xf numFmtId="0" fontId="15" fillId="9" borderId="9" xfId="0" applyFont="1" applyFill="1" applyBorder="1" applyAlignment="1">
      <alignment horizontal="center" vertical="center"/>
    </xf>
    <xf numFmtId="0" fontId="81" fillId="0" borderId="20" xfId="74" applyNumberFormat="1" applyFont="1" applyFill="1" applyBorder="1" applyAlignment="1" applyProtection="1">
      <alignment horizontal="center" vertical="center"/>
    </xf>
    <xf numFmtId="10" fontId="81" fillId="0" borderId="21" xfId="0" applyNumberFormat="1" applyFont="1" applyBorder="1" applyAlignment="1">
      <alignment horizontal="center" vertical="center"/>
    </xf>
    <xf numFmtId="0" fontId="81" fillId="0" borderId="23" xfId="74" applyNumberFormat="1" applyFont="1" applyFill="1" applyBorder="1" applyAlignment="1" applyProtection="1">
      <alignment horizontal="center" vertical="center"/>
    </xf>
    <xf numFmtId="0" fontId="83" fillId="33" borderId="12" xfId="0" applyFont="1" applyFill="1" applyBorder="1" applyAlignment="1">
      <alignment horizontal="center" vertical="center"/>
    </xf>
    <xf numFmtId="0" fontId="83" fillId="0" borderId="9" xfId="0" applyFont="1" applyBorder="1" applyAlignment="1">
      <alignment horizontal="center" vertical="center"/>
    </xf>
    <xf numFmtId="0" fontId="83" fillId="0" borderId="12" xfId="0" applyFont="1" applyBorder="1" applyAlignment="1">
      <alignment horizontal="center" vertical="center"/>
    </xf>
    <xf numFmtId="0" fontId="83" fillId="33" borderId="9" xfId="0" applyFont="1" applyFill="1" applyBorder="1" applyAlignment="1">
      <alignment horizontal="center" vertical="center"/>
    </xf>
    <xf numFmtId="0" fontId="83" fillId="10" borderId="9" xfId="0" applyFont="1" applyFill="1" applyBorder="1" applyAlignment="1">
      <alignment horizontal="center" vertical="center"/>
    </xf>
    <xf numFmtId="10" fontId="81" fillId="0" borderId="6" xfId="0" applyNumberFormat="1" applyFont="1" applyBorder="1" applyAlignment="1">
      <alignment horizontal="center" vertical="center"/>
    </xf>
    <xf numFmtId="0" fontId="81" fillId="0" borderId="8" xfId="74" applyNumberFormat="1" applyFont="1" applyFill="1" applyBorder="1" applyAlignment="1" applyProtection="1">
      <alignment horizontal="center" vertical="center"/>
    </xf>
    <xf numFmtId="0" fontId="83" fillId="0" borderId="9" xfId="0" applyFont="1" applyFill="1" applyBorder="1" applyAlignment="1">
      <alignment horizontal="center" vertical="center"/>
    </xf>
    <xf numFmtId="0" fontId="16" fillId="10" borderId="0" xfId="26" applyFont="1" applyFill="1"/>
    <xf numFmtId="172" fontId="12" fillId="10" borderId="0" xfId="17" applyFont="1" applyFill="1" applyAlignment="1">
      <alignment horizontal="right" vertical="center"/>
    </xf>
    <xf numFmtId="172" fontId="45" fillId="10" borderId="0" xfId="17" applyFont="1" applyFill="1" applyAlignment="1">
      <alignment horizontal="right" vertical="center"/>
    </xf>
    <xf numFmtId="172" fontId="42" fillId="10" borderId="0" xfId="17" applyFont="1" applyFill="1" applyAlignment="1">
      <alignment horizontal="right" vertical="center"/>
    </xf>
    <xf numFmtId="186" fontId="15" fillId="35" borderId="0" xfId="0" applyNumberFormat="1" applyFont="1" applyFill="1" applyBorder="1" applyAlignment="1" applyProtection="1">
      <alignment horizontal="center" vertical="center"/>
    </xf>
    <xf numFmtId="0" fontId="12" fillId="35" borderId="0" xfId="0" applyFont="1" applyFill="1" applyBorder="1" applyAlignment="1">
      <alignment horizontal="left" vertical="center" wrapText="1"/>
    </xf>
    <xf numFmtId="0" fontId="12" fillId="35" borderId="0" xfId="0" applyFont="1" applyFill="1" applyBorder="1" applyAlignment="1">
      <alignment horizontal="center" vertical="center"/>
    </xf>
    <xf numFmtId="0" fontId="6" fillId="35" borderId="0" xfId="0" applyNumberFormat="1" applyFont="1" applyFill="1" applyBorder="1" applyAlignment="1" applyProtection="1">
      <alignment horizontal="center" vertical="center"/>
    </xf>
    <xf numFmtId="189" fontId="6" fillId="35" borderId="0" xfId="17" applyNumberFormat="1" applyFont="1" applyFill="1" applyBorder="1" applyAlignment="1" applyProtection="1"/>
    <xf numFmtId="188" fontId="12" fillId="35" borderId="0" xfId="17" applyNumberFormat="1" applyFont="1" applyFill="1" applyBorder="1" applyAlignment="1">
      <alignment horizontal="right" vertical="center"/>
    </xf>
    <xf numFmtId="0" fontId="16" fillId="10" borderId="0" xfId="58" applyNumberFormat="1" applyFont="1" applyFill="1" applyBorder="1" applyAlignment="1" applyProtection="1"/>
    <xf numFmtId="0" fontId="6" fillId="10" borderId="0" xfId="0" applyFont="1" applyFill="1" applyBorder="1" applyAlignment="1">
      <alignment horizontal="justify" vertical="center" wrapText="1"/>
    </xf>
    <xf numFmtId="175" fontId="6" fillId="10" borderId="0" xfId="8" applyFont="1" applyFill="1" applyBorder="1" applyAlignment="1">
      <alignment vertical="center"/>
    </xf>
    <xf numFmtId="189" fontId="6" fillId="10" borderId="0" xfId="18" applyNumberFormat="1" applyFont="1" applyFill="1" applyBorder="1" applyAlignment="1">
      <alignment horizontal="right" vertical="center"/>
    </xf>
    <xf numFmtId="2" fontId="15" fillId="35" borderId="0" xfId="0" applyNumberFormat="1" applyFont="1" applyFill="1" applyBorder="1" applyAlignment="1" applyProtection="1">
      <alignment horizontal="center" vertical="center"/>
    </xf>
    <xf numFmtId="186" fontId="15" fillId="35" borderId="0" xfId="0" applyNumberFormat="1" applyFont="1" applyFill="1" applyBorder="1" applyAlignment="1" applyProtection="1">
      <alignment horizontal="justify" vertical="center" wrapText="1"/>
    </xf>
    <xf numFmtId="0" fontId="6" fillId="35" borderId="0" xfId="0" applyNumberFormat="1" applyFont="1" applyFill="1" applyBorder="1" applyAlignment="1" applyProtection="1">
      <alignment vertical="center"/>
    </xf>
    <xf numFmtId="0" fontId="80" fillId="33" borderId="9" xfId="0" applyFont="1" applyFill="1" applyBorder="1" applyAlignment="1">
      <alignment horizontal="center" vertical="center"/>
    </xf>
    <xf numFmtId="0" fontId="81" fillId="0" borderId="38" xfId="74" applyNumberFormat="1" applyFont="1" applyFill="1" applyBorder="1" applyAlignment="1" applyProtection="1">
      <alignment horizontal="center" vertical="center"/>
    </xf>
    <xf numFmtId="195" fontId="9" fillId="9" borderId="9" xfId="0" applyNumberFormat="1" applyFont="1" applyFill="1" applyBorder="1" applyAlignment="1">
      <alignment vertical="center"/>
    </xf>
    <xf numFmtId="172" fontId="16" fillId="10" borderId="0" xfId="17" applyFont="1" applyFill="1" applyAlignment="1">
      <alignment horizontal="justify" vertical="top" wrapText="1"/>
    </xf>
    <xf numFmtId="172" fontId="56" fillId="10" borderId="0" xfId="17" applyFont="1" applyFill="1" applyAlignment="1">
      <alignment horizontal="right" vertical="center"/>
    </xf>
    <xf numFmtId="172" fontId="57" fillId="10" borderId="0" xfId="17" applyFont="1" applyFill="1" applyAlignment="1">
      <alignment horizontal="right" vertical="center"/>
    </xf>
    <xf numFmtId="188" fontId="56" fillId="10" borderId="0" xfId="17" applyNumberFormat="1" applyFont="1" applyFill="1" applyAlignment="1">
      <alignment horizontal="right" vertical="center"/>
    </xf>
    <xf numFmtId="195" fontId="6" fillId="14" borderId="0" xfId="0" applyNumberFormat="1" applyFont="1" applyFill="1" applyBorder="1" applyAlignment="1" applyProtection="1">
      <alignment horizontal="center" vertical="center"/>
    </xf>
    <xf numFmtId="201" fontId="6" fillId="10" borderId="0" xfId="27" applyNumberFormat="1" applyFont="1" applyFill="1" applyBorder="1" applyAlignment="1" applyProtection="1">
      <alignment horizontal="center" vertical="center"/>
    </xf>
    <xf numFmtId="0" fontId="6" fillId="10" borderId="0" xfId="0" applyFont="1" applyFill="1" applyBorder="1" applyAlignment="1">
      <alignment horizontal="left" vertical="top" wrapText="1"/>
    </xf>
    <xf numFmtId="195" fontId="6" fillId="10" borderId="0" xfId="8" applyNumberFormat="1" applyFont="1" applyFill="1" applyBorder="1" applyAlignment="1">
      <alignment horizontal="center" vertical="center"/>
    </xf>
    <xf numFmtId="0" fontId="6" fillId="10" borderId="0" xfId="0" applyFont="1" applyFill="1" applyAlignment="1">
      <alignment horizontal="center" vertical="center" wrapText="1"/>
    </xf>
    <xf numFmtId="0" fontId="6" fillId="0" borderId="45" xfId="0" applyFont="1" applyFill="1" applyBorder="1" applyAlignment="1">
      <alignment horizontal="left" vertical="center" wrapText="1"/>
    </xf>
    <xf numFmtId="0" fontId="6" fillId="0" borderId="45" xfId="0" applyFont="1" applyFill="1" applyBorder="1" applyAlignment="1">
      <alignment horizontal="center" vertical="center"/>
    </xf>
    <xf numFmtId="0" fontId="6" fillId="10" borderId="45" xfId="0" applyFont="1" applyFill="1" applyBorder="1" applyAlignment="1">
      <alignment horizontal="justify" vertical="center" wrapText="1"/>
    </xf>
    <xf numFmtId="187" fontId="6" fillId="0" borderId="45" xfId="2" applyNumberFormat="1" applyFont="1" applyBorder="1" applyAlignment="1">
      <alignment horizontal="right" vertical="center"/>
    </xf>
    <xf numFmtId="201" fontId="15" fillId="10" borderId="0" xfId="0" applyNumberFormat="1" applyFont="1" applyFill="1" applyBorder="1" applyAlignment="1" applyProtection="1">
      <alignment horizontal="center" vertical="center"/>
    </xf>
    <xf numFmtId="195" fontId="6" fillId="10" borderId="0" xfId="0" applyNumberFormat="1" applyFont="1" applyFill="1" applyBorder="1" applyAlignment="1" applyProtection="1"/>
    <xf numFmtId="0" fontId="12" fillId="14" borderId="0" xfId="0" applyFont="1" applyFill="1" applyBorder="1" applyAlignment="1">
      <alignment horizontal="fill" vertical="top" wrapText="1"/>
    </xf>
    <xf numFmtId="187" fontId="6" fillId="0" borderId="45" xfId="2" applyNumberFormat="1" applyFont="1" applyFill="1" applyBorder="1" applyAlignment="1">
      <alignment horizontal="right" vertical="center"/>
    </xf>
    <xf numFmtId="201" fontId="12" fillId="14" borderId="0" xfId="27" applyNumberFormat="1" applyFont="1" applyFill="1" applyBorder="1" applyAlignment="1" applyProtection="1">
      <alignment horizontal="center" vertical="center"/>
    </xf>
    <xf numFmtId="0" fontId="85" fillId="0" borderId="45" xfId="0" applyFont="1" applyBorder="1" applyAlignment="1">
      <alignment vertical="center"/>
    </xf>
    <xf numFmtId="0" fontId="28" fillId="9" borderId="9" xfId="0" applyFont="1" applyFill="1" applyBorder="1" applyAlignment="1">
      <alignment horizontal="center" vertical="center"/>
    </xf>
    <xf numFmtId="0" fontId="28" fillId="9" borderId="9" xfId="0" applyFont="1" applyFill="1" applyBorder="1" applyAlignment="1">
      <alignment horizontal="center" vertical="center" wrapText="1"/>
    </xf>
    <xf numFmtId="0" fontId="15" fillId="9" borderId="9" xfId="0" applyFont="1" applyFill="1" applyBorder="1" applyAlignment="1">
      <alignment horizontal="center" vertical="center"/>
    </xf>
    <xf numFmtId="49" fontId="86" fillId="10" borderId="0" xfId="76" applyNumberFormat="1" applyFont="1" applyFill="1" applyAlignment="1">
      <alignment horizontal="center" vertical="center"/>
    </xf>
    <xf numFmtId="2" fontId="86" fillId="10" borderId="0" xfId="76" applyNumberFormat="1" applyFont="1" applyFill="1" applyAlignment="1">
      <alignment horizontal="right" vertical="center"/>
    </xf>
    <xf numFmtId="189" fontId="86" fillId="10" borderId="0" xfId="76" applyNumberFormat="1" applyFont="1" applyFill="1" applyAlignment="1">
      <alignment horizontal="right" vertical="center"/>
    </xf>
    <xf numFmtId="0" fontId="81" fillId="0" borderId="70" xfId="74" applyNumberFormat="1" applyFont="1" applyFill="1" applyBorder="1" applyAlignment="1" applyProtection="1">
      <alignment horizontal="center" vertical="center"/>
    </xf>
    <xf numFmtId="10" fontId="15" fillId="13" borderId="10" xfId="0" applyNumberFormat="1" applyFont="1" applyFill="1" applyBorder="1" applyAlignment="1">
      <alignment horizontal="center" vertical="center"/>
    </xf>
    <xf numFmtId="10" fontId="15" fillId="13" borderId="11" xfId="0" applyNumberFormat="1" applyFont="1" applyFill="1" applyBorder="1" applyAlignment="1">
      <alignment horizontal="center" vertical="center"/>
    </xf>
    <xf numFmtId="195" fontId="15" fillId="13" borderId="11" xfId="0" applyNumberFormat="1" applyFont="1" applyFill="1" applyBorder="1" applyAlignment="1">
      <alignment horizontal="center" vertical="center"/>
    </xf>
    <xf numFmtId="0" fontId="15" fillId="13" borderId="11" xfId="0" applyFont="1" applyFill="1" applyBorder="1" applyAlignment="1">
      <alignment horizontal="center" vertical="center"/>
    </xf>
    <xf numFmtId="0" fontId="16" fillId="13" borderId="12" xfId="0" applyFont="1" applyFill="1" applyBorder="1"/>
    <xf numFmtId="203" fontId="15" fillId="9" borderId="9" xfId="0" applyNumberFormat="1" applyFont="1" applyFill="1" applyBorder="1" applyAlignment="1">
      <alignment horizontal="center" vertical="center"/>
    </xf>
    <xf numFmtId="178" fontId="16" fillId="0" borderId="0" xfId="0" applyNumberFormat="1" applyFont="1" applyAlignment="1">
      <alignment horizontal="left" vertical="center"/>
    </xf>
    <xf numFmtId="1" fontId="28" fillId="9" borderId="9" xfId="8" applyNumberFormat="1" applyFont="1" applyFill="1" applyBorder="1" applyAlignment="1">
      <alignment horizontal="center" vertical="center" wrapText="1"/>
    </xf>
    <xf numFmtId="10" fontId="16" fillId="10" borderId="0" xfId="0" applyNumberFormat="1" applyFont="1" applyFill="1" applyAlignment="1">
      <alignment horizontal="center" vertical="center"/>
    </xf>
    <xf numFmtId="2" fontId="87" fillId="10" borderId="0" xfId="76" applyNumberFormat="1" applyFont="1" applyFill="1" applyBorder="1" applyAlignment="1">
      <alignment vertical="center" wrapText="1"/>
    </xf>
    <xf numFmtId="2" fontId="86" fillId="10" borderId="0" xfId="76" applyNumberFormat="1" applyFont="1" applyFill="1" applyAlignment="1">
      <alignment vertical="center"/>
    </xf>
    <xf numFmtId="0" fontId="6" fillId="0" borderId="45" xfId="0" applyFont="1" applyBorder="1" applyAlignment="1">
      <alignment vertical="center" wrapText="1"/>
    </xf>
    <xf numFmtId="0" fontId="16" fillId="0" borderId="45" xfId="0" applyFont="1" applyBorder="1" applyAlignment="1">
      <alignment horizontal="center" vertical="center"/>
    </xf>
    <xf numFmtId="0" fontId="16" fillId="0" borderId="46" xfId="0" applyFont="1" applyBorder="1" applyAlignment="1">
      <alignment horizontal="left" vertical="center" wrapText="1"/>
    </xf>
    <xf numFmtId="0" fontId="16" fillId="0" borderId="46" xfId="0" applyFont="1" applyBorder="1" applyAlignment="1">
      <alignment horizontal="center" vertical="center"/>
    </xf>
    <xf numFmtId="0" fontId="61" fillId="0" borderId="45" xfId="0" applyNumberFormat="1" applyFont="1" applyFill="1" applyBorder="1" applyAlignment="1">
      <alignment vertical="top" wrapText="1" readingOrder="1"/>
    </xf>
    <xf numFmtId="0" fontId="16" fillId="0" borderId="45" xfId="0" applyFont="1" applyBorder="1" applyAlignment="1">
      <alignment horizontal="left" vertical="center" wrapText="1"/>
    </xf>
    <xf numFmtId="0" fontId="12" fillId="14" borderId="0" xfId="0" applyFont="1" applyFill="1" applyBorder="1" applyAlignment="1">
      <alignment horizontal="justify" vertical="top" wrapText="1"/>
    </xf>
    <xf numFmtId="175" fontId="12" fillId="0" borderId="0" xfId="2" applyFont="1" applyAlignment="1">
      <alignment horizontal="center" vertical="top" wrapText="1"/>
    </xf>
    <xf numFmtId="201" fontId="12" fillId="10" borderId="0" xfId="2" applyNumberFormat="1" applyFont="1" applyFill="1" applyAlignment="1">
      <alignment horizontal="left" vertical="top" wrapText="1"/>
    </xf>
    <xf numFmtId="204" fontId="6" fillId="10" borderId="0" xfId="2" applyNumberFormat="1" applyFont="1" applyFill="1" applyBorder="1" applyAlignment="1">
      <alignment horizontal="right" vertical="center"/>
    </xf>
    <xf numFmtId="205" fontId="6" fillId="10" borderId="0" xfId="2" applyNumberFormat="1" applyFont="1" applyFill="1" applyBorder="1" applyAlignment="1">
      <alignment horizontal="right" vertical="center"/>
    </xf>
    <xf numFmtId="0" fontId="16" fillId="10" borderId="0" xfId="0" applyFont="1" applyFill="1" applyAlignment="1">
      <alignment horizontal="center" vertical="center" wrapText="1"/>
    </xf>
    <xf numFmtId="188" fontId="6" fillId="10" borderId="0" xfId="17" applyNumberFormat="1" applyFont="1" applyFill="1" applyBorder="1" applyAlignment="1" applyProtection="1">
      <alignment horizontal="center" vertical="center"/>
    </xf>
    <xf numFmtId="195" fontId="6" fillId="10" borderId="0" xfId="0" applyNumberFormat="1" applyFont="1" applyFill="1" applyAlignment="1">
      <alignment vertical="center"/>
    </xf>
    <xf numFmtId="0" fontId="49" fillId="10" borderId="0" xfId="0" applyNumberFormat="1" applyFont="1" applyFill="1" applyBorder="1" applyAlignment="1">
      <alignment horizontal="left" vertical="center" wrapText="1"/>
    </xf>
    <xf numFmtId="0" fontId="49" fillId="10" borderId="0" xfId="0" applyNumberFormat="1" applyFont="1" applyFill="1" applyBorder="1" applyAlignment="1">
      <alignment horizontal="center" vertical="center" wrapText="1"/>
    </xf>
    <xf numFmtId="195" fontId="6" fillId="10" borderId="0" xfId="2" applyNumberFormat="1" applyFont="1" applyFill="1" applyBorder="1" applyAlignment="1">
      <alignment horizontal="center" vertical="center"/>
    </xf>
    <xf numFmtId="195" fontId="6" fillId="10" borderId="0" xfId="0" applyNumberFormat="1" applyFont="1" applyFill="1" applyAlignment="1">
      <alignment horizontal="center" vertical="center"/>
    </xf>
    <xf numFmtId="195" fontId="49" fillId="10" borderId="0" xfId="0" applyNumberFormat="1" applyFont="1" applyFill="1" applyBorder="1" applyAlignment="1">
      <alignment horizontal="center" vertical="center"/>
    </xf>
    <xf numFmtId="178" fontId="16" fillId="0" borderId="0" xfId="0" applyNumberFormat="1" applyFont="1" applyAlignment="1">
      <alignment vertical="center"/>
    </xf>
    <xf numFmtId="188" fontId="49" fillId="10" borderId="0" xfId="17" applyNumberFormat="1" applyFont="1" applyFill="1" applyBorder="1" applyAlignment="1">
      <alignment horizontal="right" vertical="center"/>
    </xf>
    <xf numFmtId="165" fontId="6" fillId="10" borderId="0" xfId="67" applyFont="1" applyFill="1" applyAlignment="1">
      <alignment vertical="center"/>
    </xf>
    <xf numFmtId="0" fontId="79" fillId="0" borderId="27" xfId="0" applyFont="1" applyBorder="1" applyAlignment="1">
      <alignment horizontal="center" vertical="center"/>
    </xf>
    <xf numFmtId="195" fontId="78" fillId="12" borderId="12" xfId="0" applyNumberFormat="1" applyFont="1" applyFill="1" applyBorder="1" applyAlignment="1">
      <alignment horizontal="center" vertical="center"/>
    </xf>
    <xf numFmtId="195" fontId="78" fillId="12" borderId="9" xfId="0" applyNumberFormat="1" applyFont="1" applyFill="1" applyBorder="1" applyAlignment="1">
      <alignment horizontal="center" vertical="center"/>
    </xf>
    <xf numFmtId="10" fontId="6" fillId="0" borderId="76" xfId="0" applyNumberFormat="1" applyFont="1" applyBorder="1" applyAlignment="1">
      <alignment horizontal="center" vertical="center"/>
    </xf>
    <xf numFmtId="165" fontId="6" fillId="10" borderId="0" xfId="67" applyFont="1" applyFill="1" applyAlignment="1">
      <alignment horizontal="right" vertical="center"/>
    </xf>
    <xf numFmtId="201" fontId="12" fillId="10" borderId="0" xfId="67" applyNumberFormat="1" applyFont="1" applyFill="1" applyBorder="1" applyAlignment="1">
      <alignment horizontal="right" vertical="center"/>
    </xf>
    <xf numFmtId="165" fontId="12" fillId="10" borderId="0" xfId="67" applyFont="1" applyFill="1" applyBorder="1" applyAlignment="1">
      <alignment horizontal="right" vertical="center"/>
    </xf>
    <xf numFmtId="188" fontId="6" fillId="10" borderId="0" xfId="67" applyNumberFormat="1" applyFont="1" applyFill="1" applyAlignment="1">
      <alignment horizontal="right" vertical="center"/>
    </xf>
    <xf numFmtId="187" fontId="6" fillId="0" borderId="46" xfId="2" applyNumberFormat="1" applyFont="1" applyBorder="1" applyAlignment="1">
      <alignment horizontal="right" vertical="center"/>
    </xf>
    <xf numFmtId="164" fontId="6" fillId="0" borderId="0" xfId="0" applyNumberFormat="1" applyFont="1"/>
    <xf numFmtId="1" fontId="16" fillId="10" borderId="46" xfId="0" applyNumberFormat="1" applyFont="1" applyFill="1" applyBorder="1" applyAlignment="1">
      <alignment horizontal="center" vertical="center"/>
    </xf>
    <xf numFmtId="10" fontId="6" fillId="0" borderId="53" xfId="0" applyNumberFormat="1" applyFont="1" applyBorder="1" applyAlignment="1">
      <alignment horizontal="center" vertical="center"/>
    </xf>
    <xf numFmtId="0" fontId="81" fillId="0" borderId="64" xfId="74" applyNumberFormat="1" applyFont="1" applyFill="1" applyBorder="1" applyAlignment="1" applyProtection="1">
      <alignment horizontal="center" vertical="center"/>
    </xf>
    <xf numFmtId="1" fontId="16" fillId="10" borderId="48" xfId="0" applyNumberFormat="1" applyFont="1" applyFill="1" applyBorder="1" applyAlignment="1">
      <alignment horizontal="center" vertical="center"/>
    </xf>
    <xf numFmtId="0" fontId="16" fillId="0" borderId="48" xfId="0" applyFont="1" applyBorder="1" applyAlignment="1">
      <alignment horizontal="left" vertical="center" wrapText="1"/>
    </xf>
    <xf numFmtId="0" fontId="16" fillId="0" borderId="48" xfId="0" applyFont="1" applyBorder="1" applyAlignment="1">
      <alignment horizontal="center" vertical="center"/>
    </xf>
    <xf numFmtId="187" fontId="6" fillId="10" borderId="48" xfId="2" applyNumberFormat="1" applyFont="1" applyFill="1" applyBorder="1" applyAlignment="1">
      <alignment horizontal="right" vertical="center"/>
    </xf>
    <xf numFmtId="1" fontId="16" fillId="10" borderId="82" xfId="0" applyNumberFormat="1" applyFont="1" applyFill="1" applyBorder="1" applyAlignment="1">
      <alignment horizontal="center" vertical="center"/>
    </xf>
    <xf numFmtId="0" fontId="16" fillId="0" borderId="82" xfId="0" applyFont="1" applyBorder="1" applyAlignment="1">
      <alignment horizontal="left" vertical="center" wrapText="1"/>
    </xf>
    <xf numFmtId="0" fontId="16" fillId="0" borderId="82" xfId="0" applyFont="1" applyBorder="1" applyAlignment="1">
      <alignment horizontal="center" vertical="center"/>
    </xf>
    <xf numFmtId="187" fontId="6" fillId="0" borderId="82" xfId="2" applyNumberFormat="1" applyFont="1" applyBorder="1" applyAlignment="1">
      <alignment horizontal="right" vertical="center"/>
    </xf>
    <xf numFmtId="187" fontId="6" fillId="0" borderId="83" xfId="2" applyNumberFormat="1" applyFont="1" applyBorder="1" applyAlignment="1">
      <alignment horizontal="right" vertical="center"/>
    </xf>
    <xf numFmtId="188" fontId="6" fillId="10" borderId="45" xfId="17" applyNumberFormat="1" applyFont="1" applyFill="1" applyBorder="1" applyAlignment="1">
      <alignment horizontal="right" vertical="center"/>
    </xf>
    <xf numFmtId="1" fontId="16" fillId="10" borderId="83" xfId="0" applyNumberFormat="1" applyFont="1" applyFill="1" applyBorder="1" applyAlignment="1">
      <alignment horizontal="center" vertical="center"/>
    </xf>
    <xf numFmtId="0" fontId="16" fillId="0" borderId="83" xfId="0" applyFont="1" applyBorder="1" applyAlignment="1">
      <alignment horizontal="left" vertical="center" wrapText="1"/>
    </xf>
    <xf numFmtId="0" fontId="16" fillId="0" borderId="83" xfId="0" applyFont="1" applyBorder="1" applyAlignment="1">
      <alignment horizontal="center" vertical="center"/>
    </xf>
    <xf numFmtId="10" fontId="6" fillId="0" borderId="55" xfId="0" applyNumberFormat="1" applyFont="1" applyBorder="1" applyAlignment="1">
      <alignment horizontal="center" vertical="center"/>
    </xf>
    <xf numFmtId="0" fontId="81" fillId="0" borderId="27" xfId="74" applyNumberFormat="1" applyFont="1" applyFill="1" applyBorder="1" applyAlignment="1" applyProtection="1">
      <alignment horizontal="center" vertical="center"/>
    </xf>
    <xf numFmtId="195" fontId="78" fillId="12" borderId="26" xfId="0" applyNumberFormat="1" applyFont="1" applyFill="1" applyBorder="1" applyAlignment="1">
      <alignment horizontal="center" vertical="center"/>
    </xf>
    <xf numFmtId="195" fontId="78" fillId="12" borderId="54" xfId="0" applyNumberFormat="1" applyFont="1" applyFill="1" applyBorder="1" applyAlignment="1">
      <alignment horizontal="center" vertical="center"/>
    </xf>
    <xf numFmtId="195" fontId="78" fillId="12" borderId="24" xfId="0" applyNumberFormat="1" applyFont="1" applyFill="1" applyBorder="1" applyAlignment="1">
      <alignment horizontal="center" vertical="center"/>
    </xf>
    <xf numFmtId="183" fontId="6" fillId="10" borderId="80" xfId="0" applyNumberFormat="1" applyFont="1" applyFill="1" applyBorder="1" applyAlignment="1">
      <alignment horizontal="justify" vertical="top" wrapText="1"/>
    </xf>
    <xf numFmtId="186" fontId="16" fillId="10" borderId="0" xfId="0" applyNumberFormat="1" applyFont="1" applyFill="1" applyBorder="1" applyAlignment="1">
      <alignment horizontal="justify" vertical="top" wrapText="1"/>
    </xf>
    <xf numFmtId="0" fontId="15" fillId="9" borderId="10" xfId="0" applyFont="1" applyFill="1" applyBorder="1" applyAlignment="1">
      <alignment horizontal="justify" vertical="top"/>
    </xf>
    <xf numFmtId="0" fontId="12" fillId="10" borderId="0" xfId="0" applyFont="1" applyFill="1" applyAlignment="1">
      <alignment horizontal="justify" vertical="top" wrapText="1"/>
    </xf>
    <xf numFmtId="0" fontId="12" fillId="9" borderId="9" xfId="0" applyFont="1" applyFill="1" applyBorder="1" applyAlignment="1">
      <alignment horizontal="justify" vertical="top" wrapText="1"/>
    </xf>
    <xf numFmtId="0" fontId="6" fillId="10" borderId="0" xfId="0" applyFont="1" applyFill="1" applyAlignment="1">
      <alignment horizontal="justify" vertical="top" wrapText="1"/>
    </xf>
    <xf numFmtId="0" fontId="12" fillId="9" borderId="10" xfId="0" applyFont="1" applyFill="1" applyBorder="1" applyAlignment="1">
      <alignment horizontal="justify" vertical="top" wrapText="1"/>
    </xf>
    <xf numFmtId="0" fontId="86" fillId="10" borderId="0" xfId="76" applyFont="1" applyFill="1" applyAlignment="1">
      <alignment horizontal="justify" vertical="top"/>
    </xf>
    <xf numFmtId="188" fontId="6" fillId="0" borderId="45" xfId="17" applyNumberFormat="1" applyFont="1" applyFill="1" applyBorder="1" applyAlignment="1">
      <alignment horizontal="right" vertical="center"/>
    </xf>
    <xf numFmtId="1" fontId="15" fillId="10" borderId="0" xfId="2" applyNumberFormat="1" applyFont="1" applyFill="1" applyAlignment="1">
      <alignment horizontal="left" vertical="top" wrapText="1"/>
    </xf>
    <xf numFmtId="187" fontId="42" fillId="10" borderId="0" xfId="2" applyNumberFormat="1" applyFont="1" applyFill="1" applyAlignment="1">
      <alignment horizontal="right" vertical="center"/>
    </xf>
    <xf numFmtId="201" fontId="16" fillId="10" borderId="45" xfId="0" applyNumberFormat="1" applyFont="1" applyFill="1" applyBorder="1" applyAlignment="1">
      <alignment horizontal="center" vertical="center"/>
    </xf>
    <xf numFmtId="201" fontId="16" fillId="10" borderId="46" xfId="0" applyNumberFormat="1" applyFont="1" applyFill="1" applyBorder="1" applyAlignment="1">
      <alignment horizontal="center" vertical="center"/>
    </xf>
    <xf numFmtId="201" fontId="16" fillId="10" borderId="45" xfId="0" applyNumberFormat="1" applyFont="1" applyFill="1" applyBorder="1" applyAlignment="1">
      <alignment horizontal="justify" vertical="top" wrapText="1"/>
    </xf>
    <xf numFmtId="201" fontId="16" fillId="10" borderId="46" xfId="0" applyNumberFormat="1" applyFont="1" applyFill="1" applyBorder="1" applyAlignment="1">
      <alignment horizontal="justify" vertical="top" wrapText="1"/>
    </xf>
    <xf numFmtId="195" fontId="6" fillId="10" borderId="45" xfId="0" applyNumberFormat="1" applyFont="1" applyFill="1" applyBorder="1" applyAlignment="1">
      <alignment horizontal="center" vertical="center"/>
    </xf>
    <xf numFmtId="195" fontId="6" fillId="10" borderId="46" xfId="0" applyNumberFormat="1" applyFont="1" applyFill="1" applyBorder="1" applyAlignment="1">
      <alignment horizontal="center" vertical="center"/>
    </xf>
    <xf numFmtId="174" fontId="6" fillId="10" borderId="45" xfId="16" applyFont="1" applyFill="1" applyBorder="1" applyAlignment="1">
      <alignment horizontal="center" vertical="center"/>
    </xf>
    <xf numFmtId="174" fontId="6" fillId="10" borderId="46" xfId="16" applyFont="1" applyFill="1" applyBorder="1" applyAlignment="1">
      <alignment horizontal="center" vertical="center"/>
    </xf>
    <xf numFmtId="164" fontId="6" fillId="0" borderId="45" xfId="0" applyNumberFormat="1" applyFont="1" applyBorder="1" applyAlignment="1">
      <alignment horizontal="center" vertical="center"/>
    </xf>
    <xf numFmtId="164" fontId="6" fillId="0" borderId="46" xfId="0" applyNumberFormat="1" applyFont="1" applyBorder="1" applyAlignment="1">
      <alignment horizontal="center" vertical="center"/>
    </xf>
    <xf numFmtId="10" fontId="45" fillId="0" borderId="45" xfId="0" applyNumberFormat="1" applyFont="1" applyBorder="1" applyAlignment="1">
      <alignment horizontal="center" vertical="center"/>
    </xf>
    <xf numFmtId="10" fontId="45" fillId="0" borderId="46" xfId="0" applyNumberFormat="1" applyFont="1" applyBorder="1" applyAlignment="1">
      <alignment horizontal="center" vertical="center"/>
    </xf>
    <xf numFmtId="201" fontId="16" fillId="10" borderId="45" xfId="0" applyNumberFormat="1" applyFont="1" applyFill="1" applyBorder="1" applyAlignment="1">
      <alignment horizontal="justify" vertical="top"/>
    </xf>
    <xf numFmtId="195" fontId="78" fillId="0" borderId="9" xfId="0" applyNumberFormat="1" applyFont="1" applyBorder="1" applyAlignment="1">
      <alignment horizontal="center" vertical="center"/>
    </xf>
    <xf numFmtId="0" fontId="80" fillId="0" borderId="9" xfId="0" applyFont="1" applyBorder="1" applyAlignment="1">
      <alignment horizontal="center"/>
    </xf>
    <xf numFmtId="0" fontId="79" fillId="0" borderId="35" xfId="0" applyFont="1" applyBorder="1" applyAlignment="1">
      <alignment horizontal="center" vertical="center"/>
    </xf>
    <xf numFmtId="0" fontId="79" fillId="0" borderId="27" xfId="0" applyFont="1" applyBorder="1" applyAlignment="1">
      <alignment horizontal="center" vertical="center"/>
    </xf>
    <xf numFmtId="195" fontId="78" fillId="12" borderId="12" xfId="0" applyNumberFormat="1" applyFont="1" applyFill="1" applyBorder="1" applyAlignment="1">
      <alignment horizontal="center" vertical="center"/>
    </xf>
    <xf numFmtId="195" fontId="78" fillId="12" borderId="9" xfId="0" applyNumberFormat="1" applyFont="1" applyFill="1" applyBorder="1" applyAlignment="1">
      <alignment horizontal="center" vertical="center"/>
    </xf>
    <xf numFmtId="0" fontId="79" fillId="0" borderId="9" xfId="0" applyFont="1" applyBorder="1" applyAlignment="1">
      <alignment horizontal="center" vertical="center"/>
    </xf>
    <xf numFmtId="10" fontId="15" fillId="17" borderId="24" xfId="0" applyNumberFormat="1" applyFont="1" applyFill="1" applyBorder="1" applyAlignment="1">
      <alignment horizontal="center" vertical="center"/>
    </xf>
    <xf numFmtId="195" fontId="15" fillId="17" borderId="24" xfId="0" applyNumberFormat="1" applyFont="1" applyFill="1" applyBorder="1" applyAlignment="1">
      <alignment horizontal="center" vertical="center"/>
    </xf>
    <xf numFmtId="0" fontId="15" fillId="17" borderId="24" xfId="0" applyFont="1" applyFill="1" applyBorder="1" applyAlignment="1">
      <alignment horizontal="center" vertical="center"/>
    </xf>
    <xf numFmtId="10" fontId="49" fillId="0" borderId="19" xfId="0" applyNumberFormat="1" applyFont="1" applyBorder="1" applyAlignment="1">
      <alignment horizontal="center" vertical="center"/>
    </xf>
    <xf numFmtId="10" fontId="49" fillId="0" borderId="9" xfId="0" applyNumberFormat="1" applyFont="1" applyBorder="1" applyAlignment="1">
      <alignment horizontal="center" vertical="center"/>
    </xf>
    <xf numFmtId="10" fontId="49" fillId="0" borderId="22" xfId="0" applyNumberFormat="1" applyFont="1" applyBorder="1" applyAlignment="1">
      <alignment horizontal="center" vertical="center"/>
    </xf>
    <xf numFmtId="0" fontId="80" fillId="0" borderId="15" xfId="0" applyFont="1" applyBorder="1" applyAlignment="1">
      <alignment horizontal="center"/>
    </xf>
    <xf numFmtId="0" fontId="80" fillId="0" borderId="37" xfId="0" applyFont="1" applyBorder="1" applyAlignment="1">
      <alignment horizontal="center"/>
    </xf>
    <xf numFmtId="164" fontId="80" fillId="0" borderId="37" xfId="0" applyNumberFormat="1" applyFont="1" applyBorder="1" applyAlignment="1">
      <alignment horizontal="center"/>
    </xf>
    <xf numFmtId="195" fontId="84" fillId="12" borderId="9" xfId="0" applyNumberFormat="1" applyFont="1" applyFill="1" applyBorder="1" applyAlignment="1">
      <alignment horizontal="center" vertical="center"/>
    </xf>
    <xf numFmtId="0" fontId="87" fillId="10" borderId="26" xfId="76" applyFont="1" applyFill="1" applyBorder="1" applyAlignment="1">
      <alignment horizontal="center"/>
    </xf>
    <xf numFmtId="0" fontId="86" fillId="10" borderId="0" xfId="76" applyFont="1" applyFill="1" applyAlignment="1">
      <alignment horizontal="center" vertical="center"/>
    </xf>
    <xf numFmtId="0" fontId="12" fillId="10" borderId="0" xfId="76" applyFont="1" applyFill="1" applyAlignment="1">
      <alignment horizontal="center" vertical="center"/>
    </xf>
    <xf numFmtId="0" fontId="28" fillId="9" borderId="9" xfId="0" applyFont="1" applyFill="1" applyBorder="1" applyAlignment="1">
      <alignment horizontal="center" vertical="center" wrapText="1"/>
    </xf>
    <xf numFmtId="0" fontId="21" fillId="9" borderId="9" xfId="0" applyFont="1" applyFill="1" applyBorder="1" applyAlignment="1">
      <alignment horizontal="center" vertical="center"/>
    </xf>
    <xf numFmtId="187" fontId="28" fillId="9" borderId="9" xfId="0" applyNumberFormat="1" applyFont="1" applyFill="1" applyBorder="1" applyAlignment="1">
      <alignment horizontal="center" vertical="center" wrapText="1"/>
    </xf>
    <xf numFmtId="195" fontId="28" fillId="9" borderId="9" xfId="0" applyNumberFormat="1" applyFont="1" applyFill="1" applyBorder="1" applyAlignment="1">
      <alignment horizontal="center" vertical="center"/>
    </xf>
    <xf numFmtId="0" fontId="28" fillId="9" borderId="9" xfId="0" applyFont="1" applyFill="1" applyBorder="1" applyAlignment="1">
      <alignment horizontal="center" vertical="center"/>
    </xf>
    <xf numFmtId="0" fontId="28" fillId="9" borderId="9" xfId="0" applyFont="1" applyFill="1" applyBorder="1" applyAlignment="1">
      <alignment horizontal="justify" vertical="top" wrapText="1"/>
    </xf>
    <xf numFmtId="201" fontId="28" fillId="9" borderId="9" xfId="8" applyNumberFormat="1" applyFont="1" applyFill="1" applyBorder="1" applyAlignment="1">
      <alignment horizontal="center" vertical="center" wrapText="1"/>
    </xf>
    <xf numFmtId="2" fontId="87" fillId="10" borderId="26" xfId="76" applyNumberFormat="1" applyFont="1" applyFill="1" applyBorder="1" applyAlignment="1">
      <alignment horizontal="center" vertical="center" wrapText="1"/>
    </xf>
    <xf numFmtId="2" fontId="86" fillId="10" borderId="0" xfId="76" applyNumberFormat="1" applyFont="1" applyFill="1" applyAlignment="1">
      <alignment horizontal="center" vertical="center"/>
    </xf>
    <xf numFmtId="175" fontId="16" fillId="10" borderId="0" xfId="2" applyFont="1" applyFill="1" applyAlignment="1">
      <alignment horizontal="center"/>
    </xf>
    <xf numFmtId="201" fontId="16" fillId="10" borderId="46" xfId="0" applyNumberFormat="1" applyFont="1" applyFill="1" applyBorder="1" applyAlignment="1">
      <alignment horizontal="justify" vertical="top"/>
    </xf>
    <xf numFmtId="10" fontId="6" fillId="0" borderId="75" xfId="0" applyNumberFormat="1" applyFont="1" applyBorder="1" applyAlignment="1">
      <alignment horizontal="center" vertical="center"/>
    </xf>
    <xf numFmtId="10" fontId="6" fillId="0" borderId="76" xfId="0" applyNumberFormat="1" applyFont="1" applyBorder="1" applyAlignment="1">
      <alignment horizontal="center" vertical="center"/>
    </xf>
    <xf numFmtId="10" fontId="6" fillId="0" borderId="44" xfId="0" applyNumberFormat="1" applyFont="1" applyBorder="1" applyAlignment="1">
      <alignment horizontal="center" vertical="center"/>
    </xf>
    <xf numFmtId="10" fontId="6" fillId="0" borderId="19" xfId="0" applyNumberFormat="1" applyFont="1" applyBorder="1" applyAlignment="1">
      <alignment horizontal="center" vertical="center"/>
    </xf>
    <xf numFmtId="10" fontId="6" fillId="0" borderId="9" xfId="0" applyNumberFormat="1" applyFont="1" applyBorder="1" applyAlignment="1">
      <alignment horizontal="center" vertical="center"/>
    </xf>
    <xf numFmtId="10" fontId="6" fillId="0" borderId="22" xfId="0" applyNumberFormat="1" applyFont="1" applyBorder="1" applyAlignment="1">
      <alignment horizontal="center" vertical="center"/>
    </xf>
    <xf numFmtId="0" fontId="80" fillId="0" borderId="12" xfId="0" applyFont="1" applyBorder="1" applyAlignment="1">
      <alignment horizontal="center"/>
    </xf>
    <xf numFmtId="10" fontId="45" fillId="0" borderId="50" xfId="0" applyNumberFormat="1" applyFont="1" applyBorder="1" applyAlignment="1">
      <alignment horizontal="center" vertical="center"/>
    </xf>
    <xf numFmtId="0" fontId="88" fillId="0" borderId="61" xfId="0" applyFont="1" applyBorder="1" applyAlignment="1">
      <alignment horizontal="center" vertical="center"/>
    </xf>
    <xf numFmtId="10" fontId="15" fillId="17" borderId="9" xfId="0" applyNumberFormat="1" applyFont="1" applyFill="1" applyBorder="1" applyAlignment="1">
      <alignment horizontal="center" vertical="center"/>
    </xf>
    <xf numFmtId="195" fontId="15" fillId="17" borderId="9" xfId="0" applyNumberFormat="1" applyFont="1" applyFill="1" applyBorder="1" applyAlignment="1">
      <alignment horizontal="center" vertical="center"/>
    </xf>
    <xf numFmtId="0" fontId="15" fillId="17" borderId="9" xfId="0" applyFont="1" applyFill="1" applyBorder="1" applyAlignment="1">
      <alignment horizontal="center" vertical="center"/>
    </xf>
    <xf numFmtId="0" fontId="12" fillId="11" borderId="9" xfId="0" applyFont="1" applyFill="1" applyBorder="1" applyAlignment="1">
      <alignment horizontal="center" vertical="center" wrapText="1"/>
    </xf>
    <xf numFmtId="10" fontId="12" fillId="9" borderId="53" xfId="0" applyNumberFormat="1" applyFont="1" applyFill="1" applyBorder="1" applyAlignment="1">
      <alignment horizontal="center" vertical="center"/>
    </xf>
    <xf numFmtId="195" fontId="78" fillId="9" borderId="26" xfId="0" applyNumberFormat="1" applyFont="1" applyFill="1" applyBorder="1" applyAlignment="1">
      <alignment horizontal="center" vertical="center"/>
    </xf>
    <xf numFmtId="195" fontId="78" fillId="9" borderId="54" xfId="0" applyNumberFormat="1" applyFont="1" applyFill="1" applyBorder="1" applyAlignment="1">
      <alignment horizontal="center" vertical="center"/>
    </xf>
    <xf numFmtId="195" fontId="78" fillId="9" borderId="24" xfId="0" applyNumberFormat="1" applyFont="1" applyFill="1" applyBorder="1" applyAlignment="1">
      <alignment horizontal="center" vertical="center"/>
    </xf>
    <xf numFmtId="195" fontId="78" fillId="0" borderId="37" xfId="0" applyNumberFormat="1" applyFont="1" applyBorder="1" applyAlignment="1">
      <alignment horizontal="center" vertical="center" wrapText="1"/>
    </xf>
    <xf numFmtId="0" fontId="78" fillId="0" borderId="9" xfId="0" applyNumberFormat="1" applyFont="1" applyBorder="1" applyAlignment="1">
      <alignment horizontal="center" vertical="center"/>
    </xf>
    <xf numFmtId="0" fontId="78" fillId="0" borderId="9" xfId="0" applyFont="1" applyBorder="1" applyAlignment="1">
      <alignment horizontal="center" vertical="center"/>
    </xf>
    <xf numFmtId="10" fontId="45" fillId="0" borderId="51" xfId="0" applyNumberFormat="1" applyFont="1" applyBorder="1" applyAlignment="1">
      <alignment horizontal="center" vertical="center"/>
    </xf>
    <xf numFmtId="164" fontId="16" fillId="0" borderId="45" xfId="0" applyNumberFormat="1" applyFont="1" applyBorder="1" applyAlignment="1">
      <alignment horizontal="center" vertical="center"/>
    </xf>
    <xf numFmtId="164" fontId="16" fillId="0" borderId="46" xfId="0" applyNumberFormat="1" applyFont="1" applyBorder="1" applyAlignment="1">
      <alignment horizontal="center" vertical="center"/>
    </xf>
    <xf numFmtId="164" fontId="80" fillId="0" borderId="12" xfId="0" applyNumberFormat="1" applyFont="1" applyBorder="1" applyAlignment="1">
      <alignment horizontal="center"/>
    </xf>
    <xf numFmtId="164" fontId="78" fillId="0" borderId="9" xfId="0" applyNumberFormat="1" applyFont="1" applyBorder="1" applyAlignment="1">
      <alignment horizontal="center" vertical="center"/>
    </xf>
    <xf numFmtId="164" fontId="80" fillId="0" borderId="9" xfId="0" applyNumberFormat="1" applyFont="1" applyBorder="1" applyAlignment="1">
      <alignment horizontal="center"/>
    </xf>
    <xf numFmtId="186" fontId="6" fillId="10" borderId="45" xfId="0" applyNumberFormat="1" applyFont="1" applyFill="1" applyBorder="1" applyAlignment="1">
      <alignment horizontal="center" vertical="center"/>
    </xf>
    <xf numFmtId="10" fontId="6" fillId="0" borderId="42" xfId="0" applyNumberFormat="1" applyFont="1" applyBorder="1" applyAlignment="1">
      <alignment horizontal="center" vertical="center"/>
    </xf>
    <xf numFmtId="10" fontId="6" fillId="0" borderId="39" xfId="0" applyNumberFormat="1" applyFont="1" applyBorder="1" applyAlignment="1">
      <alignment horizontal="center" vertical="center"/>
    </xf>
    <xf numFmtId="10" fontId="6" fillId="0" borderId="40" xfId="0" applyNumberFormat="1" applyFont="1" applyBorder="1" applyAlignment="1">
      <alignment horizontal="center" vertical="center"/>
    </xf>
    <xf numFmtId="164" fontId="6" fillId="0" borderId="49" xfId="0" applyNumberFormat="1" applyFont="1" applyBorder="1" applyAlignment="1">
      <alignment horizontal="center" vertical="center"/>
    </xf>
    <xf numFmtId="10" fontId="45" fillId="0" borderId="49" xfId="0" applyNumberFormat="1" applyFont="1" applyBorder="1" applyAlignment="1">
      <alignment horizontal="center" vertical="center"/>
    </xf>
    <xf numFmtId="174" fontId="6" fillId="10" borderId="49" xfId="16" applyFont="1" applyFill="1" applyBorder="1" applyAlignment="1">
      <alignment horizontal="center" vertical="center"/>
    </xf>
    <xf numFmtId="195" fontId="6" fillId="10" borderId="49" xfId="0" applyNumberFormat="1" applyFont="1" applyFill="1" applyBorder="1" applyAlignment="1">
      <alignment horizontal="center" vertical="center"/>
    </xf>
    <xf numFmtId="186" fontId="6" fillId="10" borderId="49" xfId="0" applyNumberFormat="1" applyFont="1" applyFill="1" applyBorder="1" applyAlignment="1">
      <alignment horizontal="center" vertical="center"/>
    </xf>
    <xf numFmtId="201" fontId="16" fillId="10" borderId="49" xfId="0" applyNumberFormat="1" applyFont="1" applyFill="1" applyBorder="1" applyAlignment="1">
      <alignment horizontal="center" vertical="center"/>
    </xf>
    <xf numFmtId="201" fontId="16" fillId="10" borderId="49" xfId="0" applyNumberFormat="1" applyFont="1" applyFill="1" applyBorder="1" applyAlignment="1">
      <alignment horizontal="justify" vertical="top" wrapText="1"/>
    </xf>
    <xf numFmtId="195" fontId="78" fillId="0" borderId="37" xfId="0" applyNumberFormat="1" applyFont="1" applyBorder="1" applyAlignment="1">
      <alignment horizontal="center" vertical="center"/>
    </xf>
    <xf numFmtId="195" fontId="78" fillId="9" borderId="35" xfId="0" applyNumberFormat="1" applyFont="1" applyFill="1" applyBorder="1" applyAlignment="1">
      <alignment horizontal="center" vertical="center"/>
    </xf>
    <xf numFmtId="195" fontId="83" fillId="0" borderId="9" xfId="0" applyNumberFormat="1" applyFont="1" applyBorder="1" applyAlignment="1">
      <alignment horizontal="center"/>
    </xf>
    <xf numFmtId="195" fontId="83" fillId="0" borderId="12" xfId="0" applyNumberFormat="1" applyFont="1" applyBorder="1" applyAlignment="1">
      <alignment horizontal="center"/>
    </xf>
    <xf numFmtId="195" fontId="84" fillId="0" borderId="9" xfId="0" applyNumberFormat="1" applyFont="1" applyBorder="1" applyAlignment="1">
      <alignment horizontal="center" vertical="center"/>
    </xf>
    <xf numFmtId="195" fontId="84" fillId="12" borderId="12" xfId="0" applyNumberFormat="1" applyFont="1" applyFill="1" applyBorder="1" applyAlignment="1">
      <alignment horizontal="center" vertical="center"/>
    </xf>
    <xf numFmtId="10" fontId="15" fillId="17" borderId="10" xfId="0" applyNumberFormat="1" applyFont="1" applyFill="1" applyBorder="1" applyAlignment="1">
      <alignment horizontal="center" vertical="center"/>
    </xf>
    <xf numFmtId="10" fontId="15" fillId="17" borderId="11" xfId="0" applyNumberFormat="1" applyFont="1" applyFill="1" applyBorder="1" applyAlignment="1">
      <alignment horizontal="center" vertical="center"/>
    </xf>
    <xf numFmtId="195" fontId="15" fillId="17" borderId="11" xfId="0" applyNumberFormat="1" applyFont="1" applyFill="1" applyBorder="1" applyAlignment="1">
      <alignment horizontal="center" vertical="center"/>
    </xf>
    <xf numFmtId="0" fontId="12" fillId="11" borderId="24" xfId="0" applyFont="1" applyFill="1" applyBorder="1" applyAlignment="1">
      <alignment horizontal="center" vertical="center" wrapText="1"/>
    </xf>
    <xf numFmtId="164" fontId="83" fillId="0" borderId="9" xfId="0" applyNumberFormat="1" applyFont="1" applyBorder="1" applyAlignment="1">
      <alignment vertical="center"/>
    </xf>
    <xf numFmtId="0" fontId="83" fillId="0" borderId="9" xfId="0" applyFont="1" applyBorder="1" applyAlignment="1">
      <alignment vertical="center"/>
    </xf>
    <xf numFmtId="0" fontId="29" fillId="17" borderId="9" xfId="0" applyFont="1" applyFill="1" applyBorder="1" applyAlignment="1">
      <alignment horizontal="center" vertical="center"/>
    </xf>
    <xf numFmtId="0" fontId="78" fillId="9" borderId="9" xfId="0" applyFont="1" applyFill="1" applyBorder="1" applyAlignment="1">
      <alignment horizontal="center" vertical="center" wrapText="1"/>
    </xf>
    <xf numFmtId="0" fontId="83" fillId="0" borderId="9" xfId="0" applyFont="1" applyBorder="1" applyAlignment="1">
      <alignment horizontal="center"/>
    </xf>
    <xf numFmtId="0" fontId="83" fillId="0" borderId="12" xfId="0" applyFont="1" applyBorder="1" applyAlignment="1">
      <alignment horizontal="center"/>
    </xf>
    <xf numFmtId="164" fontId="83" fillId="0" borderId="9" xfId="0" applyNumberFormat="1" applyFont="1" applyBorder="1" applyAlignment="1">
      <alignment horizontal="center"/>
    </xf>
    <xf numFmtId="201" fontId="6" fillId="0" borderId="36" xfId="0" applyNumberFormat="1" applyFont="1" applyBorder="1" applyAlignment="1">
      <alignment horizontal="center" vertical="center"/>
    </xf>
    <xf numFmtId="201" fontId="6" fillId="0" borderId="39" xfId="0" applyNumberFormat="1" applyFont="1" applyBorder="1" applyAlignment="1">
      <alignment horizontal="center" vertical="center"/>
    </xf>
    <xf numFmtId="201" fontId="6" fillId="0" borderId="40" xfId="0" applyNumberFormat="1" applyFont="1" applyBorder="1" applyAlignment="1">
      <alignment horizontal="center" vertical="center"/>
    </xf>
    <xf numFmtId="10" fontId="6" fillId="0" borderId="37" xfId="0" applyNumberFormat="1" applyFont="1" applyBorder="1" applyAlignment="1">
      <alignment horizontal="center" vertical="center"/>
    </xf>
    <xf numFmtId="0" fontId="83" fillId="0" borderId="15" xfId="0" applyFont="1" applyBorder="1" applyAlignment="1">
      <alignment horizontal="center"/>
    </xf>
    <xf numFmtId="0" fontId="83" fillId="0" borderId="37" xfId="0" applyFont="1" applyBorder="1" applyAlignment="1">
      <alignment horizontal="center"/>
    </xf>
    <xf numFmtId="164" fontId="84" fillId="0" borderId="12" xfId="0" applyNumberFormat="1" applyFont="1" applyBorder="1" applyAlignment="1">
      <alignment horizontal="center"/>
    </xf>
    <xf numFmtId="0" fontId="84" fillId="0" borderId="9" xfId="0" applyFont="1" applyBorder="1" applyAlignment="1">
      <alignment horizontal="center"/>
    </xf>
    <xf numFmtId="164" fontId="83" fillId="0" borderId="12" xfId="0" applyNumberFormat="1" applyFont="1" applyBorder="1" applyAlignment="1">
      <alignment horizontal="center"/>
    </xf>
    <xf numFmtId="195" fontId="16" fillId="10" borderId="45" xfId="0" applyNumberFormat="1" applyFont="1" applyFill="1" applyBorder="1" applyAlignment="1">
      <alignment horizontal="center" vertical="center"/>
    </xf>
    <xf numFmtId="186" fontId="16" fillId="10" borderId="45" xfId="0" applyNumberFormat="1" applyFont="1" applyFill="1" applyBorder="1" applyAlignment="1">
      <alignment horizontal="center" vertical="center"/>
    </xf>
    <xf numFmtId="186" fontId="16" fillId="10" borderId="46" xfId="0" applyNumberFormat="1" applyFont="1" applyFill="1" applyBorder="1" applyAlignment="1">
      <alignment horizontal="center" vertical="center"/>
    </xf>
    <xf numFmtId="195" fontId="16" fillId="10" borderId="46" xfId="0" applyNumberFormat="1" applyFont="1" applyFill="1" applyBorder="1" applyAlignment="1">
      <alignment horizontal="center" vertical="center"/>
    </xf>
    <xf numFmtId="0" fontId="12" fillId="11" borderId="35" xfId="0" applyFont="1" applyFill="1" applyBorder="1" applyAlignment="1">
      <alignment horizontal="left" vertical="center" wrapText="1"/>
    </xf>
    <xf numFmtId="0" fontId="12" fillId="11" borderId="26" xfId="0" applyFont="1" applyFill="1" applyBorder="1" applyAlignment="1">
      <alignment horizontal="left" vertical="center" wrapText="1"/>
    </xf>
    <xf numFmtId="0" fontId="12" fillId="11" borderId="10" xfId="0" applyFont="1" applyFill="1" applyBorder="1" applyAlignment="1">
      <alignment horizontal="left" vertical="center" wrapText="1"/>
    </xf>
    <xf numFmtId="0" fontId="12" fillId="11" borderId="11" xfId="0" applyFont="1" applyFill="1" applyBorder="1" applyAlignment="1">
      <alignment horizontal="left" vertical="center" wrapText="1"/>
    </xf>
    <xf numFmtId="201" fontId="6" fillId="0" borderId="42" xfId="0" applyNumberFormat="1" applyFont="1" applyBorder="1" applyAlignment="1">
      <alignment horizontal="center" vertical="center"/>
    </xf>
    <xf numFmtId="10" fontId="6" fillId="0" borderId="19" xfId="0" applyNumberFormat="1" applyFont="1" applyFill="1" applyBorder="1" applyAlignment="1">
      <alignment horizontal="center" vertical="center"/>
    </xf>
    <xf numFmtId="10" fontId="6" fillId="0" borderId="9" xfId="0" applyNumberFormat="1" applyFont="1" applyFill="1" applyBorder="1" applyAlignment="1">
      <alignment horizontal="center" vertical="center"/>
    </xf>
    <xf numFmtId="10" fontId="6" fillId="0" borderId="22" xfId="0" applyNumberFormat="1" applyFont="1" applyFill="1" applyBorder="1" applyAlignment="1">
      <alignment horizontal="center" vertical="center"/>
    </xf>
    <xf numFmtId="10" fontId="45" fillId="0" borderId="52" xfId="0" applyNumberFormat="1" applyFont="1" applyBorder="1" applyAlignment="1">
      <alignment horizontal="center" vertical="center"/>
    </xf>
    <xf numFmtId="195" fontId="84" fillId="12" borderId="12" xfId="0" applyNumberFormat="1" applyFont="1" applyFill="1" applyBorder="1" applyAlignment="1">
      <alignment horizontal="center"/>
    </xf>
    <xf numFmtId="195" fontId="84" fillId="12" borderId="9" xfId="0" applyNumberFormat="1" applyFont="1" applyFill="1" applyBorder="1" applyAlignment="1">
      <alignment horizontal="center"/>
    </xf>
    <xf numFmtId="195" fontId="78" fillId="9" borderId="10" xfId="0" applyNumberFormat="1" applyFont="1" applyFill="1" applyBorder="1" applyAlignment="1">
      <alignment horizontal="center" vertical="center"/>
    </xf>
    <xf numFmtId="195" fontId="78" fillId="9" borderId="11" xfId="0" applyNumberFormat="1" applyFont="1" applyFill="1" applyBorder="1" applyAlignment="1">
      <alignment horizontal="center" vertical="center"/>
    </xf>
    <xf numFmtId="195" fontId="78" fillId="9" borderId="12" xfId="0" applyNumberFormat="1" applyFont="1" applyFill="1" applyBorder="1" applyAlignment="1">
      <alignment horizontal="center" vertical="center"/>
    </xf>
    <xf numFmtId="164" fontId="83" fillId="0" borderId="37" xfId="0" applyNumberFormat="1" applyFont="1" applyBorder="1" applyAlignment="1">
      <alignment horizontal="center"/>
    </xf>
    <xf numFmtId="0" fontId="77" fillId="9" borderId="13" xfId="0" applyFont="1" applyFill="1" applyBorder="1" applyAlignment="1">
      <alignment horizontal="center" vertical="center" wrapText="1"/>
    </xf>
    <xf numFmtId="0" fontId="77" fillId="9" borderId="14" xfId="0" applyFont="1" applyFill="1" applyBorder="1" applyAlignment="1">
      <alignment horizontal="center" vertical="center" wrapText="1"/>
    </xf>
    <xf numFmtId="0" fontId="77" fillId="9" borderId="15" xfId="0" applyFont="1" applyFill="1" applyBorder="1" applyAlignment="1">
      <alignment horizontal="center" vertical="center" wrapText="1"/>
    </xf>
    <xf numFmtId="0" fontId="78" fillId="17" borderId="12" xfId="0" applyFont="1" applyFill="1" applyBorder="1" applyAlignment="1">
      <alignment horizontal="center" vertical="center"/>
    </xf>
    <xf numFmtId="0" fontId="78" fillId="17" borderId="9" xfId="0" applyFont="1" applyFill="1" applyBorder="1" applyAlignment="1">
      <alignment horizontal="center" vertical="center"/>
    </xf>
    <xf numFmtId="195" fontId="84" fillId="0" borderId="9" xfId="0" applyNumberFormat="1" applyFont="1" applyBorder="1" applyAlignment="1">
      <alignment horizontal="center"/>
    </xf>
    <xf numFmtId="164" fontId="84" fillId="0" borderId="9" xfId="0" applyNumberFormat="1" applyFont="1" applyBorder="1" applyAlignment="1">
      <alignment horizontal="center" vertical="center"/>
    </xf>
    <xf numFmtId="0" fontId="84" fillId="0" borderId="9" xfId="0" applyFont="1" applyBorder="1" applyAlignment="1">
      <alignment horizontal="center" vertical="center"/>
    </xf>
    <xf numFmtId="0" fontId="83" fillId="11" borderId="9" xfId="0" applyFont="1" applyFill="1" applyBorder="1" applyAlignment="1">
      <alignment horizontal="center"/>
    </xf>
    <xf numFmtId="0" fontId="83" fillId="0" borderId="35" xfId="0" applyFont="1" applyBorder="1" applyAlignment="1">
      <alignment horizontal="center" vertical="center"/>
    </xf>
    <xf numFmtId="0" fontId="83" fillId="0" borderId="27" xfId="0" applyFont="1" applyBorder="1" applyAlignment="1">
      <alignment horizontal="center" vertical="center"/>
    </xf>
    <xf numFmtId="0" fontId="24" fillId="10" borderId="26" xfId="26" applyFont="1" applyFill="1" applyBorder="1" applyAlignment="1">
      <alignment horizontal="center" vertical="center"/>
    </xf>
    <xf numFmtId="0" fontId="20" fillId="10" borderId="0" xfId="26" applyFont="1" applyFill="1" applyBorder="1" applyAlignment="1">
      <alignment horizontal="center" vertical="center" wrapText="1"/>
    </xf>
    <xf numFmtId="10" fontId="45" fillId="9" borderId="37" xfId="0" applyNumberFormat="1" applyFont="1" applyFill="1" applyBorder="1" applyAlignment="1">
      <alignment horizontal="center" vertical="center"/>
    </xf>
    <xf numFmtId="164" fontId="83" fillId="0" borderId="15" xfId="0" applyNumberFormat="1" applyFont="1" applyBorder="1" applyAlignment="1">
      <alignment horizontal="center"/>
    </xf>
    <xf numFmtId="10" fontId="24" fillId="10" borderId="0" xfId="0" applyNumberFormat="1" applyFont="1" applyFill="1" applyBorder="1" applyAlignment="1">
      <alignment horizontal="center" vertical="center" wrapText="1"/>
    </xf>
    <xf numFmtId="0" fontId="78" fillId="9" borderId="13" xfId="0" applyFont="1" applyFill="1" applyBorder="1" applyAlignment="1">
      <alignment horizontal="center" vertical="center"/>
    </xf>
    <xf numFmtId="0" fontId="78" fillId="9" borderId="14" xfId="0" applyFont="1" applyFill="1" applyBorder="1" applyAlignment="1">
      <alignment horizontal="center" vertical="center"/>
    </xf>
    <xf numFmtId="0" fontId="78" fillId="9" borderId="15" xfId="0" applyFont="1" applyFill="1" applyBorder="1" applyAlignment="1">
      <alignment horizontal="center" vertical="center"/>
    </xf>
    <xf numFmtId="0" fontId="78" fillId="9" borderId="0" xfId="0" applyFont="1" applyFill="1" applyBorder="1" applyAlignment="1">
      <alignment horizontal="center" vertical="center"/>
    </xf>
    <xf numFmtId="0" fontId="78" fillId="17" borderId="10" xfId="0" applyFont="1" applyFill="1" applyBorder="1" applyAlignment="1">
      <alignment horizontal="center" vertical="center"/>
    </xf>
    <xf numFmtId="0" fontId="78" fillId="17" borderId="11" xfId="0" applyFont="1" applyFill="1" applyBorder="1" applyAlignment="1">
      <alignment horizontal="center" vertical="center"/>
    </xf>
    <xf numFmtId="195" fontId="78" fillId="9" borderId="9" xfId="0" applyNumberFormat="1" applyFont="1" applyFill="1" applyBorder="1" applyAlignment="1">
      <alignment horizontal="center" vertical="center"/>
    </xf>
    <xf numFmtId="0" fontId="77" fillId="9" borderId="24" xfId="0" applyFont="1" applyFill="1" applyBorder="1" applyAlignment="1">
      <alignment horizontal="center" vertical="center" wrapText="1"/>
    </xf>
    <xf numFmtId="0" fontId="77" fillId="9" borderId="53" xfId="0" applyFont="1" applyFill="1" applyBorder="1" applyAlignment="1">
      <alignment horizontal="center" vertical="center" wrapText="1"/>
    </xf>
    <xf numFmtId="0" fontId="77" fillId="9" borderId="37" xfId="0" applyFont="1" applyFill="1" applyBorder="1" applyAlignment="1">
      <alignment horizontal="center" vertical="center" wrapText="1"/>
    </xf>
    <xf numFmtId="0" fontId="77" fillId="9" borderId="9" xfId="0" applyFont="1" applyFill="1" applyBorder="1" applyAlignment="1">
      <alignment horizontal="center" vertical="center" wrapText="1"/>
    </xf>
    <xf numFmtId="0" fontId="12" fillId="11" borderId="35" xfId="0" applyFont="1" applyFill="1" applyBorder="1" applyAlignment="1">
      <alignment horizontal="center" vertical="center" wrapText="1"/>
    </xf>
    <xf numFmtId="0" fontId="12" fillId="11" borderId="26" xfId="0" applyFont="1" applyFill="1" applyBorder="1" applyAlignment="1">
      <alignment horizontal="center" vertical="center" wrapText="1"/>
    </xf>
    <xf numFmtId="0" fontId="12" fillId="11" borderId="54" xfId="0" applyFont="1" applyFill="1" applyBorder="1" applyAlignment="1">
      <alignment horizontal="center" vertical="center" wrapText="1"/>
    </xf>
    <xf numFmtId="0" fontId="12" fillId="9" borderId="10" xfId="0" applyFont="1" applyFill="1" applyBorder="1" applyAlignment="1">
      <alignment horizontal="left" vertical="center" wrapText="1"/>
    </xf>
    <xf numFmtId="0" fontId="12" fillId="9" borderId="11" xfId="0" applyFont="1" applyFill="1" applyBorder="1" applyAlignment="1">
      <alignment horizontal="left" vertical="center" wrapText="1"/>
    </xf>
    <xf numFmtId="0" fontId="12" fillId="9" borderId="12" xfId="0" applyFont="1" applyFill="1" applyBorder="1" applyAlignment="1">
      <alignment horizontal="left" vertical="center" wrapText="1"/>
    </xf>
    <xf numFmtId="0" fontId="20" fillId="10" borderId="13" xfId="26" applyFont="1" applyFill="1" applyBorder="1" applyAlignment="1">
      <alignment horizontal="center" vertical="center" wrapText="1"/>
    </xf>
    <xf numFmtId="0" fontId="20" fillId="10" borderId="14" xfId="26" applyFont="1" applyFill="1" applyBorder="1" applyAlignment="1">
      <alignment horizontal="center" vertical="center" wrapText="1"/>
    </xf>
    <xf numFmtId="201" fontId="16" fillId="10" borderId="49" xfId="0" applyNumberFormat="1" applyFont="1" applyFill="1" applyBorder="1" applyAlignment="1">
      <alignment horizontal="justify" vertical="top"/>
    </xf>
    <xf numFmtId="186" fontId="16" fillId="10" borderId="49" xfId="0" applyNumberFormat="1" applyFont="1" applyFill="1" applyBorder="1" applyAlignment="1">
      <alignment horizontal="center" vertical="center"/>
    </xf>
    <xf numFmtId="9" fontId="15" fillId="9" borderId="10" xfId="0" applyNumberFormat="1" applyFont="1" applyFill="1" applyBorder="1" applyAlignment="1">
      <alignment horizontal="center"/>
    </xf>
    <xf numFmtId="9" fontId="15" fillId="9" borderId="11" xfId="0" applyNumberFormat="1" applyFont="1" applyFill="1" applyBorder="1" applyAlignment="1">
      <alignment horizontal="center"/>
    </xf>
    <xf numFmtId="9" fontId="15" fillId="9" borderId="12" xfId="0" applyNumberFormat="1" applyFont="1" applyFill="1" applyBorder="1" applyAlignment="1">
      <alignment horizontal="center"/>
    </xf>
    <xf numFmtId="195" fontId="16" fillId="10" borderId="49" xfId="0" applyNumberFormat="1" applyFont="1" applyFill="1" applyBorder="1" applyAlignment="1">
      <alignment horizontal="center" vertical="center"/>
    </xf>
    <xf numFmtId="164" fontId="16" fillId="0" borderId="49" xfId="0" applyNumberFormat="1" applyFont="1" applyBorder="1" applyAlignment="1">
      <alignment horizontal="center" vertical="center"/>
    </xf>
    <xf numFmtId="0" fontId="12" fillId="11" borderId="10" xfId="0" applyFont="1" applyFill="1" applyBorder="1" applyAlignment="1">
      <alignment horizontal="left" vertical="top" wrapText="1"/>
    </xf>
    <xf numFmtId="0" fontId="12" fillId="11" borderId="11" xfId="0" applyFont="1" applyFill="1" applyBorder="1" applyAlignment="1">
      <alignment horizontal="left" vertical="top" wrapText="1"/>
    </xf>
    <xf numFmtId="0" fontId="31" fillId="17" borderId="10" xfId="0" applyFont="1" applyFill="1" applyBorder="1" applyAlignment="1">
      <alignment horizontal="center" vertical="center" wrapText="1"/>
    </xf>
    <xf numFmtId="0" fontId="31" fillId="17" borderId="11" xfId="0" applyFont="1" applyFill="1" applyBorder="1" applyAlignment="1">
      <alignment horizontal="center" vertical="center" wrapText="1"/>
    </xf>
    <xf numFmtId="201" fontId="16" fillId="0" borderId="45" xfId="0" applyNumberFormat="1" applyFont="1" applyFill="1" applyBorder="1" applyAlignment="1">
      <alignment horizontal="justify" vertical="top" wrapText="1"/>
    </xf>
    <xf numFmtId="201" fontId="16" fillId="0" borderId="46" xfId="0" applyNumberFormat="1" applyFont="1" applyFill="1" applyBorder="1" applyAlignment="1">
      <alignment horizontal="justify" vertical="top" wrapText="1"/>
    </xf>
    <xf numFmtId="186" fontId="6" fillId="10" borderId="46" xfId="0" applyNumberFormat="1" applyFont="1" applyFill="1" applyBorder="1" applyAlignment="1">
      <alignment horizontal="center" vertical="center"/>
    </xf>
    <xf numFmtId="164" fontId="78" fillId="0" borderId="37" xfId="0" applyNumberFormat="1" applyFont="1" applyBorder="1" applyAlignment="1">
      <alignment horizontal="center"/>
    </xf>
    <xf numFmtId="0" fontId="78" fillId="0" borderId="37" xfId="0" applyFont="1" applyBorder="1" applyAlignment="1">
      <alignment horizontal="center"/>
    </xf>
    <xf numFmtId="1" fontId="79" fillId="0" borderId="35" xfId="0" applyNumberFormat="1" applyFont="1" applyBorder="1" applyAlignment="1">
      <alignment horizontal="center" vertical="center"/>
    </xf>
    <xf numFmtId="1" fontId="79" fillId="0" borderId="27" xfId="0" applyNumberFormat="1" applyFont="1" applyBorder="1" applyAlignment="1">
      <alignment horizontal="center" vertical="center"/>
    </xf>
    <xf numFmtId="0" fontId="79" fillId="0" borderId="61" xfId="0" applyFont="1" applyBorder="1" applyAlignment="1">
      <alignment horizontal="center" vertical="center"/>
    </xf>
    <xf numFmtId="195" fontId="16" fillId="10" borderId="45" xfId="0" applyNumberFormat="1" applyFont="1" applyFill="1" applyBorder="1" applyAlignment="1">
      <alignment horizontal="justify" vertical="top"/>
    </xf>
    <xf numFmtId="195" fontId="16" fillId="10" borderId="45" xfId="0" applyNumberFormat="1" applyFont="1" applyFill="1" applyBorder="1" applyAlignment="1">
      <alignment horizontal="justify" vertical="top" wrapText="1"/>
    </xf>
    <xf numFmtId="195" fontId="78" fillId="0" borderId="9" xfId="0" applyNumberFormat="1" applyFont="1" applyBorder="1" applyAlignment="1">
      <alignment horizontal="center"/>
    </xf>
    <xf numFmtId="195" fontId="15" fillId="9" borderId="9" xfId="0" applyNumberFormat="1" applyFont="1" applyFill="1" applyBorder="1" applyAlignment="1">
      <alignment horizontal="center"/>
    </xf>
    <xf numFmtId="195" fontId="15" fillId="9" borderId="9" xfId="0" applyNumberFormat="1" applyFont="1" applyFill="1" applyBorder="1" applyAlignment="1">
      <alignment horizontal="center" vertical="center"/>
    </xf>
    <xf numFmtId="0" fontId="15" fillId="9" borderId="9" xfId="0" applyFont="1" applyFill="1" applyBorder="1" applyAlignment="1">
      <alignment horizontal="center" vertical="center"/>
    </xf>
    <xf numFmtId="10" fontId="15" fillId="9" borderId="9" xfId="0" applyNumberFormat="1" applyFont="1" applyFill="1" applyBorder="1" applyAlignment="1">
      <alignment horizontal="center" vertical="center"/>
    </xf>
    <xf numFmtId="0" fontId="15" fillId="9" borderId="9" xfId="0" applyFont="1" applyFill="1" applyBorder="1" applyAlignment="1">
      <alignment horizontal="center"/>
    </xf>
    <xf numFmtId="164" fontId="16" fillId="9" borderId="9" xfId="0" applyNumberFormat="1" applyFont="1" applyFill="1" applyBorder="1" applyAlignment="1">
      <alignment horizontal="center"/>
    </xf>
    <xf numFmtId="0" fontId="16" fillId="9" borderId="9" xfId="0" applyFont="1" applyFill="1" applyBorder="1" applyAlignment="1">
      <alignment horizontal="center"/>
    </xf>
    <xf numFmtId="164" fontId="80" fillId="0" borderId="15" xfId="0" applyNumberFormat="1" applyFont="1" applyBorder="1" applyAlignment="1">
      <alignment horizontal="center"/>
    </xf>
    <xf numFmtId="10" fontId="78" fillId="9" borderId="12" xfId="0" applyNumberFormat="1" applyFont="1" applyFill="1" applyBorder="1" applyAlignment="1">
      <alignment horizontal="center" vertical="center"/>
    </xf>
    <xf numFmtId="10" fontId="78" fillId="9" borderId="9" xfId="0" applyNumberFormat="1" applyFont="1" applyFill="1" applyBorder="1" applyAlignment="1">
      <alignment horizontal="center" vertical="center"/>
    </xf>
    <xf numFmtId="0" fontId="82" fillId="9" borderId="9" xfId="74" applyNumberFormat="1" applyFont="1" applyFill="1" applyBorder="1" applyAlignment="1" applyProtection="1">
      <alignment horizontal="center" vertical="center" wrapText="1"/>
    </xf>
    <xf numFmtId="0" fontId="82" fillId="9" borderId="9" xfId="75" applyFont="1" applyFill="1" applyBorder="1" applyAlignment="1">
      <alignment horizontal="center" vertical="center" wrapText="1"/>
    </xf>
    <xf numFmtId="10" fontId="45" fillId="17" borderId="9" xfId="0" applyNumberFormat="1" applyFont="1" applyFill="1" applyBorder="1" applyAlignment="1">
      <alignment horizontal="center" vertical="center"/>
    </xf>
    <xf numFmtId="10" fontId="82" fillId="9" borderId="9" xfId="0" applyNumberFormat="1" applyFont="1" applyFill="1" applyBorder="1" applyAlignment="1">
      <alignment horizontal="center" vertical="center"/>
    </xf>
    <xf numFmtId="164" fontId="6" fillId="9" borderId="9" xfId="0" applyNumberFormat="1" applyFont="1" applyFill="1" applyBorder="1" applyAlignment="1">
      <alignment horizontal="center" vertical="center" wrapText="1"/>
    </xf>
    <xf numFmtId="0" fontId="6" fillId="9" borderId="9" xfId="0" applyFont="1" applyFill="1" applyBorder="1" applyAlignment="1">
      <alignment horizontal="center" vertical="center" wrapText="1"/>
    </xf>
    <xf numFmtId="0" fontId="6" fillId="9" borderId="10" xfId="0" applyFont="1" applyFill="1" applyBorder="1" applyAlignment="1">
      <alignment horizontal="center" vertical="center" wrapText="1"/>
    </xf>
    <xf numFmtId="0" fontId="6" fillId="0" borderId="11" xfId="0" applyFont="1" applyBorder="1" applyAlignment="1">
      <alignment horizontal="center" vertical="center" wrapText="1"/>
    </xf>
    <xf numFmtId="10" fontId="16" fillId="17" borderId="9" xfId="0" applyNumberFormat="1" applyFont="1" applyFill="1" applyBorder="1" applyAlignment="1">
      <alignment horizontal="center" vertical="center"/>
    </xf>
    <xf numFmtId="10" fontId="16" fillId="17" borderId="10" xfId="0" applyNumberFormat="1" applyFont="1" applyFill="1" applyBorder="1" applyAlignment="1">
      <alignment horizontal="center" vertical="center"/>
    </xf>
    <xf numFmtId="10" fontId="15" fillId="9" borderId="9" xfId="0" applyNumberFormat="1" applyFont="1" applyFill="1" applyBorder="1" applyAlignment="1">
      <alignment horizontal="center"/>
    </xf>
    <xf numFmtId="0" fontId="82" fillId="9" borderId="9" xfId="74" applyNumberFormat="1" applyFont="1" applyFill="1" applyBorder="1" applyAlignment="1" applyProtection="1">
      <alignment horizontal="center" vertical="center"/>
    </xf>
    <xf numFmtId="195" fontId="84" fillId="0" borderId="12" xfId="0" applyNumberFormat="1" applyFont="1" applyBorder="1" applyAlignment="1">
      <alignment horizontal="center" vertical="center"/>
    </xf>
    <xf numFmtId="195" fontId="78" fillId="0" borderId="37" xfId="0" applyNumberFormat="1" applyFont="1" applyBorder="1" applyAlignment="1">
      <alignment horizontal="center"/>
    </xf>
    <xf numFmtId="195" fontId="16" fillId="10" borderId="46" xfId="0" applyNumberFormat="1" applyFont="1" applyFill="1" applyBorder="1" applyAlignment="1">
      <alignment horizontal="justify" vertical="top" wrapText="1"/>
    </xf>
    <xf numFmtId="0" fontId="79" fillId="0" borderId="44" xfId="0" applyFont="1" applyBorder="1" applyAlignment="1">
      <alignment horizontal="center" vertical="center"/>
    </xf>
    <xf numFmtId="195" fontId="9" fillId="9" borderId="9" xfId="0" applyNumberFormat="1" applyFont="1" applyFill="1" applyBorder="1" applyAlignment="1">
      <alignment horizontal="center" vertical="center"/>
    </xf>
    <xf numFmtId="10" fontId="16" fillId="0" borderId="35" xfId="0" applyNumberFormat="1" applyFont="1" applyBorder="1" applyAlignment="1">
      <alignment horizontal="center" vertical="center"/>
    </xf>
    <xf numFmtId="10" fontId="16" fillId="0" borderId="26" xfId="0" applyNumberFormat="1" applyFont="1" applyBorder="1" applyAlignment="1">
      <alignment horizontal="center" vertical="center"/>
    </xf>
    <xf numFmtId="10" fontId="16" fillId="0" borderId="0" xfId="0" applyNumberFormat="1" applyFont="1" applyBorder="1" applyAlignment="1">
      <alignment horizontal="center" vertical="center"/>
    </xf>
    <xf numFmtId="201" fontId="12" fillId="10" borderId="0" xfId="2" applyNumberFormat="1" applyFont="1" applyFill="1" applyAlignment="1">
      <alignment horizontal="center" vertical="center" wrapText="1"/>
    </xf>
    <xf numFmtId="201" fontId="6" fillId="10" borderId="0" xfId="2" applyNumberFormat="1" applyFont="1" applyFill="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15" xfId="0" applyFont="1" applyBorder="1" applyAlignment="1">
      <alignment horizontal="center" vertical="center" wrapText="1"/>
    </xf>
    <xf numFmtId="0" fontId="65" fillId="0" borderId="69" xfId="0" applyFont="1" applyBorder="1" applyAlignment="1" applyProtection="1">
      <alignment horizontal="left"/>
      <protection locked="0"/>
    </xf>
    <xf numFmtId="0" fontId="65" fillId="0" borderId="70" xfId="0" applyFont="1" applyBorder="1" applyAlignment="1" applyProtection="1">
      <alignment horizontal="left"/>
      <protection locked="0"/>
    </xf>
    <xf numFmtId="0" fontId="65" fillId="0" borderId="72" xfId="0" applyFont="1" applyBorder="1" applyAlignment="1" applyProtection="1">
      <alignment horizontal="left"/>
      <protection locked="0"/>
    </xf>
    <xf numFmtId="0" fontId="65" fillId="0" borderId="8" xfId="0" applyFont="1" applyBorder="1" applyAlignment="1" applyProtection="1">
      <alignment horizontal="left"/>
      <protection locked="0"/>
    </xf>
    <xf numFmtId="0" fontId="65" fillId="0" borderId="58" xfId="0" applyFont="1" applyBorder="1" applyAlignment="1">
      <alignment horizontal="center"/>
    </xf>
    <xf numFmtId="0" fontId="65" fillId="0" borderId="60" xfId="0" applyFont="1" applyBorder="1" applyAlignment="1">
      <alignment horizontal="center"/>
    </xf>
    <xf numFmtId="0" fontId="64" fillId="0" borderId="58" xfId="0" applyFont="1" applyBorder="1" applyAlignment="1" applyProtection="1">
      <alignment horizontal="center"/>
      <protection locked="0"/>
    </xf>
    <xf numFmtId="0" fontId="64" fillId="0" borderId="60" xfId="0" applyFont="1" applyBorder="1" applyAlignment="1" applyProtection="1">
      <alignment horizontal="center"/>
      <protection locked="0"/>
    </xf>
    <xf numFmtId="0" fontId="65" fillId="0" borderId="68" xfId="0" applyFont="1" applyBorder="1" applyAlignment="1" applyProtection="1">
      <alignment horizontal="left"/>
      <protection locked="0"/>
    </xf>
    <xf numFmtId="0" fontId="65" fillId="0" borderId="4" xfId="0" applyFont="1" applyBorder="1" applyAlignment="1" applyProtection="1">
      <alignment horizontal="left"/>
      <protection locked="0"/>
    </xf>
    <xf numFmtId="0" fontId="69" fillId="32" borderId="28" xfId="0" applyFont="1" applyFill="1" applyBorder="1" applyAlignment="1">
      <alignment horizontal="center" vertical="center" wrapText="1"/>
    </xf>
    <xf numFmtId="0" fontId="69" fillId="32" borderId="30" xfId="0" applyFont="1" applyFill="1" applyBorder="1" applyAlignment="1">
      <alignment horizontal="center" vertical="center" wrapText="1"/>
    </xf>
    <xf numFmtId="0" fontId="69" fillId="32" borderId="31" xfId="0" applyFont="1" applyFill="1" applyBorder="1" applyAlignment="1">
      <alignment horizontal="center" vertical="center" wrapText="1"/>
    </xf>
    <xf numFmtId="0" fontId="69" fillId="32" borderId="32" xfId="0" applyFont="1" applyFill="1" applyBorder="1" applyAlignment="1">
      <alignment horizontal="center" vertical="center" wrapText="1"/>
    </xf>
    <xf numFmtId="0" fontId="69" fillId="32" borderId="33" xfId="0" applyFont="1" applyFill="1" applyBorder="1" applyAlignment="1">
      <alignment horizontal="center" vertical="center" wrapText="1"/>
    </xf>
    <xf numFmtId="0" fontId="69" fillId="32" borderId="2" xfId="0" applyFont="1" applyFill="1" applyBorder="1" applyAlignment="1">
      <alignment horizontal="center" vertical="center" wrapText="1"/>
    </xf>
    <xf numFmtId="0" fontId="69" fillId="32" borderId="28" xfId="0" applyFont="1" applyFill="1" applyBorder="1" applyAlignment="1">
      <alignment vertical="center" wrapText="1"/>
    </xf>
    <xf numFmtId="0" fontId="69" fillId="32" borderId="30" xfId="0" applyFont="1" applyFill="1" applyBorder="1" applyAlignment="1">
      <alignment vertical="center" wrapText="1"/>
    </xf>
    <xf numFmtId="0" fontId="69" fillId="32" borderId="33" xfId="0" applyFont="1" applyFill="1" applyBorder="1" applyAlignment="1">
      <alignment vertical="center" wrapText="1"/>
    </xf>
    <xf numFmtId="0" fontId="69" fillId="32" borderId="2" xfId="0" applyFont="1" applyFill="1" applyBorder="1" applyAlignment="1">
      <alignment vertical="center" wrapText="1"/>
    </xf>
    <xf numFmtId="0" fontId="0" fillId="32" borderId="32" xfId="0" applyFill="1" applyBorder="1" applyAlignment="1">
      <alignment vertical="center" wrapText="1"/>
    </xf>
    <xf numFmtId="0" fontId="0" fillId="32" borderId="2" xfId="0" applyFill="1" applyBorder="1" applyAlignment="1">
      <alignment vertical="center" wrapText="1"/>
    </xf>
    <xf numFmtId="0" fontId="68" fillId="31" borderId="58" xfId="0" applyFont="1" applyFill="1" applyBorder="1" applyAlignment="1">
      <alignment horizontal="center" vertical="center" wrapText="1"/>
    </xf>
    <xf numFmtId="0" fontId="68" fillId="31" borderId="60" xfId="0" applyFont="1" applyFill="1" applyBorder="1" applyAlignment="1">
      <alignment horizontal="center" vertical="center" wrapText="1"/>
    </xf>
    <xf numFmtId="0" fontId="12" fillId="10" borderId="27" xfId="26" applyFont="1" applyFill="1" applyBorder="1" applyAlignment="1">
      <alignment horizontal="center" vertical="center" wrapText="1"/>
    </xf>
    <xf numFmtId="0" fontId="12" fillId="10" borderId="0" xfId="26" applyFont="1" applyFill="1" applyAlignment="1">
      <alignment horizontal="center" vertical="center" wrapText="1"/>
    </xf>
    <xf numFmtId="0" fontId="12" fillId="10" borderId="55" xfId="26" applyFont="1" applyFill="1" applyBorder="1" applyAlignment="1">
      <alignment horizontal="center" vertical="center" wrapText="1"/>
    </xf>
    <xf numFmtId="175" fontId="6" fillId="0" borderId="0" xfId="2" applyFont="1" applyAlignment="1">
      <alignment horizontal="left" vertical="top" wrapText="1"/>
    </xf>
    <xf numFmtId="0" fontId="29" fillId="10" borderId="26" xfId="26" applyFont="1" applyFill="1" applyBorder="1" applyAlignment="1">
      <alignment horizontal="center" vertical="center"/>
    </xf>
    <xf numFmtId="175" fontId="12" fillId="0" borderId="0" xfId="2" applyFont="1" applyAlignment="1">
      <alignment horizontal="center" vertical="top" wrapText="1"/>
    </xf>
    <xf numFmtId="0" fontId="20" fillId="10" borderId="35" xfId="26" applyFont="1" applyFill="1" applyBorder="1" applyAlignment="1">
      <alignment horizontal="center" vertical="center"/>
    </xf>
    <xf numFmtId="0" fontId="20" fillId="10" borderId="26" xfId="26" applyFont="1" applyFill="1" applyBorder="1" applyAlignment="1">
      <alignment horizontal="center" vertical="center"/>
    </xf>
    <xf numFmtId="0" fontId="20" fillId="10" borderId="54" xfId="26" applyFont="1" applyFill="1" applyBorder="1" applyAlignment="1">
      <alignment horizontal="center" vertical="center"/>
    </xf>
    <xf numFmtId="0" fontId="15" fillId="10" borderId="27" xfId="26" applyFont="1" applyFill="1" applyBorder="1" applyAlignment="1">
      <alignment horizontal="center" vertical="center" wrapText="1"/>
    </xf>
    <xf numFmtId="0" fontId="15" fillId="10" borderId="0" xfId="26" applyFont="1" applyFill="1" applyAlignment="1">
      <alignment horizontal="center" vertical="center" wrapText="1"/>
    </xf>
    <xf numFmtId="0" fontId="15" fillId="10" borderId="55" xfId="26" applyFont="1" applyFill="1" applyBorder="1" applyAlignment="1">
      <alignment horizontal="center" vertical="center" wrapText="1"/>
    </xf>
    <xf numFmtId="0" fontId="16" fillId="0" borderId="0" xfId="0" applyFont="1" applyAlignment="1">
      <alignment horizontal="left" wrapText="1"/>
    </xf>
    <xf numFmtId="0" fontId="15" fillId="0" borderId="0" xfId="0" applyFont="1" applyAlignment="1">
      <alignment horizontal="left" vertical="top" wrapText="1"/>
    </xf>
    <xf numFmtId="0" fontId="15" fillId="10" borderId="0" xfId="26" applyFont="1" applyFill="1" applyBorder="1" applyAlignment="1">
      <alignment horizontal="center" vertical="center" wrapText="1"/>
    </xf>
    <xf numFmtId="0" fontId="12" fillId="0" borderId="0" xfId="0" applyFont="1" applyBorder="1" applyAlignment="1">
      <alignment horizontal="center" vertical="center" wrapText="1"/>
    </xf>
    <xf numFmtId="187" fontId="75" fillId="12" borderId="45" xfId="0" applyNumberFormat="1" applyFont="1" applyFill="1" applyBorder="1" applyAlignment="1" applyProtection="1">
      <alignment horizontal="right" vertical="center" wrapText="1" readingOrder="1"/>
      <protection locked="0"/>
    </xf>
    <xf numFmtId="187" fontId="74" fillId="12" borderId="45" xfId="0" applyNumberFormat="1" applyFont="1" applyFill="1" applyBorder="1" applyAlignment="1">
      <alignment horizontal="right" vertical="center"/>
    </xf>
    <xf numFmtId="0" fontId="9" fillId="10" borderId="0" xfId="26" applyFont="1" applyFill="1" applyBorder="1" applyAlignment="1">
      <alignment horizontal="center" vertical="center"/>
    </xf>
    <xf numFmtId="0" fontId="6" fillId="10" borderId="0" xfId="0" applyFont="1" applyFill="1" applyAlignment="1">
      <alignment horizontal="left" vertical="top" wrapText="1"/>
    </xf>
    <xf numFmtId="0" fontId="21" fillId="10" borderId="0" xfId="26" applyFont="1" applyFill="1" applyBorder="1" applyAlignment="1">
      <alignment horizontal="center" vertical="center"/>
    </xf>
    <xf numFmtId="0" fontId="12" fillId="13" borderId="0" xfId="0" applyFont="1" applyFill="1" applyAlignment="1">
      <alignment horizontal="center" vertical="top" wrapText="1"/>
    </xf>
    <xf numFmtId="0" fontId="15" fillId="13" borderId="9" xfId="58" applyFont="1" applyFill="1" applyBorder="1" applyAlignment="1">
      <alignment horizontal="center" vertical="center"/>
    </xf>
    <xf numFmtId="0" fontId="53" fillId="10" borderId="0" xfId="0" applyFont="1" applyFill="1" applyAlignment="1">
      <alignment horizontal="center"/>
    </xf>
    <xf numFmtId="0" fontId="31" fillId="5" borderId="56" xfId="0" applyFont="1" applyFill="1" applyBorder="1" applyAlignment="1" applyProtection="1">
      <alignment horizontal="center" vertical="center"/>
      <protection hidden="1"/>
    </xf>
    <xf numFmtId="0" fontId="31" fillId="5" borderId="57" xfId="0" applyFont="1" applyFill="1" applyBorder="1" applyAlignment="1" applyProtection="1">
      <alignment horizontal="center" vertical="center"/>
      <protection hidden="1"/>
    </xf>
    <xf numFmtId="0" fontId="12" fillId="0" borderId="58" xfId="0" applyFont="1" applyBorder="1" applyAlignment="1" applyProtection="1">
      <alignment horizontal="center" vertical="center"/>
      <protection hidden="1"/>
    </xf>
    <xf numFmtId="0" fontId="12" fillId="0" borderId="59" xfId="0" applyFont="1" applyBorder="1" applyAlignment="1" applyProtection="1">
      <alignment horizontal="center" vertical="center"/>
      <protection hidden="1"/>
    </xf>
    <xf numFmtId="0" fontId="12" fillId="0" borderId="60" xfId="0" applyFont="1" applyBorder="1" applyAlignment="1" applyProtection="1">
      <alignment horizontal="center" vertical="center"/>
      <protection hidden="1"/>
    </xf>
    <xf numFmtId="0" fontId="36" fillId="6" borderId="58" xfId="0" applyFont="1" applyFill="1" applyBorder="1" applyAlignment="1" applyProtection="1">
      <alignment horizontal="center" vertical="center"/>
      <protection hidden="1"/>
    </xf>
    <xf numFmtId="0" fontId="36" fillId="6" borderId="59" xfId="0" applyFont="1" applyFill="1" applyBorder="1" applyAlignment="1" applyProtection="1">
      <alignment horizontal="center" vertical="center"/>
      <protection hidden="1"/>
    </xf>
    <xf numFmtId="0" fontId="36" fillId="6" borderId="60" xfId="0" applyFont="1" applyFill="1" applyBorder="1" applyAlignment="1" applyProtection="1">
      <alignment horizontal="center" vertical="center"/>
      <protection hidden="1"/>
    </xf>
    <xf numFmtId="0" fontId="24" fillId="10" borderId="0" xfId="26" applyFont="1" applyFill="1" applyBorder="1" applyAlignment="1">
      <alignment horizontal="center" vertical="center"/>
    </xf>
    <xf numFmtId="0" fontId="12" fillId="0" borderId="58" xfId="0" applyFont="1" applyBorder="1" applyAlignment="1" applyProtection="1">
      <alignment horizontal="center"/>
      <protection hidden="1"/>
    </xf>
    <xf numFmtId="0" fontId="12" fillId="0" borderId="59" xfId="0" applyFont="1" applyBorder="1" applyAlignment="1" applyProtection="1">
      <alignment horizontal="center"/>
      <protection hidden="1"/>
    </xf>
    <xf numFmtId="0" fontId="12" fillId="0" borderId="60" xfId="0" applyFont="1" applyBorder="1" applyAlignment="1" applyProtection="1">
      <alignment horizontal="center"/>
      <protection hidden="1"/>
    </xf>
    <xf numFmtId="0" fontId="36" fillId="6" borderId="58" xfId="0" applyFont="1" applyFill="1" applyBorder="1" applyAlignment="1" applyProtection="1">
      <alignment horizontal="center"/>
      <protection hidden="1"/>
    </xf>
    <xf numFmtId="0" fontId="36" fillId="6" borderId="59" xfId="0" applyFont="1" applyFill="1" applyBorder="1" applyAlignment="1" applyProtection="1">
      <alignment horizontal="center"/>
      <protection hidden="1"/>
    </xf>
    <xf numFmtId="0" fontId="36" fillId="6" borderId="60" xfId="0" applyFont="1" applyFill="1" applyBorder="1" applyAlignment="1" applyProtection="1">
      <alignment horizontal="center"/>
      <protection hidden="1"/>
    </xf>
    <xf numFmtId="0" fontId="17" fillId="11" borderId="9" xfId="0" applyFont="1" applyFill="1" applyBorder="1" applyAlignment="1">
      <alignment horizontal="center" vertical="center"/>
    </xf>
    <xf numFmtId="0" fontId="12" fillId="11" borderId="31" xfId="0" applyFont="1" applyFill="1" applyBorder="1" applyAlignment="1">
      <alignment horizontal="center"/>
    </xf>
    <xf numFmtId="0" fontId="12" fillId="11" borderId="0" xfId="0" applyFont="1" applyFill="1" applyBorder="1" applyAlignment="1">
      <alignment horizontal="center"/>
    </xf>
    <xf numFmtId="0" fontId="12" fillId="11" borderId="32" xfId="0" applyFont="1" applyFill="1" applyBorder="1" applyAlignment="1">
      <alignment horizontal="center"/>
    </xf>
    <xf numFmtId="0" fontId="12" fillId="11" borderId="33" xfId="0" applyFont="1" applyFill="1" applyBorder="1" applyAlignment="1">
      <alignment horizontal="center"/>
    </xf>
    <xf numFmtId="0" fontId="12" fillId="11" borderId="34" xfId="0" applyFont="1" applyFill="1" applyBorder="1" applyAlignment="1">
      <alignment horizontal="center"/>
    </xf>
    <xf numFmtId="0" fontId="12" fillId="11" borderId="2" xfId="0" applyFont="1" applyFill="1" applyBorder="1" applyAlignment="1">
      <alignment horizontal="center"/>
    </xf>
    <xf numFmtId="0" fontId="13" fillId="0" borderId="3" xfId="0" applyFont="1" applyBorder="1" applyAlignment="1">
      <alignment horizontal="center"/>
    </xf>
    <xf numFmtId="0" fontId="13" fillId="0" borderId="7" xfId="0" applyFont="1" applyBorder="1" applyAlignment="1">
      <alignment horizontal="center"/>
    </xf>
    <xf numFmtId="0" fontId="14" fillId="0" borderId="61" xfId="0" applyFont="1" applyBorder="1" applyAlignment="1">
      <alignment horizontal="center"/>
    </xf>
    <xf numFmtId="0" fontId="14" fillId="0" borderId="62" xfId="0" applyFont="1" applyBorder="1" applyAlignment="1">
      <alignment horizontal="center"/>
    </xf>
    <xf numFmtId="0" fontId="13" fillId="0" borderId="61" xfId="0" applyFont="1" applyBorder="1" applyAlignment="1">
      <alignment horizontal="center"/>
    </xf>
    <xf numFmtId="0" fontId="13" fillId="0" borderId="62" xfId="0" applyFont="1" applyBorder="1" applyAlignment="1">
      <alignment horizontal="center"/>
    </xf>
    <xf numFmtId="0" fontId="63" fillId="10" borderId="67" xfId="0" applyFont="1" applyFill="1" applyBorder="1" applyAlignment="1">
      <alignment horizontal="left" wrapText="1"/>
    </xf>
    <xf numFmtId="0" fontId="46" fillId="10" borderId="0" xfId="0" applyFont="1" applyFill="1" applyAlignment="1">
      <alignment horizontal="left" vertical="center" wrapText="1"/>
    </xf>
    <xf numFmtId="0" fontId="48" fillId="16" borderId="75" xfId="0" applyFont="1" applyFill="1" applyBorder="1" applyAlignment="1">
      <alignment horizontal="center" vertical="center" wrapText="1"/>
    </xf>
    <xf numFmtId="0" fontId="48" fillId="16" borderId="76" xfId="0" applyFont="1" applyFill="1" applyBorder="1" applyAlignment="1">
      <alignment horizontal="center" vertical="center" wrapText="1"/>
    </xf>
    <xf numFmtId="0" fontId="48" fillId="16" borderId="44" xfId="0" applyFont="1" applyFill="1" applyBorder="1" applyAlignment="1">
      <alignment horizontal="center" vertical="center" wrapText="1"/>
    </xf>
    <xf numFmtId="0" fontId="48" fillId="16" borderId="77" xfId="0" applyFont="1" applyFill="1" applyBorder="1" applyAlignment="1">
      <alignment horizontal="center" vertical="center" wrapText="1"/>
    </xf>
    <xf numFmtId="0" fontId="48" fillId="16" borderId="53" xfId="0" applyFont="1" applyFill="1" applyBorder="1" applyAlignment="1">
      <alignment horizontal="center" vertical="center" wrapText="1"/>
    </xf>
    <xf numFmtId="0" fontId="48" fillId="16" borderId="78" xfId="0" applyFont="1" applyFill="1" applyBorder="1" applyAlignment="1">
      <alignment horizontal="center" vertical="center" wrapText="1"/>
    </xf>
    <xf numFmtId="0" fontId="46" fillId="0" borderId="0" xfId="0" applyFont="1" applyAlignment="1">
      <alignment horizontal="left" vertical="top" wrapText="1"/>
    </xf>
    <xf numFmtId="0" fontId="23" fillId="0" borderId="0" xfId="1" applyFont="1" applyAlignment="1" applyProtection="1">
      <alignment horizontal="left" vertical="top" wrapText="1"/>
    </xf>
    <xf numFmtId="0" fontId="9" fillId="10" borderId="27" xfId="26" applyFont="1" applyFill="1" applyBorder="1" applyAlignment="1">
      <alignment horizontal="center" vertical="center" wrapText="1"/>
    </xf>
    <xf numFmtId="0" fontId="9" fillId="10" borderId="0" xfId="26" applyFont="1" applyFill="1" applyBorder="1" applyAlignment="1">
      <alignment horizontal="center" vertical="center" wrapText="1"/>
    </xf>
    <xf numFmtId="0" fontId="9" fillId="10" borderId="55" xfId="26" applyFont="1" applyFill="1" applyBorder="1" applyAlignment="1">
      <alignment horizontal="center" vertical="center" wrapText="1"/>
    </xf>
    <xf numFmtId="0" fontId="46" fillId="0" borderId="0" xfId="0" applyFont="1" applyAlignment="1">
      <alignment horizontal="left" vertical="center" wrapText="1"/>
    </xf>
    <xf numFmtId="0" fontId="20" fillId="10" borderId="24" xfId="26" applyFont="1" applyFill="1" applyBorder="1" applyAlignment="1">
      <alignment horizontal="center" vertical="center"/>
    </xf>
    <xf numFmtId="0" fontId="20" fillId="10" borderId="53" xfId="26" applyFont="1" applyFill="1" applyBorder="1" applyAlignment="1">
      <alignment horizontal="center" vertical="center"/>
    </xf>
    <xf numFmtId="0" fontId="9" fillId="10" borderId="37" xfId="26" applyFont="1" applyFill="1" applyBorder="1" applyAlignment="1">
      <alignment horizontal="center" vertical="center" wrapText="1"/>
    </xf>
    <xf numFmtId="0" fontId="28" fillId="14" borderId="9" xfId="26" applyFont="1" applyFill="1" applyBorder="1" applyAlignment="1">
      <alignment horizontal="left" vertical="center"/>
    </xf>
    <xf numFmtId="0" fontId="28" fillId="19" borderId="9" xfId="26" applyFont="1" applyFill="1" applyBorder="1" applyAlignment="1">
      <alignment horizontal="left"/>
    </xf>
    <xf numFmtId="190" fontId="28" fillId="19" borderId="9" xfId="65" applyNumberFormat="1" applyFont="1" applyFill="1" applyBorder="1" applyAlignment="1">
      <alignment horizontal="center" vertical="center"/>
    </xf>
    <xf numFmtId="0" fontId="27" fillId="10" borderId="45" xfId="26" applyFont="1" applyFill="1" applyBorder="1" applyAlignment="1">
      <alignment horizontal="left"/>
    </xf>
    <xf numFmtId="0" fontId="27" fillId="10" borderId="17" xfId="26" applyFont="1" applyFill="1" applyBorder="1" applyAlignment="1">
      <alignment horizontal="center"/>
    </xf>
    <xf numFmtId="0" fontId="27" fillId="10" borderId="63" xfId="26" applyFont="1" applyFill="1" applyBorder="1" applyAlignment="1">
      <alignment horizontal="center"/>
    </xf>
    <xf numFmtId="10" fontId="28" fillId="29" borderId="49" xfId="65" applyNumberFormat="1" applyFont="1" applyFill="1" applyBorder="1" applyAlignment="1">
      <alignment horizontal="center" vertical="center" wrapText="1"/>
    </xf>
    <xf numFmtId="10" fontId="28" fillId="29" borderId="48" xfId="65" applyNumberFormat="1" applyFont="1" applyFill="1" applyBorder="1" applyAlignment="1">
      <alignment horizontal="center" vertical="center" wrapText="1"/>
    </xf>
    <xf numFmtId="0" fontId="27" fillId="10" borderId="47" xfId="26" applyFont="1" applyFill="1" applyBorder="1" applyAlignment="1">
      <alignment horizontal="left"/>
    </xf>
    <xf numFmtId="0" fontId="27" fillId="19" borderId="39" xfId="26" applyFont="1" applyFill="1" applyBorder="1" applyAlignment="1">
      <alignment horizontal="center"/>
    </xf>
    <xf numFmtId="0" fontId="27" fillId="19" borderId="9" xfId="26" applyFont="1" applyFill="1" applyBorder="1" applyAlignment="1">
      <alignment horizontal="center"/>
    </xf>
    <xf numFmtId="0" fontId="28" fillId="19" borderId="24" xfId="26" applyFont="1" applyFill="1" applyBorder="1" applyAlignment="1">
      <alignment horizontal="left"/>
    </xf>
    <xf numFmtId="0" fontId="29" fillId="26" borderId="9" xfId="26" applyFont="1" applyFill="1" applyBorder="1" applyAlignment="1">
      <alignment horizontal="left" vertical="center"/>
    </xf>
    <xf numFmtId="4" fontId="29" fillId="26" borderId="9" xfId="26" applyNumberFormat="1" applyFont="1" applyFill="1" applyBorder="1" applyAlignment="1">
      <alignment horizontal="center" vertical="center"/>
    </xf>
    <xf numFmtId="0" fontId="27" fillId="10" borderId="46" xfId="26" applyFont="1" applyFill="1" applyBorder="1" applyAlignment="1">
      <alignment horizontal="left"/>
    </xf>
    <xf numFmtId="0" fontId="28" fillId="19" borderId="39" xfId="26" applyFont="1" applyFill="1" applyBorder="1" applyAlignment="1">
      <alignment horizontal="left" vertical="center"/>
    </xf>
    <xf numFmtId="0" fontId="28" fillId="19" borderId="9" xfId="26" applyFont="1" applyFill="1" applyBorder="1" applyAlignment="1">
      <alignment horizontal="left" vertical="center"/>
    </xf>
    <xf numFmtId="0" fontId="28" fillId="29" borderId="16" xfId="26" applyFont="1" applyFill="1" applyBorder="1" applyAlignment="1">
      <alignment horizontal="left" vertical="center" wrapText="1"/>
    </xf>
    <xf numFmtId="0" fontId="28" fillId="29" borderId="47" xfId="26" applyFont="1" applyFill="1" applyBorder="1" applyAlignment="1">
      <alignment horizontal="left" vertical="center" wrapText="1"/>
    </xf>
    <xf numFmtId="0" fontId="28" fillId="29" borderId="18" xfId="26" applyFont="1" applyFill="1" applyBorder="1" applyAlignment="1">
      <alignment horizontal="left" vertical="center" wrapText="1"/>
    </xf>
    <xf numFmtId="0" fontId="28" fillId="29" borderId="48" xfId="26" applyFont="1" applyFill="1" applyBorder="1" applyAlignment="1">
      <alignment horizontal="left" vertical="center" wrapText="1"/>
    </xf>
    <xf numFmtId="10" fontId="28" fillId="29" borderId="49" xfId="65" applyNumberFormat="1" applyFont="1" applyFill="1" applyBorder="1" applyAlignment="1">
      <alignment horizontal="center" vertical="center"/>
    </xf>
    <xf numFmtId="10" fontId="28" fillId="29" borderId="48" xfId="65" applyNumberFormat="1" applyFont="1" applyFill="1" applyBorder="1" applyAlignment="1">
      <alignment horizontal="center" vertical="center"/>
    </xf>
    <xf numFmtId="0" fontId="27" fillId="0" borderId="31" xfId="26" applyFont="1" applyBorder="1" applyAlignment="1">
      <alignment horizontal="center"/>
    </xf>
    <xf numFmtId="0" fontId="27" fillId="0" borderId="0" xfId="26" applyFont="1" applyAlignment="1">
      <alignment horizontal="center"/>
    </xf>
    <xf numFmtId="4" fontId="27" fillId="10" borderId="53" xfId="26" applyNumberFormat="1" applyFont="1" applyFill="1" applyBorder="1" applyAlignment="1">
      <alignment horizontal="center"/>
    </xf>
    <xf numFmtId="0" fontId="27" fillId="0" borderId="53" xfId="26" applyFont="1" applyBorder="1" applyAlignment="1">
      <alignment horizontal="center"/>
    </xf>
    <xf numFmtId="0" fontId="27" fillId="0" borderId="64" xfId="26" applyFont="1" applyBorder="1" applyAlignment="1">
      <alignment horizontal="center"/>
    </xf>
    <xf numFmtId="0" fontId="27" fillId="0" borderId="45" xfId="26" applyFont="1" applyBorder="1"/>
    <xf numFmtId="0" fontId="27" fillId="0" borderId="48" xfId="26" applyFont="1" applyBorder="1"/>
    <xf numFmtId="0" fontId="28" fillId="0" borderId="9" xfId="26" applyFont="1" applyBorder="1" applyAlignment="1">
      <alignment horizontal="center" vertical="center" wrapText="1"/>
    </xf>
    <xf numFmtId="0" fontId="28" fillId="26" borderId="36" xfId="26" applyFont="1" applyFill="1" applyBorder="1" applyAlignment="1">
      <alignment horizontal="left"/>
    </xf>
    <xf numFmtId="0" fontId="28" fillId="26" borderId="37" xfId="26" applyFont="1" applyFill="1" applyBorder="1" applyAlignment="1">
      <alignment horizontal="left"/>
    </xf>
    <xf numFmtId="0" fontId="28" fillId="26" borderId="38" xfId="26" applyFont="1" applyFill="1" applyBorder="1" applyAlignment="1">
      <alignment horizontal="left"/>
    </xf>
    <xf numFmtId="0" fontId="27" fillId="14" borderId="39" xfId="26" applyFont="1" applyFill="1" applyBorder="1" applyAlignment="1">
      <alignment horizontal="left"/>
    </xf>
    <xf numFmtId="0" fontId="27" fillId="14" borderId="9" xfId="26" applyFont="1" applyFill="1" applyBorder="1" applyAlignment="1">
      <alignment horizontal="left"/>
    </xf>
    <xf numFmtId="0" fontId="27" fillId="0" borderId="24" xfId="26" applyFont="1" applyBorder="1" applyAlignment="1">
      <alignment horizontal="center"/>
    </xf>
    <xf numFmtId="0" fontId="27" fillId="0" borderId="25" xfId="26" applyFont="1" applyBorder="1" applyAlignment="1">
      <alignment horizontal="center"/>
    </xf>
    <xf numFmtId="0" fontId="27" fillId="14" borderId="36" xfId="26" applyFont="1" applyFill="1" applyBorder="1" applyAlignment="1">
      <alignment horizontal="left"/>
    </xf>
    <xf numFmtId="0" fontId="27" fillId="14" borderId="37" xfId="26" applyFont="1" applyFill="1" applyBorder="1" applyAlignment="1">
      <alignment horizontal="left"/>
    </xf>
    <xf numFmtId="4" fontId="27" fillId="0" borderId="53" xfId="26" applyNumberFormat="1" applyFont="1" applyBorder="1" applyAlignment="1">
      <alignment horizontal="center"/>
    </xf>
    <xf numFmtId="0" fontId="27" fillId="0" borderId="47" xfId="26" applyFont="1" applyBorder="1"/>
    <xf numFmtId="0" fontId="27" fillId="0" borderId="45" xfId="26" applyFont="1" applyBorder="1" applyAlignment="1">
      <alignment horizontal="left"/>
    </xf>
    <xf numFmtId="0" fontId="51" fillId="30" borderId="9" xfId="0" applyFont="1" applyFill="1" applyBorder="1" applyAlignment="1">
      <alignment horizontal="center" vertical="center" wrapText="1"/>
    </xf>
    <xf numFmtId="185" fontId="6" fillId="4" borderId="9" xfId="15" applyNumberFormat="1" applyFill="1" applyBorder="1" applyAlignment="1">
      <alignment horizontal="center" vertical="center" wrapText="1"/>
    </xf>
    <xf numFmtId="185" fontId="6" fillId="0" borderId="9" xfId="15" applyNumberFormat="1" applyBorder="1" applyAlignment="1">
      <alignment horizontal="center" vertical="center" wrapText="1"/>
    </xf>
    <xf numFmtId="185" fontId="12" fillId="8" borderId="9" xfId="15" applyNumberFormat="1" applyFont="1" applyFill="1" applyBorder="1" applyAlignment="1">
      <alignment horizontal="center" vertical="center" wrapText="1"/>
    </xf>
    <xf numFmtId="185" fontId="12" fillId="2" borderId="9" xfId="15" applyNumberFormat="1" applyFont="1" applyFill="1" applyBorder="1" applyAlignment="1">
      <alignment horizontal="center" vertical="center" wrapText="1"/>
    </xf>
    <xf numFmtId="0" fontId="34" fillId="10" borderId="0" xfId="62" applyFont="1" applyFill="1" applyAlignment="1">
      <alignment horizontal="center"/>
    </xf>
    <xf numFmtId="0" fontId="34" fillId="10" borderId="0" xfId="62" applyFont="1" applyFill="1" applyAlignment="1">
      <alignment horizontal="center" wrapText="1"/>
    </xf>
    <xf numFmtId="185" fontId="12" fillId="7" borderId="9" xfId="15" applyNumberFormat="1" applyFont="1" applyFill="1" applyBorder="1" applyAlignment="1">
      <alignment horizontal="center" vertical="center" wrapText="1"/>
    </xf>
    <xf numFmtId="185" fontId="12" fillId="6" borderId="9" xfId="15" applyNumberFormat="1" applyFont="1" applyFill="1" applyBorder="1" applyAlignment="1">
      <alignment horizontal="center" vertical="center" wrapText="1"/>
    </xf>
    <xf numFmtId="0" fontId="30" fillId="10" borderId="0" xfId="62" applyFont="1" applyFill="1" applyAlignment="1">
      <alignment horizontal="center" vertical="center"/>
    </xf>
    <xf numFmtId="0" fontId="6" fillId="10" borderId="0" xfId="62" applyFill="1" applyAlignment="1">
      <alignment horizontal="center" vertical="center" wrapText="1"/>
    </xf>
    <xf numFmtId="173" fontId="32" fillId="10" borderId="0" xfId="3" applyFont="1" applyFill="1" applyAlignment="1">
      <alignment horizontal="center" vertical="center" wrapText="1"/>
    </xf>
    <xf numFmtId="185" fontId="12" fillId="3" borderId="9" xfId="15" applyNumberFormat="1" applyFont="1" applyFill="1" applyBorder="1" applyAlignment="1">
      <alignment horizontal="center" vertical="center" wrapText="1"/>
    </xf>
    <xf numFmtId="43" fontId="16" fillId="10" borderId="0" xfId="0" applyNumberFormat="1" applyFont="1" applyFill="1" applyAlignment="1">
      <alignment vertical="center"/>
    </xf>
    <xf numFmtId="201" fontId="16" fillId="12" borderId="45" xfId="0" applyNumberFormat="1" applyFont="1" applyFill="1" applyBorder="1" applyAlignment="1">
      <alignment horizontal="center" vertical="center"/>
    </xf>
    <xf numFmtId="201" fontId="16" fillId="12" borderId="45" xfId="0" applyNumberFormat="1" applyFont="1" applyFill="1" applyBorder="1" applyAlignment="1">
      <alignment horizontal="justify" vertical="top" wrapText="1"/>
    </xf>
    <xf numFmtId="186" fontId="16" fillId="12" borderId="45" xfId="0" applyNumberFormat="1" applyFont="1" applyFill="1" applyBorder="1" applyAlignment="1">
      <alignment horizontal="center" vertical="center"/>
    </xf>
    <xf numFmtId="195" fontId="16" fillId="12" borderId="45" xfId="0" applyNumberFormat="1" applyFont="1" applyFill="1" applyBorder="1" applyAlignment="1">
      <alignment horizontal="center" vertical="center"/>
    </xf>
    <xf numFmtId="186" fontId="6" fillId="12" borderId="45" xfId="0" applyNumberFormat="1" applyFont="1" applyFill="1" applyBorder="1" applyAlignment="1">
      <alignment horizontal="center" vertical="center"/>
    </xf>
    <xf numFmtId="195" fontId="6" fillId="12" borderId="45" xfId="0" applyNumberFormat="1" applyFont="1" applyFill="1" applyBorder="1" applyAlignment="1">
      <alignment horizontal="center" vertical="center"/>
    </xf>
    <xf numFmtId="201" fontId="16" fillId="12" borderId="49" xfId="0" applyNumberFormat="1" applyFont="1" applyFill="1" applyBorder="1" applyAlignment="1">
      <alignment horizontal="center" vertical="center"/>
    </xf>
    <xf numFmtId="201" fontId="16" fillId="12" borderId="49" xfId="0" applyNumberFormat="1" applyFont="1" applyFill="1" applyBorder="1" applyAlignment="1">
      <alignment horizontal="justify" vertical="top" wrapText="1"/>
    </xf>
    <xf numFmtId="186" fontId="6" fillId="12" borderId="49" xfId="0" applyNumberFormat="1" applyFont="1" applyFill="1" applyBorder="1" applyAlignment="1">
      <alignment horizontal="center" vertical="center"/>
    </xf>
    <xf numFmtId="195" fontId="6" fillId="12" borderId="49" xfId="0" applyNumberFormat="1" applyFont="1" applyFill="1" applyBorder="1" applyAlignment="1">
      <alignment horizontal="center" vertical="center"/>
    </xf>
  </cellXfs>
  <cellStyles count="77">
    <cellStyle name="Hipervínculo" xfId="1" builtinId="8"/>
    <cellStyle name="Millares" xfId="2" builtinId="3"/>
    <cellStyle name="Millares [0]_TARIFAS 747 - HISTORICO DESDE 1998" xfId="3"/>
    <cellStyle name="Millares 10" xfId="4"/>
    <cellStyle name="Millares 124" xfId="5"/>
    <cellStyle name="Millares 16" xfId="6"/>
    <cellStyle name="Millares 19" xfId="72"/>
    <cellStyle name="Millares 2" xfId="7"/>
    <cellStyle name="Millares 26" xfId="8"/>
    <cellStyle name="Millares 4" xfId="9"/>
    <cellStyle name="Millares 4 2" xfId="10"/>
    <cellStyle name="Millares 5" xfId="11"/>
    <cellStyle name="Millares 7" xfId="12"/>
    <cellStyle name="Millares 78" xfId="13"/>
    <cellStyle name="Millares 79" xfId="73"/>
    <cellStyle name="Millares 8" xfId="14"/>
    <cellStyle name="Millares_TARIFAS 747 - HISTORICO DESDE 1998" xfId="15"/>
    <cellStyle name="Moneda" xfId="16" builtinId="4"/>
    <cellStyle name="Moneda [0]" xfId="17" builtinId="7"/>
    <cellStyle name="Moneda [0] 2" xfId="18"/>
    <cellStyle name="Moneda [0] 2 2" xfId="19"/>
    <cellStyle name="Moneda [0] 2 2 2" xfId="68"/>
    <cellStyle name="Moneda [0] 3" xfId="20"/>
    <cellStyle name="Moneda [0] 3 2" xfId="67"/>
    <cellStyle name="Moneda [0] 3 2 3" xfId="21"/>
    <cellStyle name="Moneda [0] 4" xfId="22"/>
    <cellStyle name="Moneda [0] 5" xfId="23"/>
    <cellStyle name="Moneda [0] 5 2" xfId="71"/>
    <cellStyle name="Moneda [0] 6" xfId="70"/>
    <cellStyle name="Moneda [0] 9" xfId="24"/>
    <cellStyle name="Moneda 13" xfId="25"/>
    <cellStyle name="Normal" xfId="0" builtinId="0"/>
    <cellStyle name="Normal 2" xfId="26"/>
    <cellStyle name="Normal 2 10" xfId="27"/>
    <cellStyle name="Normal 2 12" xfId="28"/>
    <cellStyle name="Normal 2 13" xfId="29"/>
    <cellStyle name="Normal 2 14" xfId="30"/>
    <cellStyle name="Normal 2 15" xfId="31"/>
    <cellStyle name="Normal 2 16" xfId="32"/>
    <cellStyle name="Normal 2 17" xfId="33"/>
    <cellStyle name="Normal 2 18" xfId="34"/>
    <cellStyle name="Normal 2 19" xfId="35"/>
    <cellStyle name="Normal 2 2" xfId="36"/>
    <cellStyle name="Normal 2 2 2" xfId="74"/>
    <cellStyle name="Normal 2 20" xfId="37"/>
    <cellStyle name="Normal 2 21" xfId="38"/>
    <cellStyle name="Normal 2 22" xfId="39"/>
    <cellStyle name="Normal 2 23" xfId="40"/>
    <cellStyle name="Normal 2 24" xfId="41"/>
    <cellStyle name="Normal 2 25" xfId="42"/>
    <cellStyle name="Normal 2 26" xfId="43"/>
    <cellStyle name="Normal 2 28" xfId="44"/>
    <cellStyle name="Normal 2 29" xfId="45"/>
    <cellStyle name="Normal 2 3" xfId="46"/>
    <cellStyle name="Normal 2 30" xfId="47"/>
    <cellStyle name="Normal 2 31" xfId="48"/>
    <cellStyle name="Normal 2 32" xfId="49"/>
    <cellStyle name="Normal 2 33" xfId="50"/>
    <cellStyle name="Normal 2 34" xfId="51"/>
    <cellStyle name="Normal 2 4" xfId="52"/>
    <cellStyle name="Normal 2 5" xfId="53"/>
    <cellStyle name="Normal 2 6" xfId="54"/>
    <cellStyle name="Normal 2 7" xfId="55"/>
    <cellStyle name="Normal 2 8" xfId="56"/>
    <cellStyle name="Normal 4" xfId="76"/>
    <cellStyle name="Normal 5" xfId="57"/>
    <cellStyle name="Normal 6" xfId="58"/>
    <cellStyle name="Normal 6 2" xfId="59"/>
    <cellStyle name="Normal 6 3" xfId="60"/>
    <cellStyle name="Normal 7" xfId="61"/>
    <cellStyle name="Normal 9" xfId="69"/>
    <cellStyle name="Normal_Libro1" xfId="62"/>
    <cellStyle name="Normal_PPTO_SEDE_SAN_ANTONIO-29-10-09 2" xfId="75"/>
    <cellStyle name="Porcentaje" xfId="63" builtinId="5"/>
    <cellStyle name="Porcentaje 2" xfId="64"/>
    <cellStyle name="Porcentaje 2 2" xfId="65"/>
    <cellStyle name="Porcentual_Libro1" xfId="6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NULL"/></Relationships>
</file>

<file path=xl/drawings/_rels/drawing4.xml.rels><?xml version="1.0" encoding="UTF-8" standalone="yes"?>
<Relationships xmlns="http://schemas.openxmlformats.org/package/2006/relationships"><Relationship Id="rId1" Type="http://schemas.openxmlformats.org/officeDocument/2006/relationships/image" Target="NULL"/></Relationships>
</file>

<file path=xl/drawings/_rels/drawing5.xml.rels><?xml version="1.0" encoding="UTF-8" standalone="yes"?>
<Relationships xmlns="http://schemas.openxmlformats.org/package/2006/relationships"><Relationship Id="rId1" Type="http://schemas.openxmlformats.org/officeDocument/2006/relationships/image" Target="NULL"/></Relationships>
</file>

<file path=xl/drawings/_rels/drawing6.xml.rels><?xml version="1.0" encoding="UTF-8" standalone="yes"?>
<Relationships xmlns="http://schemas.openxmlformats.org/package/2006/relationships"><Relationship Id="rId2" Type="http://schemas.microsoft.com/office/2007/relationships/hdphoto" Target="NULL"/><Relationship Id="rId1" Type="http://schemas.openxmlformats.org/officeDocument/2006/relationships/image" Target="NULL"/></Relationships>
</file>

<file path=xl/drawings/_rels/drawing7.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8.xml.rels><?xml version="1.0" encoding="UTF-8" standalone="yes"?>
<Relationships xmlns="http://schemas.openxmlformats.org/package/2006/relationships"><Relationship Id="rId1" Type="http://schemas.openxmlformats.org/officeDocument/2006/relationships/image" Target="NULL"/></Relationships>
</file>

<file path=xl/drawings/_rels/drawing9.xml.rels><?xml version="1.0" encoding="UTF-8" standalone="yes"?>
<Relationships xmlns="http://schemas.openxmlformats.org/package/2006/relationships"><Relationship Id="rId1" Type="http://schemas.openxmlformats.org/officeDocument/2006/relationships/image" Target="NULL"/></Relationships>
</file>

<file path=xl/drawings/_rels/drawing10.xml.rels><?xml version="1.0" encoding="UTF-8" standalone="yes"?>
<Relationships xmlns="http://schemas.openxmlformats.org/package/2006/relationships"><Relationship Id="rId2" Type="http://schemas.microsoft.com/office/2007/relationships/hdphoto" Target="NULL"/><Relationship Id="rId1" Type="http://schemas.openxmlformats.org/officeDocument/2006/relationships/image" Target="NULL"/></Relationships>
</file>

<file path=xl/drawings/_rels/drawing11.xml.rels><?xml version="1.0" encoding="UTF-8" standalone="yes"?>
<Relationships xmlns="http://schemas.openxmlformats.org/package/2006/relationships"><Relationship Id="rId1" Type="http://schemas.openxmlformats.org/officeDocument/2006/relationships/image" Target="NULL"/></Relationships>
</file>

<file path=xl/drawings/_rels/drawing12.xml.rels><?xml version="1.0" encoding="UTF-8" standalone="yes"?>
<Relationships xmlns="http://schemas.openxmlformats.org/package/2006/relationships"><Relationship Id="rId2" Type="http://schemas.microsoft.com/office/2007/relationships/hdphoto" Target="NULL"/><Relationship Id="rId1" Type="http://schemas.openxmlformats.org/officeDocument/2006/relationships/image" Target="NULL"/></Relationships>
</file>

<file path=xl/drawings/drawing1.xml><?xml version="1.0" encoding="utf-8"?>
<xdr:wsDr xmlns:xdr="http://schemas.openxmlformats.org/drawingml/2006/spreadsheetDrawing" xmlns:a="http://schemas.openxmlformats.org/drawingml/2006/main">
  <xdr:twoCellAnchor>
    <xdr:from>
      <xdr:col>0</xdr:col>
      <xdr:colOff>160481</xdr:colOff>
      <xdr:row>0</xdr:row>
      <xdr:rowOff>111988</xdr:rowOff>
    </xdr:from>
    <xdr:to>
      <xdr:col>1</xdr:col>
      <xdr:colOff>514351</xdr:colOff>
      <xdr:row>2</xdr:row>
      <xdr:rowOff>5620</xdr:rowOff>
    </xdr:to>
    <xdr:pic>
      <xdr:nvPicPr>
        <xdr:cNvPr id="2" name="Imagen 1" descr="despacho del alcalde">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87721" b="8076"/>
        <a:stretch>
          <a:fillRect/>
        </a:stretch>
      </xdr:blipFill>
      <xdr:spPr bwMode="auto">
        <a:xfrm>
          <a:off x="160481" y="111988"/>
          <a:ext cx="906320" cy="8842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97</xdr:col>
      <xdr:colOff>169961</xdr:colOff>
      <xdr:row>0</xdr:row>
      <xdr:rowOff>77756</xdr:rowOff>
    </xdr:from>
    <xdr:to>
      <xdr:col>103</xdr:col>
      <xdr:colOff>739262</xdr:colOff>
      <xdr:row>2</xdr:row>
      <xdr:rowOff>456812</xdr:rowOff>
    </xdr:to>
    <xdr:pic>
      <xdr:nvPicPr>
        <xdr:cNvPr id="3" name="Imagen 2" descr="logo nuevo mello">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l="6586" r="9637"/>
        <a:stretch>
          <a:fillRect/>
        </a:stretch>
      </xdr:blipFill>
      <xdr:spPr bwMode="auto">
        <a:xfrm>
          <a:off x="27146418" y="77756"/>
          <a:ext cx="1662606" cy="1364686"/>
        </a:xfrm>
        <a:prstGeom prst="rect">
          <a:avLst/>
        </a:prstGeom>
        <a:noFill/>
        <a:ln>
          <a:noFill/>
        </a:ln>
      </xdr:spPr>
    </xdr:pic>
    <xdr:clientData/>
  </xdr:twoCellAnchor>
  <xdr:twoCellAnchor editAs="oneCell">
    <xdr:from>
      <xdr:col>5</xdr:col>
      <xdr:colOff>304800</xdr:colOff>
      <xdr:row>0</xdr:row>
      <xdr:rowOff>67064</xdr:rowOff>
    </xdr:from>
    <xdr:to>
      <xdr:col>6</xdr:col>
      <xdr:colOff>524323</xdr:colOff>
      <xdr:row>2</xdr:row>
      <xdr:rowOff>0</xdr:rowOff>
    </xdr:to>
    <xdr:pic>
      <xdr:nvPicPr>
        <xdr:cNvPr id="5" name="Imagen 4" descr="logo nuevo mello">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l="6586" r="9637"/>
        <a:stretch>
          <a:fillRect/>
        </a:stretch>
      </xdr:blipFill>
      <xdr:spPr bwMode="auto">
        <a:xfrm>
          <a:off x="6257925" y="67064"/>
          <a:ext cx="1295848" cy="923536"/>
        </a:xfrm>
        <a:prstGeom prst="rect">
          <a:avLst/>
        </a:prstGeom>
        <a:noFill/>
        <a:ln>
          <a:noFill/>
        </a:ln>
      </xdr:spPr>
    </xdr:pic>
    <xdr:clientData/>
  </xdr:twoCellAnchor>
  <xdr:twoCellAnchor>
    <xdr:from>
      <xdr:col>8</xdr:col>
      <xdr:colOff>9719</xdr:colOff>
      <xdr:row>0</xdr:row>
      <xdr:rowOff>19438</xdr:rowOff>
    </xdr:from>
    <xdr:to>
      <xdr:col>10</xdr:col>
      <xdr:colOff>56382</xdr:colOff>
      <xdr:row>2</xdr:row>
      <xdr:rowOff>515126</xdr:rowOff>
    </xdr:to>
    <xdr:pic>
      <xdr:nvPicPr>
        <xdr:cNvPr id="7" name="Imagen 6" descr="despacho del alcalde">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87721" b="8076"/>
        <a:stretch>
          <a:fillRect/>
        </a:stretch>
      </xdr:blipFill>
      <xdr:spPr bwMode="auto">
        <a:xfrm>
          <a:off x="9097347" y="19438"/>
          <a:ext cx="1776714" cy="14870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8080</xdr:colOff>
      <xdr:row>0</xdr:row>
      <xdr:rowOff>19439</xdr:rowOff>
    </xdr:from>
    <xdr:to>
      <xdr:col>1</xdr:col>
      <xdr:colOff>551527</xdr:colOff>
      <xdr:row>2</xdr:row>
      <xdr:rowOff>78441</xdr:rowOff>
    </xdr:to>
    <xdr:pic>
      <xdr:nvPicPr>
        <xdr:cNvPr id="2" name="Imagen 1" descr="despacho del alcalde">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87721" b="8076"/>
        <a:stretch>
          <a:fillRect/>
        </a:stretch>
      </xdr:blipFill>
      <xdr:spPr bwMode="auto">
        <a:xfrm>
          <a:off x="8080" y="19439"/>
          <a:ext cx="1126153" cy="8658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874059</xdr:colOff>
      <xdr:row>0</xdr:row>
      <xdr:rowOff>97881</xdr:rowOff>
    </xdr:from>
    <xdr:to>
      <xdr:col>5</xdr:col>
      <xdr:colOff>1099184</xdr:colOff>
      <xdr:row>2</xdr:row>
      <xdr:rowOff>145677</xdr:rowOff>
    </xdr:to>
    <xdr:pic>
      <xdr:nvPicPr>
        <xdr:cNvPr id="3" name="Imagen 2" descr="logo nuevo mello">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l="6586" r="9637"/>
        <a:stretch>
          <a:fillRect/>
        </a:stretch>
      </xdr:blipFill>
      <xdr:spPr bwMode="auto">
        <a:xfrm>
          <a:off x="7541559" y="97881"/>
          <a:ext cx="1222449" cy="85462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176373</xdr:colOff>
      <xdr:row>0</xdr:row>
      <xdr:rowOff>101243</xdr:rowOff>
    </xdr:from>
    <xdr:to>
      <xdr:col>1</xdr:col>
      <xdr:colOff>310366</xdr:colOff>
      <xdr:row>2</xdr:row>
      <xdr:rowOff>160534</xdr:rowOff>
    </xdr:to>
    <xdr:pic>
      <xdr:nvPicPr>
        <xdr:cNvPr id="387107" name="Imagen 4" descr="despacho del alcalde">
          <a:extLst>
            <a:ext uri="{FF2B5EF4-FFF2-40B4-BE49-F238E27FC236}">
              <a16:creationId xmlns:a16="http://schemas.microsoft.com/office/drawing/2014/main" id="{00000000-0008-0000-0200-000023E805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87721" b="8076"/>
        <a:stretch>
          <a:fillRect/>
        </a:stretch>
      </xdr:blipFill>
      <xdr:spPr bwMode="auto">
        <a:xfrm>
          <a:off x="176373" y="101243"/>
          <a:ext cx="711914" cy="840555"/>
        </a:xfrm>
        <a:prstGeom prst="rect">
          <a:avLst/>
        </a:prstGeom>
        <a:ln>
          <a:noFill/>
        </a:ln>
        <a:effectLst>
          <a:outerShdw blurRad="292100" dist="139700" dir="2700000" algn="tl" rotWithShape="0">
            <a:srgbClr val="333333">
              <a:alpha val="65000"/>
            </a:srgb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247650</xdr:colOff>
      <xdr:row>1174</xdr:row>
      <xdr:rowOff>1676400</xdr:rowOff>
    </xdr:from>
    <xdr:to>
      <xdr:col>13</xdr:col>
      <xdr:colOff>2647950</xdr:colOff>
      <xdr:row>1174</xdr:row>
      <xdr:rowOff>3838575</xdr:rowOff>
    </xdr:to>
    <xdr:pic>
      <xdr:nvPicPr>
        <xdr:cNvPr id="387109" name="Imagen 1">
          <a:extLst>
            <a:ext uri="{FF2B5EF4-FFF2-40B4-BE49-F238E27FC236}">
              <a16:creationId xmlns:a16="http://schemas.microsoft.com/office/drawing/2014/main" id="{00000000-0008-0000-0200-000025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34500" y="252250575"/>
          <a:ext cx="3286125" cy="216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342900</xdr:colOff>
      <xdr:row>1166</xdr:row>
      <xdr:rowOff>581025</xdr:rowOff>
    </xdr:from>
    <xdr:to>
      <xdr:col>13</xdr:col>
      <xdr:colOff>2752725</xdr:colOff>
      <xdr:row>1169</xdr:row>
      <xdr:rowOff>114300</xdr:rowOff>
    </xdr:to>
    <xdr:pic>
      <xdr:nvPicPr>
        <xdr:cNvPr id="387110" name="Imagen 2">
          <a:extLst>
            <a:ext uri="{FF2B5EF4-FFF2-40B4-BE49-F238E27FC236}">
              <a16:creationId xmlns:a16="http://schemas.microsoft.com/office/drawing/2014/main" id="{00000000-0008-0000-0200-000026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29750" y="247488075"/>
          <a:ext cx="3295650" cy="2390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152400</xdr:colOff>
      <xdr:row>1181</xdr:row>
      <xdr:rowOff>47625</xdr:rowOff>
    </xdr:from>
    <xdr:to>
      <xdr:col>13</xdr:col>
      <xdr:colOff>2724150</xdr:colOff>
      <xdr:row>1182</xdr:row>
      <xdr:rowOff>2124075</xdr:rowOff>
    </xdr:to>
    <xdr:pic>
      <xdr:nvPicPr>
        <xdr:cNvPr id="387111" name="Imagen 3">
          <a:extLst>
            <a:ext uri="{FF2B5EF4-FFF2-40B4-BE49-F238E27FC236}">
              <a16:creationId xmlns:a16="http://schemas.microsoft.com/office/drawing/2014/main" id="{00000000-0008-0000-0200-000027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39250" y="256251075"/>
          <a:ext cx="3457575" cy="227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161925</xdr:colOff>
      <xdr:row>1190</xdr:row>
      <xdr:rowOff>9525</xdr:rowOff>
    </xdr:from>
    <xdr:to>
      <xdr:col>13</xdr:col>
      <xdr:colOff>2209800</xdr:colOff>
      <xdr:row>1196</xdr:row>
      <xdr:rowOff>142875</xdr:rowOff>
    </xdr:to>
    <xdr:pic>
      <xdr:nvPicPr>
        <xdr:cNvPr id="387112" name="Imagen 4">
          <a:extLst>
            <a:ext uri="{FF2B5EF4-FFF2-40B4-BE49-F238E27FC236}">
              <a16:creationId xmlns:a16="http://schemas.microsoft.com/office/drawing/2014/main" id="{00000000-0008-0000-0200-000028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48775" y="259965825"/>
          <a:ext cx="2933700" cy="1752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200025</xdr:colOff>
      <xdr:row>1198</xdr:row>
      <xdr:rowOff>571500</xdr:rowOff>
    </xdr:from>
    <xdr:to>
      <xdr:col>13</xdr:col>
      <xdr:colOff>2524125</xdr:colOff>
      <xdr:row>1203</xdr:row>
      <xdr:rowOff>85725</xdr:rowOff>
    </xdr:to>
    <xdr:pic>
      <xdr:nvPicPr>
        <xdr:cNvPr id="387113" name="Imagen 5">
          <a:extLst>
            <a:ext uri="{FF2B5EF4-FFF2-40B4-BE49-F238E27FC236}">
              <a16:creationId xmlns:a16="http://schemas.microsoft.com/office/drawing/2014/main" id="{00000000-0008-0000-0200-000029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86875" y="262509000"/>
          <a:ext cx="3209925" cy="2238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581025</xdr:colOff>
      <xdr:row>945</xdr:row>
      <xdr:rowOff>104775</xdr:rowOff>
    </xdr:from>
    <xdr:to>
      <xdr:col>13</xdr:col>
      <xdr:colOff>1828800</xdr:colOff>
      <xdr:row>954</xdr:row>
      <xdr:rowOff>104776</xdr:rowOff>
    </xdr:to>
    <xdr:pic>
      <xdr:nvPicPr>
        <xdr:cNvPr id="387114" name="Imagen 7">
          <a:extLst>
            <a:ext uri="{FF2B5EF4-FFF2-40B4-BE49-F238E27FC236}">
              <a16:creationId xmlns:a16="http://schemas.microsoft.com/office/drawing/2014/main" id="{00000000-0008-0000-0200-00002A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53700" y="199929750"/>
          <a:ext cx="1247775"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266700</xdr:colOff>
      <xdr:row>1206</xdr:row>
      <xdr:rowOff>133350</xdr:rowOff>
    </xdr:from>
    <xdr:to>
      <xdr:col>13</xdr:col>
      <xdr:colOff>2133600</xdr:colOff>
      <xdr:row>1212</xdr:row>
      <xdr:rowOff>19050</xdr:rowOff>
    </xdr:to>
    <xdr:pic>
      <xdr:nvPicPr>
        <xdr:cNvPr id="387115" name="Imagen 9">
          <a:extLst>
            <a:ext uri="{FF2B5EF4-FFF2-40B4-BE49-F238E27FC236}">
              <a16:creationId xmlns:a16="http://schemas.microsoft.com/office/drawing/2014/main" id="{00000000-0008-0000-0200-00002B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53550" y="265318875"/>
          <a:ext cx="2752725" cy="1343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228600</xdr:colOff>
      <xdr:row>1213</xdr:row>
      <xdr:rowOff>95250</xdr:rowOff>
    </xdr:from>
    <xdr:to>
      <xdr:col>13</xdr:col>
      <xdr:colOff>2047875</xdr:colOff>
      <xdr:row>1222</xdr:row>
      <xdr:rowOff>180975</xdr:rowOff>
    </xdr:to>
    <xdr:pic>
      <xdr:nvPicPr>
        <xdr:cNvPr id="387116" name="Imagen 10">
          <a:extLst>
            <a:ext uri="{FF2B5EF4-FFF2-40B4-BE49-F238E27FC236}">
              <a16:creationId xmlns:a16="http://schemas.microsoft.com/office/drawing/2014/main" id="{00000000-0008-0000-0200-00002C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15450" y="266900025"/>
          <a:ext cx="27051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152400</xdr:colOff>
      <xdr:row>1222</xdr:row>
      <xdr:rowOff>800100</xdr:rowOff>
    </xdr:from>
    <xdr:to>
      <xdr:col>13</xdr:col>
      <xdr:colOff>2543175</xdr:colOff>
      <xdr:row>1225</xdr:row>
      <xdr:rowOff>38101</xdr:rowOff>
    </xdr:to>
    <xdr:pic>
      <xdr:nvPicPr>
        <xdr:cNvPr id="387117" name="Imagen 12">
          <a:extLst>
            <a:ext uri="{FF2B5EF4-FFF2-40B4-BE49-F238E27FC236}">
              <a16:creationId xmlns:a16="http://schemas.microsoft.com/office/drawing/2014/main" id="{00000000-0008-0000-0200-00002D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39250" y="269138400"/>
          <a:ext cx="3276600" cy="1990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219075</xdr:colOff>
      <xdr:row>1230</xdr:row>
      <xdr:rowOff>266700</xdr:rowOff>
    </xdr:from>
    <xdr:to>
      <xdr:col>13</xdr:col>
      <xdr:colOff>2324100</xdr:colOff>
      <xdr:row>1234</xdr:row>
      <xdr:rowOff>66675</xdr:rowOff>
    </xdr:to>
    <xdr:pic>
      <xdr:nvPicPr>
        <xdr:cNvPr id="387118" name="Imagen 14">
          <a:extLst>
            <a:ext uri="{FF2B5EF4-FFF2-40B4-BE49-F238E27FC236}">
              <a16:creationId xmlns:a16="http://schemas.microsoft.com/office/drawing/2014/main" id="{00000000-0008-0000-0200-00002E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05925" y="272205450"/>
          <a:ext cx="2990850" cy="2228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152400</xdr:colOff>
      <xdr:row>1238</xdr:row>
      <xdr:rowOff>19050</xdr:rowOff>
    </xdr:from>
    <xdr:to>
      <xdr:col>13</xdr:col>
      <xdr:colOff>2019300</xdr:colOff>
      <xdr:row>1244</xdr:row>
      <xdr:rowOff>104775</xdr:rowOff>
    </xdr:to>
    <xdr:pic>
      <xdr:nvPicPr>
        <xdr:cNvPr id="387119" name="Imagen 15">
          <a:extLst>
            <a:ext uri="{FF2B5EF4-FFF2-40B4-BE49-F238E27FC236}">
              <a16:creationId xmlns:a16="http://schemas.microsoft.com/office/drawing/2014/main" id="{00000000-0008-0000-0200-00002F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39250" y="275072475"/>
          <a:ext cx="2752725" cy="1866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180975</xdr:colOff>
      <xdr:row>1246</xdr:row>
      <xdr:rowOff>28575</xdr:rowOff>
    </xdr:from>
    <xdr:to>
      <xdr:col>13</xdr:col>
      <xdr:colOff>1914525</xdr:colOff>
      <xdr:row>1252</xdr:row>
      <xdr:rowOff>123825</xdr:rowOff>
    </xdr:to>
    <xdr:pic>
      <xdr:nvPicPr>
        <xdr:cNvPr id="387120" name="Imagen 21">
          <a:extLst>
            <a:ext uri="{FF2B5EF4-FFF2-40B4-BE49-F238E27FC236}">
              <a16:creationId xmlns:a16="http://schemas.microsoft.com/office/drawing/2014/main" id="{00000000-0008-0000-0200-000030E805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67825" y="277225125"/>
          <a:ext cx="2619375" cy="1714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180975</xdr:colOff>
      <xdr:row>1254</xdr:row>
      <xdr:rowOff>19050</xdr:rowOff>
    </xdr:from>
    <xdr:to>
      <xdr:col>13</xdr:col>
      <xdr:colOff>1695450</xdr:colOff>
      <xdr:row>1261</xdr:row>
      <xdr:rowOff>38101</xdr:rowOff>
    </xdr:to>
    <xdr:pic>
      <xdr:nvPicPr>
        <xdr:cNvPr id="387121" name="Imagen 17">
          <a:extLst>
            <a:ext uri="{FF2B5EF4-FFF2-40B4-BE49-F238E27FC236}">
              <a16:creationId xmlns:a16="http://schemas.microsoft.com/office/drawing/2014/main" id="{00000000-0008-0000-0200-000031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67825" y="279196800"/>
          <a:ext cx="2400300" cy="1638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200025</xdr:colOff>
      <xdr:row>1262</xdr:row>
      <xdr:rowOff>133350</xdr:rowOff>
    </xdr:from>
    <xdr:to>
      <xdr:col>13</xdr:col>
      <xdr:colOff>1704975</xdr:colOff>
      <xdr:row>1267</xdr:row>
      <xdr:rowOff>19051</xdr:rowOff>
    </xdr:to>
    <xdr:pic>
      <xdr:nvPicPr>
        <xdr:cNvPr id="387122" name="Imagen 19">
          <a:extLst>
            <a:ext uri="{FF2B5EF4-FFF2-40B4-BE49-F238E27FC236}">
              <a16:creationId xmlns:a16="http://schemas.microsoft.com/office/drawing/2014/main" id="{00000000-0008-0000-0200-000032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86875" y="281130375"/>
          <a:ext cx="2390775" cy="1504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228600</xdr:colOff>
      <xdr:row>1332</xdr:row>
      <xdr:rowOff>190500</xdr:rowOff>
    </xdr:from>
    <xdr:to>
      <xdr:col>13</xdr:col>
      <xdr:colOff>952500</xdr:colOff>
      <xdr:row>1334</xdr:row>
      <xdr:rowOff>133350</xdr:rowOff>
    </xdr:to>
    <xdr:pic>
      <xdr:nvPicPr>
        <xdr:cNvPr id="387123" name="Imagen 23">
          <a:extLst>
            <a:ext uri="{FF2B5EF4-FFF2-40B4-BE49-F238E27FC236}">
              <a16:creationId xmlns:a16="http://schemas.microsoft.com/office/drawing/2014/main" id="{00000000-0008-0000-0200-000033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15450" y="283330650"/>
          <a:ext cx="1609725" cy="1390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323850</xdr:colOff>
      <xdr:row>1339</xdr:row>
      <xdr:rowOff>295275</xdr:rowOff>
    </xdr:from>
    <xdr:to>
      <xdr:col>13</xdr:col>
      <xdr:colOff>571500</xdr:colOff>
      <xdr:row>1346</xdr:row>
      <xdr:rowOff>85725</xdr:rowOff>
    </xdr:to>
    <xdr:pic>
      <xdr:nvPicPr>
        <xdr:cNvPr id="387124" name="Imagen 1">
          <a:extLst>
            <a:ext uri="{FF2B5EF4-FFF2-40B4-BE49-F238E27FC236}">
              <a16:creationId xmlns:a16="http://schemas.microsoft.com/office/drawing/2014/main" id="{00000000-0008-0000-0200-000034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10700" y="285692850"/>
          <a:ext cx="1133475" cy="1466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152400</xdr:colOff>
      <xdr:row>1347</xdr:row>
      <xdr:rowOff>381000</xdr:rowOff>
    </xdr:from>
    <xdr:to>
      <xdr:col>13</xdr:col>
      <xdr:colOff>457200</xdr:colOff>
      <xdr:row>1354</xdr:row>
      <xdr:rowOff>66674</xdr:rowOff>
    </xdr:to>
    <xdr:pic>
      <xdr:nvPicPr>
        <xdr:cNvPr id="387125" name="Imagen 2">
          <a:extLst>
            <a:ext uri="{FF2B5EF4-FFF2-40B4-BE49-F238E27FC236}">
              <a16:creationId xmlns:a16="http://schemas.microsoft.com/office/drawing/2014/main" id="{00000000-0008-0000-0200-000035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39250" y="287616900"/>
          <a:ext cx="1190625" cy="1362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190500</xdr:colOff>
      <xdr:row>1355</xdr:row>
      <xdr:rowOff>314325</xdr:rowOff>
    </xdr:from>
    <xdr:to>
      <xdr:col>13</xdr:col>
      <xdr:colOff>552450</xdr:colOff>
      <xdr:row>1362</xdr:row>
      <xdr:rowOff>19050</xdr:rowOff>
    </xdr:to>
    <xdr:pic>
      <xdr:nvPicPr>
        <xdr:cNvPr id="387126" name="Imagen 3">
          <a:extLst>
            <a:ext uri="{FF2B5EF4-FFF2-40B4-BE49-F238E27FC236}">
              <a16:creationId xmlns:a16="http://schemas.microsoft.com/office/drawing/2014/main" id="{00000000-0008-0000-0200-000036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77350" y="289388550"/>
          <a:ext cx="1247775" cy="1381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190500</xdr:colOff>
      <xdr:row>1363</xdr:row>
      <xdr:rowOff>209550</xdr:rowOff>
    </xdr:from>
    <xdr:to>
      <xdr:col>13</xdr:col>
      <xdr:colOff>571500</xdr:colOff>
      <xdr:row>1371</xdr:row>
      <xdr:rowOff>66676</xdr:rowOff>
    </xdr:to>
    <xdr:pic>
      <xdr:nvPicPr>
        <xdr:cNvPr id="387127" name="Imagen 4">
          <a:extLst>
            <a:ext uri="{FF2B5EF4-FFF2-40B4-BE49-F238E27FC236}">
              <a16:creationId xmlns:a16="http://schemas.microsoft.com/office/drawing/2014/main" id="{00000000-0008-0000-0200-000037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77350" y="291122100"/>
          <a:ext cx="1266825" cy="1695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133350</xdr:colOff>
      <xdr:row>1371</xdr:row>
      <xdr:rowOff>323850</xdr:rowOff>
    </xdr:from>
    <xdr:to>
      <xdr:col>13</xdr:col>
      <xdr:colOff>666750</xdr:colOff>
      <xdr:row>1377</xdr:row>
      <xdr:rowOff>133349</xdr:rowOff>
    </xdr:to>
    <xdr:pic>
      <xdr:nvPicPr>
        <xdr:cNvPr id="387128" name="Imagen 5">
          <a:extLst>
            <a:ext uri="{FF2B5EF4-FFF2-40B4-BE49-F238E27FC236}">
              <a16:creationId xmlns:a16="http://schemas.microsoft.com/office/drawing/2014/main" id="{00000000-0008-0000-0200-000038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20200" y="293074725"/>
          <a:ext cx="1419225" cy="1323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161925</xdr:colOff>
      <xdr:row>1379</xdr:row>
      <xdr:rowOff>114300</xdr:rowOff>
    </xdr:from>
    <xdr:to>
      <xdr:col>13</xdr:col>
      <xdr:colOff>762000</xdr:colOff>
      <xdr:row>1385</xdr:row>
      <xdr:rowOff>38100</xdr:rowOff>
    </xdr:to>
    <xdr:pic>
      <xdr:nvPicPr>
        <xdr:cNvPr id="387129" name="Imagen 6">
          <a:extLst>
            <a:ext uri="{FF2B5EF4-FFF2-40B4-BE49-F238E27FC236}">
              <a16:creationId xmlns:a16="http://schemas.microsoft.com/office/drawing/2014/main" id="{00000000-0008-0000-0200-000039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48775" y="294703500"/>
          <a:ext cx="1485900" cy="1438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114300</xdr:colOff>
      <xdr:row>1387</xdr:row>
      <xdr:rowOff>247650</xdr:rowOff>
    </xdr:from>
    <xdr:to>
      <xdr:col>13</xdr:col>
      <xdr:colOff>419100</xdr:colOff>
      <xdr:row>1394</xdr:row>
      <xdr:rowOff>19050</xdr:rowOff>
    </xdr:to>
    <xdr:pic>
      <xdr:nvPicPr>
        <xdr:cNvPr id="387130" name="Imagen 31">
          <a:extLst>
            <a:ext uri="{FF2B5EF4-FFF2-40B4-BE49-F238E27FC236}">
              <a16:creationId xmlns:a16="http://schemas.microsoft.com/office/drawing/2014/main" id="{00000000-0008-0000-0200-00003AE805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01150" y="296675175"/>
          <a:ext cx="1190625"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152400</xdr:colOff>
      <xdr:row>1395</xdr:row>
      <xdr:rowOff>409575</xdr:rowOff>
    </xdr:from>
    <xdr:to>
      <xdr:col>13</xdr:col>
      <xdr:colOff>1247775</xdr:colOff>
      <xdr:row>1402</xdr:row>
      <xdr:rowOff>85725</xdr:rowOff>
    </xdr:to>
    <xdr:pic>
      <xdr:nvPicPr>
        <xdr:cNvPr id="387131" name="Imagen 7">
          <a:extLst>
            <a:ext uri="{FF2B5EF4-FFF2-40B4-BE49-F238E27FC236}">
              <a16:creationId xmlns:a16="http://schemas.microsoft.com/office/drawing/2014/main" id="{00000000-0008-0000-0200-00003B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39250" y="298675425"/>
          <a:ext cx="198120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152400</xdr:colOff>
      <xdr:row>1403</xdr:row>
      <xdr:rowOff>361950</xdr:rowOff>
    </xdr:from>
    <xdr:to>
      <xdr:col>13</xdr:col>
      <xdr:colOff>685800</xdr:colOff>
      <xdr:row>1409</xdr:row>
      <xdr:rowOff>152399</xdr:rowOff>
    </xdr:to>
    <xdr:pic>
      <xdr:nvPicPr>
        <xdr:cNvPr id="387132" name="Imagen 8">
          <a:extLst>
            <a:ext uri="{FF2B5EF4-FFF2-40B4-BE49-F238E27FC236}">
              <a16:creationId xmlns:a16="http://schemas.microsoft.com/office/drawing/2014/main" id="{00000000-0008-0000-0200-00003C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39250" y="300466125"/>
          <a:ext cx="1419225" cy="1304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171450</xdr:colOff>
      <xdr:row>1411</xdr:row>
      <xdr:rowOff>190500</xdr:rowOff>
    </xdr:from>
    <xdr:to>
      <xdr:col>13</xdr:col>
      <xdr:colOff>381000</xdr:colOff>
      <xdr:row>1416</xdr:row>
      <xdr:rowOff>123824</xdr:rowOff>
    </xdr:to>
    <xdr:pic>
      <xdr:nvPicPr>
        <xdr:cNvPr id="387133" name="Imagen 9">
          <a:extLst>
            <a:ext uri="{FF2B5EF4-FFF2-40B4-BE49-F238E27FC236}">
              <a16:creationId xmlns:a16="http://schemas.microsoft.com/office/drawing/2014/main" id="{00000000-0008-0000-0200-00003D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58300" y="302133000"/>
          <a:ext cx="1095375" cy="1285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152400</xdr:colOff>
      <xdr:row>1419</xdr:row>
      <xdr:rowOff>314325</xdr:rowOff>
    </xdr:from>
    <xdr:to>
      <xdr:col>13</xdr:col>
      <xdr:colOff>790575</xdr:colOff>
      <xdr:row>1425</xdr:row>
      <xdr:rowOff>57151</xdr:rowOff>
    </xdr:to>
    <xdr:pic>
      <xdr:nvPicPr>
        <xdr:cNvPr id="387134" name="Imagen 10">
          <a:extLst>
            <a:ext uri="{FF2B5EF4-FFF2-40B4-BE49-F238E27FC236}">
              <a16:creationId xmlns:a16="http://schemas.microsoft.com/office/drawing/2014/main" id="{00000000-0008-0000-0200-00003E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39250" y="304095150"/>
          <a:ext cx="15240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142875</xdr:colOff>
      <xdr:row>1427</xdr:row>
      <xdr:rowOff>400050</xdr:rowOff>
    </xdr:from>
    <xdr:to>
      <xdr:col>13</xdr:col>
      <xdr:colOff>942975</xdr:colOff>
      <xdr:row>1432</xdr:row>
      <xdr:rowOff>152400</xdr:rowOff>
    </xdr:to>
    <xdr:pic>
      <xdr:nvPicPr>
        <xdr:cNvPr id="387135" name="Imagen 12">
          <a:extLst>
            <a:ext uri="{FF2B5EF4-FFF2-40B4-BE49-F238E27FC236}">
              <a16:creationId xmlns:a16="http://schemas.microsoft.com/office/drawing/2014/main" id="{00000000-0008-0000-0200-00003F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29725" y="306019200"/>
          <a:ext cx="1685925" cy="1104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238125</xdr:colOff>
      <xdr:row>1435</xdr:row>
      <xdr:rowOff>180975</xdr:rowOff>
    </xdr:from>
    <xdr:to>
      <xdr:col>13</xdr:col>
      <xdr:colOff>790575</xdr:colOff>
      <xdr:row>1442</xdr:row>
      <xdr:rowOff>28574</xdr:rowOff>
    </xdr:to>
    <xdr:pic>
      <xdr:nvPicPr>
        <xdr:cNvPr id="387136" name="Imagen 13">
          <a:extLst>
            <a:ext uri="{FF2B5EF4-FFF2-40B4-BE49-F238E27FC236}">
              <a16:creationId xmlns:a16="http://schemas.microsoft.com/office/drawing/2014/main" id="{00000000-0008-0000-0200-000040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24975" y="307638450"/>
          <a:ext cx="1438275" cy="1524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209550</xdr:colOff>
      <xdr:row>1443</xdr:row>
      <xdr:rowOff>133350</xdr:rowOff>
    </xdr:from>
    <xdr:to>
      <xdr:col>13</xdr:col>
      <xdr:colOff>476250</xdr:colOff>
      <xdr:row>1450</xdr:row>
      <xdr:rowOff>19050</xdr:rowOff>
    </xdr:to>
    <xdr:pic>
      <xdr:nvPicPr>
        <xdr:cNvPr id="387137" name="Imagen 14">
          <a:extLst>
            <a:ext uri="{FF2B5EF4-FFF2-40B4-BE49-F238E27FC236}">
              <a16:creationId xmlns:a16="http://schemas.microsoft.com/office/drawing/2014/main" id="{00000000-0008-0000-0200-000041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96400" y="309429150"/>
          <a:ext cx="1152525" cy="156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171450</xdr:colOff>
      <xdr:row>1451</xdr:row>
      <xdr:rowOff>247650</xdr:rowOff>
    </xdr:from>
    <xdr:to>
      <xdr:col>13</xdr:col>
      <xdr:colOff>733425</xdr:colOff>
      <xdr:row>1457</xdr:row>
      <xdr:rowOff>85725</xdr:rowOff>
    </xdr:to>
    <xdr:pic>
      <xdr:nvPicPr>
        <xdr:cNvPr id="387138" name="Imagen 15">
          <a:extLst>
            <a:ext uri="{FF2B5EF4-FFF2-40B4-BE49-F238E27FC236}">
              <a16:creationId xmlns:a16="http://schemas.microsoft.com/office/drawing/2014/main" id="{00000000-0008-0000-0200-000042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58300" y="311381775"/>
          <a:ext cx="144780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161925</xdr:colOff>
      <xdr:row>1459</xdr:row>
      <xdr:rowOff>247650</xdr:rowOff>
    </xdr:from>
    <xdr:to>
      <xdr:col>13</xdr:col>
      <xdr:colOff>438150</xdr:colOff>
      <xdr:row>1466</xdr:row>
      <xdr:rowOff>95250</xdr:rowOff>
    </xdr:to>
    <xdr:pic>
      <xdr:nvPicPr>
        <xdr:cNvPr id="387139" name="Imagen 16">
          <a:extLst>
            <a:ext uri="{FF2B5EF4-FFF2-40B4-BE49-F238E27FC236}">
              <a16:creationId xmlns:a16="http://schemas.microsoft.com/office/drawing/2014/main" id="{00000000-0008-0000-0200-000043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48775" y="313220100"/>
          <a:ext cx="1162050" cy="1524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123825</xdr:colOff>
      <xdr:row>1467</xdr:row>
      <xdr:rowOff>323850</xdr:rowOff>
    </xdr:from>
    <xdr:to>
      <xdr:col>13</xdr:col>
      <xdr:colOff>781050</xdr:colOff>
      <xdr:row>1473</xdr:row>
      <xdr:rowOff>47624</xdr:rowOff>
    </xdr:to>
    <xdr:pic>
      <xdr:nvPicPr>
        <xdr:cNvPr id="387140" name="Imagen 52">
          <a:extLst>
            <a:ext uri="{FF2B5EF4-FFF2-40B4-BE49-F238E27FC236}">
              <a16:creationId xmlns:a16="http://schemas.microsoft.com/office/drawing/2014/main" id="{00000000-0008-0000-0200-000044E805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10675" y="315134625"/>
          <a:ext cx="1543050" cy="1238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161925</xdr:colOff>
      <xdr:row>1483</xdr:row>
      <xdr:rowOff>523875</xdr:rowOff>
    </xdr:from>
    <xdr:to>
      <xdr:col>13</xdr:col>
      <xdr:colOff>971550</xdr:colOff>
      <xdr:row>1489</xdr:row>
      <xdr:rowOff>104774</xdr:rowOff>
    </xdr:to>
    <xdr:pic>
      <xdr:nvPicPr>
        <xdr:cNvPr id="387141" name="Imagen 17">
          <a:extLst>
            <a:ext uri="{FF2B5EF4-FFF2-40B4-BE49-F238E27FC236}">
              <a16:creationId xmlns:a16="http://schemas.microsoft.com/office/drawing/2014/main" id="{00000000-0008-0000-0200-000045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48775" y="319011300"/>
          <a:ext cx="1695450"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238125</xdr:colOff>
      <xdr:row>1491</xdr:row>
      <xdr:rowOff>361950</xdr:rowOff>
    </xdr:from>
    <xdr:to>
      <xdr:col>13</xdr:col>
      <xdr:colOff>371475</xdr:colOff>
      <xdr:row>1497</xdr:row>
      <xdr:rowOff>85725</xdr:rowOff>
    </xdr:to>
    <xdr:pic>
      <xdr:nvPicPr>
        <xdr:cNvPr id="387142" name="Imagen 18">
          <a:extLst>
            <a:ext uri="{FF2B5EF4-FFF2-40B4-BE49-F238E27FC236}">
              <a16:creationId xmlns:a16="http://schemas.microsoft.com/office/drawing/2014/main" id="{00000000-0008-0000-0200-000046E805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24975" y="320687700"/>
          <a:ext cx="1019175" cy="1238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228600</xdr:colOff>
      <xdr:row>1499</xdr:row>
      <xdr:rowOff>190500</xdr:rowOff>
    </xdr:from>
    <xdr:to>
      <xdr:col>13</xdr:col>
      <xdr:colOff>695325</xdr:colOff>
      <xdr:row>1506</xdr:row>
      <xdr:rowOff>0</xdr:rowOff>
    </xdr:to>
    <xdr:pic>
      <xdr:nvPicPr>
        <xdr:cNvPr id="387143" name="Imagen 59">
          <a:extLst>
            <a:ext uri="{FF2B5EF4-FFF2-40B4-BE49-F238E27FC236}">
              <a16:creationId xmlns:a16="http://schemas.microsoft.com/office/drawing/2014/main" id="{00000000-0008-0000-0200-000047E805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5450" y="322354575"/>
          <a:ext cx="1352550" cy="148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142875</xdr:colOff>
      <xdr:row>1507</xdr:row>
      <xdr:rowOff>57150</xdr:rowOff>
    </xdr:from>
    <xdr:to>
      <xdr:col>13</xdr:col>
      <xdr:colOff>742950</xdr:colOff>
      <xdr:row>1514</xdr:row>
      <xdr:rowOff>104776</xdr:rowOff>
    </xdr:to>
    <xdr:pic>
      <xdr:nvPicPr>
        <xdr:cNvPr id="387144" name="Imagen 62">
          <a:extLst>
            <a:ext uri="{FF2B5EF4-FFF2-40B4-BE49-F238E27FC236}">
              <a16:creationId xmlns:a16="http://schemas.microsoft.com/office/drawing/2014/main" id="{00000000-0008-0000-0200-000048E805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9725" y="324059550"/>
          <a:ext cx="14859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200025</xdr:colOff>
      <xdr:row>1515</xdr:row>
      <xdr:rowOff>180975</xdr:rowOff>
    </xdr:from>
    <xdr:to>
      <xdr:col>13</xdr:col>
      <xdr:colOff>609600</xdr:colOff>
      <xdr:row>1523</xdr:row>
      <xdr:rowOff>57151</xdr:rowOff>
    </xdr:to>
    <xdr:pic>
      <xdr:nvPicPr>
        <xdr:cNvPr id="387145" name="Imagen 63">
          <a:extLst>
            <a:ext uri="{FF2B5EF4-FFF2-40B4-BE49-F238E27FC236}">
              <a16:creationId xmlns:a16="http://schemas.microsoft.com/office/drawing/2014/main" id="{00000000-0008-0000-0200-000049E805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86875" y="326021700"/>
          <a:ext cx="1295400" cy="1714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228600</xdr:colOff>
      <xdr:row>1317</xdr:row>
      <xdr:rowOff>643448</xdr:rowOff>
    </xdr:from>
    <xdr:to>
      <xdr:col>13</xdr:col>
      <xdr:colOff>1730583</xdr:colOff>
      <xdr:row>1322</xdr:row>
      <xdr:rowOff>40640</xdr:rowOff>
    </xdr:to>
    <xdr:pic>
      <xdr:nvPicPr>
        <xdr:cNvPr id="41" name="Picture 1">
          <a:extLst>
            <a:ext uri="{FF2B5EF4-FFF2-40B4-BE49-F238E27FC236}">
              <a16:creationId xmlns:a16="http://schemas.microsoft.com/office/drawing/2014/main" id="{00000000-0008-0000-0200-00002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579429" y="308317277"/>
          <a:ext cx="2416383" cy="1998878"/>
        </a:xfrm>
        <a:prstGeom prst="rect">
          <a:avLst/>
        </a:prstGeom>
        <a:noFill/>
        <a:ln w="1">
          <a:noFill/>
          <a:miter lim="800000"/>
          <a:headEnd/>
          <a:tailEnd type="none" w="med" len="med"/>
        </a:ln>
        <a:effectLst/>
      </xdr:spPr>
    </xdr:pic>
    <xdr:clientData/>
  </xdr:twoCellAnchor>
  <xdr:twoCellAnchor editAs="oneCell">
    <xdr:from>
      <xdr:col>12</xdr:col>
      <xdr:colOff>337458</xdr:colOff>
      <xdr:row>1269</xdr:row>
      <xdr:rowOff>51706</xdr:rowOff>
    </xdr:from>
    <xdr:to>
      <xdr:col>13</xdr:col>
      <xdr:colOff>1399292</xdr:colOff>
      <xdr:row>1276</xdr:row>
      <xdr:rowOff>13110</xdr:rowOff>
    </xdr:to>
    <xdr:pic>
      <xdr:nvPicPr>
        <xdr:cNvPr id="42" name="Picture 2">
          <a:extLst>
            <a:ext uri="{FF2B5EF4-FFF2-40B4-BE49-F238E27FC236}">
              <a16:creationId xmlns:a16="http://schemas.microsoft.com/office/drawing/2014/main" id="{00000000-0008-0000-0200-00002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688287" y="289252477"/>
          <a:ext cx="1976234" cy="1191489"/>
        </a:xfrm>
        <a:prstGeom prst="rect">
          <a:avLst/>
        </a:prstGeom>
        <a:noFill/>
        <a:ln w="1">
          <a:noFill/>
          <a:miter lim="800000"/>
          <a:headEnd/>
          <a:tailEnd type="none" w="med" len="med"/>
        </a:ln>
        <a:effectLst/>
      </xdr:spPr>
    </xdr:pic>
    <xdr:clientData/>
  </xdr:twoCellAnchor>
  <xdr:twoCellAnchor editAs="oneCell">
    <xdr:from>
      <xdr:col>12</xdr:col>
      <xdr:colOff>337458</xdr:colOff>
      <xdr:row>1293</xdr:row>
      <xdr:rowOff>343922</xdr:rowOff>
    </xdr:from>
    <xdr:to>
      <xdr:col>13</xdr:col>
      <xdr:colOff>1308124</xdr:colOff>
      <xdr:row>1299</xdr:row>
      <xdr:rowOff>28518</xdr:rowOff>
    </xdr:to>
    <xdr:pic>
      <xdr:nvPicPr>
        <xdr:cNvPr id="43" name="Picture 3">
          <a:extLst>
            <a:ext uri="{FF2B5EF4-FFF2-40B4-BE49-F238E27FC236}">
              <a16:creationId xmlns:a16="http://schemas.microsoft.com/office/drawing/2014/main" id="{00000000-0008-0000-0200-00002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688287" y="297632779"/>
          <a:ext cx="1885066" cy="1535168"/>
        </a:xfrm>
        <a:prstGeom prst="rect">
          <a:avLst/>
        </a:prstGeom>
        <a:noFill/>
        <a:ln w="1">
          <a:noFill/>
          <a:miter lim="800000"/>
          <a:headEnd/>
          <a:tailEnd type="none" w="med" len="med"/>
        </a:ln>
        <a:effectLst/>
      </xdr:spPr>
    </xdr:pic>
    <xdr:clientData/>
  </xdr:twoCellAnchor>
  <xdr:twoCellAnchor editAs="oneCell">
    <xdr:from>
      <xdr:col>12</xdr:col>
      <xdr:colOff>272141</xdr:colOff>
      <xdr:row>1285</xdr:row>
      <xdr:rowOff>207736</xdr:rowOff>
    </xdr:from>
    <xdr:to>
      <xdr:col>13</xdr:col>
      <xdr:colOff>2035628</xdr:colOff>
      <xdr:row>1289</xdr:row>
      <xdr:rowOff>113823</xdr:rowOff>
    </xdr:to>
    <xdr:pic>
      <xdr:nvPicPr>
        <xdr:cNvPr id="44" name="Picture 4">
          <a:extLst>
            <a:ext uri="{FF2B5EF4-FFF2-40B4-BE49-F238E27FC236}">
              <a16:creationId xmlns:a16="http://schemas.microsoft.com/office/drawing/2014/main" id="{00000000-0008-0000-0200-00002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622970" y="294307079"/>
          <a:ext cx="2677887" cy="2442459"/>
        </a:xfrm>
        <a:prstGeom prst="rect">
          <a:avLst/>
        </a:prstGeom>
        <a:noFill/>
        <a:ln w="1">
          <a:noFill/>
          <a:miter lim="800000"/>
          <a:headEnd/>
          <a:tailEnd type="none" w="med" len="med"/>
        </a:ln>
        <a:effectLst/>
      </xdr:spPr>
    </xdr:pic>
    <xdr:clientData/>
  </xdr:twoCellAnchor>
  <xdr:twoCellAnchor editAs="oneCell">
    <xdr:from>
      <xdr:col>12</xdr:col>
      <xdr:colOff>174171</xdr:colOff>
      <xdr:row>1277</xdr:row>
      <xdr:rowOff>25115</xdr:rowOff>
    </xdr:from>
    <xdr:to>
      <xdr:col>13</xdr:col>
      <xdr:colOff>2035628</xdr:colOff>
      <xdr:row>1277</xdr:row>
      <xdr:rowOff>2328207</xdr:rowOff>
    </xdr:to>
    <xdr:pic>
      <xdr:nvPicPr>
        <xdr:cNvPr id="45" name="Picture 5">
          <a:extLst>
            <a:ext uri="{FF2B5EF4-FFF2-40B4-BE49-F238E27FC236}">
              <a16:creationId xmlns:a16="http://schemas.microsoft.com/office/drawing/2014/main" id="{00000000-0008-0000-0200-00002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525000" y="290619258"/>
          <a:ext cx="2775857" cy="2303092"/>
        </a:xfrm>
        <a:prstGeom prst="rect">
          <a:avLst/>
        </a:prstGeom>
        <a:noFill/>
        <a:ln w="1">
          <a:noFill/>
          <a:miter lim="800000"/>
          <a:headEnd/>
          <a:tailEnd type="none" w="med" len="med"/>
        </a:ln>
        <a:effectLst/>
      </xdr:spPr>
    </xdr:pic>
    <xdr:clientData/>
  </xdr:twoCellAnchor>
  <xdr:twoCellAnchor editAs="oneCell">
    <xdr:from>
      <xdr:col>12</xdr:col>
      <xdr:colOff>326571</xdr:colOff>
      <xdr:row>1301</xdr:row>
      <xdr:rowOff>132500</xdr:rowOff>
    </xdr:from>
    <xdr:to>
      <xdr:col>13</xdr:col>
      <xdr:colOff>1745138</xdr:colOff>
      <xdr:row>1307</xdr:row>
      <xdr:rowOff>18548</xdr:rowOff>
    </xdr:to>
    <xdr:pic>
      <xdr:nvPicPr>
        <xdr:cNvPr id="46" name="Picture 6">
          <a:extLst>
            <a:ext uri="{FF2B5EF4-FFF2-40B4-BE49-F238E27FC236}">
              <a16:creationId xmlns:a16="http://schemas.microsoft.com/office/drawing/2014/main" id="{00000000-0008-0000-0200-00002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677400" y="299598500"/>
          <a:ext cx="2332967" cy="1268534"/>
        </a:xfrm>
        <a:prstGeom prst="rect">
          <a:avLst/>
        </a:prstGeom>
        <a:noFill/>
        <a:ln w="1">
          <a:noFill/>
          <a:miter lim="800000"/>
          <a:headEnd/>
          <a:tailEnd type="none" w="med" len="med"/>
        </a:ln>
        <a:effectLst/>
      </xdr:spPr>
    </xdr:pic>
    <xdr:clientData/>
  </xdr:twoCellAnchor>
  <xdr:twoCellAnchor editAs="oneCell">
    <xdr:from>
      <xdr:col>12</xdr:col>
      <xdr:colOff>174173</xdr:colOff>
      <xdr:row>1309</xdr:row>
      <xdr:rowOff>84650</xdr:rowOff>
    </xdr:from>
    <xdr:to>
      <xdr:col>13</xdr:col>
      <xdr:colOff>1752601</xdr:colOff>
      <xdr:row>1317</xdr:row>
      <xdr:rowOff>258772</xdr:rowOff>
    </xdr:to>
    <xdr:pic>
      <xdr:nvPicPr>
        <xdr:cNvPr id="47" name="Picture 7">
          <a:extLst>
            <a:ext uri="{FF2B5EF4-FFF2-40B4-BE49-F238E27FC236}">
              <a16:creationId xmlns:a16="http://schemas.microsoft.com/office/drawing/2014/main" id="{00000000-0008-0000-0200-00002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525002" y="301259707"/>
          <a:ext cx="2492828" cy="1872294"/>
        </a:xfrm>
        <a:prstGeom prst="rect">
          <a:avLst/>
        </a:prstGeom>
        <a:noFill/>
        <a:ln w="1">
          <a:noFill/>
          <a:miter lim="800000"/>
          <a:headEnd/>
          <a:tailEnd type="none" w="med" len="med"/>
        </a:ln>
        <a:effectLst/>
      </xdr:spPr>
    </xdr:pic>
    <xdr:clientData/>
  </xdr:twoCellAnchor>
  <xdr:twoCellAnchor editAs="oneCell">
    <xdr:from>
      <xdr:col>13</xdr:col>
      <xdr:colOff>2024743</xdr:colOff>
      <xdr:row>327</xdr:row>
      <xdr:rowOff>141514</xdr:rowOff>
    </xdr:from>
    <xdr:to>
      <xdr:col>17</xdr:col>
      <xdr:colOff>694561</xdr:colOff>
      <xdr:row>345</xdr:row>
      <xdr:rowOff>121845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tretch>
          <a:fillRect/>
        </a:stretch>
      </xdr:blipFill>
      <xdr:spPr>
        <a:xfrm>
          <a:off x="12289972" y="69668571"/>
          <a:ext cx="5614903" cy="4182218"/>
        </a:xfrm>
        <a:prstGeom prst="rect">
          <a:avLst/>
        </a:prstGeom>
      </xdr:spPr>
    </xdr:pic>
    <xdr:clientData/>
  </xdr:twoCellAnchor>
  <xdr:twoCellAnchor editAs="oneCell">
    <xdr:from>
      <xdr:col>4</xdr:col>
      <xdr:colOff>588624</xdr:colOff>
      <xdr:row>0</xdr:row>
      <xdr:rowOff>76346</xdr:rowOff>
    </xdr:from>
    <xdr:to>
      <xdr:col>5</xdr:col>
      <xdr:colOff>1360230</xdr:colOff>
      <xdr:row>2</xdr:row>
      <xdr:rowOff>192643</xdr:rowOff>
    </xdr:to>
    <xdr:pic>
      <xdr:nvPicPr>
        <xdr:cNvPr id="49" name="48 Imagen">
          <a:extLst>
            <a:ext uri="{FF2B5EF4-FFF2-40B4-BE49-F238E27FC236}">
              <a16:creationId xmlns:a16="http://schemas.microsoft.com/office/drawing/2014/main" id="{00000000-0008-0000-0200-000031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582" t="31419" r="8966" b="32752"/>
        <a:stretch/>
      </xdr:blipFill>
      <xdr:spPr>
        <a:xfrm>
          <a:off x="6967163" y="76346"/>
          <a:ext cx="2034471" cy="89756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125944</xdr:colOff>
      <xdr:row>0</xdr:row>
      <xdr:rowOff>100543</xdr:rowOff>
    </xdr:from>
    <xdr:to>
      <xdr:col>1</xdr:col>
      <xdr:colOff>306917</xdr:colOff>
      <xdr:row>2</xdr:row>
      <xdr:rowOff>243416</xdr:rowOff>
    </xdr:to>
    <xdr:pic>
      <xdr:nvPicPr>
        <xdr:cNvPr id="375929" name="Imagen 4" descr="despacho del alcalde">
          <a:extLst>
            <a:ext uri="{FF2B5EF4-FFF2-40B4-BE49-F238E27FC236}">
              <a16:creationId xmlns:a16="http://schemas.microsoft.com/office/drawing/2014/main" id="{00000000-0008-0000-0300-000079BC05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87721" b="8076"/>
        <a:stretch>
          <a:fillRect/>
        </a:stretch>
      </xdr:blipFill>
      <xdr:spPr bwMode="auto">
        <a:xfrm>
          <a:off x="125944" y="100543"/>
          <a:ext cx="763056" cy="915456"/>
        </a:xfrm>
        <a:prstGeom prst="rect">
          <a:avLst/>
        </a:prstGeom>
        <a:ln>
          <a:noFill/>
        </a:ln>
        <a:effectLst>
          <a:outerShdw blurRad="292100" dist="139700" dir="2700000" algn="tl" rotWithShape="0">
            <a:srgbClr val="333333">
              <a:alpha val="65000"/>
            </a:srgb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380463</xdr:colOff>
      <xdr:row>0</xdr:row>
      <xdr:rowOff>80302</xdr:rowOff>
    </xdr:from>
    <xdr:to>
      <xdr:col>5</xdr:col>
      <xdr:colOff>1267358</xdr:colOff>
      <xdr:row>2</xdr:row>
      <xdr:rowOff>179916</xdr:rowOff>
    </xdr:to>
    <xdr:pic>
      <xdr:nvPicPr>
        <xdr:cNvPr id="5" name="4 Imagen">
          <a:extLst>
            <a:ext uri="{FF2B5EF4-FFF2-40B4-BE49-F238E27FC236}">
              <a16:creationId xmlns:a16="http://schemas.microsoft.com/office/drawing/2014/main" id="{00000000-0008-0000-0300-000005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582" t="31419" r="8966" b="32752"/>
        <a:stretch/>
      </xdr:blipFill>
      <xdr:spPr>
        <a:xfrm>
          <a:off x="6772796" y="80302"/>
          <a:ext cx="1976979" cy="87219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75441</xdr:colOff>
      <xdr:row>0</xdr:row>
      <xdr:rowOff>68791</xdr:rowOff>
    </xdr:from>
    <xdr:to>
      <xdr:col>1</xdr:col>
      <xdr:colOff>275260</xdr:colOff>
      <xdr:row>2</xdr:row>
      <xdr:rowOff>232834</xdr:rowOff>
    </xdr:to>
    <xdr:pic>
      <xdr:nvPicPr>
        <xdr:cNvPr id="377963" name="Imagen 4" descr="despacho del alcalde">
          <a:extLst>
            <a:ext uri="{FF2B5EF4-FFF2-40B4-BE49-F238E27FC236}">
              <a16:creationId xmlns:a16="http://schemas.microsoft.com/office/drawing/2014/main" id="{00000000-0008-0000-0400-00006BC405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87721" b="8076"/>
        <a:stretch>
          <a:fillRect/>
        </a:stretch>
      </xdr:blipFill>
      <xdr:spPr bwMode="auto">
        <a:xfrm>
          <a:off x="75441" y="68791"/>
          <a:ext cx="781902" cy="936626"/>
        </a:xfrm>
        <a:prstGeom prst="rect">
          <a:avLst/>
        </a:prstGeom>
        <a:ln>
          <a:noFill/>
        </a:ln>
        <a:effectLst>
          <a:outerShdw blurRad="292100" dist="139700" dir="2700000" algn="tl" rotWithShape="0">
            <a:srgbClr val="333333">
              <a:alpha val="65000"/>
            </a:srgb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244999</xdr:colOff>
      <xdr:row>0</xdr:row>
      <xdr:rowOff>95246</xdr:rowOff>
    </xdr:from>
    <xdr:to>
      <xdr:col>5</xdr:col>
      <xdr:colOff>1140356</xdr:colOff>
      <xdr:row>2</xdr:row>
      <xdr:rowOff>179917</xdr:rowOff>
    </xdr:to>
    <xdr:pic>
      <xdr:nvPicPr>
        <xdr:cNvPr id="4" name="3 Imagen">
          <a:extLst>
            <a:ext uri="{FF2B5EF4-FFF2-40B4-BE49-F238E27FC236}">
              <a16:creationId xmlns:a16="http://schemas.microsoft.com/office/drawing/2014/main" id="{00000000-0008-0000-0400-000004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582" t="31419" r="8966" b="32752"/>
        <a:stretch/>
      </xdr:blipFill>
      <xdr:spPr>
        <a:xfrm>
          <a:off x="6997166" y="95246"/>
          <a:ext cx="1943107" cy="85725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106830</xdr:colOff>
      <xdr:row>0</xdr:row>
      <xdr:rowOff>86099</xdr:rowOff>
    </xdr:from>
    <xdr:to>
      <xdr:col>0</xdr:col>
      <xdr:colOff>835436</xdr:colOff>
      <xdr:row>2</xdr:row>
      <xdr:rowOff>261471</xdr:rowOff>
    </xdr:to>
    <xdr:pic>
      <xdr:nvPicPr>
        <xdr:cNvPr id="3" name="Imagen 4" descr="despacho del alcalde">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87721" b="8076"/>
        <a:stretch>
          <a:fillRect/>
        </a:stretch>
      </xdr:blipFill>
      <xdr:spPr bwMode="auto">
        <a:xfrm>
          <a:off x="106830" y="86099"/>
          <a:ext cx="728606" cy="866401"/>
        </a:xfrm>
        <a:prstGeom prst="rect">
          <a:avLst/>
        </a:prstGeom>
        <a:ln w="9525">
          <a:solidFill>
            <a:srgbClr val="000000"/>
          </a:solidFill>
          <a:miter lim="800000"/>
          <a:headEnd/>
          <a:tailEnd/>
        </a:ln>
        <a:effectLst>
          <a:outerShdw blurRad="292100" dist="139700" dir="2700000" algn="tl" rotWithShape="0">
            <a:srgbClr val="333333">
              <a:alpha val="65000"/>
            </a:srgbClr>
          </a:outerShdw>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616323</xdr:colOff>
      <xdr:row>0</xdr:row>
      <xdr:rowOff>134099</xdr:rowOff>
    </xdr:from>
    <xdr:to>
      <xdr:col>4</xdr:col>
      <xdr:colOff>1163392</xdr:colOff>
      <xdr:row>2</xdr:row>
      <xdr:rowOff>224119</xdr:rowOff>
    </xdr:to>
    <xdr:pic>
      <xdr:nvPicPr>
        <xdr:cNvPr id="4" name="3 Imagen">
          <a:extLst>
            <a:ext uri="{FF2B5EF4-FFF2-40B4-BE49-F238E27FC236}">
              <a16:creationId xmlns:a16="http://schemas.microsoft.com/office/drawing/2014/main" id="{00000000-0008-0000-0500-000004000000}"/>
            </a:ext>
          </a:extLst>
        </xdr:cNvPr>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rightnessContrast bright="20000" contrast="-40000"/>
                  </a14:imgEffect>
                </a14:imgLayer>
              </a14:imgProps>
            </a:ext>
            <a:ext uri="{28A0092B-C50C-407E-A947-70E740481C1C}">
              <a14:useLocalDpi xmlns:a14="http://schemas.microsoft.com/office/drawing/2010/main" val="0"/>
            </a:ext>
          </a:extLst>
        </a:blip>
        <a:srcRect l="9582" t="31419" r="8966" b="32752"/>
        <a:stretch/>
      </xdr:blipFill>
      <xdr:spPr>
        <a:xfrm>
          <a:off x="6153897" y="134099"/>
          <a:ext cx="1770377" cy="78104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161926</xdr:colOff>
      <xdr:row>0</xdr:row>
      <xdr:rowOff>114299</xdr:rowOff>
    </xdr:from>
    <xdr:to>
      <xdr:col>1</xdr:col>
      <xdr:colOff>352425</xdr:colOff>
      <xdr:row>2</xdr:row>
      <xdr:rowOff>233361</xdr:rowOff>
    </xdr:to>
    <xdr:pic>
      <xdr:nvPicPr>
        <xdr:cNvPr id="380976" name="Imagen 4" descr="despacho del alcalde">
          <a:extLst>
            <a:ext uri="{FF2B5EF4-FFF2-40B4-BE49-F238E27FC236}">
              <a16:creationId xmlns:a16="http://schemas.microsoft.com/office/drawing/2014/main" id="{00000000-0008-0000-0600-000030D005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87721" b="8076"/>
        <a:stretch>
          <a:fillRect/>
        </a:stretch>
      </xdr:blipFill>
      <xdr:spPr bwMode="auto">
        <a:xfrm>
          <a:off x="161926" y="114299"/>
          <a:ext cx="771524" cy="814387"/>
        </a:xfrm>
        <a:prstGeom prst="rect">
          <a:avLst/>
        </a:prstGeom>
        <a:ln>
          <a:noFill/>
        </a:ln>
        <a:effectLst>
          <a:outerShdw blurRad="292100" dist="139700" dir="2700000" algn="tl" rotWithShape="0">
            <a:srgbClr val="333333">
              <a:alpha val="65000"/>
            </a:srgb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200025</xdr:colOff>
      <xdr:row>0</xdr:row>
      <xdr:rowOff>104775</xdr:rowOff>
    </xdr:from>
    <xdr:to>
      <xdr:col>3</xdr:col>
      <xdr:colOff>1261219</xdr:colOff>
      <xdr:row>2</xdr:row>
      <xdr:rowOff>188589</xdr:rowOff>
    </xdr:to>
    <xdr:pic>
      <xdr:nvPicPr>
        <xdr:cNvPr id="4" name="3 Imagen">
          <a:extLst>
            <a:ext uri="{FF2B5EF4-FFF2-40B4-BE49-F238E27FC236}">
              <a16:creationId xmlns:a16="http://schemas.microsoft.com/office/drawing/2014/main" id="{00000000-0008-0000-0600-000004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9582" t="31419" r="8966" b="32752"/>
        <a:stretch/>
      </xdr:blipFill>
      <xdr:spPr>
        <a:xfrm>
          <a:off x="5648325" y="104775"/>
          <a:ext cx="1766044" cy="77913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98979</xdr:colOff>
      <xdr:row>0</xdr:row>
      <xdr:rowOff>80340</xdr:rowOff>
    </xdr:from>
    <xdr:to>
      <xdr:col>0</xdr:col>
      <xdr:colOff>737153</xdr:colOff>
      <xdr:row>2</xdr:row>
      <xdr:rowOff>118424</xdr:rowOff>
    </xdr:to>
    <xdr:pic>
      <xdr:nvPicPr>
        <xdr:cNvPr id="382001" name="Imagen 17" descr="despacho del alcalde">
          <a:extLst>
            <a:ext uri="{FF2B5EF4-FFF2-40B4-BE49-F238E27FC236}">
              <a16:creationId xmlns:a16="http://schemas.microsoft.com/office/drawing/2014/main" id="{00000000-0008-0000-0700-000031D405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87721" b="8076"/>
        <a:stretch>
          <a:fillRect/>
        </a:stretch>
      </xdr:blipFill>
      <xdr:spPr bwMode="auto">
        <a:xfrm>
          <a:off x="98979" y="80340"/>
          <a:ext cx="638174" cy="733823"/>
        </a:xfrm>
        <a:prstGeom prst="rect">
          <a:avLst/>
        </a:prstGeom>
        <a:ln>
          <a:noFill/>
        </a:ln>
        <a:effectLst>
          <a:outerShdw blurRad="292100" dist="139700" dir="2700000" algn="tl" rotWithShape="0">
            <a:srgbClr val="333333">
              <a:alpha val="65000"/>
            </a:srgb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367748</xdr:colOff>
      <xdr:row>0</xdr:row>
      <xdr:rowOff>248479</xdr:rowOff>
    </xdr:from>
    <xdr:to>
      <xdr:col>4</xdr:col>
      <xdr:colOff>753718</xdr:colOff>
      <xdr:row>2</xdr:row>
      <xdr:rowOff>154204</xdr:rowOff>
    </xdr:to>
    <xdr:pic>
      <xdr:nvPicPr>
        <xdr:cNvPr id="4" name="3 Imagen">
          <a:extLst>
            <a:ext uri="{FF2B5EF4-FFF2-40B4-BE49-F238E27FC236}">
              <a16:creationId xmlns:a16="http://schemas.microsoft.com/office/drawing/2014/main" id="{00000000-0008-0000-0700-000004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582" t="31419" r="8966" b="32752"/>
        <a:stretch/>
      </xdr:blipFill>
      <xdr:spPr>
        <a:xfrm>
          <a:off x="4782378" y="248479"/>
          <a:ext cx="1363318" cy="60146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61912</xdr:colOff>
      <xdr:row>0</xdr:row>
      <xdr:rowOff>66675</xdr:rowOff>
    </xdr:from>
    <xdr:to>
      <xdr:col>0</xdr:col>
      <xdr:colOff>847161</xdr:colOff>
      <xdr:row>2</xdr:row>
      <xdr:rowOff>238125</xdr:rowOff>
    </xdr:to>
    <xdr:pic>
      <xdr:nvPicPr>
        <xdr:cNvPr id="383025" name="Imagen 17" descr="despacho del alcalde">
          <a:extLst>
            <a:ext uri="{FF2B5EF4-FFF2-40B4-BE49-F238E27FC236}">
              <a16:creationId xmlns:a16="http://schemas.microsoft.com/office/drawing/2014/main" id="{00000000-0008-0000-0900-000031D805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87721" b="8076"/>
        <a:stretch>
          <a:fillRect/>
        </a:stretch>
      </xdr:blipFill>
      <xdr:spPr bwMode="auto">
        <a:xfrm>
          <a:off x="61912" y="66675"/>
          <a:ext cx="785249" cy="873919"/>
        </a:xfrm>
        <a:prstGeom prst="rect">
          <a:avLst/>
        </a:prstGeom>
        <a:ln>
          <a:noFill/>
        </a:ln>
        <a:effectLst>
          <a:outerShdw blurRad="292100" dist="139700" dir="2700000" algn="tl" rotWithShape="0">
            <a:srgbClr val="333333">
              <a:alpha val="65000"/>
            </a:srgb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442918</xdr:colOff>
      <xdr:row>0</xdr:row>
      <xdr:rowOff>91400</xdr:rowOff>
    </xdr:from>
    <xdr:to>
      <xdr:col>10</xdr:col>
      <xdr:colOff>679450</xdr:colOff>
      <xdr:row>2</xdr:row>
      <xdr:rowOff>202406</xdr:rowOff>
    </xdr:to>
    <xdr:pic>
      <xdr:nvPicPr>
        <xdr:cNvPr id="4" name="3 Imagen">
          <a:extLst>
            <a:ext uri="{FF2B5EF4-FFF2-40B4-BE49-F238E27FC236}">
              <a16:creationId xmlns:a16="http://schemas.microsoft.com/office/drawing/2014/main" id="{00000000-0008-0000-0900-000004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582" t="31419" r="8966" b="32752"/>
        <a:stretch/>
      </xdr:blipFill>
      <xdr:spPr>
        <a:xfrm>
          <a:off x="6812762" y="91400"/>
          <a:ext cx="1843876" cy="81347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171450</xdr:rowOff>
    </xdr:from>
    <xdr:to>
      <xdr:col>1</xdr:col>
      <xdr:colOff>114300</xdr:colOff>
      <xdr:row>2</xdr:row>
      <xdr:rowOff>0</xdr:rowOff>
    </xdr:to>
    <xdr:pic>
      <xdr:nvPicPr>
        <xdr:cNvPr id="384049" name="Imagen 17" descr="despacho del alcalde">
          <a:extLst>
            <a:ext uri="{FF2B5EF4-FFF2-40B4-BE49-F238E27FC236}">
              <a16:creationId xmlns:a16="http://schemas.microsoft.com/office/drawing/2014/main" id="{00000000-0008-0000-0A00-000031DC05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87721" b="8076"/>
        <a:stretch>
          <a:fillRect/>
        </a:stretch>
      </xdr:blipFill>
      <xdr:spPr bwMode="auto">
        <a:xfrm>
          <a:off x="123825" y="171450"/>
          <a:ext cx="762000" cy="657225"/>
        </a:xfrm>
        <a:prstGeom prst="rect">
          <a:avLst/>
        </a:prstGeom>
        <a:ln>
          <a:noFill/>
        </a:ln>
        <a:effectLst>
          <a:outerShdw blurRad="292100" dist="139700" dir="2700000" algn="tl" rotWithShape="0">
            <a:srgbClr val="333333">
              <a:alpha val="65000"/>
            </a:srgb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704850</xdr:colOff>
      <xdr:row>0</xdr:row>
      <xdr:rowOff>76200</xdr:rowOff>
    </xdr:from>
    <xdr:to>
      <xdr:col>5</xdr:col>
      <xdr:colOff>796126</xdr:colOff>
      <xdr:row>2</xdr:row>
      <xdr:rowOff>89575</xdr:rowOff>
    </xdr:to>
    <xdr:pic>
      <xdr:nvPicPr>
        <xdr:cNvPr id="5" name="4 Imagen">
          <a:extLst>
            <a:ext uri="{FF2B5EF4-FFF2-40B4-BE49-F238E27FC236}">
              <a16:creationId xmlns:a16="http://schemas.microsoft.com/office/drawing/2014/main" id="{00000000-0008-0000-0A00-000005000000}"/>
            </a:ext>
          </a:extLst>
        </xdr:cNvPr>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rightnessContrast bright="20000" contrast="-40000"/>
                  </a14:imgEffect>
                </a14:imgLayer>
              </a14:imgProps>
            </a:ext>
            <a:ext uri="{28A0092B-C50C-407E-A947-70E740481C1C}">
              <a14:useLocalDpi xmlns:a14="http://schemas.microsoft.com/office/drawing/2010/main" val="0"/>
            </a:ext>
          </a:extLst>
        </a:blip>
        <a:srcRect l="9582" t="31419" r="8966" b="32752"/>
        <a:stretch/>
      </xdr:blipFill>
      <xdr:spPr>
        <a:xfrm>
          <a:off x="5543550" y="76200"/>
          <a:ext cx="1843876" cy="81347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190500</xdr:colOff>
      <xdr:row>0</xdr:row>
      <xdr:rowOff>104776</xdr:rowOff>
    </xdr:from>
    <xdr:to>
      <xdr:col>1</xdr:col>
      <xdr:colOff>74083</xdr:colOff>
      <xdr:row>2</xdr:row>
      <xdr:rowOff>85128</xdr:rowOff>
    </xdr:to>
    <xdr:pic>
      <xdr:nvPicPr>
        <xdr:cNvPr id="385073" name="Imagen 17" descr="despacho del alcalde">
          <a:extLst>
            <a:ext uri="{FF2B5EF4-FFF2-40B4-BE49-F238E27FC236}">
              <a16:creationId xmlns:a16="http://schemas.microsoft.com/office/drawing/2014/main" id="{00000000-0008-0000-0B00-000031E005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87721" b="8076"/>
        <a:stretch>
          <a:fillRect/>
        </a:stretch>
      </xdr:blipFill>
      <xdr:spPr bwMode="auto">
        <a:xfrm>
          <a:off x="190500" y="104776"/>
          <a:ext cx="645583" cy="774102"/>
        </a:xfrm>
        <a:prstGeom prst="rect">
          <a:avLst/>
        </a:prstGeom>
        <a:ln>
          <a:noFill/>
        </a:ln>
        <a:effectLst>
          <a:outerShdw blurRad="292100" dist="139700" dir="2700000" algn="tl" rotWithShape="0">
            <a:srgbClr val="333333">
              <a:alpha val="65000"/>
            </a:srgb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590813</xdr:colOff>
      <xdr:row>0</xdr:row>
      <xdr:rowOff>105833</xdr:rowOff>
    </xdr:from>
    <xdr:to>
      <xdr:col>7</xdr:col>
      <xdr:colOff>722042</xdr:colOff>
      <xdr:row>2</xdr:row>
      <xdr:rowOff>42332</xdr:rowOff>
    </xdr:to>
    <xdr:pic>
      <xdr:nvPicPr>
        <xdr:cNvPr id="4" name="3 Imagen">
          <a:extLst>
            <a:ext uri="{FF2B5EF4-FFF2-40B4-BE49-F238E27FC236}">
              <a16:creationId xmlns:a16="http://schemas.microsoft.com/office/drawing/2014/main" id="{00000000-0008-0000-0B00-000004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582" t="31419" r="8966" b="32752"/>
        <a:stretch/>
      </xdr:blipFill>
      <xdr:spPr>
        <a:xfrm>
          <a:off x="5755480" y="105833"/>
          <a:ext cx="1655229" cy="73024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342900</xdr:colOff>
      <xdr:row>0</xdr:row>
      <xdr:rowOff>219075</xdr:rowOff>
    </xdr:from>
    <xdr:to>
      <xdr:col>0</xdr:col>
      <xdr:colOff>1514475</xdr:colOff>
      <xdr:row>4</xdr:row>
      <xdr:rowOff>333375</xdr:rowOff>
    </xdr:to>
    <xdr:pic>
      <xdr:nvPicPr>
        <xdr:cNvPr id="386096" name="Imagen 17" descr="despacho del alcalde">
          <a:extLst>
            <a:ext uri="{FF2B5EF4-FFF2-40B4-BE49-F238E27FC236}">
              <a16:creationId xmlns:a16="http://schemas.microsoft.com/office/drawing/2014/main" id="{00000000-0008-0000-0C00-000030E405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87721" b="8076"/>
        <a:stretch>
          <a:fillRect/>
        </a:stretch>
      </xdr:blipFill>
      <xdr:spPr bwMode="auto">
        <a:xfrm>
          <a:off x="342900" y="219075"/>
          <a:ext cx="1171575" cy="1371600"/>
        </a:xfrm>
        <a:prstGeom prst="rect">
          <a:avLst/>
        </a:prstGeom>
        <a:ln>
          <a:noFill/>
        </a:ln>
        <a:effectLst>
          <a:outerShdw blurRad="292100" dist="139700" dir="2700000" algn="tl" rotWithShape="0">
            <a:srgbClr val="333333">
              <a:alpha val="65000"/>
            </a:srgb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20</xdr:col>
      <xdr:colOff>810097</xdr:colOff>
      <xdr:row>0</xdr:row>
      <xdr:rowOff>295275</xdr:rowOff>
    </xdr:from>
    <xdr:to>
      <xdr:col>23</xdr:col>
      <xdr:colOff>967576</xdr:colOff>
      <xdr:row>5</xdr:row>
      <xdr:rowOff>152400</xdr:rowOff>
    </xdr:to>
    <xdr:pic>
      <xdr:nvPicPr>
        <xdr:cNvPr id="4" name="3 Imagen">
          <a:extLst>
            <a:ext uri="{FF2B5EF4-FFF2-40B4-BE49-F238E27FC236}">
              <a16:creationId xmlns:a16="http://schemas.microsoft.com/office/drawing/2014/main" id="{00000000-0008-0000-0C00-000004000000}"/>
            </a:ext>
          </a:extLst>
        </xdr:cNvPr>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rightnessContrast bright="20000" contrast="-40000"/>
                  </a14:imgEffect>
                </a14:imgLayer>
              </a14:imgProps>
            </a:ext>
            <a:ext uri="{28A0092B-C50C-407E-A947-70E740481C1C}">
              <a14:useLocalDpi xmlns:a14="http://schemas.microsoft.com/office/drawing/2010/main" val="0"/>
            </a:ext>
          </a:extLst>
        </a:blip>
        <a:srcRect l="9582" t="31419" r="8966" b="32752"/>
        <a:stretch/>
      </xdr:blipFill>
      <xdr:spPr>
        <a:xfrm>
          <a:off x="22927147" y="295275"/>
          <a:ext cx="3281679" cy="14478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INVIAS-FA\Puentes%20Mochilero%20Quebradon\TCC%20Obra%20definitivos\AIU%20Mochilero%20Quebrad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OPM/PTOS%20CREDITO%20GOB%20ALC/PTOS%20UNIVERSIDAD%20NACIONAL/PTO%20PLAZA%20MERCADO/Presupuesto%20Plaza%20de%20Mercado%20v0.9%20Ajustado_wrp_%2056mi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12"/>
      <sheetName val="RES 747 TARIFAS PROF."/>
      <sheetName val="SALARIO CELADOR 2012"/>
      <sheetName val="TARIFAS REGISTRO DISTRITAL 2012"/>
      <sheetName val="COSTOS OFICINA"/>
      <sheetName val="Media M2 oficina 2012"/>
      <sheetName val="COSTOS CAMPAM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za Mercado"/>
      <sheetName val="Plataforma1"/>
      <sheetName val="Plataforma2"/>
      <sheetName val="Urbanismo"/>
      <sheetName val="ListadeAPU's"/>
      <sheetName val="ListaInsumos"/>
      <sheetName val="Básicos"/>
      <sheetName val="Grupos"/>
      <sheetName val="1.Preliminares"/>
      <sheetName val="2.Cimentación"/>
      <sheetName val="3.Estructura"/>
      <sheetName val="4.NoEstructural"/>
      <sheetName val="5.Muros"/>
      <sheetName val="6.Acabados"/>
      <sheetName val="7.Pisos"/>
      <sheetName val="8.1 "/>
      <sheetName val="9. Iluminación"/>
      <sheetName val="11.1.1"/>
      <sheetName val="12. 13"/>
      <sheetName val="14.A.Sanitarios"/>
      <sheetName val="15.C.Metálica"/>
      <sheetName val="16.Cubierta"/>
      <sheetName val="17.Mobiliario"/>
      <sheetName val="18.E.Público"/>
      <sheetName val="19.Aseo"/>
      <sheetName val="Formato"/>
    </sheetNames>
    <sheetDataSet>
      <sheetData sheetId="0"/>
      <sheetData sheetId="1"/>
      <sheetData sheetId="2"/>
      <sheetData sheetId="3"/>
      <sheetData sheetId="4"/>
      <sheetData sheetId="5">
        <row r="11">
          <cell r="B11" t="str">
            <v>Acero de refuerzo figurado</v>
          </cell>
          <cell r="C11" t="str">
            <v>kg</v>
          </cell>
          <cell r="D11">
            <v>2558.5</v>
          </cell>
        </row>
        <row r="12">
          <cell r="B12" t="str">
            <v>Adoquin ecológico gris</v>
          </cell>
          <cell r="C12" t="str">
            <v>m2</v>
          </cell>
          <cell r="D12">
            <v>54354</v>
          </cell>
        </row>
        <row r="13">
          <cell r="B13" t="str">
            <v>Adoquin en concreto</v>
          </cell>
          <cell r="C13" t="str">
            <v>m2</v>
          </cell>
          <cell r="D13">
            <v>47450</v>
          </cell>
        </row>
        <row r="14">
          <cell r="B14" t="str">
            <v>Agua</v>
          </cell>
          <cell r="C14" t="str">
            <v>lt</v>
          </cell>
          <cell r="D14">
            <v>50</v>
          </cell>
        </row>
        <row r="15">
          <cell r="B15" t="str">
            <v>Alambre galvanizado cal 16</v>
          </cell>
          <cell r="C15" t="str">
            <v>kg</v>
          </cell>
          <cell r="D15">
            <v>5355</v>
          </cell>
        </row>
        <row r="16">
          <cell r="B16" t="str">
            <v>Alambre negro N° 18</v>
          </cell>
          <cell r="C16" t="str">
            <v>kg</v>
          </cell>
          <cell r="D16">
            <v>3616</v>
          </cell>
        </row>
        <row r="17">
          <cell r="B17" t="str">
            <v>Aligeramiento en icopor no recuperable</v>
          </cell>
          <cell r="C17" t="str">
            <v>m3</v>
          </cell>
          <cell r="D17">
            <v>77350</v>
          </cell>
        </row>
        <row r="18">
          <cell r="B18" t="str">
            <v>Aligeramiento en icopor recuperable</v>
          </cell>
          <cell r="C18" t="str">
            <v>m3</v>
          </cell>
          <cell r="D18">
            <v>113050</v>
          </cell>
        </row>
        <row r="19">
          <cell r="B19" t="str">
            <v>Angulo 2" para remate de piso</v>
          </cell>
          <cell r="C19" t="str">
            <v>m</v>
          </cell>
          <cell r="D19">
            <v>7067</v>
          </cell>
        </row>
        <row r="20">
          <cell r="B20" t="str">
            <v>Angulo en lámina Cal 26 de 3x3 cm</v>
          </cell>
          <cell r="C20" t="str">
            <v>m</v>
          </cell>
          <cell r="D20">
            <v>2650</v>
          </cell>
        </row>
        <row r="21">
          <cell r="B21" t="str">
            <v>Antisol blanco</v>
          </cell>
          <cell r="C21" t="str">
            <v>kg</v>
          </cell>
          <cell r="D21">
            <v>5831</v>
          </cell>
        </row>
        <row r="22">
          <cell r="B22" t="str">
            <v>Arena</v>
          </cell>
          <cell r="C22" t="str">
            <v>m3</v>
          </cell>
          <cell r="D22">
            <v>40600</v>
          </cell>
        </row>
        <row r="23">
          <cell r="B23" t="str">
            <v>Arena de peña</v>
          </cell>
          <cell r="C23" t="str">
            <v>m3</v>
          </cell>
          <cell r="D23">
            <v>65157</v>
          </cell>
        </row>
        <row r="24">
          <cell r="B24" t="str">
            <v>Arena de rio</v>
          </cell>
          <cell r="C24" t="str">
            <v>m3</v>
          </cell>
          <cell r="D24">
            <v>94890</v>
          </cell>
        </row>
        <row r="25">
          <cell r="B25" t="str">
            <v>Arena fina</v>
          </cell>
          <cell r="C25" t="str">
            <v>m3</v>
          </cell>
          <cell r="D25">
            <v>129538</v>
          </cell>
        </row>
        <row r="26">
          <cell r="B26" t="str">
            <v>Asiento sanitario institucioanl ref.609551001</v>
          </cell>
          <cell r="C26" t="str">
            <v>un</v>
          </cell>
          <cell r="D26">
            <v>111900</v>
          </cell>
        </row>
        <row r="27">
          <cell r="B27" t="str">
            <v>Baldosa 30x30cm blanco huila</v>
          </cell>
          <cell r="C27" t="str">
            <v>m2</v>
          </cell>
          <cell r="D27">
            <v>56000</v>
          </cell>
        </row>
        <row r="28">
          <cell r="B28" t="str">
            <v>Baldosa 30x30cm perlato claro</v>
          </cell>
          <cell r="C28" t="str">
            <v>m2</v>
          </cell>
          <cell r="D28">
            <v>60000</v>
          </cell>
        </row>
        <row r="29">
          <cell r="B29" t="str">
            <v>Baldosa pared egeo blanco 30x60cm</v>
          </cell>
          <cell r="C29" t="str">
            <v>m2</v>
          </cell>
          <cell r="D29">
            <v>29900</v>
          </cell>
        </row>
        <row r="30">
          <cell r="B30" t="str">
            <v>Baranda en tubo en acero</v>
          </cell>
          <cell r="C30" t="str">
            <v>m</v>
          </cell>
          <cell r="D30">
            <v>676580</v>
          </cell>
        </row>
        <row r="31">
          <cell r="B31" t="str">
            <v>Baranda metálica</v>
          </cell>
          <cell r="C31" t="str">
            <v>m</v>
          </cell>
          <cell r="D31">
            <v>120000</v>
          </cell>
        </row>
        <row r="32">
          <cell r="B32" t="str">
            <v>Baranda metálica, pasamanos en madera</v>
          </cell>
          <cell r="C32" t="str">
            <v>m</v>
          </cell>
          <cell r="D32">
            <v>685171</v>
          </cell>
        </row>
        <row r="33">
          <cell r="B33" t="str">
            <v>Barra antipanico</v>
          </cell>
          <cell r="C33" t="str">
            <v>un</v>
          </cell>
          <cell r="D33">
            <v>455000</v>
          </cell>
        </row>
        <row r="34">
          <cell r="B34" t="str">
            <v>Base granular clase B</v>
          </cell>
          <cell r="C34" t="str">
            <v>m3</v>
          </cell>
          <cell r="D34">
            <v>52030</v>
          </cell>
        </row>
        <row r="35">
          <cell r="B35" t="str">
            <v>Bisagra hidráulica de piso</v>
          </cell>
          <cell r="C35" t="str">
            <v>un</v>
          </cell>
          <cell r="D35">
            <v>421200</v>
          </cell>
        </row>
        <row r="36">
          <cell r="B36" t="str">
            <v>Bloque concreto 10x20x40</v>
          </cell>
          <cell r="C36" t="str">
            <v>un</v>
          </cell>
          <cell r="D36">
            <v>1566</v>
          </cell>
        </row>
        <row r="37">
          <cell r="B37" t="str">
            <v>Bloque concreto 12x20x40</v>
          </cell>
          <cell r="C37" t="str">
            <v>un</v>
          </cell>
          <cell r="D37">
            <v>1600</v>
          </cell>
        </row>
        <row r="38">
          <cell r="B38" t="str">
            <v>Bloque concreto 15x20x40</v>
          </cell>
          <cell r="C38" t="str">
            <v>un</v>
          </cell>
          <cell r="D38">
            <v>1800</v>
          </cell>
        </row>
        <row r="39">
          <cell r="B39" t="str">
            <v>Bloque concreto 20x40x20 cm</v>
          </cell>
          <cell r="C39" t="str">
            <v>un</v>
          </cell>
          <cell r="D39">
            <v>2300</v>
          </cell>
        </row>
        <row r="40">
          <cell r="B40" t="str">
            <v>Bloque de arcilla 9x20x30cm</v>
          </cell>
          <cell r="C40" t="str">
            <v>un</v>
          </cell>
          <cell r="D40">
            <v>700</v>
          </cell>
        </row>
        <row r="41">
          <cell r="B41" t="str">
            <v>Bloque N3</v>
          </cell>
          <cell r="C41" t="str">
            <v>un</v>
          </cell>
          <cell r="D41">
            <v>850</v>
          </cell>
        </row>
        <row r="42">
          <cell r="B42" t="str">
            <v>Bloque No 5</v>
          </cell>
          <cell r="C42" t="str">
            <v>un</v>
          </cell>
          <cell r="D42">
            <v>1700</v>
          </cell>
        </row>
        <row r="43">
          <cell r="B43" t="str">
            <v>Bloque recocido</v>
          </cell>
          <cell r="C43" t="str">
            <v>un</v>
          </cell>
          <cell r="D43">
            <v>400</v>
          </cell>
        </row>
        <row r="44">
          <cell r="B44" t="str">
            <v>Bordillo A-80 (0.35x0.2x0.8m)</v>
          </cell>
          <cell r="C44" t="str">
            <v>un</v>
          </cell>
          <cell r="D44">
            <v>30000</v>
          </cell>
        </row>
        <row r="45">
          <cell r="B45" t="str">
            <v>Canal en lámina galvanizada cal. 18</v>
          </cell>
          <cell r="C45" t="str">
            <v>m2</v>
          </cell>
          <cell r="D45">
            <v>31324</v>
          </cell>
        </row>
        <row r="46">
          <cell r="B46" t="str">
            <v>Canal lamina Cal 26 soporte 3x3x3 cm</v>
          </cell>
          <cell r="C46" t="str">
            <v>m</v>
          </cell>
          <cell r="D46">
            <v>3238</v>
          </cell>
        </row>
        <row r="47">
          <cell r="B47" t="str">
            <v>Caneca de bordes redondeados en lamina de acero inoxidable ref. 9-AA-330</v>
          </cell>
          <cell r="C47" t="str">
            <v>un</v>
          </cell>
          <cell r="D47">
            <v>245140</v>
          </cell>
        </row>
        <row r="48">
          <cell r="B48" t="str">
            <v>Caneca plastica ensamblada redonda de vaivén</v>
          </cell>
          <cell r="C48" t="str">
            <v>un</v>
          </cell>
          <cell r="D48">
            <v>906919</v>
          </cell>
        </row>
        <row r="49">
          <cell r="B49" t="str">
            <v>Catalizador para pintura acrilica alta asepsia</v>
          </cell>
          <cell r="C49" t="str">
            <v>1/4Galon</v>
          </cell>
          <cell r="D49">
            <v>44900</v>
          </cell>
        </row>
        <row r="50">
          <cell r="B50" t="str">
            <v>Cemento</v>
          </cell>
          <cell r="C50" t="str">
            <v xml:space="preserve">kg </v>
          </cell>
          <cell r="D50">
            <v>440</v>
          </cell>
        </row>
        <row r="51">
          <cell r="B51" t="str">
            <v>Cemento blanco</v>
          </cell>
          <cell r="C51" t="str">
            <v>kg</v>
          </cell>
          <cell r="D51">
            <v>1842</v>
          </cell>
        </row>
        <row r="52">
          <cell r="B52" t="str">
            <v xml:space="preserve">Césped tipo bermuda </v>
          </cell>
          <cell r="C52" t="str">
            <v>m2</v>
          </cell>
          <cell r="D52">
            <v>3500</v>
          </cell>
        </row>
        <row r="53">
          <cell r="B53" t="str">
            <v>Concreto 21 Mpa</v>
          </cell>
          <cell r="C53" t="str">
            <v>m3</v>
          </cell>
          <cell r="D53">
            <v>390320</v>
          </cell>
        </row>
        <row r="54">
          <cell r="B54" t="str">
            <v>Concreto 24,5 Mpa</v>
          </cell>
          <cell r="C54" t="str">
            <v>m3</v>
          </cell>
          <cell r="D54">
            <v>398650</v>
          </cell>
        </row>
        <row r="55">
          <cell r="B55" t="str">
            <v>Concreto 28 Mpa</v>
          </cell>
          <cell r="C55" t="str">
            <v>m3</v>
          </cell>
          <cell r="D55">
            <v>421260</v>
          </cell>
        </row>
        <row r="56">
          <cell r="B56" t="str">
            <v>Concreto 35 Mpa</v>
          </cell>
          <cell r="C56" t="str">
            <v>m3</v>
          </cell>
          <cell r="D56">
            <v>435540</v>
          </cell>
        </row>
        <row r="57">
          <cell r="B57" t="str">
            <v>Concreto hidráulico MR=41</v>
          </cell>
          <cell r="C57" t="str">
            <v>m3</v>
          </cell>
          <cell r="D57">
            <v>348482</v>
          </cell>
        </row>
        <row r="58">
          <cell r="B58" t="str">
            <v>Concreto hidráulico MR=43</v>
          </cell>
          <cell r="C58" t="str">
            <v>m3</v>
          </cell>
          <cell r="D58">
            <v>436079</v>
          </cell>
        </row>
        <row r="59">
          <cell r="B59" t="str">
            <v>Concreto mezclado en obra 14 MPa</v>
          </cell>
          <cell r="C59" t="str">
            <v>m3</v>
          </cell>
          <cell r="D59">
            <v>251712</v>
          </cell>
        </row>
        <row r="60">
          <cell r="B60" t="str">
            <v>Concreto mezclado en obra 21 MPa</v>
          </cell>
          <cell r="C60" t="str">
            <v>m3</v>
          </cell>
          <cell r="D60">
            <v>288124</v>
          </cell>
        </row>
        <row r="61">
          <cell r="B61" t="str">
            <v>Concreto mezclado en obra 28 MPa</v>
          </cell>
          <cell r="C61" t="str">
            <v>m3</v>
          </cell>
          <cell r="D61">
            <v>337860</v>
          </cell>
        </row>
        <row r="62">
          <cell r="B62" t="str">
            <v>Concreto tremie 21 MPa</v>
          </cell>
          <cell r="C62" t="str">
            <v>m3</v>
          </cell>
          <cell r="D62">
            <v>414394</v>
          </cell>
        </row>
        <row r="63">
          <cell r="B63" t="str">
            <v>Desencofrante</v>
          </cell>
          <cell r="C63" t="str">
            <v>kg</v>
          </cell>
          <cell r="D63">
            <v>13685</v>
          </cell>
        </row>
        <row r="64">
          <cell r="B64" t="str">
            <v>Dilatación de aluminio</v>
          </cell>
          <cell r="C64" t="str">
            <v>m</v>
          </cell>
          <cell r="D64">
            <v>1950</v>
          </cell>
        </row>
        <row r="65">
          <cell r="B65" t="str">
            <v>Dilatación de plastico</v>
          </cell>
          <cell r="C65" t="str">
            <v>m</v>
          </cell>
          <cell r="D65">
            <v>2700</v>
          </cell>
        </row>
        <row r="66">
          <cell r="B66" t="str">
            <v>Dilatación en bronce</v>
          </cell>
          <cell r="C66" t="str">
            <v>m</v>
          </cell>
          <cell r="D66">
            <v>10300</v>
          </cell>
        </row>
        <row r="67">
          <cell r="B67" t="str">
            <v>Dispensador de jabón líquido ref. 8-AA-640</v>
          </cell>
          <cell r="C67" t="str">
            <v>un</v>
          </cell>
          <cell r="D67">
            <v>211820</v>
          </cell>
        </row>
        <row r="68">
          <cell r="B68" t="str">
            <v>Dispensador de toallas de papel en acero inoxidable</v>
          </cell>
          <cell r="C68" t="str">
            <v>un</v>
          </cell>
          <cell r="D68">
            <v>178500</v>
          </cell>
        </row>
        <row r="69">
          <cell r="B69" t="str">
            <v>Elementos de aseo</v>
          </cell>
          <cell r="C69" t="str">
            <v>un</v>
          </cell>
          <cell r="D69">
            <v>1500</v>
          </cell>
        </row>
        <row r="70">
          <cell r="B70" t="str">
            <v>Endurecedor silíceo</v>
          </cell>
          <cell r="C70" t="str">
            <v>kg</v>
          </cell>
          <cell r="D70">
            <v>3361</v>
          </cell>
        </row>
        <row r="71">
          <cell r="B71" t="str">
            <v>Estaca de madera</v>
          </cell>
          <cell r="C71" t="str">
            <v>un</v>
          </cell>
          <cell r="D71">
            <v>1000</v>
          </cell>
        </row>
        <row r="72">
          <cell r="B72" t="str">
            <v>Eucosealer 350</v>
          </cell>
          <cell r="C72" t="str">
            <v>kg</v>
          </cell>
          <cell r="D72">
            <v>33520</v>
          </cell>
        </row>
        <row r="73">
          <cell r="B73" t="str">
            <v>Fluxometro de palanca para orinal.</v>
          </cell>
          <cell r="C73" t="str">
            <v>un</v>
          </cell>
          <cell r="D73">
            <v>452200</v>
          </cell>
        </row>
        <row r="74">
          <cell r="B74" t="str">
            <v>Fluxometro de palanca para sanitario.</v>
          </cell>
          <cell r="C74" t="str">
            <v>un</v>
          </cell>
          <cell r="D74">
            <v>481950</v>
          </cell>
        </row>
        <row r="75">
          <cell r="B75" t="str">
            <v>Geotextil no tejido 1600</v>
          </cell>
          <cell r="C75" t="str">
            <v>m2</v>
          </cell>
          <cell r="D75">
            <v>3631</v>
          </cell>
        </row>
        <row r="76">
          <cell r="B76" t="str">
            <v>Geotextil no tejido 1800</v>
          </cell>
          <cell r="C76" t="str">
            <v>m2</v>
          </cell>
          <cell r="D76">
            <v>4568</v>
          </cell>
        </row>
        <row r="77">
          <cell r="B77" t="str">
            <v>Geotextil No tejido 4000</v>
          </cell>
          <cell r="C77" t="str">
            <v>m2</v>
          </cell>
          <cell r="D77">
            <v>9219</v>
          </cell>
        </row>
        <row r="78">
          <cell r="B78" t="str">
            <v>Gramoquin</v>
          </cell>
          <cell r="C78" t="str">
            <v>m2</v>
          </cell>
          <cell r="D78">
            <v>53464</v>
          </cell>
        </row>
        <row r="79">
          <cell r="B79" t="str">
            <v>Granito de marmol</v>
          </cell>
          <cell r="C79" t="str">
            <v>kg</v>
          </cell>
          <cell r="D79">
            <v>812</v>
          </cell>
        </row>
        <row r="80">
          <cell r="B80" t="str">
            <v>Gravilla</v>
          </cell>
          <cell r="C80" t="str">
            <v>m3</v>
          </cell>
          <cell r="D80">
            <v>69600</v>
          </cell>
        </row>
        <row r="81">
          <cell r="B81" t="str">
            <v>Gravilla 1/2"</v>
          </cell>
          <cell r="C81" t="str">
            <v>m3</v>
          </cell>
          <cell r="D81">
            <v>81400</v>
          </cell>
        </row>
        <row r="82">
          <cell r="B82" t="str">
            <v>Gravilla 3/4" - 1"</v>
          </cell>
          <cell r="C82" t="str">
            <v>m3</v>
          </cell>
          <cell r="D82">
            <v>57600</v>
          </cell>
        </row>
        <row r="83">
          <cell r="B83" t="str">
            <v>Grifería para lavamanos tipo push</v>
          </cell>
          <cell r="C83" t="str">
            <v>un</v>
          </cell>
          <cell r="D83">
            <v>157080</v>
          </cell>
        </row>
        <row r="84">
          <cell r="B84" t="str">
            <v>Grouting (concreto fluido)</v>
          </cell>
          <cell r="C84" t="str">
            <v>m3</v>
          </cell>
          <cell r="D84">
            <v>453000</v>
          </cell>
        </row>
        <row r="85">
          <cell r="B85" t="str">
            <v>Lamina fibrocemento 10mm</v>
          </cell>
          <cell r="C85" t="str">
            <v>m2</v>
          </cell>
          <cell r="D85">
            <v>22138</v>
          </cell>
        </row>
        <row r="86">
          <cell r="B86" t="str">
            <v>Lamina fibrocemento 6mm</v>
          </cell>
          <cell r="C86" t="str">
            <v>m2</v>
          </cell>
          <cell r="D86">
            <v>13440</v>
          </cell>
        </row>
        <row r="87">
          <cell r="B87" t="str">
            <v xml:space="preserve">Lamina steel deck cal. 22 </v>
          </cell>
          <cell r="C87" t="str">
            <v>m2</v>
          </cell>
          <cell r="D87">
            <v>32482</v>
          </cell>
        </row>
        <row r="88">
          <cell r="B88" t="str">
            <v>Lienza de Nylón</v>
          </cell>
          <cell r="C88" t="str">
            <v xml:space="preserve">Rollo </v>
          </cell>
          <cell r="D88">
            <v>35000</v>
          </cell>
        </row>
        <row r="89">
          <cell r="B89" t="str">
            <v>Lija</v>
          </cell>
          <cell r="C89" t="str">
            <v>un</v>
          </cell>
          <cell r="D89">
            <v>1300</v>
          </cell>
        </row>
        <row r="90">
          <cell r="B90" t="str">
            <v>Lija 120 - 150</v>
          </cell>
          <cell r="C90" t="str">
            <v>un</v>
          </cell>
          <cell r="D90">
            <v>1100</v>
          </cell>
        </row>
        <row r="91">
          <cell r="B91" t="str">
            <v>Listón en amargo de 2x4"</v>
          </cell>
          <cell r="C91" t="str">
            <v>un</v>
          </cell>
          <cell r="D91">
            <v>29900</v>
          </cell>
        </row>
        <row r="92">
          <cell r="B92" t="str">
            <v>Madera 3cmx10cmx3m</v>
          </cell>
          <cell r="C92" t="str">
            <v>un</v>
          </cell>
          <cell r="D92">
            <v>7140</v>
          </cell>
        </row>
        <row r="93">
          <cell r="B93" t="str">
            <v>Madera 3cmx15cmx3m</v>
          </cell>
          <cell r="C93" t="str">
            <v>un</v>
          </cell>
          <cell r="D93">
            <v>10710</v>
          </cell>
        </row>
        <row r="94">
          <cell r="B94" t="str">
            <v>Madera 3cmx20cmx3m</v>
          </cell>
          <cell r="C94" t="str">
            <v>un</v>
          </cell>
          <cell r="D94">
            <v>14280</v>
          </cell>
        </row>
        <row r="95">
          <cell r="B95" t="str">
            <v>Madera 3cmx25cmx3m</v>
          </cell>
          <cell r="C95" t="str">
            <v>un</v>
          </cell>
          <cell r="D95">
            <v>16660</v>
          </cell>
        </row>
        <row r="96">
          <cell r="B96" t="str">
            <v>Madera 3cmx30cmx3m</v>
          </cell>
          <cell r="C96" t="str">
            <v>un</v>
          </cell>
          <cell r="D96">
            <v>20230</v>
          </cell>
        </row>
        <row r="97">
          <cell r="B97" t="str">
            <v>Malla con vena</v>
          </cell>
          <cell r="C97" t="str">
            <v>m2</v>
          </cell>
          <cell r="D97">
            <v>4084</v>
          </cell>
        </row>
        <row r="98">
          <cell r="B98" t="str">
            <v>Malla electrosoldada estandar</v>
          </cell>
          <cell r="C98" t="str">
            <v>kg</v>
          </cell>
          <cell r="D98">
            <v>3034.5</v>
          </cell>
        </row>
        <row r="99">
          <cell r="B99" t="str">
            <v>Marmolina</v>
          </cell>
          <cell r="C99" t="str">
            <v>kg</v>
          </cell>
          <cell r="D99">
            <v>310</v>
          </cell>
        </row>
        <row r="100">
          <cell r="B100" t="str">
            <v>Masilla</v>
          </cell>
          <cell r="C100" t="str">
            <v>cuñete</v>
          </cell>
          <cell r="D100">
            <v>48720</v>
          </cell>
        </row>
        <row r="101">
          <cell r="B101" t="str">
            <v>Material tipo afirmado</v>
          </cell>
          <cell r="C101" t="str">
            <v>m3</v>
          </cell>
          <cell r="D101">
            <v>34635</v>
          </cell>
        </row>
        <row r="102">
          <cell r="B102" t="str">
            <v>MDC-1</v>
          </cell>
          <cell r="C102" t="str">
            <v>m3</v>
          </cell>
          <cell r="D102">
            <v>374850</v>
          </cell>
        </row>
        <row r="103">
          <cell r="B103" t="str">
            <v>MDC-3</v>
          </cell>
          <cell r="C103" t="str">
            <v>m3</v>
          </cell>
          <cell r="D103">
            <v>437320</v>
          </cell>
        </row>
        <row r="104">
          <cell r="B104" t="str">
            <v>Meson con poseta en acero inoxidable</v>
          </cell>
          <cell r="C104" t="str">
            <v>ud</v>
          </cell>
          <cell r="D104">
            <v>408900</v>
          </cell>
        </row>
        <row r="105">
          <cell r="B105" t="str">
            <v>Meson en acero inoxidable</v>
          </cell>
          <cell r="C105" t="str">
            <v>un</v>
          </cell>
          <cell r="D105">
            <v>399900</v>
          </cell>
        </row>
        <row r="106">
          <cell r="B106" t="str">
            <v>Meson en granito negro San Gabriel</v>
          </cell>
          <cell r="C106" t="str">
            <v>m</v>
          </cell>
          <cell r="D106">
            <v>610000</v>
          </cell>
        </row>
        <row r="107">
          <cell r="B107" t="str">
            <v>Microfibra de nylon fiberstrand</v>
          </cell>
          <cell r="C107" t="str">
            <v>kg</v>
          </cell>
          <cell r="D107">
            <v>36510</v>
          </cell>
        </row>
        <row r="108">
          <cell r="B108" t="str">
            <v>Mineral rojo</v>
          </cell>
          <cell r="C108" t="str">
            <v>kg</v>
          </cell>
          <cell r="D108">
            <v>6000</v>
          </cell>
        </row>
        <row r="109">
          <cell r="B109" t="str">
            <v>Mortero 1:3</v>
          </cell>
          <cell r="C109" t="str">
            <v>m3</v>
          </cell>
          <cell r="D109">
            <v>283639</v>
          </cell>
        </row>
        <row r="110">
          <cell r="B110" t="str">
            <v>Mortero 1:3 impermeabilizado</v>
          </cell>
          <cell r="C110" t="str">
            <v>m3</v>
          </cell>
          <cell r="D110">
            <v>378099</v>
          </cell>
        </row>
        <row r="111">
          <cell r="B111" t="str">
            <v>Mortero 1:4</v>
          </cell>
          <cell r="C111" t="str">
            <v>m3</v>
          </cell>
          <cell r="D111">
            <v>240115</v>
          </cell>
        </row>
        <row r="112">
          <cell r="B112" t="str">
            <v>Mortero 1:4 impermeabilizado</v>
          </cell>
          <cell r="C112" t="str">
            <v>m3</v>
          </cell>
          <cell r="D112">
            <v>313423</v>
          </cell>
        </row>
        <row r="113">
          <cell r="B113" t="str">
            <v>Orinal gotta entrada posterior ref.043101001</v>
          </cell>
          <cell r="C113" t="str">
            <v>un</v>
          </cell>
          <cell r="D113">
            <v>625900</v>
          </cell>
        </row>
        <row r="114">
          <cell r="B114" t="str">
            <v>Pasamanos en acero tubular</v>
          </cell>
          <cell r="C114" t="str">
            <v>m</v>
          </cell>
          <cell r="D114">
            <v>279659</v>
          </cell>
        </row>
        <row r="115">
          <cell r="B115" t="str">
            <v>Pegacor blanco</v>
          </cell>
          <cell r="C115" t="str">
            <v>kg</v>
          </cell>
          <cell r="D115">
            <v>1570</v>
          </cell>
        </row>
        <row r="116">
          <cell r="B116" t="str">
            <v>Percha sencilla en acero inoxidable</v>
          </cell>
          <cell r="C116" t="str">
            <v>un</v>
          </cell>
          <cell r="D116">
            <v>45220</v>
          </cell>
        </row>
        <row r="117">
          <cell r="B117" t="str">
            <v>Perfil en Omega lamina Cal 26 de 4x2x1cm</v>
          </cell>
          <cell r="C117" t="str">
            <v>m</v>
          </cell>
          <cell r="D117">
            <v>3712</v>
          </cell>
        </row>
        <row r="118">
          <cell r="B118" t="str">
            <v xml:space="preserve">Perfiles Tubulares </v>
          </cell>
          <cell r="C118" t="str">
            <v>m2</v>
          </cell>
          <cell r="D118">
            <v>141520</v>
          </cell>
        </row>
        <row r="119">
          <cell r="B119" t="str">
            <v>Pintura acrilica alta asepsia</v>
          </cell>
          <cell r="C119" t="str">
            <v>galon</v>
          </cell>
          <cell r="D119">
            <v>79900</v>
          </cell>
        </row>
        <row r="120">
          <cell r="B120" t="str">
            <v>Pintura acriltex 1a</v>
          </cell>
          <cell r="C120" t="str">
            <v>gln</v>
          </cell>
          <cell r="D120">
            <v>58900</v>
          </cell>
        </row>
        <row r="121">
          <cell r="B121" t="str">
            <v>Pintura epoxica</v>
          </cell>
          <cell r="C121" t="str">
            <v>gln</v>
          </cell>
          <cell r="D121">
            <v>109900</v>
          </cell>
        </row>
        <row r="122">
          <cell r="B122" t="str">
            <v>Pintura koraza 10</v>
          </cell>
          <cell r="C122" t="str">
            <v>gln</v>
          </cell>
          <cell r="D122">
            <v>79900</v>
          </cell>
        </row>
        <row r="123">
          <cell r="B123" t="str">
            <v>Pintura para piso trafico pesado</v>
          </cell>
          <cell r="C123" t="str">
            <v>gln</v>
          </cell>
          <cell r="D123">
            <v>79900</v>
          </cell>
        </row>
        <row r="124">
          <cell r="B124" t="str">
            <v>Pintura vinilica tipo 2</v>
          </cell>
          <cell r="C124" t="str">
            <v>gln</v>
          </cell>
          <cell r="D124">
            <v>51380</v>
          </cell>
        </row>
        <row r="125">
          <cell r="B125" t="str">
            <v xml:space="preserve">Plaqueta de 60x60x4cm con acabado escobeado </v>
          </cell>
          <cell r="C125" t="str">
            <v>m2</v>
          </cell>
          <cell r="D125">
            <v>154602</v>
          </cell>
        </row>
        <row r="126">
          <cell r="B126" t="str">
            <v xml:space="preserve">Poceta esferica en acero inoxidable, desagüe y sifon </v>
          </cell>
          <cell r="C126" t="str">
            <v>un</v>
          </cell>
          <cell r="D126">
            <v>126904</v>
          </cell>
        </row>
        <row r="127">
          <cell r="B127" t="str">
            <v>Protector para papel higiénico ref.8-AA-845</v>
          </cell>
          <cell r="C127" t="str">
            <v>un</v>
          </cell>
          <cell r="D127">
            <v>145180</v>
          </cell>
        </row>
        <row r="128">
          <cell r="B128" t="str">
            <v>Puntilla de 1 a 6"</v>
          </cell>
          <cell r="C128" t="str">
            <v>kg</v>
          </cell>
          <cell r="D128">
            <v>4700</v>
          </cell>
        </row>
        <row r="129">
          <cell r="B129" t="str">
            <v>Recubrimiento en lámina de acero corten e =3mm</v>
          </cell>
          <cell r="C129" t="str">
            <v>m2</v>
          </cell>
          <cell r="D129">
            <v>250741</v>
          </cell>
        </row>
        <row r="130">
          <cell r="B130" t="str">
            <v>Rejilla contemporanea anticucarachas ref. 937210001</v>
          </cell>
          <cell r="C130" t="str">
            <v>un</v>
          </cell>
          <cell r="D130">
            <v>26600</v>
          </cell>
        </row>
        <row r="131">
          <cell r="B131" t="str">
            <v>Sika 1</v>
          </cell>
          <cell r="C131" t="str">
            <v>kg</v>
          </cell>
          <cell r="D131">
            <v>6997</v>
          </cell>
        </row>
        <row r="132">
          <cell r="B132" t="str">
            <v>Sikagrout-200</v>
          </cell>
          <cell r="C132" t="str">
            <v>kg</v>
          </cell>
          <cell r="D132">
            <v>3811</v>
          </cell>
        </row>
        <row r="133">
          <cell r="B133" t="str">
            <v>Sistema de instalación manguera entrada posterior ref. 703010001</v>
          </cell>
          <cell r="C133" t="str">
            <v>un</v>
          </cell>
          <cell r="D133">
            <v>210900</v>
          </cell>
        </row>
        <row r="134">
          <cell r="B134" t="str">
            <v>Soporte taza erie con brida sanitaria ref.798080001</v>
          </cell>
          <cell r="C134" t="str">
            <v>un</v>
          </cell>
          <cell r="D134">
            <v>480641</v>
          </cell>
        </row>
        <row r="135">
          <cell r="B135" t="str">
            <v>Subbase granular clase A</v>
          </cell>
          <cell r="C135" t="str">
            <v>m3</v>
          </cell>
          <cell r="D135">
            <v>36180</v>
          </cell>
        </row>
        <row r="136">
          <cell r="B136" t="str">
            <v>Subbase granular clase B</v>
          </cell>
          <cell r="C136" t="str">
            <v>m3</v>
          </cell>
          <cell r="D136">
            <v>35180</v>
          </cell>
        </row>
        <row r="137">
          <cell r="B137" t="str">
            <v>Subbase granular clase C</v>
          </cell>
          <cell r="C137" t="str">
            <v>m3</v>
          </cell>
          <cell r="D137">
            <v>34180</v>
          </cell>
        </row>
        <row r="138">
          <cell r="B138" t="str">
            <v>Suministro  e instalación de espejo 4mm sin biselar</v>
          </cell>
          <cell r="C138" t="str">
            <v>m2</v>
          </cell>
          <cell r="D138">
            <v>70964</v>
          </cell>
        </row>
        <row r="139">
          <cell r="B139" t="str">
            <v xml:space="preserve">Suministro de impermeabilizante en caucho natural </v>
          </cell>
          <cell r="C139" t="str">
            <v>m2</v>
          </cell>
          <cell r="D139">
            <v>55660</v>
          </cell>
        </row>
        <row r="140">
          <cell r="B140" t="str">
            <v>Suministro e instalación cielo raso Cell tipo Hunter Douglas</v>
          </cell>
          <cell r="C140" t="str">
            <v>m2</v>
          </cell>
          <cell r="D140">
            <v>499800</v>
          </cell>
        </row>
        <row r="141">
          <cell r="B141" t="str">
            <v>Suministro e instalación cubierta en paneles C Rock Acustic</v>
          </cell>
          <cell r="C141" t="str">
            <v>m2</v>
          </cell>
          <cell r="D141">
            <v>198746</v>
          </cell>
        </row>
        <row r="142">
          <cell r="B142" t="str">
            <v>Suministro e instalación de cubierta brown roof</v>
          </cell>
          <cell r="C142" t="str">
            <v>m2</v>
          </cell>
          <cell r="D142">
            <v>372066</v>
          </cell>
        </row>
        <row r="143">
          <cell r="B143" t="str">
            <v>Suministro e instalacion de deck en madera teka</v>
          </cell>
          <cell r="C143" t="str">
            <v>m2</v>
          </cell>
          <cell r="D143">
            <v>208131</v>
          </cell>
        </row>
        <row r="144">
          <cell r="B144" t="str">
            <v>Suministro e instalación de división en acero inoxidable baño</v>
          </cell>
          <cell r="C144" t="str">
            <v>m2</v>
          </cell>
          <cell r="D144">
            <v>978557</v>
          </cell>
        </row>
        <row r="145">
          <cell r="B145" t="str">
            <v>Suministro e instalación de division orinal en vidrio templado</v>
          </cell>
          <cell r="C145" t="str">
            <v>un</v>
          </cell>
          <cell r="D145">
            <v>438761</v>
          </cell>
        </row>
        <row r="146">
          <cell r="B146" t="str">
            <v>Suministro e instalación de espejo 4mm sin biselar inclinado</v>
          </cell>
          <cell r="C146" t="str">
            <v>m2</v>
          </cell>
          <cell r="D146">
            <v>74513</v>
          </cell>
        </row>
        <row r="147">
          <cell r="B147" t="str">
            <v>Suministro e instalación de marquesina</v>
          </cell>
          <cell r="C147" t="str">
            <v>m2</v>
          </cell>
          <cell r="D147">
            <v>452200</v>
          </cell>
        </row>
        <row r="148">
          <cell r="B148" t="str">
            <v>Suministro e instalación de mesón en granito gris guayana</v>
          </cell>
          <cell r="C148" t="str">
            <v>m2</v>
          </cell>
          <cell r="D148">
            <v>320000</v>
          </cell>
        </row>
        <row r="149">
          <cell r="B149" t="str">
            <v>Suministro e instalación de piso en caucho reciclado</v>
          </cell>
          <cell r="C149" t="str">
            <v>m2</v>
          </cell>
          <cell r="D149">
            <v>176818</v>
          </cell>
        </row>
        <row r="150">
          <cell r="B150" t="str">
            <v>Suministro e instalación de piso inspeccionable</v>
          </cell>
          <cell r="C150" t="str">
            <v>m2</v>
          </cell>
          <cell r="D150">
            <v>187385</v>
          </cell>
        </row>
        <row r="151">
          <cell r="B151" t="str">
            <v>Suministro e instalación de quiebrasol en aluminio anodizado h=13cm</v>
          </cell>
          <cell r="C151" t="str">
            <v>m2</v>
          </cell>
          <cell r="D151">
            <v>265000</v>
          </cell>
        </row>
        <row r="152">
          <cell r="B152" t="str">
            <v>Suministro e instalación de ventanería</v>
          </cell>
          <cell r="C152" t="str">
            <v>m2</v>
          </cell>
          <cell r="D152">
            <v>850862</v>
          </cell>
        </row>
        <row r="153">
          <cell r="B153" t="str">
            <v>Suministro e instalación páneles tipo C-Rock Acustic o equivalente</v>
          </cell>
          <cell r="C153" t="str">
            <v>m2</v>
          </cell>
          <cell r="D153">
            <v>198746</v>
          </cell>
        </row>
        <row r="154">
          <cell r="B154" t="str">
            <v>Suministro e instalación puerta cortafuegos</v>
          </cell>
          <cell r="C154" t="str">
            <v>m2</v>
          </cell>
          <cell r="D154">
            <v>703181</v>
          </cell>
        </row>
        <row r="155">
          <cell r="B155" t="str">
            <v>Soldadura 6011X1/8</v>
          </cell>
          <cell r="C155" t="str">
            <v>kg</v>
          </cell>
          <cell r="D155">
            <v>9399</v>
          </cell>
        </row>
        <row r="156">
          <cell r="B156" t="str">
            <v>Suministro, transporte e instalación de estructura metálica</v>
          </cell>
          <cell r="C156" t="str">
            <v>kg</v>
          </cell>
          <cell r="D156">
            <v>7200</v>
          </cell>
        </row>
        <row r="157">
          <cell r="B157" t="str">
            <v xml:space="preserve">Sustrato tierra negra fertil abonada </v>
          </cell>
          <cell r="C157" t="str">
            <v>m3</v>
          </cell>
          <cell r="D157">
            <v>44000</v>
          </cell>
        </row>
        <row r="158">
          <cell r="B158" t="str">
            <v>Tapa registro en acero inoxidable 20x20 cm</v>
          </cell>
          <cell r="C158" t="str">
            <v>un</v>
          </cell>
          <cell r="D158">
            <v>27900</v>
          </cell>
        </row>
        <row r="159">
          <cell r="B159" t="str">
            <v>Taza erie ep ref. 031111001</v>
          </cell>
          <cell r="C159" t="str">
            <v>un</v>
          </cell>
          <cell r="D159">
            <v>683900</v>
          </cell>
        </row>
        <row r="160">
          <cell r="B160" t="str">
            <v>Teja de zinc para cerramiento H=2.4m</v>
          </cell>
          <cell r="C160" t="str">
            <v>un</v>
          </cell>
          <cell r="D160">
            <v>16100</v>
          </cell>
        </row>
        <row r="161">
          <cell r="B161" t="str">
            <v>Tierra negra abonada</v>
          </cell>
          <cell r="C161" t="str">
            <v>m3</v>
          </cell>
          <cell r="D161">
            <v>20000</v>
          </cell>
        </row>
        <row r="162">
          <cell r="B162" t="str">
            <v>Topellantas en concreto 50x45x13cm</v>
          </cell>
          <cell r="C162" t="str">
            <v>un</v>
          </cell>
          <cell r="D162">
            <v>18900</v>
          </cell>
        </row>
        <row r="163">
          <cell r="B163" t="str">
            <v>Tornillo Grabe de 1/2</v>
          </cell>
          <cell r="C163" t="str">
            <v>un</v>
          </cell>
          <cell r="D163">
            <v>45</v>
          </cell>
        </row>
        <row r="164">
          <cell r="B164" t="str">
            <v xml:space="preserve">Trampa lavamanos tipo botella </v>
          </cell>
          <cell r="C164" t="str">
            <v>un</v>
          </cell>
          <cell r="D164">
            <v>61900</v>
          </cell>
        </row>
        <row r="165">
          <cell r="B165" t="str">
            <v>Transporte</v>
          </cell>
          <cell r="C165" t="str">
            <v>km-m3</v>
          </cell>
          <cell r="D165">
            <v>1100</v>
          </cell>
        </row>
        <row r="166">
          <cell r="B166" t="str">
            <v>Transporte %</v>
          </cell>
          <cell r="C166" t="str">
            <v>%</v>
          </cell>
          <cell r="D166">
            <v>0</v>
          </cell>
        </row>
        <row r="167">
          <cell r="B167" t="str">
            <v>Vara de madera rolliza L=6m</v>
          </cell>
          <cell r="C167" t="str">
            <v>un</v>
          </cell>
          <cell r="D167">
            <v>18000</v>
          </cell>
        </row>
        <row r="168">
          <cell r="B168" t="str">
            <v>Win en aluminio 3m</v>
          </cell>
          <cell r="C168" t="str">
            <v>un</v>
          </cell>
          <cell r="D168">
            <v>4900</v>
          </cell>
        </row>
        <row r="169">
          <cell r="B169" t="str">
            <v>Xypex</v>
          </cell>
          <cell r="C169" t="str">
            <v>gln</v>
          </cell>
          <cell r="D169">
            <v>107565</v>
          </cell>
        </row>
        <row r="170">
          <cell r="B170" t="str">
            <v>Bordillo A-10</v>
          </cell>
          <cell r="C170" t="str">
            <v>un</v>
          </cell>
          <cell r="D170">
            <v>42200</v>
          </cell>
        </row>
        <row r="171">
          <cell r="B171" t="str">
            <v>Adoquin hexagonal colores</v>
          </cell>
          <cell r="C171" t="str">
            <v>un</v>
          </cell>
          <cell r="D171">
            <v>2264</v>
          </cell>
        </row>
        <row r="172">
          <cell r="B172" t="str">
            <v>Losetas A55 y A56</v>
          </cell>
          <cell r="C172" t="str">
            <v>un</v>
          </cell>
          <cell r="D172">
            <v>6850</v>
          </cell>
        </row>
        <row r="173">
          <cell r="B173" t="str">
            <v>Cañuela A-125</v>
          </cell>
          <cell r="C173" t="str">
            <v>un</v>
          </cell>
          <cell r="D173">
            <v>34800</v>
          </cell>
        </row>
        <row r="174">
          <cell r="B174" t="str">
            <v>Sika floor curehard 24</v>
          </cell>
          <cell r="C174" t="str">
            <v>kg</v>
          </cell>
          <cell r="D174">
            <v>4225</v>
          </cell>
        </row>
        <row r="175">
          <cell r="B175" t="str">
            <v>Mosaico ceramico</v>
          </cell>
          <cell r="C175" t="str">
            <v>un</v>
          </cell>
          <cell r="D175">
            <v>34171</v>
          </cell>
        </row>
        <row r="176">
          <cell r="B176" t="str">
            <v>Secador de sobreponer a la pared</v>
          </cell>
          <cell r="C176" t="str">
            <v>un</v>
          </cell>
          <cell r="D176">
            <v>1023400</v>
          </cell>
        </row>
        <row r="177">
          <cell r="B177" t="str">
            <v>Porcelanato esmaltado hexagonal six off white</v>
          </cell>
          <cell r="C177" t="str">
            <v>m2</v>
          </cell>
          <cell r="D177">
            <v>34171</v>
          </cell>
        </row>
        <row r="178">
          <cell r="B178" t="str">
            <v>Barniz extra protección pintuco</v>
          </cell>
          <cell r="C178" t="str">
            <v>gln</v>
          </cell>
          <cell r="D178">
            <v>46900</v>
          </cell>
        </row>
        <row r="179">
          <cell r="B179" t="str">
            <v>Adoquin A-26</v>
          </cell>
          <cell r="C179" t="str">
            <v>un</v>
          </cell>
          <cell r="D179">
            <v>778</v>
          </cell>
        </row>
        <row r="180">
          <cell r="B180" t="str">
            <v>Sardinel A-76</v>
          </cell>
          <cell r="C180" t="str">
            <v>un</v>
          </cell>
          <cell r="D180">
            <v>11600</v>
          </cell>
        </row>
        <row r="181">
          <cell r="B181" t="str">
            <v>Alcorque</v>
          </cell>
          <cell r="C181" t="str">
            <v>un</v>
          </cell>
          <cell r="D181">
            <v>863720</v>
          </cell>
        </row>
        <row r="182">
          <cell r="B182" t="str">
            <v>Bancas en polipropileno</v>
          </cell>
          <cell r="C182" t="str">
            <v>un</v>
          </cell>
          <cell r="D182">
            <v>925526</v>
          </cell>
        </row>
        <row r="183">
          <cell r="B183" t="str">
            <v>Bolardo metálico</v>
          </cell>
          <cell r="C183" t="str">
            <v>un</v>
          </cell>
          <cell r="D183">
            <v>150000</v>
          </cell>
        </row>
        <row r="184">
          <cell r="B184" t="str">
            <v>Sikaset L</v>
          </cell>
          <cell r="C184" t="str">
            <v>kg</v>
          </cell>
          <cell r="D184">
            <v>6258</v>
          </cell>
        </row>
        <row r="185">
          <cell r="B185" t="str">
            <v>Porcelanato esmaltado hexagonal</v>
          </cell>
          <cell r="C185" t="str">
            <v>m2</v>
          </cell>
          <cell r="D185">
            <v>103740</v>
          </cell>
        </row>
        <row r="186">
          <cell r="B186" t="str">
            <v>Grifería de una sola pieza ref 591350001</v>
          </cell>
          <cell r="C186" t="str">
            <v>un</v>
          </cell>
          <cell r="D186">
            <v>74900</v>
          </cell>
        </row>
        <row r="187">
          <cell r="B187" t="str">
            <v>Lavamanos acuacer con pedestal</v>
          </cell>
          <cell r="C187" t="str">
            <v>un</v>
          </cell>
          <cell r="D187">
            <v>86900</v>
          </cell>
        </row>
        <row r="188">
          <cell r="B188" t="str">
            <v>Ducha monocontrol ref. 7742200001</v>
          </cell>
          <cell r="C188" t="str">
            <v>un</v>
          </cell>
          <cell r="D188">
            <v>246200</v>
          </cell>
        </row>
        <row r="189">
          <cell r="B189" t="str">
            <v>Barra de seguridad de pared a piso</v>
          </cell>
          <cell r="C189" t="str">
            <v>un</v>
          </cell>
          <cell r="D189">
            <v>235620</v>
          </cell>
        </row>
        <row r="190">
          <cell r="B190" t="str">
            <v>Barra de seguridad recta</v>
          </cell>
          <cell r="C190" t="str">
            <v>un</v>
          </cell>
          <cell r="D190">
            <v>103530</v>
          </cell>
        </row>
        <row r="191">
          <cell r="B191" t="str">
            <v>Malla expandida int-15 round vena 8 cold rolled cal.18</v>
          </cell>
          <cell r="C191" t="str">
            <v>m2</v>
          </cell>
          <cell r="D191">
            <v>27132</v>
          </cell>
        </row>
        <row r="192">
          <cell r="B192" t="str">
            <v>Pintura electrostatica</v>
          </cell>
          <cell r="C192" t="str">
            <v>gln</v>
          </cell>
          <cell r="D192">
            <v>86900</v>
          </cell>
        </row>
        <row r="193">
          <cell r="B193" t="str">
            <v>Perfil de estructura de soporte</v>
          </cell>
          <cell r="C193" t="str">
            <v>m</v>
          </cell>
          <cell r="D193">
            <v>26317</v>
          </cell>
        </row>
        <row r="194">
          <cell r="B194" t="str">
            <v>Bancas en madera</v>
          </cell>
          <cell r="C194" t="str">
            <v>un</v>
          </cell>
          <cell r="D194">
            <v>650000</v>
          </cell>
        </row>
        <row r="195">
          <cell r="B195">
            <v>0</v>
          </cell>
          <cell r="C195">
            <v>0</v>
          </cell>
          <cell r="D195">
            <v>0</v>
          </cell>
        </row>
      </sheetData>
      <sheetData sheetId="6"/>
      <sheetData sheetId="7">
        <row r="9">
          <cell r="L9" t="str">
            <v>Cuadrilla "AA"</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dane.gov.co/" TargetMode="External"/><Relationship Id="rId1" Type="http://schemas.openxmlformats.org/officeDocument/2006/relationships/hyperlink" Target="http://www.dane.gov.co/files/investigaciones/fichas/IPC.pdf" TargetMode="External"/><Relationship Id="rId4"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hyperlink" Target="../../../../../../Victor%20Rojas/AppData/Roaming/Downloads/document.legis%3ffn=content&amp;amp;docid=legcol&amp;amp;bookmark=bf1887dfd3816a94e05bd0071df8c2e6284nf9&amp;amp;viewid=STD-PC" TargetMode="External"/><Relationship Id="rId3" Type="http://schemas.openxmlformats.org/officeDocument/2006/relationships/hyperlink" Target="../../../../../../Victor%20Rojas/AppData/Roaming/Downloads/document.legis%3ffn=content&amp;amp;docid=legcol&amp;amp;bookmark=bf191eff7ea6cf740b888e36e65fb3384c2nf9&amp;amp;viewid=STD-PC" TargetMode="External"/><Relationship Id="rId7" Type="http://schemas.openxmlformats.org/officeDocument/2006/relationships/hyperlink" Target="../../../../../../Victor%20Rojas/AppData/Roaming/Downloads/document.legis%3ffn=content&amp;amp;docid=legcol&amp;amp;bookmark=bf191eff7ea6cf740b888e36e65fb3384c2nf9&amp;amp;viewid=STD-PC" TargetMode="External"/><Relationship Id="rId2" Type="http://schemas.openxmlformats.org/officeDocument/2006/relationships/hyperlink" Target="../../../../../../Victor%20Rojas/AppData/Roaming/Downloads/document.legis%3ffn=content&amp;amp;docid=legcol&amp;amp;bookmark=bf191eff7ea6cf740b888e36e65fb3384c2nf9&amp;amp;viewid=STD-PC" TargetMode="External"/><Relationship Id="rId1" Type="http://schemas.openxmlformats.org/officeDocument/2006/relationships/hyperlink" Target="../../../../../../Victor%20Rojas/AppData/Roaming/Downloads/document.legis%3ffn=content&amp;amp;docid=legcol&amp;amp;bookmark=bf191eff7ea6cf740b888e36e65fb3384c2nf9&amp;amp;viewid=STD-PC" TargetMode="External"/><Relationship Id="rId6" Type="http://schemas.openxmlformats.org/officeDocument/2006/relationships/hyperlink" Target="../../../../../../Victor%20Rojas/AppData/Roaming/Downloads/document.legis%3ffn=content&amp;amp;docid=legcol&amp;amp;bookmark=bf191eff7ea6cf740b888e36e65fb3384c2nf9&amp;amp;viewid=STD-PC" TargetMode="External"/><Relationship Id="rId11" Type="http://schemas.openxmlformats.org/officeDocument/2006/relationships/drawing" Target="../drawings/drawing12.xml"/><Relationship Id="rId5" Type="http://schemas.openxmlformats.org/officeDocument/2006/relationships/hyperlink" Target="../../../../../../Victor%20Rojas/AppData/Roaming/Downloads/document.legis%3ffn=content&amp;amp;docid=legcol&amp;amp;bookmark=bf191eff7ea6cf740b888e36e65fb3384c2nf9&amp;amp;viewid=STD-PC" TargetMode="External"/><Relationship Id="rId10" Type="http://schemas.openxmlformats.org/officeDocument/2006/relationships/printerSettings" Target="../printerSettings/printerSettings13.bin"/><Relationship Id="rId4" Type="http://schemas.openxmlformats.org/officeDocument/2006/relationships/hyperlink" Target="../../../../../../Victor%20Rojas/AppData/Roaming/Downloads/document.legis%3ffn=content&amp;amp;docid=legcol&amp;amp;bookmark=bf191eff7ea6cf740b888e36e65fb3384c2nf9&amp;amp;viewid=STD-PC" TargetMode="External"/><Relationship Id="rId9" Type="http://schemas.openxmlformats.org/officeDocument/2006/relationships/hyperlink" Target="../../../../../../Victor%20Rojas/AppData/Roaming/Downloads/document.legis%3ffn=content&amp;amp;docid=legcol&amp;amp;bookmark=bf191eff7ea6cf740b888e36e65fb3384c2nf9&amp;amp;viewid=STD-PC"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rgb="FF93E808"/>
  </sheetPr>
  <dimension ref="A1:IY273"/>
  <sheetViews>
    <sheetView tabSelected="1" view="pageBreakPreview" topLeftCell="A85" zoomScaleNormal="100" zoomScaleSheetLayoutView="100" workbookViewId="0">
      <selection activeCell="D103" sqref="D103:D105"/>
    </sheetView>
  </sheetViews>
  <sheetFormatPr baseColWidth="10" defaultColWidth="11.42578125" defaultRowHeight="12.75"/>
  <cols>
    <col min="1" max="1" width="8.28515625" style="723" customWidth="1"/>
    <col min="2" max="2" width="49.28515625" style="762" customWidth="1"/>
    <col min="3" max="3" width="6.42578125" style="32" customWidth="1"/>
    <col min="4" max="4" width="9.5703125" style="761" customWidth="1"/>
    <col min="5" max="5" width="15.7109375" style="340" customWidth="1"/>
    <col min="6" max="6" width="16.140625" style="90" customWidth="1"/>
    <col min="7" max="7" width="8.28515625" style="763" customWidth="1"/>
    <col min="8" max="8" width="2.140625" style="775" customWidth="1"/>
    <col min="9" max="12" width="13" style="763" customWidth="1"/>
    <col min="13" max="21" width="2" style="26" customWidth="1"/>
    <col min="22" max="69" width="2.5703125" style="26" customWidth="1"/>
    <col min="70" max="70" width="2.42578125" style="26" customWidth="1"/>
    <col min="71" max="96" width="2.5703125" style="26" customWidth="1"/>
    <col min="97" max="103" width="2.7109375" style="26" customWidth="1"/>
    <col min="104" max="16384" width="11.42578125" style="26"/>
  </cols>
  <sheetData>
    <row r="1" spans="1:104" ht="45.75" customHeight="1">
      <c r="A1" s="799"/>
      <c r="B1" s="1075" t="s">
        <v>3243</v>
      </c>
      <c r="C1" s="1075"/>
      <c r="D1" s="1075"/>
      <c r="E1" s="1075"/>
      <c r="F1" s="1075"/>
      <c r="G1" s="801"/>
      <c r="H1" s="1139"/>
      <c r="J1" s="779"/>
      <c r="K1" s="1079" t="s">
        <v>3309</v>
      </c>
      <c r="L1" s="1079"/>
      <c r="M1" s="1079"/>
      <c r="N1" s="1079"/>
      <c r="O1" s="1079"/>
      <c r="P1" s="1079"/>
      <c r="Q1" s="1079"/>
      <c r="R1" s="1079"/>
      <c r="S1" s="1079"/>
      <c r="T1" s="1079"/>
      <c r="U1" s="1079"/>
      <c r="V1" s="1079"/>
      <c r="W1" s="1079"/>
      <c r="X1" s="1079"/>
      <c r="Y1" s="1079"/>
      <c r="Z1" s="1079"/>
      <c r="AA1" s="1079"/>
      <c r="AB1" s="1079"/>
      <c r="AC1" s="1079"/>
      <c r="AD1" s="1079"/>
      <c r="AE1" s="1079"/>
      <c r="AF1" s="1079"/>
      <c r="AG1" s="1079"/>
      <c r="AH1" s="1079"/>
      <c r="AI1" s="1079"/>
      <c r="AJ1" s="1079"/>
      <c r="AK1" s="1079"/>
      <c r="AL1" s="1079"/>
      <c r="AM1" s="1079"/>
      <c r="AN1" s="1079"/>
      <c r="AO1" s="1079"/>
      <c r="AP1" s="1079"/>
      <c r="AQ1" s="1079"/>
      <c r="AR1" s="1079"/>
      <c r="AS1" s="1079"/>
      <c r="AT1" s="1079"/>
      <c r="AU1" s="1079"/>
      <c r="AV1" s="1079"/>
      <c r="AW1" s="1079"/>
      <c r="AX1" s="1079"/>
      <c r="AY1" s="1079"/>
      <c r="AZ1" s="1079"/>
      <c r="BA1" s="1079"/>
      <c r="BB1" s="1079"/>
      <c r="BC1" s="1079"/>
      <c r="BD1" s="1079"/>
      <c r="BE1" s="1079"/>
      <c r="BF1" s="1079"/>
      <c r="BG1" s="1079"/>
      <c r="BH1" s="1079"/>
      <c r="BI1" s="1079"/>
      <c r="BJ1" s="1079"/>
      <c r="BK1" s="1079"/>
      <c r="BL1" s="1079"/>
      <c r="BM1" s="1079"/>
      <c r="BN1" s="1079"/>
      <c r="BO1" s="1079"/>
      <c r="BP1" s="1079"/>
      <c r="BQ1" s="1079"/>
      <c r="BR1" s="1079"/>
      <c r="BS1" s="1079"/>
      <c r="BT1" s="1079"/>
      <c r="BU1" s="1079"/>
      <c r="BV1" s="1079"/>
      <c r="BW1" s="1079"/>
      <c r="BX1" s="1079"/>
      <c r="BY1" s="1079"/>
      <c r="BZ1" s="1079"/>
      <c r="CA1" s="1079"/>
      <c r="CB1" s="1079"/>
      <c r="CC1" s="1079"/>
      <c r="CD1" s="1079"/>
      <c r="CE1" s="1079"/>
      <c r="CF1" s="779"/>
      <c r="CG1" s="779"/>
      <c r="CH1" s="779"/>
      <c r="CI1" s="779"/>
      <c r="CJ1" s="779"/>
      <c r="CK1" s="779"/>
      <c r="CL1" s="779"/>
      <c r="CM1" s="779"/>
      <c r="CN1" s="779"/>
      <c r="CO1" s="779"/>
      <c r="CP1" s="779"/>
      <c r="CQ1" s="779"/>
      <c r="CR1" s="779"/>
      <c r="CS1" s="327"/>
      <c r="CT1" s="327"/>
      <c r="CU1" s="327"/>
      <c r="CV1" s="327"/>
      <c r="CW1" s="327"/>
      <c r="CX1" s="327"/>
      <c r="CY1" s="327"/>
      <c r="CZ1" s="327"/>
    </row>
    <row r="2" spans="1:104" ht="32.25" customHeight="1">
      <c r="A2" s="800"/>
      <c r="B2" s="1076" t="s">
        <v>3244</v>
      </c>
      <c r="C2" s="1076"/>
      <c r="D2" s="1076"/>
      <c r="E2" s="1076"/>
      <c r="F2" s="1076"/>
      <c r="G2" s="774"/>
      <c r="H2" s="1139"/>
      <c r="I2" s="780"/>
      <c r="J2" s="779"/>
      <c r="K2" s="1079"/>
      <c r="L2" s="1079"/>
      <c r="M2" s="1079"/>
      <c r="N2" s="1079"/>
      <c r="O2" s="1079"/>
      <c r="P2" s="1079"/>
      <c r="Q2" s="1079"/>
      <c r="R2" s="1079"/>
      <c r="S2" s="1079"/>
      <c r="T2" s="1079"/>
      <c r="U2" s="1079"/>
      <c r="V2" s="1079"/>
      <c r="W2" s="1079"/>
      <c r="X2" s="1079"/>
      <c r="Y2" s="1079"/>
      <c r="Z2" s="1079"/>
      <c r="AA2" s="1079"/>
      <c r="AB2" s="1079"/>
      <c r="AC2" s="1079"/>
      <c r="AD2" s="1079"/>
      <c r="AE2" s="1079"/>
      <c r="AF2" s="1079"/>
      <c r="AG2" s="1079"/>
      <c r="AH2" s="1079"/>
      <c r="AI2" s="1079"/>
      <c r="AJ2" s="1079"/>
      <c r="AK2" s="1079"/>
      <c r="AL2" s="1079"/>
      <c r="AM2" s="1079"/>
      <c r="AN2" s="1079"/>
      <c r="AO2" s="1079"/>
      <c r="AP2" s="1079"/>
      <c r="AQ2" s="1079"/>
      <c r="AR2" s="1079"/>
      <c r="AS2" s="1079"/>
      <c r="AT2" s="1079"/>
      <c r="AU2" s="1079"/>
      <c r="AV2" s="1079"/>
      <c r="AW2" s="1079"/>
      <c r="AX2" s="1079"/>
      <c r="AY2" s="1079"/>
      <c r="AZ2" s="1079"/>
      <c r="BA2" s="1079"/>
      <c r="BB2" s="1079"/>
      <c r="BC2" s="1079"/>
      <c r="BD2" s="1079"/>
      <c r="BE2" s="1079"/>
      <c r="BF2" s="1079"/>
      <c r="BG2" s="1079"/>
      <c r="BH2" s="1079"/>
      <c r="BI2" s="1079"/>
      <c r="BJ2" s="1079"/>
      <c r="BK2" s="1079"/>
      <c r="BL2" s="1079"/>
      <c r="BM2" s="1079"/>
      <c r="BN2" s="1079"/>
      <c r="BO2" s="1079"/>
      <c r="BP2" s="1079"/>
      <c r="BQ2" s="1079"/>
      <c r="BR2" s="1079"/>
      <c r="BS2" s="1079"/>
      <c r="BT2" s="1079"/>
      <c r="BU2" s="1079"/>
      <c r="BV2" s="1079"/>
      <c r="BW2" s="1079"/>
      <c r="BX2" s="1079"/>
      <c r="BY2" s="1079"/>
      <c r="BZ2" s="1079"/>
      <c r="CA2" s="1079"/>
      <c r="CB2" s="1079"/>
      <c r="CC2" s="1079"/>
      <c r="CD2" s="1079"/>
      <c r="CE2" s="1079"/>
      <c r="CF2" s="779"/>
      <c r="CG2" s="779"/>
      <c r="CH2" s="779"/>
      <c r="CI2" s="779"/>
      <c r="CJ2" s="779"/>
      <c r="CK2" s="779"/>
      <c r="CL2" s="779"/>
      <c r="CM2" s="779"/>
      <c r="CN2" s="779"/>
      <c r="CO2" s="779"/>
      <c r="CP2" s="779"/>
      <c r="CQ2" s="779"/>
      <c r="CR2" s="779"/>
      <c r="CS2" s="327"/>
      <c r="CT2" s="327"/>
      <c r="CU2" s="327"/>
      <c r="CV2" s="327"/>
      <c r="CW2" s="327"/>
      <c r="CX2" s="327"/>
      <c r="CY2" s="327"/>
      <c r="CZ2" s="327"/>
    </row>
    <row r="3" spans="1:104" s="25" customFormat="1" ht="54" customHeight="1">
      <c r="A3" s="1097" t="s">
        <v>3538</v>
      </c>
      <c r="B3" s="1098"/>
      <c r="C3" s="1098"/>
      <c r="D3" s="1098"/>
      <c r="E3" s="1098"/>
      <c r="F3" s="1098"/>
      <c r="G3" s="1098"/>
      <c r="H3" s="1139"/>
      <c r="I3" s="780"/>
      <c r="J3" s="779"/>
      <c r="K3" s="1079"/>
      <c r="L3" s="1079"/>
      <c r="M3" s="1079"/>
      <c r="N3" s="1079"/>
      <c r="O3" s="1079"/>
      <c r="P3" s="1079"/>
      <c r="Q3" s="1079"/>
      <c r="R3" s="1079"/>
      <c r="S3" s="1079"/>
      <c r="T3" s="1079"/>
      <c r="U3" s="1079"/>
      <c r="V3" s="1079"/>
      <c r="W3" s="1079"/>
      <c r="X3" s="1079"/>
      <c r="Y3" s="1079"/>
      <c r="Z3" s="1079"/>
      <c r="AA3" s="1079"/>
      <c r="AB3" s="1079"/>
      <c r="AC3" s="1079"/>
      <c r="AD3" s="1079"/>
      <c r="AE3" s="1079"/>
      <c r="AF3" s="1079"/>
      <c r="AG3" s="1079"/>
      <c r="AH3" s="1079"/>
      <c r="AI3" s="1079"/>
      <c r="AJ3" s="1079"/>
      <c r="AK3" s="1079"/>
      <c r="AL3" s="1079"/>
      <c r="AM3" s="1079"/>
      <c r="AN3" s="1079"/>
      <c r="AO3" s="1079"/>
      <c r="AP3" s="1079"/>
      <c r="AQ3" s="1079"/>
      <c r="AR3" s="1079"/>
      <c r="AS3" s="1079"/>
      <c r="AT3" s="1079"/>
      <c r="AU3" s="1079"/>
      <c r="AV3" s="1079"/>
      <c r="AW3" s="1079"/>
      <c r="AX3" s="1079"/>
      <c r="AY3" s="1079"/>
      <c r="AZ3" s="1079"/>
      <c r="BA3" s="1079"/>
      <c r="BB3" s="1079"/>
      <c r="BC3" s="1079"/>
      <c r="BD3" s="1079"/>
      <c r="BE3" s="1079"/>
      <c r="BF3" s="1079"/>
      <c r="BG3" s="1079"/>
      <c r="BH3" s="1079"/>
      <c r="BI3" s="1079"/>
      <c r="BJ3" s="1079"/>
      <c r="BK3" s="1079"/>
      <c r="BL3" s="1079"/>
      <c r="BM3" s="1079"/>
      <c r="BN3" s="1079"/>
      <c r="BO3" s="1079"/>
      <c r="BP3" s="1079"/>
      <c r="BQ3" s="1079"/>
      <c r="BR3" s="1079"/>
      <c r="BS3" s="1079"/>
      <c r="BT3" s="1079"/>
      <c r="BU3" s="1079"/>
      <c r="BV3" s="1079"/>
      <c r="BW3" s="1079"/>
      <c r="BX3" s="1079"/>
      <c r="BY3" s="1079"/>
      <c r="BZ3" s="1079"/>
      <c r="CA3" s="1079"/>
      <c r="CB3" s="1079"/>
      <c r="CC3" s="1079"/>
      <c r="CD3" s="1079"/>
      <c r="CE3" s="1079"/>
      <c r="CF3" s="779"/>
      <c r="CG3" s="779"/>
      <c r="CH3" s="779"/>
      <c r="CI3" s="779"/>
      <c r="CJ3" s="779"/>
      <c r="CK3" s="779"/>
      <c r="CL3" s="779"/>
      <c r="CM3" s="779"/>
      <c r="CN3" s="779"/>
      <c r="CO3" s="779"/>
      <c r="CP3" s="779"/>
      <c r="CQ3" s="779"/>
      <c r="CR3" s="779"/>
      <c r="CS3" s="817"/>
      <c r="CT3" s="817"/>
      <c r="CU3" s="817"/>
      <c r="CV3" s="817"/>
      <c r="CW3" s="817"/>
      <c r="CX3" s="817"/>
      <c r="CY3" s="817"/>
      <c r="CZ3" s="817"/>
    </row>
    <row r="4" spans="1:104" ht="22.5" customHeight="1">
      <c r="A4" s="1108" t="s">
        <v>3303</v>
      </c>
      <c r="B4" s="1109"/>
      <c r="C4" s="1109"/>
      <c r="D4" s="1109"/>
      <c r="E4" s="1109"/>
      <c r="F4" s="1109"/>
      <c r="G4" s="1109"/>
      <c r="H4" s="1139"/>
      <c r="I4" s="1031" t="s">
        <v>3296</v>
      </c>
      <c r="J4" s="1031"/>
      <c r="K4" s="1031"/>
      <c r="L4" s="1031"/>
      <c r="M4" s="1031"/>
      <c r="N4" s="1031"/>
      <c r="O4" s="1031"/>
      <c r="P4" s="1031"/>
      <c r="Q4" s="1031"/>
      <c r="R4" s="1031"/>
      <c r="S4" s="1031"/>
      <c r="T4" s="1031"/>
      <c r="U4" s="1031"/>
      <c r="V4" s="1031"/>
      <c r="W4" s="1031"/>
      <c r="X4" s="1031"/>
      <c r="Y4" s="1031"/>
      <c r="Z4" s="1031"/>
      <c r="AA4" s="1031"/>
      <c r="AB4" s="1031"/>
      <c r="AC4" s="1031"/>
      <c r="AD4" s="1031"/>
      <c r="AE4" s="1031"/>
      <c r="AF4" s="1031"/>
      <c r="AG4" s="1031"/>
      <c r="AH4" s="1031"/>
      <c r="AI4" s="1031"/>
      <c r="AJ4" s="1031"/>
      <c r="AK4" s="1031"/>
      <c r="AL4" s="1031"/>
      <c r="AM4" s="1031"/>
      <c r="AN4" s="1031"/>
      <c r="AO4" s="1031"/>
      <c r="AP4" s="1031"/>
      <c r="AQ4" s="1031"/>
      <c r="AR4" s="1031"/>
      <c r="AS4" s="1031"/>
      <c r="AT4" s="1031"/>
      <c r="AU4" s="1031"/>
      <c r="AV4" s="1031"/>
      <c r="AW4" s="1031"/>
      <c r="AX4" s="1031"/>
      <c r="AY4" s="1031"/>
      <c r="AZ4" s="1031"/>
      <c r="BA4" s="1031"/>
      <c r="BB4" s="1031"/>
      <c r="BC4" s="1031"/>
      <c r="BD4" s="1031"/>
      <c r="BE4" s="1031"/>
      <c r="BF4" s="1031"/>
      <c r="BG4" s="1031"/>
      <c r="BH4" s="1031"/>
      <c r="BI4" s="1031"/>
      <c r="BJ4" s="1031"/>
      <c r="BK4" s="1031"/>
      <c r="BL4" s="1031"/>
      <c r="BM4" s="1031"/>
      <c r="BN4" s="1031"/>
      <c r="BO4" s="1031"/>
      <c r="BP4" s="1031"/>
      <c r="BQ4" s="1031"/>
      <c r="BR4" s="1031"/>
      <c r="BS4" s="1031"/>
      <c r="BT4" s="1031"/>
      <c r="BU4" s="1031"/>
      <c r="BV4" s="1031"/>
      <c r="BW4" s="1031"/>
      <c r="BX4" s="1031"/>
      <c r="BY4" s="1031"/>
      <c r="BZ4" s="1031"/>
      <c r="CA4" s="1031"/>
      <c r="CB4" s="1031"/>
      <c r="CC4" s="1031"/>
      <c r="CD4" s="1031"/>
      <c r="CE4" s="1031"/>
      <c r="CF4" s="1031"/>
      <c r="CG4" s="1031"/>
      <c r="CH4" s="1031"/>
      <c r="CI4" s="1031"/>
      <c r="CJ4" s="1031"/>
      <c r="CK4" s="1031"/>
      <c r="CL4" s="1031"/>
      <c r="CM4" s="1031"/>
      <c r="CN4" s="1031"/>
      <c r="CO4" s="1031"/>
      <c r="CP4" s="1031"/>
      <c r="CQ4" s="1031"/>
      <c r="CR4" s="1031"/>
      <c r="CS4" s="1031"/>
      <c r="CT4" s="1031"/>
      <c r="CU4" s="1031"/>
      <c r="CV4" s="1031"/>
      <c r="CW4" s="1031"/>
      <c r="CX4" s="1031"/>
      <c r="CY4" s="1031"/>
      <c r="CZ4" s="1031"/>
    </row>
    <row r="5" spans="1:104" ht="20.100000000000001" customHeight="1">
      <c r="A5" s="977" t="s">
        <v>201</v>
      </c>
      <c r="B5" s="976" t="s">
        <v>2869</v>
      </c>
      <c r="C5" s="975" t="s">
        <v>3083</v>
      </c>
      <c r="D5" s="974" t="s">
        <v>2965</v>
      </c>
      <c r="E5" s="973" t="s">
        <v>3294</v>
      </c>
      <c r="F5" s="972" t="s">
        <v>3295</v>
      </c>
      <c r="G5" s="971" t="s">
        <v>3299</v>
      </c>
      <c r="H5" s="1139"/>
      <c r="I5" s="1064" t="s">
        <v>3308</v>
      </c>
      <c r="J5" s="1065"/>
      <c r="K5" s="1066"/>
      <c r="L5" s="786" t="s">
        <v>3304</v>
      </c>
      <c r="M5" s="1080" t="s">
        <v>3293</v>
      </c>
      <c r="N5" s="1081"/>
      <c r="O5" s="1081"/>
      <c r="P5" s="1081"/>
      <c r="Q5" s="1081"/>
      <c r="R5" s="1081"/>
      <c r="S5" s="1081"/>
      <c r="T5" s="1081"/>
      <c r="U5" s="1081"/>
      <c r="V5" s="1081"/>
      <c r="W5" s="1081"/>
      <c r="X5" s="1081"/>
      <c r="Y5" s="1081"/>
      <c r="Z5" s="1081"/>
      <c r="AA5" s="1081"/>
      <c r="AB5" s="1081"/>
      <c r="AC5" s="1081"/>
      <c r="AD5" s="1081"/>
      <c r="AE5" s="1081"/>
      <c r="AF5" s="1081"/>
      <c r="AG5" s="1081"/>
      <c r="AH5" s="1081"/>
      <c r="AI5" s="1081"/>
      <c r="AJ5" s="1081"/>
      <c r="AK5" s="1081"/>
      <c r="AL5" s="1081"/>
      <c r="AM5" s="1081"/>
      <c r="AN5" s="1081"/>
      <c r="AO5" s="1081"/>
      <c r="AP5" s="1082"/>
      <c r="AQ5" s="1080" t="s">
        <v>3297</v>
      </c>
      <c r="AR5" s="1081"/>
      <c r="AS5" s="1081"/>
      <c r="AT5" s="1081"/>
      <c r="AU5" s="1081"/>
      <c r="AV5" s="1081"/>
      <c r="AW5" s="1081"/>
      <c r="AX5" s="1081"/>
      <c r="AY5" s="1081"/>
      <c r="AZ5" s="1081"/>
      <c r="BA5" s="1081"/>
      <c r="BB5" s="1081"/>
      <c r="BC5" s="1081"/>
      <c r="BD5" s="1081"/>
      <c r="BE5" s="1081"/>
      <c r="BF5" s="1081"/>
      <c r="BG5" s="1081"/>
      <c r="BH5" s="1081"/>
      <c r="BI5" s="1081"/>
      <c r="BJ5" s="1081"/>
      <c r="BK5" s="1081"/>
      <c r="BL5" s="1081"/>
      <c r="BM5" s="1081"/>
      <c r="BN5" s="1081"/>
      <c r="BO5" s="1081"/>
      <c r="BP5" s="1081"/>
      <c r="BQ5" s="1081"/>
      <c r="BR5" s="1081"/>
      <c r="BS5" s="1081"/>
      <c r="BT5" s="1082"/>
      <c r="BU5" s="1080" t="s">
        <v>3298</v>
      </c>
      <c r="BV5" s="1081"/>
      <c r="BW5" s="1081"/>
      <c r="BX5" s="1081"/>
      <c r="BY5" s="1081"/>
      <c r="BZ5" s="1081"/>
      <c r="CA5" s="1081"/>
      <c r="CB5" s="1081"/>
      <c r="CC5" s="1081"/>
      <c r="CD5" s="1081"/>
      <c r="CE5" s="1081"/>
      <c r="CF5" s="1081"/>
      <c r="CG5" s="1081"/>
      <c r="CH5" s="1081"/>
      <c r="CI5" s="1081"/>
      <c r="CJ5" s="1081"/>
      <c r="CK5" s="1081"/>
      <c r="CL5" s="1081"/>
      <c r="CM5" s="1081"/>
      <c r="CN5" s="1081"/>
      <c r="CO5" s="1081"/>
      <c r="CP5" s="1081"/>
      <c r="CQ5" s="1081"/>
      <c r="CR5" s="1081"/>
      <c r="CS5" s="1083"/>
      <c r="CT5" s="1083"/>
      <c r="CU5" s="1083"/>
      <c r="CV5" s="1083"/>
      <c r="CW5" s="1083"/>
      <c r="CX5" s="1083"/>
      <c r="CY5" s="785"/>
      <c r="CZ5" s="1032" t="s">
        <v>3323</v>
      </c>
    </row>
    <row r="6" spans="1:104" ht="14.25" customHeight="1">
      <c r="A6" s="977"/>
      <c r="B6" s="976"/>
      <c r="C6" s="975"/>
      <c r="D6" s="974"/>
      <c r="E6" s="973"/>
      <c r="F6" s="972"/>
      <c r="G6" s="971"/>
      <c r="H6" s="1139"/>
      <c r="I6" s="1090" t="s">
        <v>3337</v>
      </c>
      <c r="J6" s="1090" t="s">
        <v>3305</v>
      </c>
      <c r="K6" s="1090" t="s">
        <v>3306</v>
      </c>
      <c r="L6" s="1087" t="s">
        <v>3307</v>
      </c>
      <c r="M6" s="787">
        <v>1</v>
      </c>
      <c r="N6" s="787">
        <v>2</v>
      </c>
      <c r="O6" s="787">
        <v>3</v>
      </c>
      <c r="P6" s="787">
        <v>4</v>
      </c>
      <c r="Q6" s="787">
        <v>5</v>
      </c>
      <c r="R6" s="787">
        <v>6</v>
      </c>
      <c r="S6" s="787">
        <v>7</v>
      </c>
      <c r="T6" s="787">
        <v>8</v>
      </c>
      <c r="U6" s="787">
        <v>9</v>
      </c>
      <c r="V6" s="787">
        <v>10</v>
      </c>
      <c r="W6" s="787">
        <v>11</v>
      </c>
      <c r="X6" s="787">
        <v>12</v>
      </c>
      <c r="Y6" s="787">
        <v>13</v>
      </c>
      <c r="Z6" s="787">
        <v>14</v>
      </c>
      <c r="AA6" s="787">
        <v>15</v>
      </c>
      <c r="AB6" s="787">
        <v>16</v>
      </c>
      <c r="AC6" s="787">
        <v>17</v>
      </c>
      <c r="AD6" s="787">
        <v>18</v>
      </c>
      <c r="AE6" s="787">
        <v>19</v>
      </c>
      <c r="AF6" s="787">
        <v>20</v>
      </c>
      <c r="AG6" s="787">
        <v>21</v>
      </c>
      <c r="AH6" s="787">
        <v>22</v>
      </c>
      <c r="AI6" s="787">
        <v>23</v>
      </c>
      <c r="AJ6" s="787">
        <v>24</v>
      </c>
      <c r="AK6" s="787">
        <v>25</v>
      </c>
      <c r="AL6" s="787">
        <v>26</v>
      </c>
      <c r="AM6" s="787">
        <v>27</v>
      </c>
      <c r="AN6" s="787">
        <v>28</v>
      </c>
      <c r="AO6" s="787">
        <v>29</v>
      </c>
      <c r="AP6" s="787">
        <v>30</v>
      </c>
      <c r="AQ6" s="787">
        <v>31</v>
      </c>
      <c r="AR6" s="787">
        <v>32</v>
      </c>
      <c r="AS6" s="787">
        <v>33</v>
      </c>
      <c r="AT6" s="787">
        <v>34</v>
      </c>
      <c r="AU6" s="787">
        <v>35</v>
      </c>
      <c r="AV6" s="787">
        <v>36</v>
      </c>
      <c r="AW6" s="787">
        <v>37</v>
      </c>
      <c r="AX6" s="787">
        <v>38</v>
      </c>
      <c r="AY6" s="787">
        <v>39</v>
      </c>
      <c r="AZ6" s="787">
        <v>40</v>
      </c>
      <c r="BA6" s="787">
        <v>41</v>
      </c>
      <c r="BB6" s="787">
        <v>42</v>
      </c>
      <c r="BC6" s="787">
        <v>43</v>
      </c>
      <c r="BD6" s="787">
        <v>44</v>
      </c>
      <c r="BE6" s="787">
        <v>45</v>
      </c>
      <c r="BF6" s="787">
        <v>46</v>
      </c>
      <c r="BG6" s="787">
        <v>47</v>
      </c>
      <c r="BH6" s="787">
        <v>48</v>
      </c>
      <c r="BI6" s="787">
        <v>49</v>
      </c>
      <c r="BJ6" s="787">
        <v>50</v>
      </c>
      <c r="BK6" s="787">
        <v>51</v>
      </c>
      <c r="BL6" s="787">
        <v>52</v>
      </c>
      <c r="BM6" s="787">
        <v>53</v>
      </c>
      <c r="BN6" s="787">
        <v>54</v>
      </c>
      <c r="BO6" s="787">
        <v>55</v>
      </c>
      <c r="BP6" s="787">
        <v>56</v>
      </c>
      <c r="BQ6" s="787">
        <v>57</v>
      </c>
      <c r="BR6" s="787">
        <v>58</v>
      </c>
      <c r="BS6" s="787">
        <v>59</v>
      </c>
      <c r="BT6" s="787">
        <v>60</v>
      </c>
      <c r="BU6" s="787">
        <v>61</v>
      </c>
      <c r="BV6" s="787">
        <v>62</v>
      </c>
      <c r="BW6" s="787">
        <v>63</v>
      </c>
      <c r="BX6" s="787">
        <v>64</v>
      </c>
      <c r="BY6" s="787">
        <v>65</v>
      </c>
      <c r="BZ6" s="787">
        <v>66</v>
      </c>
      <c r="CA6" s="787">
        <v>67</v>
      </c>
      <c r="CB6" s="787">
        <v>68</v>
      </c>
      <c r="CC6" s="787">
        <v>69</v>
      </c>
      <c r="CD6" s="787">
        <v>70</v>
      </c>
      <c r="CE6" s="787">
        <v>71</v>
      </c>
      <c r="CF6" s="787">
        <v>72</v>
      </c>
      <c r="CG6" s="787">
        <v>73</v>
      </c>
      <c r="CH6" s="787">
        <v>74</v>
      </c>
      <c r="CI6" s="787">
        <v>75</v>
      </c>
      <c r="CJ6" s="787">
        <v>76</v>
      </c>
      <c r="CK6" s="787">
        <v>77</v>
      </c>
      <c r="CL6" s="787">
        <v>78</v>
      </c>
      <c r="CM6" s="787">
        <v>79</v>
      </c>
      <c r="CN6" s="787">
        <v>80</v>
      </c>
      <c r="CO6" s="787">
        <v>81</v>
      </c>
      <c r="CP6" s="787">
        <v>82</v>
      </c>
      <c r="CQ6" s="787">
        <v>83</v>
      </c>
      <c r="CR6" s="787">
        <v>84</v>
      </c>
      <c r="CS6" s="788">
        <v>85</v>
      </c>
      <c r="CT6" s="787">
        <v>86</v>
      </c>
      <c r="CU6" s="787">
        <v>87</v>
      </c>
      <c r="CV6" s="787">
        <v>88</v>
      </c>
      <c r="CW6" s="787">
        <v>89</v>
      </c>
      <c r="CX6" s="788">
        <v>90</v>
      </c>
      <c r="CY6" s="789">
        <v>91</v>
      </c>
      <c r="CZ6" s="1032"/>
    </row>
    <row r="7" spans="1:104" ht="12.75" customHeight="1">
      <c r="A7" s="977"/>
      <c r="B7" s="976"/>
      <c r="C7" s="975"/>
      <c r="D7" s="974"/>
      <c r="E7" s="973"/>
      <c r="F7" s="972"/>
      <c r="G7" s="971"/>
      <c r="H7" s="1139"/>
      <c r="I7" s="1090"/>
      <c r="J7" s="1090"/>
      <c r="K7" s="1090"/>
      <c r="L7" s="1088"/>
      <c r="M7" s="1067" t="s">
        <v>3289</v>
      </c>
      <c r="N7" s="1068"/>
      <c r="O7" s="1068"/>
      <c r="P7" s="1068"/>
      <c r="Q7" s="1068"/>
      <c r="R7" s="1068"/>
      <c r="S7" s="1068"/>
      <c r="T7" s="1068" t="s">
        <v>3290</v>
      </c>
      <c r="U7" s="1068"/>
      <c r="V7" s="1068"/>
      <c r="W7" s="1068"/>
      <c r="X7" s="1068"/>
      <c r="Y7" s="1068"/>
      <c r="Z7" s="1068"/>
      <c r="AA7" s="1068" t="s">
        <v>3291</v>
      </c>
      <c r="AB7" s="1068"/>
      <c r="AC7" s="1068"/>
      <c r="AD7" s="1068"/>
      <c r="AE7" s="1068"/>
      <c r="AF7" s="1068"/>
      <c r="AG7" s="1068"/>
      <c r="AH7" s="1068" t="s">
        <v>3292</v>
      </c>
      <c r="AI7" s="1068"/>
      <c r="AJ7" s="1068"/>
      <c r="AK7" s="1068"/>
      <c r="AL7" s="1068"/>
      <c r="AM7" s="1068"/>
      <c r="AN7" s="1068"/>
      <c r="AO7" s="1068" t="s">
        <v>3310</v>
      </c>
      <c r="AP7" s="1068"/>
      <c r="AQ7" s="1068"/>
      <c r="AR7" s="1068"/>
      <c r="AS7" s="1068"/>
      <c r="AT7" s="1068"/>
      <c r="AU7" s="1068"/>
      <c r="AV7" s="1068" t="s">
        <v>3311</v>
      </c>
      <c r="AW7" s="1068"/>
      <c r="AX7" s="1068"/>
      <c r="AY7" s="1068"/>
      <c r="AZ7" s="1068"/>
      <c r="BA7" s="1068"/>
      <c r="BB7" s="1068"/>
      <c r="BC7" s="1068" t="s">
        <v>3291</v>
      </c>
      <c r="BD7" s="1068"/>
      <c r="BE7" s="1068"/>
      <c r="BF7" s="1068"/>
      <c r="BG7" s="1068"/>
      <c r="BH7" s="1068"/>
      <c r="BI7" s="1068"/>
      <c r="BJ7" s="1068" t="s">
        <v>3312</v>
      </c>
      <c r="BK7" s="1068"/>
      <c r="BL7" s="1068"/>
      <c r="BM7" s="1068"/>
      <c r="BN7" s="1068"/>
      <c r="BO7" s="1068"/>
      <c r="BP7" s="1068"/>
      <c r="BQ7" s="1068" t="s">
        <v>3313</v>
      </c>
      <c r="BR7" s="1068"/>
      <c r="BS7" s="1068"/>
      <c r="BT7" s="1068"/>
      <c r="BU7" s="1068"/>
      <c r="BV7" s="1068"/>
      <c r="BW7" s="1068"/>
      <c r="BX7" s="1068" t="s">
        <v>3314</v>
      </c>
      <c r="BY7" s="1068"/>
      <c r="BZ7" s="1068"/>
      <c r="CA7" s="1068"/>
      <c r="CB7" s="1068"/>
      <c r="CC7" s="1068"/>
      <c r="CD7" s="1068"/>
      <c r="CE7" s="1068" t="s">
        <v>3315</v>
      </c>
      <c r="CF7" s="1068"/>
      <c r="CG7" s="1068"/>
      <c r="CH7" s="1068"/>
      <c r="CI7" s="1068"/>
      <c r="CJ7" s="1068"/>
      <c r="CK7" s="1068"/>
      <c r="CL7" s="1068" t="s">
        <v>3316</v>
      </c>
      <c r="CM7" s="1068"/>
      <c r="CN7" s="1068"/>
      <c r="CO7" s="1068"/>
      <c r="CP7" s="1068"/>
      <c r="CQ7" s="1068"/>
      <c r="CR7" s="1068"/>
      <c r="CS7" s="1084" t="s">
        <v>3317</v>
      </c>
      <c r="CT7" s="1085"/>
      <c r="CU7" s="1085"/>
      <c r="CV7" s="1085"/>
      <c r="CW7" s="1085"/>
      <c r="CX7" s="1085"/>
      <c r="CY7" s="1085"/>
      <c r="CZ7" s="1032"/>
    </row>
    <row r="8" spans="1:104" ht="15" customHeight="1">
      <c r="A8" s="977"/>
      <c r="B8" s="976"/>
      <c r="C8" s="975"/>
      <c r="D8" s="974"/>
      <c r="E8" s="973"/>
      <c r="F8" s="972"/>
      <c r="G8" s="971"/>
      <c r="H8" s="1139"/>
      <c r="I8" s="1090"/>
      <c r="J8" s="1090"/>
      <c r="K8" s="1090"/>
      <c r="L8" s="1089"/>
      <c r="M8" s="787" t="s">
        <v>3286</v>
      </c>
      <c r="N8" s="788" t="s">
        <v>127</v>
      </c>
      <c r="O8" s="788" t="s">
        <v>127</v>
      </c>
      <c r="P8" s="788" t="s">
        <v>3287</v>
      </c>
      <c r="Q8" s="788" t="s">
        <v>399</v>
      </c>
      <c r="R8" s="788" t="s">
        <v>3288</v>
      </c>
      <c r="S8" s="788" t="s">
        <v>190</v>
      </c>
      <c r="T8" s="788" t="s">
        <v>3286</v>
      </c>
      <c r="U8" s="788" t="s">
        <v>127</v>
      </c>
      <c r="V8" s="788" t="s">
        <v>127</v>
      </c>
      <c r="W8" s="788" t="s">
        <v>3287</v>
      </c>
      <c r="X8" s="788" t="s">
        <v>399</v>
      </c>
      <c r="Y8" s="788" t="s">
        <v>3288</v>
      </c>
      <c r="Z8" s="788" t="s">
        <v>190</v>
      </c>
      <c r="AA8" s="788" t="s">
        <v>3286</v>
      </c>
      <c r="AB8" s="788" t="s">
        <v>127</v>
      </c>
      <c r="AC8" s="788" t="s">
        <v>127</v>
      </c>
      <c r="AD8" s="788" t="s">
        <v>3287</v>
      </c>
      <c r="AE8" s="788" t="s">
        <v>399</v>
      </c>
      <c r="AF8" s="788" t="s">
        <v>3288</v>
      </c>
      <c r="AG8" s="788" t="s">
        <v>190</v>
      </c>
      <c r="AH8" s="788" t="s">
        <v>3286</v>
      </c>
      <c r="AI8" s="788" t="s">
        <v>127</v>
      </c>
      <c r="AJ8" s="788" t="s">
        <v>127</v>
      </c>
      <c r="AK8" s="788" t="s">
        <v>3287</v>
      </c>
      <c r="AL8" s="788" t="s">
        <v>399</v>
      </c>
      <c r="AM8" s="788" t="s">
        <v>3288</v>
      </c>
      <c r="AN8" s="788" t="s">
        <v>190</v>
      </c>
      <c r="AO8" s="788" t="s">
        <v>3286</v>
      </c>
      <c r="AP8" s="788" t="s">
        <v>127</v>
      </c>
      <c r="AQ8" s="788" t="s">
        <v>127</v>
      </c>
      <c r="AR8" s="788" t="s">
        <v>3287</v>
      </c>
      <c r="AS8" s="788" t="s">
        <v>399</v>
      </c>
      <c r="AT8" s="788" t="s">
        <v>3288</v>
      </c>
      <c r="AU8" s="788" t="s">
        <v>190</v>
      </c>
      <c r="AV8" s="788" t="s">
        <v>3286</v>
      </c>
      <c r="AW8" s="788" t="s">
        <v>127</v>
      </c>
      <c r="AX8" s="788" t="s">
        <v>127</v>
      </c>
      <c r="AY8" s="788" t="s">
        <v>3287</v>
      </c>
      <c r="AZ8" s="788" t="s">
        <v>399</v>
      </c>
      <c r="BA8" s="788" t="s">
        <v>3288</v>
      </c>
      <c r="BB8" s="788" t="s">
        <v>190</v>
      </c>
      <c r="BC8" s="788" t="s">
        <v>3286</v>
      </c>
      <c r="BD8" s="788" t="s">
        <v>127</v>
      </c>
      <c r="BE8" s="788" t="s">
        <v>127</v>
      </c>
      <c r="BF8" s="788" t="s">
        <v>3287</v>
      </c>
      <c r="BG8" s="788" t="s">
        <v>399</v>
      </c>
      <c r="BH8" s="788" t="s">
        <v>3288</v>
      </c>
      <c r="BI8" s="788" t="s">
        <v>190</v>
      </c>
      <c r="BJ8" s="788" t="s">
        <v>3286</v>
      </c>
      <c r="BK8" s="788" t="s">
        <v>127</v>
      </c>
      <c r="BL8" s="788" t="s">
        <v>127</v>
      </c>
      <c r="BM8" s="788" t="s">
        <v>3287</v>
      </c>
      <c r="BN8" s="788" t="s">
        <v>399</v>
      </c>
      <c r="BO8" s="788" t="s">
        <v>3288</v>
      </c>
      <c r="BP8" s="788" t="s">
        <v>190</v>
      </c>
      <c r="BQ8" s="788" t="s">
        <v>3286</v>
      </c>
      <c r="BR8" s="788" t="s">
        <v>127</v>
      </c>
      <c r="BS8" s="788" t="s">
        <v>127</v>
      </c>
      <c r="BT8" s="788" t="s">
        <v>3287</v>
      </c>
      <c r="BU8" s="788" t="s">
        <v>399</v>
      </c>
      <c r="BV8" s="788" t="s">
        <v>3288</v>
      </c>
      <c r="BW8" s="788" t="s">
        <v>190</v>
      </c>
      <c r="BX8" s="788" t="s">
        <v>3286</v>
      </c>
      <c r="BY8" s="788" t="s">
        <v>127</v>
      </c>
      <c r="BZ8" s="788" t="s">
        <v>127</v>
      </c>
      <c r="CA8" s="788" t="s">
        <v>3287</v>
      </c>
      <c r="CB8" s="788" t="s">
        <v>399</v>
      </c>
      <c r="CC8" s="788" t="s">
        <v>3288</v>
      </c>
      <c r="CD8" s="788" t="s">
        <v>190</v>
      </c>
      <c r="CE8" s="788" t="s">
        <v>3286</v>
      </c>
      <c r="CF8" s="788" t="s">
        <v>127</v>
      </c>
      <c r="CG8" s="788" t="s">
        <v>127</v>
      </c>
      <c r="CH8" s="788" t="s">
        <v>3287</v>
      </c>
      <c r="CI8" s="788" t="s">
        <v>399</v>
      </c>
      <c r="CJ8" s="788" t="s">
        <v>3288</v>
      </c>
      <c r="CK8" s="788" t="s">
        <v>190</v>
      </c>
      <c r="CL8" s="788" t="s">
        <v>3286</v>
      </c>
      <c r="CM8" s="788" t="s">
        <v>127</v>
      </c>
      <c r="CN8" s="788" t="s">
        <v>127</v>
      </c>
      <c r="CO8" s="788" t="s">
        <v>3287</v>
      </c>
      <c r="CP8" s="788" t="s">
        <v>399</v>
      </c>
      <c r="CQ8" s="788" t="s">
        <v>3288</v>
      </c>
      <c r="CR8" s="788" t="s">
        <v>190</v>
      </c>
      <c r="CS8" s="788" t="s">
        <v>3286</v>
      </c>
      <c r="CT8" s="788" t="s">
        <v>127</v>
      </c>
      <c r="CU8" s="788" t="s">
        <v>127</v>
      </c>
      <c r="CV8" s="788" t="s">
        <v>3287</v>
      </c>
      <c r="CW8" s="788" t="s">
        <v>399</v>
      </c>
      <c r="CX8" s="788" t="s">
        <v>3288</v>
      </c>
      <c r="CY8" s="790" t="s">
        <v>190</v>
      </c>
      <c r="CZ8" s="1032"/>
    </row>
    <row r="9" spans="1:104" ht="15.75" customHeight="1" thickBot="1">
      <c r="A9" s="764" t="str">
        <f>EDIFICACION!A6</f>
        <v>I</v>
      </c>
      <c r="B9" s="1051" t="s">
        <v>282</v>
      </c>
      <c r="C9" s="1052"/>
      <c r="D9" s="1052"/>
      <c r="E9" s="1052"/>
      <c r="F9" s="1052"/>
      <c r="G9" s="1052"/>
      <c r="H9" s="1139"/>
      <c r="I9" s="1091"/>
      <c r="J9" s="1092"/>
      <c r="K9" s="1092"/>
      <c r="L9" s="1093"/>
      <c r="M9" s="1072"/>
      <c r="N9" s="1072"/>
      <c r="O9" s="1072"/>
      <c r="P9" s="1072"/>
      <c r="Q9" s="1072"/>
      <c r="R9" s="1072"/>
      <c r="S9" s="1072"/>
      <c r="T9" s="1072"/>
      <c r="U9" s="1072"/>
      <c r="V9" s="1072"/>
      <c r="W9" s="1072"/>
      <c r="X9" s="1072"/>
      <c r="Y9" s="1072"/>
      <c r="Z9" s="1072"/>
      <c r="AA9" s="1072"/>
      <c r="AB9" s="1072"/>
      <c r="AC9" s="1072"/>
      <c r="AD9" s="1072"/>
      <c r="AE9" s="1072"/>
      <c r="AF9" s="1072"/>
      <c r="AG9" s="1072"/>
      <c r="AH9" s="1072"/>
      <c r="AI9" s="1072"/>
      <c r="AJ9" s="1072"/>
      <c r="AK9" s="1072"/>
      <c r="AL9" s="1072"/>
      <c r="AM9" s="1072"/>
      <c r="AN9" s="1072"/>
      <c r="AO9" s="1072"/>
      <c r="AP9" s="1072"/>
      <c r="AQ9" s="1072"/>
      <c r="AR9" s="1072"/>
      <c r="AS9" s="1072"/>
      <c r="AT9" s="1072"/>
      <c r="AU9" s="1072"/>
      <c r="AV9" s="1072"/>
      <c r="AW9" s="1072"/>
      <c r="AX9" s="1072"/>
      <c r="AY9" s="1072"/>
      <c r="AZ9" s="1072"/>
      <c r="BA9" s="1072"/>
      <c r="BB9" s="1072"/>
      <c r="BC9" s="1072"/>
      <c r="BD9" s="1072"/>
      <c r="BE9" s="1072"/>
      <c r="BF9" s="1072"/>
      <c r="BG9" s="1072"/>
      <c r="BH9" s="1072"/>
      <c r="BI9" s="1072"/>
      <c r="BJ9" s="1072"/>
      <c r="BK9" s="1072"/>
      <c r="BL9" s="1072"/>
      <c r="BM9" s="1072"/>
      <c r="BN9" s="1072"/>
      <c r="BO9" s="1072"/>
      <c r="BP9" s="1072"/>
      <c r="BQ9" s="1072"/>
      <c r="BR9" s="1072"/>
      <c r="BS9" s="1072"/>
      <c r="BT9" s="1072"/>
      <c r="BU9" s="1072"/>
      <c r="BV9" s="1072"/>
      <c r="BW9" s="1072"/>
      <c r="BX9" s="1072"/>
      <c r="BY9" s="1072"/>
      <c r="BZ9" s="1072"/>
      <c r="CA9" s="1072"/>
      <c r="CB9" s="1072"/>
      <c r="CC9" s="1072"/>
      <c r="CD9" s="1072"/>
      <c r="CE9" s="1072"/>
      <c r="CF9" s="1072"/>
      <c r="CG9" s="1072"/>
      <c r="CH9" s="1072"/>
      <c r="CI9" s="1072"/>
      <c r="CJ9" s="1072"/>
      <c r="CK9" s="1072"/>
      <c r="CL9" s="1072"/>
      <c r="CM9" s="1072"/>
      <c r="CN9" s="1072"/>
      <c r="CO9" s="1072"/>
      <c r="CP9" s="1072"/>
      <c r="CQ9" s="1072"/>
      <c r="CR9" s="1072"/>
      <c r="CS9" s="1072"/>
      <c r="CT9" s="1072"/>
      <c r="CU9" s="1072"/>
      <c r="CV9" s="1072"/>
      <c r="CW9" s="1072"/>
      <c r="CX9" s="1072"/>
      <c r="CY9" s="1072"/>
      <c r="CZ9" s="1072"/>
    </row>
    <row r="10" spans="1:104" ht="8.1" customHeight="1">
      <c r="A10" s="1017">
        <f>EDIFICACION!A7</f>
        <v>1.1000000000000001</v>
      </c>
      <c r="B10" s="1099" t="str">
        <f>EDIFICACION!B7</f>
        <v>CERRAMIENTO PROVISIONAL EN TELA VERDE  H=2.10M</v>
      </c>
      <c r="C10" s="1100" t="str">
        <f>EDIFICACION!C7</f>
        <v>ML</v>
      </c>
      <c r="D10" s="1104">
        <f>21.63+21.63</f>
        <v>43.26</v>
      </c>
      <c r="E10" s="1014">
        <f>EDIFICACION!F7</f>
        <v>28915</v>
      </c>
      <c r="F10" s="1105">
        <f t="shared" ref="F10:F61" si="0">E10*D10</f>
        <v>1250862.8999999999</v>
      </c>
      <c r="G10" s="1057">
        <f>F10/F259</f>
        <v>3.7770443482938202E-3</v>
      </c>
      <c r="H10" s="1140"/>
      <c r="I10" s="1053" t="s">
        <v>3339</v>
      </c>
      <c r="J10" s="985" t="s">
        <v>3338</v>
      </c>
      <c r="K10" s="985" t="s">
        <v>3338</v>
      </c>
      <c r="L10" s="806" t="s">
        <v>3318</v>
      </c>
      <c r="M10" s="1078">
        <f>F10/CZ10*M11</f>
        <v>1250862.8999999999</v>
      </c>
      <c r="N10" s="1041"/>
      <c r="O10" s="1041"/>
      <c r="P10" s="1041"/>
      <c r="Q10" s="1041"/>
      <c r="R10" s="1041"/>
      <c r="S10" s="1041"/>
      <c r="T10" s="1041"/>
      <c r="U10" s="1041"/>
      <c r="V10" s="1041"/>
      <c r="W10" s="1041"/>
      <c r="X10" s="1041"/>
      <c r="Y10" s="1041"/>
      <c r="Z10" s="1041"/>
      <c r="AA10" s="1041"/>
      <c r="AB10" s="1041"/>
      <c r="AC10" s="1041"/>
      <c r="AD10" s="1041"/>
      <c r="AE10" s="1041"/>
      <c r="AF10" s="1041"/>
      <c r="AG10" s="1041"/>
      <c r="AH10" s="1041"/>
      <c r="AI10" s="1041"/>
      <c r="AJ10" s="1041"/>
      <c r="AK10" s="1041"/>
      <c r="AL10" s="1041"/>
      <c r="AM10" s="1041"/>
      <c r="AN10" s="1041"/>
      <c r="AO10" s="1041"/>
      <c r="AP10" s="1041"/>
      <c r="AQ10" s="1041"/>
      <c r="AR10" s="1041"/>
      <c r="AS10" s="1041"/>
      <c r="AT10" s="1041"/>
      <c r="AU10" s="1041"/>
      <c r="AV10" s="1041"/>
      <c r="AW10" s="1041"/>
      <c r="AX10" s="1041"/>
      <c r="AY10" s="1041"/>
      <c r="AZ10" s="1041"/>
      <c r="BA10" s="1041"/>
      <c r="BB10" s="1041"/>
      <c r="BC10" s="1041"/>
      <c r="BD10" s="1041"/>
      <c r="BE10" s="1041"/>
      <c r="BF10" s="1041"/>
      <c r="BG10" s="1041"/>
      <c r="BH10" s="1041"/>
      <c r="BI10" s="1041"/>
      <c r="BJ10" s="1041"/>
      <c r="BK10" s="1041"/>
      <c r="BL10" s="1041"/>
      <c r="BM10" s="1041"/>
      <c r="BN10" s="1041"/>
      <c r="BO10" s="1041"/>
      <c r="BP10" s="1041"/>
      <c r="BQ10" s="1041"/>
      <c r="BR10" s="1041"/>
      <c r="BS10" s="1041"/>
      <c r="BT10" s="1041"/>
      <c r="BU10" s="1041"/>
      <c r="BV10" s="1041"/>
      <c r="BW10" s="1041"/>
      <c r="BX10" s="1041"/>
      <c r="BY10" s="1041"/>
      <c r="BZ10" s="1041"/>
      <c r="CA10" s="1041"/>
      <c r="CB10" s="1041"/>
      <c r="CC10" s="1041"/>
      <c r="CD10" s="1041"/>
      <c r="CE10" s="1041"/>
      <c r="CF10" s="1041"/>
      <c r="CG10" s="1041"/>
      <c r="CH10" s="1041"/>
      <c r="CI10" s="1041"/>
      <c r="CJ10" s="1041"/>
      <c r="CK10" s="1041"/>
      <c r="CL10" s="1041"/>
      <c r="CM10" s="1041"/>
      <c r="CN10" s="1041"/>
      <c r="CO10" s="1041"/>
      <c r="CP10" s="1041"/>
      <c r="CQ10" s="1041"/>
      <c r="CR10" s="1041"/>
      <c r="CS10" s="1041"/>
      <c r="CT10" s="1041"/>
      <c r="CU10" s="1041"/>
      <c r="CV10" s="1041"/>
      <c r="CW10" s="1041"/>
      <c r="CX10" s="1041"/>
      <c r="CY10" s="1041"/>
      <c r="CZ10" s="1073">
        <v>1</v>
      </c>
    </row>
    <row r="11" spans="1:104" ht="8.1" customHeight="1">
      <c r="A11" s="938"/>
      <c r="B11" s="950"/>
      <c r="C11" s="1046"/>
      <c r="D11" s="1045"/>
      <c r="E11" s="944"/>
      <c r="F11" s="1003"/>
      <c r="G11" s="989"/>
      <c r="H11" s="1140"/>
      <c r="I11" s="1037"/>
      <c r="J11" s="986"/>
      <c r="K11" s="986"/>
      <c r="L11" s="807" t="s">
        <v>3319</v>
      </c>
      <c r="M11" s="809">
        <v>1</v>
      </c>
      <c r="N11" s="810">
        <v>2</v>
      </c>
      <c r="O11" s="810">
        <v>3</v>
      </c>
      <c r="P11" s="810">
        <v>4</v>
      </c>
      <c r="Q11" s="810">
        <v>5</v>
      </c>
      <c r="R11" s="810">
        <v>6</v>
      </c>
      <c r="S11" s="810">
        <v>7</v>
      </c>
      <c r="T11" s="810">
        <v>1</v>
      </c>
      <c r="U11" s="810">
        <v>2</v>
      </c>
      <c r="V11" s="810">
        <v>3</v>
      </c>
      <c r="W11" s="810">
        <v>4</v>
      </c>
      <c r="X11" s="810">
        <v>5</v>
      </c>
      <c r="Y11" s="810">
        <v>6</v>
      </c>
      <c r="Z11" s="810">
        <v>7</v>
      </c>
      <c r="AA11" s="810">
        <v>1</v>
      </c>
      <c r="AB11" s="810">
        <v>2</v>
      </c>
      <c r="AC11" s="810">
        <v>3</v>
      </c>
      <c r="AD11" s="810">
        <v>4</v>
      </c>
      <c r="AE11" s="810">
        <v>5</v>
      </c>
      <c r="AF11" s="810">
        <v>6</v>
      </c>
      <c r="AG11" s="810">
        <v>7</v>
      </c>
      <c r="AH11" s="810">
        <v>1</v>
      </c>
      <c r="AI11" s="810">
        <v>2</v>
      </c>
      <c r="AJ11" s="810">
        <v>3</v>
      </c>
      <c r="AK11" s="810">
        <v>4</v>
      </c>
      <c r="AL11" s="810">
        <v>5</v>
      </c>
      <c r="AM11" s="810">
        <v>6</v>
      </c>
      <c r="AN11" s="810">
        <v>7</v>
      </c>
      <c r="AO11" s="810">
        <v>1</v>
      </c>
      <c r="AP11" s="810">
        <v>2</v>
      </c>
      <c r="AQ11" s="810">
        <v>3</v>
      </c>
      <c r="AR11" s="810">
        <v>4</v>
      </c>
      <c r="AS11" s="810">
        <v>5</v>
      </c>
      <c r="AT11" s="810">
        <v>6</v>
      </c>
      <c r="AU11" s="810">
        <v>7</v>
      </c>
      <c r="AV11" s="810">
        <v>1</v>
      </c>
      <c r="AW11" s="810">
        <v>2</v>
      </c>
      <c r="AX11" s="810">
        <v>3</v>
      </c>
      <c r="AY11" s="810">
        <v>4</v>
      </c>
      <c r="AZ11" s="810">
        <v>5</v>
      </c>
      <c r="BA11" s="810">
        <v>6</v>
      </c>
      <c r="BB11" s="810">
        <v>7</v>
      </c>
      <c r="BC11" s="810">
        <v>1</v>
      </c>
      <c r="BD11" s="810">
        <v>2</v>
      </c>
      <c r="BE11" s="810">
        <v>3</v>
      </c>
      <c r="BF11" s="810">
        <v>4</v>
      </c>
      <c r="BG11" s="810">
        <v>5</v>
      </c>
      <c r="BH11" s="810">
        <v>6</v>
      </c>
      <c r="BI11" s="810">
        <v>7</v>
      </c>
      <c r="BJ11" s="810">
        <v>1</v>
      </c>
      <c r="BK11" s="810">
        <v>2</v>
      </c>
      <c r="BL11" s="810">
        <v>3</v>
      </c>
      <c r="BM11" s="810">
        <v>4</v>
      </c>
      <c r="BN11" s="810">
        <v>5</v>
      </c>
      <c r="BO11" s="810">
        <v>6</v>
      </c>
      <c r="BP11" s="810">
        <v>7</v>
      </c>
      <c r="BQ11" s="810">
        <v>1</v>
      </c>
      <c r="BR11" s="810">
        <v>2</v>
      </c>
      <c r="BS11" s="810">
        <v>3</v>
      </c>
      <c r="BT11" s="810">
        <v>4</v>
      </c>
      <c r="BU11" s="810">
        <v>5</v>
      </c>
      <c r="BV11" s="810">
        <v>6</v>
      </c>
      <c r="BW11" s="810">
        <v>7</v>
      </c>
      <c r="BX11" s="810">
        <v>1</v>
      </c>
      <c r="BY11" s="810">
        <v>2</v>
      </c>
      <c r="BZ11" s="810">
        <v>3</v>
      </c>
      <c r="CA11" s="810">
        <v>4</v>
      </c>
      <c r="CB11" s="810">
        <v>5</v>
      </c>
      <c r="CC11" s="810">
        <v>6</v>
      </c>
      <c r="CD11" s="810">
        <v>7</v>
      </c>
      <c r="CE11" s="810">
        <v>1</v>
      </c>
      <c r="CF11" s="810">
        <v>2</v>
      </c>
      <c r="CG11" s="810">
        <v>3</v>
      </c>
      <c r="CH11" s="810">
        <v>4</v>
      </c>
      <c r="CI11" s="810">
        <v>5</v>
      </c>
      <c r="CJ11" s="810">
        <v>6</v>
      </c>
      <c r="CK11" s="810">
        <v>7</v>
      </c>
      <c r="CL11" s="810">
        <v>1</v>
      </c>
      <c r="CM11" s="810">
        <v>2</v>
      </c>
      <c r="CN11" s="810">
        <v>3</v>
      </c>
      <c r="CO11" s="810">
        <v>4</v>
      </c>
      <c r="CP11" s="810">
        <v>5</v>
      </c>
      <c r="CQ11" s="810">
        <v>6</v>
      </c>
      <c r="CR11" s="810">
        <v>7</v>
      </c>
      <c r="CS11" s="810">
        <v>1</v>
      </c>
      <c r="CT11" s="810">
        <v>2</v>
      </c>
      <c r="CU11" s="810">
        <v>3</v>
      </c>
      <c r="CV11" s="810">
        <v>4</v>
      </c>
      <c r="CW11" s="810">
        <v>5</v>
      </c>
      <c r="CX11" s="810">
        <v>6</v>
      </c>
      <c r="CY11" s="810">
        <v>7</v>
      </c>
      <c r="CZ11" s="1074"/>
    </row>
    <row r="12" spans="1:104" ht="8.1" customHeight="1" thickBot="1">
      <c r="A12" s="938"/>
      <c r="B12" s="950"/>
      <c r="C12" s="1046"/>
      <c r="D12" s="1045"/>
      <c r="E12" s="944"/>
      <c r="F12" s="1003"/>
      <c r="G12" s="989"/>
      <c r="H12" s="1140"/>
      <c r="I12" s="1038"/>
      <c r="J12" s="987"/>
      <c r="K12" s="987"/>
      <c r="L12" s="808" t="s">
        <v>3320</v>
      </c>
      <c r="M12" s="1024">
        <f>M10+T10+AA10+AH10</f>
        <v>1250862.8999999999</v>
      </c>
      <c r="N12" s="967"/>
      <c r="O12" s="967"/>
      <c r="P12" s="967"/>
      <c r="Q12" s="967"/>
      <c r="R12" s="967"/>
      <c r="S12" s="967"/>
      <c r="T12" s="967"/>
      <c r="U12" s="967"/>
      <c r="V12" s="967"/>
      <c r="W12" s="967"/>
      <c r="X12" s="967"/>
      <c r="Y12" s="967"/>
      <c r="Z12" s="967"/>
      <c r="AA12" s="967"/>
      <c r="AB12" s="967"/>
      <c r="AC12" s="967"/>
      <c r="AD12" s="967"/>
      <c r="AE12" s="967"/>
      <c r="AF12" s="967"/>
      <c r="AG12" s="967"/>
      <c r="AH12" s="967"/>
      <c r="AI12" s="967"/>
      <c r="AJ12" s="967"/>
      <c r="AK12" s="967"/>
      <c r="AL12" s="967"/>
      <c r="AM12" s="967"/>
      <c r="AN12" s="967"/>
      <c r="AO12" s="967"/>
      <c r="AP12" s="967"/>
      <c r="AQ12" s="967">
        <f>AO10+AV10+BC10+BJ10</f>
        <v>0</v>
      </c>
      <c r="AR12" s="967"/>
      <c r="AS12" s="967"/>
      <c r="AT12" s="967"/>
      <c r="AU12" s="967"/>
      <c r="AV12" s="967"/>
      <c r="AW12" s="967"/>
      <c r="AX12" s="967"/>
      <c r="AY12" s="967"/>
      <c r="AZ12" s="967"/>
      <c r="BA12" s="967"/>
      <c r="BB12" s="967"/>
      <c r="BC12" s="967"/>
      <c r="BD12" s="967"/>
      <c r="BE12" s="967"/>
      <c r="BF12" s="967"/>
      <c r="BG12" s="967"/>
      <c r="BH12" s="967"/>
      <c r="BI12" s="967"/>
      <c r="BJ12" s="967"/>
      <c r="BK12" s="967"/>
      <c r="BL12" s="967"/>
      <c r="BM12" s="967"/>
      <c r="BN12" s="967"/>
      <c r="BO12" s="967"/>
      <c r="BP12" s="967"/>
      <c r="BQ12" s="967"/>
      <c r="BR12" s="967"/>
      <c r="BS12" s="967"/>
      <c r="BT12" s="967"/>
      <c r="BU12" s="967">
        <f>BQ10+BX10+CE10+CL10+CS10</f>
        <v>0</v>
      </c>
      <c r="BV12" s="967"/>
      <c r="BW12" s="967"/>
      <c r="BX12" s="967"/>
      <c r="BY12" s="967"/>
      <c r="BZ12" s="967"/>
      <c r="CA12" s="967"/>
      <c r="CB12" s="967"/>
      <c r="CC12" s="967"/>
      <c r="CD12" s="967"/>
      <c r="CE12" s="967"/>
      <c r="CF12" s="967"/>
      <c r="CG12" s="967"/>
      <c r="CH12" s="967"/>
      <c r="CI12" s="967"/>
      <c r="CJ12" s="967"/>
      <c r="CK12" s="967"/>
      <c r="CL12" s="967"/>
      <c r="CM12" s="967"/>
      <c r="CN12" s="967"/>
      <c r="CO12" s="967"/>
      <c r="CP12" s="967"/>
      <c r="CQ12" s="967"/>
      <c r="CR12" s="967"/>
      <c r="CS12" s="967"/>
      <c r="CT12" s="967"/>
      <c r="CU12" s="967"/>
      <c r="CV12" s="967"/>
      <c r="CW12" s="967"/>
      <c r="CX12" s="967"/>
      <c r="CY12" s="967"/>
      <c r="CZ12" s="1074"/>
    </row>
    <row r="13" spans="1:104" ht="10.5" customHeight="1">
      <c r="A13" s="938">
        <f>EDIFICACION!A18</f>
        <v>1.2</v>
      </c>
      <c r="B13" s="940" t="str">
        <f>EDIFICACION!B18</f>
        <v>EXCAVACION MANUAL  PARA RETIRO DE TUBERIA Y ZAPATAS DE TANQUE ELEVADO</v>
      </c>
      <c r="C13" s="1046" t="str">
        <f>EDIFICACION!C18</f>
        <v>M3</v>
      </c>
      <c r="D13" s="1045">
        <f>(18*0.3*0.3)+(1.2*1.2*1.2*2)</f>
        <v>5.0759999999999996</v>
      </c>
      <c r="E13" s="944">
        <f>EDIFICACION!F18</f>
        <v>34994</v>
      </c>
      <c r="F13" s="1003">
        <f t="shared" si="0"/>
        <v>177629.54399999999</v>
      </c>
      <c r="G13" s="989">
        <f>F13/F259</f>
        <v>5.3636147115340021E-4</v>
      </c>
      <c r="H13" s="1140"/>
      <c r="I13" s="1053" t="s">
        <v>3340</v>
      </c>
      <c r="J13" s="985" t="s">
        <v>3341</v>
      </c>
      <c r="K13" s="985" t="s">
        <v>3342</v>
      </c>
      <c r="L13" s="806" t="s">
        <v>3318</v>
      </c>
      <c r="M13" s="1034"/>
      <c r="N13" s="1033"/>
      <c r="O13" s="1033"/>
      <c r="P13" s="1033"/>
      <c r="Q13" s="1033"/>
      <c r="R13" s="1033"/>
      <c r="S13" s="1033"/>
      <c r="T13" s="1033"/>
      <c r="U13" s="1033"/>
      <c r="V13" s="1033"/>
      <c r="W13" s="1033"/>
      <c r="X13" s="1033"/>
      <c r="Y13" s="1033"/>
      <c r="Z13" s="1033"/>
      <c r="AA13" s="1023">
        <f>F13/CZ13*AB14</f>
        <v>177629.54399999999</v>
      </c>
      <c r="AB13" s="1023"/>
      <c r="AC13" s="1023"/>
      <c r="AD13" s="1023"/>
      <c r="AE13" s="1023"/>
      <c r="AF13" s="1023"/>
      <c r="AG13" s="1023"/>
      <c r="AH13" s="1033"/>
      <c r="AI13" s="1033"/>
      <c r="AJ13" s="1033"/>
      <c r="AK13" s="1033"/>
      <c r="AL13" s="1033"/>
      <c r="AM13" s="1033"/>
      <c r="AN13" s="1033"/>
      <c r="AO13" s="1033"/>
      <c r="AP13" s="1033"/>
      <c r="AQ13" s="1033"/>
      <c r="AR13" s="1033"/>
      <c r="AS13" s="1033"/>
      <c r="AT13" s="1033"/>
      <c r="AU13" s="1033"/>
      <c r="AV13" s="1033"/>
      <c r="AW13" s="1033"/>
      <c r="AX13" s="1033"/>
      <c r="AY13" s="1033"/>
      <c r="AZ13" s="1033"/>
      <c r="BA13" s="1033"/>
      <c r="BB13" s="1033"/>
      <c r="BC13" s="1033"/>
      <c r="BD13" s="1033"/>
      <c r="BE13" s="1033"/>
      <c r="BF13" s="1033"/>
      <c r="BG13" s="1033"/>
      <c r="BH13" s="1033"/>
      <c r="BI13" s="1033"/>
      <c r="BJ13" s="1033"/>
      <c r="BK13" s="1033"/>
      <c r="BL13" s="1033"/>
      <c r="BM13" s="1033"/>
      <c r="BN13" s="1033"/>
      <c r="BO13" s="1033"/>
      <c r="BP13" s="1033"/>
      <c r="BQ13" s="1033"/>
      <c r="BR13" s="1033"/>
      <c r="BS13" s="1033"/>
      <c r="BT13" s="1033"/>
      <c r="BU13" s="1033"/>
      <c r="BV13" s="1033"/>
      <c r="BW13" s="1033"/>
      <c r="BX13" s="1033"/>
      <c r="BY13" s="1033"/>
      <c r="BZ13" s="1033"/>
      <c r="CA13" s="1033"/>
      <c r="CB13" s="1033"/>
      <c r="CC13" s="1033"/>
      <c r="CD13" s="1033"/>
      <c r="CE13" s="1033"/>
      <c r="CF13" s="1033"/>
      <c r="CG13" s="1033"/>
      <c r="CH13" s="1033"/>
      <c r="CI13" s="1033"/>
      <c r="CJ13" s="1033"/>
      <c r="CK13" s="1033"/>
      <c r="CL13" s="1033"/>
      <c r="CM13" s="1033"/>
      <c r="CN13" s="1033"/>
      <c r="CO13" s="1033"/>
      <c r="CP13" s="1033"/>
      <c r="CQ13" s="1033"/>
      <c r="CR13" s="1033"/>
      <c r="CS13" s="1033"/>
      <c r="CT13" s="1033"/>
      <c r="CU13" s="1033"/>
      <c r="CV13" s="1033"/>
      <c r="CW13" s="1033"/>
      <c r="CX13" s="1033"/>
      <c r="CY13" s="1033"/>
      <c r="CZ13" s="1073">
        <v>2</v>
      </c>
    </row>
    <row r="14" spans="1:104" ht="10.5" customHeight="1">
      <c r="A14" s="938"/>
      <c r="B14" s="940"/>
      <c r="C14" s="1046"/>
      <c r="D14" s="1045"/>
      <c r="E14" s="944"/>
      <c r="F14" s="1003"/>
      <c r="G14" s="989"/>
      <c r="H14" s="1140"/>
      <c r="I14" s="1037"/>
      <c r="J14" s="986"/>
      <c r="K14" s="986"/>
      <c r="L14" s="807" t="s">
        <v>3319</v>
      </c>
      <c r="M14" s="811">
        <v>1</v>
      </c>
      <c r="N14" s="810">
        <v>2</v>
      </c>
      <c r="O14" s="810">
        <v>3</v>
      </c>
      <c r="P14" s="810">
        <v>4</v>
      </c>
      <c r="Q14" s="810">
        <v>5</v>
      </c>
      <c r="R14" s="810">
        <v>6</v>
      </c>
      <c r="S14" s="810">
        <v>7</v>
      </c>
      <c r="T14" s="810">
        <v>1</v>
      </c>
      <c r="U14" s="810">
        <v>2</v>
      </c>
      <c r="V14" s="810">
        <v>3</v>
      </c>
      <c r="W14" s="810">
        <v>4</v>
      </c>
      <c r="X14" s="810">
        <v>5</v>
      </c>
      <c r="Y14" s="810">
        <v>6</v>
      </c>
      <c r="Z14" s="810">
        <v>7</v>
      </c>
      <c r="AA14" s="810">
        <v>1</v>
      </c>
      <c r="AB14" s="810">
        <v>2</v>
      </c>
      <c r="AC14" s="812">
        <v>3</v>
      </c>
      <c r="AD14" s="812">
        <v>4</v>
      </c>
      <c r="AE14" s="810">
        <v>5</v>
      </c>
      <c r="AF14" s="810">
        <v>6</v>
      </c>
      <c r="AG14" s="810">
        <v>7</v>
      </c>
      <c r="AH14" s="810">
        <v>1</v>
      </c>
      <c r="AI14" s="810">
        <v>2</v>
      </c>
      <c r="AJ14" s="810">
        <v>3</v>
      </c>
      <c r="AK14" s="810">
        <v>4</v>
      </c>
      <c r="AL14" s="810">
        <v>5</v>
      </c>
      <c r="AM14" s="810">
        <v>6</v>
      </c>
      <c r="AN14" s="810">
        <v>7</v>
      </c>
      <c r="AO14" s="810">
        <v>1</v>
      </c>
      <c r="AP14" s="810">
        <v>2</v>
      </c>
      <c r="AQ14" s="810">
        <v>3</v>
      </c>
      <c r="AR14" s="810">
        <v>4</v>
      </c>
      <c r="AS14" s="810">
        <v>5</v>
      </c>
      <c r="AT14" s="810">
        <v>6</v>
      </c>
      <c r="AU14" s="810">
        <v>7</v>
      </c>
      <c r="AV14" s="810">
        <v>1</v>
      </c>
      <c r="AW14" s="810">
        <v>2</v>
      </c>
      <c r="AX14" s="810">
        <v>3</v>
      </c>
      <c r="AY14" s="810">
        <v>4</v>
      </c>
      <c r="AZ14" s="810">
        <v>5</v>
      </c>
      <c r="BA14" s="810">
        <v>6</v>
      </c>
      <c r="BB14" s="810">
        <v>7</v>
      </c>
      <c r="BC14" s="810">
        <v>1</v>
      </c>
      <c r="BD14" s="810">
        <v>2</v>
      </c>
      <c r="BE14" s="810">
        <v>3</v>
      </c>
      <c r="BF14" s="810">
        <v>4</v>
      </c>
      <c r="BG14" s="810">
        <v>5</v>
      </c>
      <c r="BH14" s="810">
        <v>6</v>
      </c>
      <c r="BI14" s="810">
        <v>7</v>
      </c>
      <c r="BJ14" s="810">
        <v>1</v>
      </c>
      <c r="BK14" s="810">
        <v>2</v>
      </c>
      <c r="BL14" s="810">
        <v>3</v>
      </c>
      <c r="BM14" s="810">
        <v>4</v>
      </c>
      <c r="BN14" s="810">
        <v>5</v>
      </c>
      <c r="BO14" s="810">
        <v>6</v>
      </c>
      <c r="BP14" s="810">
        <v>7</v>
      </c>
      <c r="BQ14" s="810">
        <v>1</v>
      </c>
      <c r="BR14" s="810">
        <v>2</v>
      </c>
      <c r="BS14" s="810">
        <v>3</v>
      </c>
      <c r="BT14" s="810">
        <v>4</v>
      </c>
      <c r="BU14" s="810">
        <v>5</v>
      </c>
      <c r="BV14" s="810">
        <v>6</v>
      </c>
      <c r="BW14" s="810">
        <v>7</v>
      </c>
      <c r="BX14" s="810">
        <v>1</v>
      </c>
      <c r="BY14" s="810">
        <v>2</v>
      </c>
      <c r="BZ14" s="810">
        <v>3</v>
      </c>
      <c r="CA14" s="810">
        <v>4</v>
      </c>
      <c r="CB14" s="810">
        <v>5</v>
      </c>
      <c r="CC14" s="810">
        <v>6</v>
      </c>
      <c r="CD14" s="810">
        <v>7</v>
      </c>
      <c r="CE14" s="810">
        <v>1</v>
      </c>
      <c r="CF14" s="810">
        <v>2</v>
      </c>
      <c r="CG14" s="810">
        <v>3</v>
      </c>
      <c r="CH14" s="810">
        <v>4</v>
      </c>
      <c r="CI14" s="810">
        <v>5</v>
      </c>
      <c r="CJ14" s="810">
        <v>6</v>
      </c>
      <c r="CK14" s="810">
        <v>7</v>
      </c>
      <c r="CL14" s="810">
        <v>1</v>
      </c>
      <c r="CM14" s="810">
        <v>2</v>
      </c>
      <c r="CN14" s="810">
        <v>3</v>
      </c>
      <c r="CO14" s="810">
        <v>4</v>
      </c>
      <c r="CP14" s="810">
        <v>5</v>
      </c>
      <c r="CQ14" s="810">
        <v>6</v>
      </c>
      <c r="CR14" s="810">
        <v>7</v>
      </c>
      <c r="CS14" s="810">
        <v>1</v>
      </c>
      <c r="CT14" s="810">
        <v>2</v>
      </c>
      <c r="CU14" s="810">
        <v>3</v>
      </c>
      <c r="CV14" s="810">
        <v>4</v>
      </c>
      <c r="CW14" s="810">
        <v>5</v>
      </c>
      <c r="CX14" s="810">
        <v>6</v>
      </c>
      <c r="CY14" s="810">
        <v>7</v>
      </c>
      <c r="CZ14" s="1074"/>
    </row>
    <row r="15" spans="1:104" ht="10.5" customHeight="1" thickBot="1">
      <c r="A15" s="938"/>
      <c r="B15" s="940"/>
      <c r="C15" s="1046"/>
      <c r="D15" s="1045"/>
      <c r="E15" s="944"/>
      <c r="F15" s="1003"/>
      <c r="G15" s="989"/>
      <c r="H15" s="1140"/>
      <c r="I15" s="1038"/>
      <c r="J15" s="987"/>
      <c r="K15" s="987"/>
      <c r="L15" s="808" t="s">
        <v>3320</v>
      </c>
      <c r="M15" s="1058">
        <f>M13+T13+AA13+AH13</f>
        <v>177629.54399999999</v>
      </c>
      <c r="N15" s="1059"/>
      <c r="O15" s="1059"/>
      <c r="P15" s="1059"/>
      <c r="Q15" s="1059"/>
      <c r="R15" s="1059"/>
      <c r="S15" s="1059"/>
      <c r="T15" s="1059"/>
      <c r="U15" s="1059"/>
      <c r="V15" s="1059"/>
      <c r="W15" s="1059"/>
      <c r="X15" s="1059"/>
      <c r="Y15" s="1059"/>
      <c r="Z15" s="1059"/>
      <c r="AA15" s="1059"/>
      <c r="AB15" s="1059"/>
      <c r="AC15" s="1059"/>
      <c r="AD15" s="1059"/>
      <c r="AE15" s="1059"/>
      <c r="AF15" s="1059"/>
      <c r="AG15" s="1059"/>
      <c r="AH15" s="1059"/>
      <c r="AI15" s="1059"/>
      <c r="AJ15" s="1059"/>
      <c r="AK15" s="1059"/>
      <c r="AL15" s="1059"/>
      <c r="AM15" s="1059"/>
      <c r="AN15" s="1059"/>
      <c r="AO15" s="1059"/>
      <c r="AP15" s="1059"/>
      <c r="AQ15" s="967">
        <f>AO13+AV13+BC13+BJ13</f>
        <v>0</v>
      </c>
      <c r="AR15" s="967"/>
      <c r="AS15" s="967"/>
      <c r="AT15" s="967"/>
      <c r="AU15" s="967"/>
      <c r="AV15" s="967"/>
      <c r="AW15" s="967"/>
      <c r="AX15" s="967"/>
      <c r="AY15" s="967"/>
      <c r="AZ15" s="967"/>
      <c r="BA15" s="967"/>
      <c r="BB15" s="967"/>
      <c r="BC15" s="967"/>
      <c r="BD15" s="967"/>
      <c r="BE15" s="967"/>
      <c r="BF15" s="967"/>
      <c r="BG15" s="967"/>
      <c r="BH15" s="967"/>
      <c r="BI15" s="967"/>
      <c r="BJ15" s="967"/>
      <c r="BK15" s="967"/>
      <c r="BL15" s="967"/>
      <c r="BM15" s="967"/>
      <c r="BN15" s="967"/>
      <c r="BO15" s="967"/>
      <c r="BP15" s="967"/>
      <c r="BQ15" s="967"/>
      <c r="BR15" s="967"/>
      <c r="BS15" s="967"/>
      <c r="BT15" s="967"/>
      <c r="BU15" s="967">
        <f>BQ13+BX13+CE13+CL13+CS13</f>
        <v>0</v>
      </c>
      <c r="BV15" s="967"/>
      <c r="BW15" s="967"/>
      <c r="BX15" s="967"/>
      <c r="BY15" s="967"/>
      <c r="BZ15" s="967"/>
      <c r="CA15" s="967"/>
      <c r="CB15" s="967"/>
      <c r="CC15" s="967"/>
      <c r="CD15" s="967"/>
      <c r="CE15" s="967"/>
      <c r="CF15" s="967"/>
      <c r="CG15" s="967"/>
      <c r="CH15" s="967"/>
      <c r="CI15" s="967"/>
      <c r="CJ15" s="967"/>
      <c r="CK15" s="967"/>
      <c r="CL15" s="967"/>
      <c r="CM15" s="967"/>
      <c r="CN15" s="967"/>
      <c r="CO15" s="967"/>
      <c r="CP15" s="967"/>
      <c r="CQ15" s="967"/>
      <c r="CR15" s="967"/>
      <c r="CS15" s="967"/>
      <c r="CT15" s="967"/>
      <c r="CU15" s="967"/>
      <c r="CV15" s="967"/>
      <c r="CW15" s="967"/>
      <c r="CX15" s="967"/>
      <c r="CY15" s="967"/>
      <c r="CZ15" s="1074"/>
    </row>
    <row r="16" spans="1:104" ht="8.1" customHeight="1">
      <c r="A16" s="938">
        <f>EDIFICACION!A22</f>
        <v>1.3</v>
      </c>
      <c r="B16" s="940" t="str">
        <f>EDIFICACION!B22</f>
        <v>RELLENO SELECCIONADO, INCL. SUMINISTRO Y COMPACTACION</v>
      </c>
      <c r="C16" s="1046" t="str">
        <f>EDIFICACION!C22</f>
        <v>M3</v>
      </c>
      <c r="D16" s="1045">
        <v>140</v>
      </c>
      <c r="E16" s="944">
        <f>EDIFICACION!F22</f>
        <v>52398</v>
      </c>
      <c r="F16" s="1003">
        <f t="shared" si="0"/>
        <v>7335720</v>
      </c>
      <c r="G16" s="989">
        <f>F16/F259</f>
        <v>2.2150580824378072E-2</v>
      </c>
      <c r="H16" s="1140"/>
      <c r="I16" s="1053" t="s">
        <v>3340</v>
      </c>
      <c r="J16" s="1054" t="s">
        <v>3369</v>
      </c>
      <c r="K16" s="1054" t="s">
        <v>3370</v>
      </c>
      <c r="L16" s="806" t="s">
        <v>3318</v>
      </c>
      <c r="M16" s="1034"/>
      <c r="N16" s="1033"/>
      <c r="O16" s="1033"/>
      <c r="P16" s="1033"/>
      <c r="Q16" s="1033"/>
      <c r="R16" s="1033"/>
      <c r="S16" s="1033"/>
      <c r="T16" s="1033"/>
      <c r="U16" s="1033"/>
      <c r="V16" s="1033"/>
      <c r="W16" s="1033"/>
      <c r="X16" s="1033"/>
      <c r="Y16" s="1033"/>
      <c r="Z16" s="1033"/>
      <c r="AA16" s="1069"/>
      <c r="AB16" s="1069"/>
      <c r="AC16" s="1069"/>
      <c r="AD16" s="1069"/>
      <c r="AE16" s="1069"/>
      <c r="AF16" s="1069"/>
      <c r="AG16" s="1069"/>
      <c r="AH16" s="1033"/>
      <c r="AI16" s="1033"/>
      <c r="AJ16" s="1033"/>
      <c r="AK16" s="1033"/>
      <c r="AL16" s="1033"/>
      <c r="AM16" s="1033"/>
      <c r="AN16" s="1033"/>
      <c r="AO16" s="1070">
        <f>F16/CZ16*AP17</f>
        <v>7335720</v>
      </c>
      <c r="AP16" s="1071"/>
      <c r="AQ16" s="1071"/>
      <c r="AR16" s="1071"/>
      <c r="AS16" s="1071"/>
      <c r="AT16" s="1071"/>
      <c r="AU16" s="1071"/>
      <c r="AV16" s="1033"/>
      <c r="AW16" s="1033"/>
      <c r="AX16" s="1033"/>
      <c r="AY16" s="1033"/>
      <c r="AZ16" s="1033"/>
      <c r="BA16" s="1033"/>
      <c r="BB16" s="1033"/>
      <c r="BC16" s="1033"/>
      <c r="BD16" s="1033"/>
      <c r="BE16" s="1033"/>
      <c r="BF16" s="1033"/>
      <c r="BG16" s="1033"/>
      <c r="BH16" s="1033"/>
      <c r="BI16" s="1033"/>
      <c r="BJ16" s="1033"/>
      <c r="BK16" s="1033"/>
      <c r="BL16" s="1033"/>
      <c r="BM16" s="1033"/>
      <c r="BN16" s="1033"/>
      <c r="BO16" s="1033"/>
      <c r="BP16" s="1033"/>
      <c r="BQ16" s="1033"/>
      <c r="BR16" s="1033"/>
      <c r="BS16" s="1033"/>
      <c r="BT16" s="1033"/>
      <c r="BU16" s="1033"/>
      <c r="BV16" s="1033"/>
      <c r="BW16" s="1033"/>
      <c r="BX16" s="1033"/>
      <c r="BY16" s="1033"/>
      <c r="BZ16" s="1033"/>
      <c r="CA16" s="1033"/>
      <c r="CB16" s="1033"/>
      <c r="CC16" s="1033"/>
      <c r="CD16" s="1033"/>
      <c r="CE16" s="1033"/>
      <c r="CF16" s="1033"/>
      <c r="CG16" s="1033"/>
      <c r="CH16" s="1033"/>
      <c r="CI16" s="1033"/>
      <c r="CJ16" s="1033"/>
      <c r="CK16" s="1033"/>
      <c r="CL16" s="1033"/>
      <c r="CM16" s="1033"/>
      <c r="CN16" s="1033"/>
      <c r="CO16" s="1033"/>
      <c r="CP16" s="1033"/>
      <c r="CQ16" s="1033"/>
      <c r="CR16" s="1033"/>
      <c r="CS16" s="1033"/>
      <c r="CT16" s="1033"/>
      <c r="CU16" s="1033"/>
      <c r="CV16" s="1033"/>
      <c r="CW16" s="1033"/>
      <c r="CX16" s="1033"/>
      <c r="CY16" s="1033"/>
      <c r="CZ16" s="1073">
        <v>2</v>
      </c>
    </row>
    <row r="17" spans="1:104" ht="8.1" customHeight="1">
      <c r="A17" s="938"/>
      <c r="B17" s="940"/>
      <c r="C17" s="1046"/>
      <c r="D17" s="1045"/>
      <c r="E17" s="944"/>
      <c r="F17" s="1003"/>
      <c r="G17" s="989"/>
      <c r="H17" s="1140"/>
      <c r="I17" s="1037"/>
      <c r="J17" s="1055"/>
      <c r="K17" s="1055"/>
      <c r="L17" s="807" t="s">
        <v>3319</v>
      </c>
      <c r="M17" s="811">
        <v>1</v>
      </c>
      <c r="N17" s="810">
        <v>2</v>
      </c>
      <c r="O17" s="810">
        <v>3</v>
      </c>
      <c r="P17" s="810">
        <v>4</v>
      </c>
      <c r="Q17" s="810">
        <v>5</v>
      </c>
      <c r="R17" s="810">
        <v>6</v>
      </c>
      <c r="S17" s="810">
        <v>7</v>
      </c>
      <c r="T17" s="810">
        <v>1</v>
      </c>
      <c r="U17" s="810">
        <v>2</v>
      </c>
      <c r="V17" s="810">
        <v>3</v>
      </c>
      <c r="W17" s="810">
        <v>4</v>
      </c>
      <c r="X17" s="810">
        <v>5</v>
      </c>
      <c r="Y17" s="810">
        <v>6</v>
      </c>
      <c r="Z17" s="810">
        <v>7</v>
      </c>
      <c r="AA17" s="810">
        <v>1</v>
      </c>
      <c r="AB17" s="810">
        <v>2</v>
      </c>
      <c r="AC17" s="810">
        <v>3</v>
      </c>
      <c r="AD17" s="810">
        <v>4</v>
      </c>
      <c r="AE17" s="816">
        <v>5</v>
      </c>
      <c r="AF17" s="816">
        <v>6</v>
      </c>
      <c r="AG17" s="810">
        <v>7</v>
      </c>
      <c r="AH17" s="810">
        <v>1</v>
      </c>
      <c r="AI17" s="810">
        <v>2</v>
      </c>
      <c r="AJ17" s="810">
        <v>3</v>
      </c>
      <c r="AK17" s="810">
        <v>4</v>
      </c>
      <c r="AL17" s="810">
        <v>5</v>
      </c>
      <c r="AM17" s="810">
        <v>6</v>
      </c>
      <c r="AN17" s="810">
        <v>7</v>
      </c>
      <c r="AO17" s="810">
        <v>1</v>
      </c>
      <c r="AP17" s="810">
        <v>2</v>
      </c>
      <c r="AQ17" s="810">
        <v>3</v>
      </c>
      <c r="AR17" s="810">
        <v>4</v>
      </c>
      <c r="AS17" s="810">
        <v>5</v>
      </c>
      <c r="AT17" s="812">
        <v>6</v>
      </c>
      <c r="AU17" s="812">
        <v>7</v>
      </c>
      <c r="AV17" s="810">
        <v>1</v>
      </c>
      <c r="AW17" s="810">
        <v>2</v>
      </c>
      <c r="AX17" s="810">
        <v>3</v>
      </c>
      <c r="AY17" s="810">
        <v>4</v>
      </c>
      <c r="AZ17" s="810">
        <v>5</v>
      </c>
      <c r="BA17" s="810">
        <v>6</v>
      </c>
      <c r="BB17" s="810">
        <v>7</v>
      </c>
      <c r="BC17" s="810">
        <v>1</v>
      </c>
      <c r="BD17" s="810">
        <v>2</v>
      </c>
      <c r="BE17" s="810">
        <v>3</v>
      </c>
      <c r="BF17" s="810">
        <v>4</v>
      </c>
      <c r="BG17" s="810">
        <v>5</v>
      </c>
      <c r="BH17" s="810">
        <v>6</v>
      </c>
      <c r="BI17" s="810">
        <v>7</v>
      </c>
      <c r="BJ17" s="810">
        <v>1</v>
      </c>
      <c r="BK17" s="810">
        <v>2</v>
      </c>
      <c r="BL17" s="810">
        <v>3</v>
      </c>
      <c r="BM17" s="810">
        <v>4</v>
      </c>
      <c r="BN17" s="810">
        <v>5</v>
      </c>
      <c r="BO17" s="810">
        <v>6</v>
      </c>
      <c r="BP17" s="810">
        <v>7</v>
      </c>
      <c r="BQ17" s="810">
        <v>1</v>
      </c>
      <c r="BR17" s="810">
        <v>2</v>
      </c>
      <c r="BS17" s="810">
        <v>3</v>
      </c>
      <c r="BT17" s="810">
        <v>4</v>
      </c>
      <c r="BU17" s="810">
        <v>5</v>
      </c>
      <c r="BV17" s="810">
        <v>6</v>
      </c>
      <c r="BW17" s="810">
        <v>7</v>
      </c>
      <c r="BX17" s="810">
        <v>1</v>
      </c>
      <c r="BY17" s="810">
        <v>2</v>
      </c>
      <c r="BZ17" s="810">
        <v>3</v>
      </c>
      <c r="CA17" s="810">
        <v>4</v>
      </c>
      <c r="CB17" s="810">
        <v>5</v>
      </c>
      <c r="CC17" s="810">
        <v>6</v>
      </c>
      <c r="CD17" s="810">
        <v>7</v>
      </c>
      <c r="CE17" s="810">
        <v>1</v>
      </c>
      <c r="CF17" s="810">
        <v>2</v>
      </c>
      <c r="CG17" s="810">
        <v>3</v>
      </c>
      <c r="CH17" s="810">
        <v>4</v>
      </c>
      <c r="CI17" s="810">
        <v>5</v>
      </c>
      <c r="CJ17" s="810">
        <v>6</v>
      </c>
      <c r="CK17" s="810">
        <v>7</v>
      </c>
      <c r="CL17" s="810">
        <v>1</v>
      </c>
      <c r="CM17" s="810">
        <v>2</v>
      </c>
      <c r="CN17" s="810">
        <v>3</v>
      </c>
      <c r="CO17" s="810">
        <v>4</v>
      </c>
      <c r="CP17" s="810">
        <v>5</v>
      </c>
      <c r="CQ17" s="810">
        <v>6</v>
      </c>
      <c r="CR17" s="810">
        <v>7</v>
      </c>
      <c r="CS17" s="810">
        <v>1</v>
      </c>
      <c r="CT17" s="810">
        <v>2</v>
      </c>
      <c r="CU17" s="810">
        <v>3</v>
      </c>
      <c r="CV17" s="810">
        <v>4</v>
      </c>
      <c r="CW17" s="810">
        <v>5</v>
      </c>
      <c r="CX17" s="810">
        <v>6</v>
      </c>
      <c r="CY17" s="810">
        <v>7</v>
      </c>
      <c r="CZ17" s="1074"/>
    </row>
    <row r="18" spans="1:104" ht="8.1" customHeight="1" thickBot="1">
      <c r="A18" s="939"/>
      <c r="B18" s="941"/>
      <c r="C18" s="1047"/>
      <c r="D18" s="1048"/>
      <c r="E18" s="945"/>
      <c r="F18" s="1004"/>
      <c r="G18" s="1002"/>
      <c r="H18" s="1140"/>
      <c r="I18" s="1038"/>
      <c r="J18" s="1056"/>
      <c r="K18" s="1056"/>
      <c r="L18" s="808" t="s">
        <v>3320</v>
      </c>
      <c r="M18" s="1058">
        <f>M16+T16+AA16+AH16</f>
        <v>0</v>
      </c>
      <c r="N18" s="1059"/>
      <c r="O18" s="1059"/>
      <c r="P18" s="1059"/>
      <c r="Q18" s="1059"/>
      <c r="R18" s="1059"/>
      <c r="S18" s="1059"/>
      <c r="T18" s="1059"/>
      <c r="U18" s="1059"/>
      <c r="V18" s="1059"/>
      <c r="W18" s="1059"/>
      <c r="X18" s="1059"/>
      <c r="Y18" s="1059"/>
      <c r="Z18" s="1059"/>
      <c r="AA18" s="1059"/>
      <c r="AB18" s="1059"/>
      <c r="AC18" s="1059"/>
      <c r="AD18" s="1059"/>
      <c r="AE18" s="1059"/>
      <c r="AF18" s="1059"/>
      <c r="AG18" s="1059"/>
      <c r="AH18" s="1059"/>
      <c r="AI18" s="1059"/>
      <c r="AJ18" s="1059"/>
      <c r="AK18" s="1059"/>
      <c r="AL18" s="1059"/>
      <c r="AM18" s="1059"/>
      <c r="AN18" s="1059"/>
      <c r="AO18" s="1059"/>
      <c r="AP18" s="1059"/>
      <c r="AQ18" s="967">
        <f>AO16+AV16+BC16+BJ16</f>
        <v>7335720</v>
      </c>
      <c r="AR18" s="967"/>
      <c r="AS18" s="967"/>
      <c r="AT18" s="967"/>
      <c r="AU18" s="967"/>
      <c r="AV18" s="967"/>
      <c r="AW18" s="967"/>
      <c r="AX18" s="967"/>
      <c r="AY18" s="967"/>
      <c r="AZ18" s="967"/>
      <c r="BA18" s="967"/>
      <c r="BB18" s="967"/>
      <c r="BC18" s="967"/>
      <c r="BD18" s="967"/>
      <c r="BE18" s="967"/>
      <c r="BF18" s="967"/>
      <c r="BG18" s="967"/>
      <c r="BH18" s="967"/>
      <c r="BI18" s="967"/>
      <c r="BJ18" s="967"/>
      <c r="BK18" s="967"/>
      <c r="BL18" s="967"/>
      <c r="BM18" s="967"/>
      <c r="BN18" s="967"/>
      <c r="BO18" s="967"/>
      <c r="BP18" s="967"/>
      <c r="BQ18" s="967"/>
      <c r="BR18" s="967"/>
      <c r="BS18" s="967"/>
      <c r="BT18" s="967"/>
      <c r="BU18" s="967">
        <f>BQ16+BX16+CE16+CL16+CS16</f>
        <v>0</v>
      </c>
      <c r="BV18" s="967"/>
      <c r="BW18" s="967"/>
      <c r="BX18" s="967"/>
      <c r="BY18" s="967"/>
      <c r="BZ18" s="967"/>
      <c r="CA18" s="967"/>
      <c r="CB18" s="967"/>
      <c r="CC18" s="967"/>
      <c r="CD18" s="967"/>
      <c r="CE18" s="967"/>
      <c r="CF18" s="967"/>
      <c r="CG18" s="967"/>
      <c r="CH18" s="967"/>
      <c r="CI18" s="967"/>
      <c r="CJ18" s="967"/>
      <c r="CK18" s="967"/>
      <c r="CL18" s="967"/>
      <c r="CM18" s="967"/>
      <c r="CN18" s="967"/>
      <c r="CO18" s="967"/>
      <c r="CP18" s="967"/>
      <c r="CQ18" s="967"/>
      <c r="CR18" s="967"/>
      <c r="CS18" s="967"/>
      <c r="CT18" s="967"/>
      <c r="CU18" s="967"/>
      <c r="CV18" s="967"/>
      <c r="CW18" s="967"/>
      <c r="CX18" s="967"/>
      <c r="CY18" s="967"/>
      <c r="CZ18" s="1074"/>
    </row>
    <row r="19" spans="1:104" ht="19.899999999999999" customHeight="1">
      <c r="A19" s="721"/>
      <c r="B19" s="927"/>
      <c r="C19" s="715"/>
      <c r="D19" s="758"/>
      <c r="E19" s="771" t="s">
        <v>3245</v>
      </c>
      <c r="F19" s="769">
        <f>SUM(F10:F18)</f>
        <v>8764212.4440000001</v>
      </c>
      <c r="G19" s="802">
        <f>F19/F259</f>
        <v>2.6463986643825294E-2</v>
      </c>
      <c r="H19" s="1139"/>
      <c r="I19" s="1077"/>
      <c r="J19" s="1077"/>
      <c r="K19" s="1077"/>
      <c r="L19" s="1077"/>
      <c r="M19" s="1060">
        <f>M12+M15+M18</f>
        <v>1428492.4439999999</v>
      </c>
      <c r="N19" s="1061"/>
      <c r="O19" s="1061"/>
      <c r="P19" s="1061"/>
      <c r="Q19" s="1061"/>
      <c r="R19" s="1061"/>
      <c r="S19" s="1061"/>
      <c r="T19" s="1061"/>
      <c r="U19" s="1061"/>
      <c r="V19" s="1061"/>
      <c r="W19" s="1061"/>
      <c r="X19" s="1061"/>
      <c r="Y19" s="1061"/>
      <c r="Z19" s="1061"/>
      <c r="AA19" s="1061"/>
      <c r="AB19" s="1061"/>
      <c r="AC19" s="1061"/>
      <c r="AD19" s="1061"/>
      <c r="AE19" s="1061"/>
      <c r="AF19" s="1061"/>
      <c r="AG19" s="1061"/>
      <c r="AH19" s="1061"/>
      <c r="AI19" s="1061"/>
      <c r="AJ19" s="1061"/>
      <c r="AK19" s="1061"/>
      <c r="AL19" s="1061"/>
      <c r="AM19" s="1061"/>
      <c r="AN19" s="1061"/>
      <c r="AO19" s="1061"/>
      <c r="AP19" s="1062"/>
      <c r="AQ19" s="1060">
        <f>AQ12+AQ15+AQ18</f>
        <v>7335720</v>
      </c>
      <c r="AR19" s="1061"/>
      <c r="AS19" s="1061"/>
      <c r="AT19" s="1061"/>
      <c r="AU19" s="1061"/>
      <c r="AV19" s="1061"/>
      <c r="AW19" s="1061"/>
      <c r="AX19" s="1061"/>
      <c r="AY19" s="1061"/>
      <c r="AZ19" s="1061"/>
      <c r="BA19" s="1061"/>
      <c r="BB19" s="1061"/>
      <c r="BC19" s="1061"/>
      <c r="BD19" s="1061"/>
      <c r="BE19" s="1061"/>
      <c r="BF19" s="1061"/>
      <c r="BG19" s="1061"/>
      <c r="BH19" s="1061"/>
      <c r="BI19" s="1061"/>
      <c r="BJ19" s="1061"/>
      <c r="BK19" s="1061"/>
      <c r="BL19" s="1061"/>
      <c r="BM19" s="1061"/>
      <c r="BN19" s="1061"/>
      <c r="BO19" s="1061"/>
      <c r="BP19" s="1061"/>
      <c r="BQ19" s="1061"/>
      <c r="BR19" s="1061"/>
      <c r="BS19" s="1061"/>
      <c r="BT19" s="1062"/>
      <c r="BU19" s="1086">
        <f>BU12+BU15+BU18</f>
        <v>0</v>
      </c>
      <c r="BV19" s="1086"/>
      <c r="BW19" s="1086"/>
      <c r="BX19" s="1086"/>
      <c r="BY19" s="1086"/>
      <c r="BZ19" s="1086"/>
      <c r="CA19" s="1086"/>
      <c r="CB19" s="1086"/>
      <c r="CC19" s="1086"/>
      <c r="CD19" s="1086"/>
      <c r="CE19" s="1086"/>
      <c r="CF19" s="1086"/>
      <c r="CG19" s="1086"/>
      <c r="CH19" s="1086"/>
      <c r="CI19" s="1086"/>
      <c r="CJ19" s="1086"/>
      <c r="CK19" s="1086"/>
      <c r="CL19" s="1086"/>
      <c r="CM19" s="1086"/>
      <c r="CN19" s="1086"/>
      <c r="CO19" s="1086"/>
      <c r="CP19" s="1086"/>
      <c r="CQ19" s="1086"/>
      <c r="CR19" s="1086"/>
      <c r="CS19" s="1086"/>
      <c r="CT19" s="1086"/>
      <c r="CU19" s="1086"/>
      <c r="CV19" s="1086"/>
      <c r="CW19" s="1086"/>
      <c r="CX19" s="1086"/>
      <c r="CY19" s="1086"/>
      <c r="CZ19" s="713">
        <f>SUM(CZ10:CZ18)</f>
        <v>5</v>
      </c>
    </row>
    <row r="20" spans="1:104" ht="19.5" customHeight="1">
      <c r="A20" s="721"/>
      <c r="B20" s="927"/>
      <c r="C20" s="715"/>
      <c r="D20" s="758"/>
      <c r="E20" s="757"/>
      <c r="F20" s="716"/>
      <c r="H20" s="1139"/>
      <c r="I20" s="1025" t="s">
        <v>3324</v>
      </c>
      <c r="J20" s="1026"/>
      <c r="K20" s="1026"/>
      <c r="L20" s="1026"/>
      <c r="M20" s="791"/>
      <c r="N20" s="1027">
        <f>M19+AQ19+BU19</f>
        <v>8764212.4440000001</v>
      </c>
      <c r="O20" s="1027"/>
      <c r="P20" s="1027"/>
      <c r="Q20" s="1027"/>
      <c r="R20" s="1027"/>
      <c r="S20" s="1027"/>
      <c r="T20" s="1027"/>
      <c r="U20" s="1027"/>
      <c r="V20" s="1027"/>
      <c r="W20" s="1027"/>
      <c r="X20" s="1027"/>
      <c r="Y20" s="1027"/>
      <c r="Z20" s="1027"/>
      <c r="AA20" s="1027"/>
      <c r="AB20" s="1027"/>
      <c r="AC20" s="1027"/>
      <c r="AD20" s="1027"/>
      <c r="AE20" s="1027"/>
      <c r="AF20" s="1027"/>
      <c r="AG20" s="1027"/>
      <c r="AH20" s="1027"/>
      <c r="AI20" s="1027"/>
      <c r="AJ20" s="1027"/>
      <c r="AK20" s="1027"/>
      <c r="AL20" s="1027"/>
      <c r="AM20" s="1027"/>
      <c r="AN20" s="1027"/>
      <c r="AO20" s="1027"/>
      <c r="AP20" s="1027"/>
      <c r="AQ20" s="1027"/>
      <c r="AR20" s="1027"/>
      <c r="AS20" s="1027"/>
      <c r="AT20" s="1027"/>
      <c r="AU20" s="1027"/>
      <c r="AV20" s="1027"/>
      <c r="AW20" s="1027"/>
      <c r="AX20" s="1027"/>
      <c r="AY20" s="1027"/>
      <c r="AZ20" s="1027"/>
      <c r="BA20" s="1027"/>
      <c r="BB20" s="1027"/>
      <c r="BC20" s="1027"/>
      <c r="BD20" s="1027"/>
      <c r="BE20" s="1027"/>
      <c r="BF20" s="1027"/>
      <c r="BG20" s="1027"/>
      <c r="BH20" s="1027"/>
      <c r="BI20" s="1027"/>
      <c r="BJ20" s="1027"/>
      <c r="BK20" s="1027"/>
      <c r="BL20" s="1027"/>
      <c r="BM20" s="1027"/>
      <c r="BN20" s="1027"/>
      <c r="BO20" s="1027"/>
      <c r="BP20" s="1027"/>
      <c r="BQ20" s="1027"/>
      <c r="BR20" s="1027"/>
      <c r="BS20" s="1027"/>
      <c r="BT20" s="1027"/>
      <c r="BU20" s="1027"/>
      <c r="BV20" s="1027"/>
      <c r="BW20" s="1027"/>
      <c r="BX20" s="1027"/>
      <c r="BY20" s="1027"/>
      <c r="BZ20" s="1027"/>
      <c r="CA20" s="1027"/>
      <c r="CB20" s="1027"/>
      <c r="CC20" s="1027"/>
      <c r="CD20" s="1027"/>
      <c r="CE20" s="1027"/>
      <c r="CF20" s="1027"/>
      <c r="CG20" s="1027"/>
      <c r="CH20" s="1027"/>
      <c r="CI20" s="1027"/>
      <c r="CJ20" s="1027"/>
      <c r="CK20" s="1027"/>
      <c r="CL20" s="1027"/>
      <c r="CM20" s="1027"/>
      <c r="CN20" s="1027"/>
      <c r="CO20" s="1027"/>
      <c r="CP20" s="1027"/>
      <c r="CQ20" s="1027"/>
      <c r="CR20" s="1027"/>
      <c r="CS20" s="1027"/>
      <c r="CT20" s="1027"/>
      <c r="CU20" s="1027"/>
      <c r="CV20" s="1027"/>
      <c r="CW20" s="1027"/>
      <c r="CX20" s="1027"/>
      <c r="CY20" s="1027"/>
      <c r="CZ20" s="791"/>
    </row>
    <row r="21" spans="1:104" ht="19.899999999999999" customHeight="1" thickBot="1">
      <c r="A21" s="764" t="str">
        <f>EDIFICACION!A30</f>
        <v>II</v>
      </c>
      <c r="B21" s="1051" t="str">
        <f>EDIFICACION!B30</f>
        <v>DEMOLICIONES Y DESMONTES</v>
      </c>
      <c r="C21" s="1052"/>
      <c r="D21" s="1052"/>
      <c r="E21" s="1052"/>
      <c r="F21" s="1052"/>
      <c r="G21" s="1052"/>
      <c r="H21" s="1139"/>
      <c r="I21" s="1028"/>
      <c r="J21" s="1028"/>
      <c r="K21" s="1028"/>
      <c r="L21" s="1028"/>
      <c r="M21" s="994"/>
      <c r="N21" s="994"/>
      <c r="O21" s="994"/>
      <c r="P21" s="994"/>
      <c r="Q21" s="994"/>
      <c r="R21" s="994"/>
      <c r="S21" s="994"/>
      <c r="T21" s="994"/>
      <c r="U21" s="994"/>
      <c r="V21" s="994"/>
      <c r="W21" s="994"/>
      <c r="X21" s="994"/>
      <c r="Y21" s="994"/>
      <c r="Z21" s="994"/>
      <c r="AA21" s="994"/>
      <c r="AB21" s="994"/>
      <c r="AC21" s="994"/>
      <c r="AD21" s="994"/>
      <c r="AE21" s="994"/>
      <c r="AF21" s="994"/>
      <c r="AG21" s="994"/>
      <c r="AH21" s="994"/>
      <c r="AI21" s="994"/>
      <c r="AJ21" s="994"/>
      <c r="AK21" s="994"/>
      <c r="AL21" s="994"/>
      <c r="AM21" s="994"/>
      <c r="AN21" s="994"/>
      <c r="AO21" s="994"/>
      <c r="AP21" s="994"/>
      <c r="AQ21" s="994"/>
      <c r="AR21" s="994"/>
      <c r="AS21" s="994"/>
      <c r="AT21" s="994"/>
      <c r="AU21" s="994"/>
      <c r="AV21" s="994"/>
      <c r="AW21" s="994"/>
      <c r="AX21" s="994"/>
      <c r="AY21" s="994"/>
      <c r="AZ21" s="994"/>
      <c r="BA21" s="994"/>
      <c r="BB21" s="994"/>
      <c r="BC21" s="994"/>
      <c r="BD21" s="994"/>
      <c r="BE21" s="994"/>
      <c r="BF21" s="994"/>
      <c r="BG21" s="994"/>
      <c r="BH21" s="994"/>
      <c r="BI21" s="994"/>
      <c r="BJ21" s="994"/>
      <c r="BK21" s="994"/>
      <c r="BL21" s="994"/>
      <c r="BM21" s="994"/>
      <c r="BN21" s="994"/>
      <c r="BO21" s="994"/>
      <c r="BP21" s="994"/>
      <c r="BQ21" s="994"/>
      <c r="BR21" s="994"/>
      <c r="BS21" s="994"/>
      <c r="BT21" s="994"/>
      <c r="BU21" s="994"/>
      <c r="BV21" s="994"/>
      <c r="BW21" s="994"/>
      <c r="BX21" s="994"/>
      <c r="BY21" s="994"/>
      <c r="BZ21" s="994"/>
      <c r="CA21" s="994"/>
      <c r="CB21" s="994"/>
      <c r="CC21" s="994"/>
      <c r="CD21" s="994"/>
      <c r="CE21" s="994"/>
      <c r="CF21" s="994"/>
      <c r="CG21" s="994"/>
      <c r="CH21" s="994"/>
      <c r="CI21" s="994"/>
      <c r="CJ21" s="994"/>
      <c r="CK21" s="994"/>
      <c r="CL21" s="994"/>
      <c r="CM21" s="994"/>
      <c r="CN21" s="994"/>
      <c r="CO21" s="994"/>
      <c r="CP21" s="994"/>
      <c r="CQ21" s="994"/>
      <c r="CR21" s="994"/>
      <c r="CS21" s="994"/>
      <c r="CT21" s="994"/>
      <c r="CU21" s="994"/>
      <c r="CV21" s="994"/>
      <c r="CW21" s="994"/>
      <c r="CX21" s="994"/>
      <c r="CY21" s="994"/>
      <c r="CZ21" s="994"/>
    </row>
    <row r="22" spans="1:104" ht="8.1" customHeight="1">
      <c r="A22" s="938">
        <f>EDIFICACION!A31</f>
        <v>2.1</v>
      </c>
      <c r="B22" s="950" t="str">
        <f>EDIFICACION!B31</f>
        <v>DEMOLICIÓN  PISO ESPESOR HASTA .10</v>
      </c>
      <c r="C22" s="938" t="str">
        <f>EDIFICACION!C31</f>
        <v>M2</v>
      </c>
      <c r="D22" s="1045">
        <f>62.92+62.56+5+80</f>
        <v>210.48000000000002</v>
      </c>
      <c r="E22" s="944">
        <f>EDIFICACION!F31</f>
        <v>14805</v>
      </c>
      <c r="F22" s="1003">
        <f>E22*D22</f>
        <v>3116156.4000000004</v>
      </c>
      <c r="G22" s="1057">
        <f>F22/F259</f>
        <v>9.4093932428722764E-3</v>
      </c>
      <c r="H22" s="1140"/>
      <c r="I22" s="1009" t="s">
        <v>3340</v>
      </c>
      <c r="J22" s="985" t="s">
        <v>3346</v>
      </c>
      <c r="K22" s="985" t="s">
        <v>3347</v>
      </c>
      <c r="L22" s="806" t="s">
        <v>3318</v>
      </c>
      <c r="M22" s="1034"/>
      <c r="N22" s="1033"/>
      <c r="O22" s="1033"/>
      <c r="P22" s="1033"/>
      <c r="Q22" s="1033"/>
      <c r="R22" s="1033"/>
      <c r="S22" s="1033"/>
      <c r="T22" s="1035">
        <f>F22/CZ22*T23</f>
        <v>1558078.2000000002</v>
      </c>
      <c r="U22" s="1033"/>
      <c r="V22" s="1033"/>
      <c r="W22" s="1033"/>
      <c r="X22" s="1033"/>
      <c r="Y22" s="1033"/>
      <c r="Z22" s="1033"/>
      <c r="AA22" s="1035">
        <f>F22/CZ22*AA23</f>
        <v>1558078.2000000002</v>
      </c>
      <c r="AB22" s="1033"/>
      <c r="AC22" s="1033"/>
      <c r="AD22" s="1033"/>
      <c r="AE22" s="1033"/>
      <c r="AF22" s="1033"/>
      <c r="AG22" s="1033"/>
      <c r="AH22" s="1033"/>
      <c r="AI22" s="1033"/>
      <c r="AJ22" s="1033"/>
      <c r="AK22" s="1033"/>
      <c r="AL22" s="1033"/>
      <c r="AM22" s="1033"/>
      <c r="AN22" s="1033"/>
      <c r="AO22" s="1033"/>
      <c r="AP22" s="1033"/>
      <c r="AQ22" s="1033"/>
      <c r="AR22" s="1033"/>
      <c r="AS22" s="1033"/>
      <c r="AT22" s="1033"/>
      <c r="AU22" s="1033"/>
      <c r="AV22" s="1033"/>
      <c r="AW22" s="1033"/>
      <c r="AX22" s="1033"/>
      <c r="AY22" s="1033"/>
      <c r="AZ22" s="1033"/>
      <c r="BA22" s="1033"/>
      <c r="BB22" s="1033"/>
      <c r="BC22" s="1033"/>
      <c r="BD22" s="1033"/>
      <c r="BE22" s="1033"/>
      <c r="BF22" s="1033"/>
      <c r="BG22" s="1033"/>
      <c r="BH22" s="1033"/>
      <c r="BI22" s="1033"/>
      <c r="BJ22" s="1033"/>
      <c r="BK22" s="1033"/>
      <c r="BL22" s="1033"/>
      <c r="BM22" s="1033"/>
      <c r="BN22" s="1033"/>
      <c r="BO22" s="1033"/>
      <c r="BP22" s="1033"/>
      <c r="BQ22" s="1033"/>
      <c r="BR22" s="1033"/>
      <c r="BS22" s="1033"/>
      <c r="BT22" s="1033"/>
      <c r="BU22" s="1033"/>
      <c r="BV22" s="1033"/>
      <c r="BW22" s="1033"/>
      <c r="BX22" s="1033"/>
      <c r="BY22" s="1033"/>
      <c r="BZ22" s="1033"/>
      <c r="CA22" s="1033"/>
      <c r="CB22" s="1033"/>
      <c r="CC22" s="1033"/>
      <c r="CD22" s="1033"/>
      <c r="CE22" s="1033"/>
      <c r="CF22" s="1033"/>
      <c r="CG22" s="1033"/>
      <c r="CH22" s="1033"/>
      <c r="CI22" s="1033"/>
      <c r="CJ22" s="1033"/>
      <c r="CK22" s="1033"/>
      <c r="CL22" s="1033"/>
      <c r="CM22" s="1033"/>
      <c r="CN22" s="1033"/>
      <c r="CO22" s="1033"/>
      <c r="CP22" s="1033"/>
      <c r="CQ22" s="1033"/>
      <c r="CR22" s="1033"/>
      <c r="CS22" s="1033"/>
      <c r="CT22" s="1033"/>
      <c r="CU22" s="1033"/>
      <c r="CV22" s="1033"/>
      <c r="CW22" s="1033"/>
      <c r="CX22" s="1033"/>
      <c r="CY22" s="1033"/>
      <c r="CZ22" s="953">
        <v>2</v>
      </c>
    </row>
    <row r="23" spans="1:104" ht="8.1" customHeight="1">
      <c r="A23" s="938"/>
      <c r="B23" s="950"/>
      <c r="C23" s="938"/>
      <c r="D23" s="1045"/>
      <c r="E23" s="944"/>
      <c r="F23" s="1003"/>
      <c r="G23" s="989"/>
      <c r="H23" s="1140"/>
      <c r="I23" s="1010"/>
      <c r="J23" s="986"/>
      <c r="K23" s="986"/>
      <c r="L23" s="807" t="s">
        <v>3319</v>
      </c>
      <c r="M23" s="811">
        <v>1</v>
      </c>
      <c r="N23" s="810">
        <v>2</v>
      </c>
      <c r="O23" s="810">
        <v>3</v>
      </c>
      <c r="P23" s="810">
        <v>4</v>
      </c>
      <c r="Q23" s="810">
        <v>5</v>
      </c>
      <c r="R23" s="810">
        <v>6</v>
      </c>
      <c r="S23" s="810">
        <v>7</v>
      </c>
      <c r="T23" s="810">
        <v>1</v>
      </c>
      <c r="U23" s="810">
        <v>2</v>
      </c>
      <c r="V23" s="810">
        <v>3</v>
      </c>
      <c r="W23" s="810">
        <v>4</v>
      </c>
      <c r="X23" s="810">
        <v>5</v>
      </c>
      <c r="Y23" s="810">
        <v>6</v>
      </c>
      <c r="Z23" s="812">
        <v>7</v>
      </c>
      <c r="AA23" s="812">
        <v>1</v>
      </c>
      <c r="AB23" s="810">
        <v>2</v>
      </c>
      <c r="AC23" s="810">
        <v>3</v>
      </c>
      <c r="AD23" s="810">
        <v>4</v>
      </c>
      <c r="AE23" s="810">
        <v>5</v>
      </c>
      <c r="AF23" s="810">
        <v>6</v>
      </c>
      <c r="AG23" s="810">
        <v>7</v>
      </c>
      <c r="AH23" s="810">
        <v>1</v>
      </c>
      <c r="AI23" s="810">
        <v>2</v>
      </c>
      <c r="AJ23" s="810">
        <v>3</v>
      </c>
      <c r="AK23" s="810">
        <v>4</v>
      </c>
      <c r="AL23" s="810">
        <v>5</v>
      </c>
      <c r="AM23" s="810">
        <v>6</v>
      </c>
      <c r="AN23" s="810">
        <v>7</v>
      </c>
      <c r="AO23" s="810">
        <v>1</v>
      </c>
      <c r="AP23" s="810">
        <v>2</v>
      </c>
      <c r="AQ23" s="810">
        <v>3</v>
      </c>
      <c r="AR23" s="810">
        <v>4</v>
      </c>
      <c r="AS23" s="810">
        <v>5</v>
      </c>
      <c r="AT23" s="810">
        <v>6</v>
      </c>
      <c r="AU23" s="810">
        <v>7</v>
      </c>
      <c r="AV23" s="810">
        <v>1</v>
      </c>
      <c r="AW23" s="810">
        <v>2</v>
      </c>
      <c r="AX23" s="810">
        <v>3</v>
      </c>
      <c r="AY23" s="810">
        <v>4</v>
      </c>
      <c r="AZ23" s="810">
        <v>5</v>
      </c>
      <c r="BA23" s="810">
        <v>6</v>
      </c>
      <c r="BB23" s="810">
        <v>7</v>
      </c>
      <c r="BC23" s="810">
        <v>1</v>
      </c>
      <c r="BD23" s="810">
        <v>25</v>
      </c>
      <c r="BE23" s="810">
        <v>3</v>
      </c>
      <c r="BF23" s="810">
        <v>4</v>
      </c>
      <c r="BG23" s="810">
        <v>5</v>
      </c>
      <c r="BH23" s="810">
        <v>6</v>
      </c>
      <c r="BI23" s="810">
        <v>7</v>
      </c>
      <c r="BJ23" s="810">
        <v>1</v>
      </c>
      <c r="BK23" s="810">
        <v>2</v>
      </c>
      <c r="BL23" s="810">
        <v>3</v>
      </c>
      <c r="BM23" s="810">
        <v>4</v>
      </c>
      <c r="BN23" s="810">
        <v>5</v>
      </c>
      <c r="BO23" s="810">
        <v>6</v>
      </c>
      <c r="BP23" s="810">
        <v>7</v>
      </c>
      <c r="BQ23" s="810">
        <v>1</v>
      </c>
      <c r="BR23" s="810">
        <v>2</v>
      </c>
      <c r="BS23" s="810">
        <v>3</v>
      </c>
      <c r="BT23" s="810">
        <v>4</v>
      </c>
      <c r="BU23" s="810">
        <v>5</v>
      </c>
      <c r="BV23" s="810">
        <v>6</v>
      </c>
      <c r="BW23" s="810">
        <v>7</v>
      </c>
      <c r="BX23" s="810">
        <v>1</v>
      </c>
      <c r="BY23" s="810">
        <v>2</v>
      </c>
      <c r="BZ23" s="810">
        <v>3</v>
      </c>
      <c r="CA23" s="810">
        <v>4</v>
      </c>
      <c r="CB23" s="810">
        <v>5</v>
      </c>
      <c r="CC23" s="810">
        <v>6</v>
      </c>
      <c r="CD23" s="810">
        <v>7</v>
      </c>
      <c r="CE23" s="810">
        <v>1</v>
      </c>
      <c r="CF23" s="810">
        <v>2</v>
      </c>
      <c r="CG23" s="810">
        <v>3</v>
      </c>
      <c r="CH23" s="810">
        <v>4</v>
      </c>
      <c r="CI23" s="810">
        <v>5</v>
      </c>
      <c r="CJ23" s="810">
        <v>6</v>
      </c>
      <c r="CK23" s="810">
        <v>7</v>
      </c>
      <c r="CL23" s="810">
        <v>1</v>
      </c>
      <c r="CM23" s="810">
        <v>2</v>
      </c>
      <c r="CN23" s="810">
        <v>3</v>
      </c>
      <c r="CO23" s="810">
        <v>4</v>
      </c>
      <c r="CP23" s="810">
        <v>5</v>
      </c>
      <c r="CQ23" s="810">
        <v>6</v>
      </c>
      <c r="CR23" s="810">
        <v>7</v>
      </c>
      <c r="CS23" s="810">
        <v>1</v>
      </c>
      <c r="CT23" s="810">
        <v>2</v>
      </c>
      <c r="CU23" s="810">
        <v>3</v>
      </c>
      <c r="CV23" s="810">
        <v>4</v>
      </c>
      <c r="CW23" s="810">
        <v>5</v>
      </c>
      <c r="CX23" s="810">
        <v>6</v>
      </c>
      <c r="CY23" s="810">
        <v>7</v>
      </c>
      <c r="CZ23" s="954"/>
    </row>
    <row r="24" spans="1:104" ht="8.1" customHeight="1" thickBot="1">
      <c r="A24" s="938"/>
      <c r="B24" s="950"/>
      <c r="C24" s="938"/>
      <c r="D24" s="1045"/>
      <c r="E24" s="944"/>
      <c r="F24" s="1003"/>
      <c r="G24" s="989"/>
      <c r="H24" s="1140"/>
      <c r="I24" s="1011"/>
      <c r="J24" s="987"/>
      <c r="K24" s="987"/>
      <c r="L24" s="808" t="s">
        <v>3320</v>
      </c>
      <c r="M24" s="1024">
        <f>M22+T22+AA22+AH22</f>
        <v>3116156.4000000004</v>
      </c>
      <c r="N24" s="967"/>
      <c r="O24" s="967"/>
      <c r="P24" s="967"/>
      <c r="Q24" s="967"/>
      <c r="R24" s="967"/>
      <c r="S24" s="967"/>
      <c r="T24" s="967"/>
      <c r="U24" s="967"/>
      <c r="V24" s="967"/>
      <c r="W24" s="967"/>
      <c r="X24" s="967"/>
      <c r="Y24" s="967"/>
      <c r="Z24" s="967"/>
      <c r="AA24" s="967"/>
      <c r="AB24" s="967"/>
      <c r="AC24" s="967"/>
      <c r="AD24" s="967"/>
      <c r="AE24" s="967"/>
      <c r="AF24" s="967"/>
      <c r="AG24" s="967"/>
      <c r="AH24" s="967"/>
      <c r="AI24" s="967"/>
      <c r="AJ24" s="967"/>
      <c r="AK24" s="967"/>
      <c r="AL24" s="967"/>
      <c r="AM24" s="967"/>
      <c r="AN24" s="967"/>
      <c r="AO24" s="967"/>
      <c r="AP24" s="967"/>
      <c r="AQ24" s="967">
        <f>AO22+AV22+BC22+BJ22</f>
        <v>0</v>
      </c>
      <c r="AR24" s="967"/>
      <c r="AS24" s="967"/>
      <c r="AT24" s="967"/>
      <c r="AU24" s="967"/>
      <c r="AV24" s="967"/>
      <c r="AW24" s="967"/>
      <c r="AX24" s="967"/>
      <c r="AY24" s="967"/>
      <c r="AZ24" s="967"/>
      <c r="BA24" s="967"/>
      <c r="BB24" s="967"/>
      <c r="BC24" s="967"/>
      <c r="BD24" s="967"/>
      <c r="BE24" s="967"/>
      <c r="BF24" s="967"/>
      <c r="BG24" s="967"/>
      <c r="BH24" s="967"/>
      <c r="BI24" s="967"/>
      <c r="BJ24" s="967"/>
      <c r="BK24" s="967"/>
      <c r="BL24" s="967"/>
      <c r="BM24" s="967"/>
      <c r="BN24" s="967"/>
      <c r="BO24" s="967"/>
      <c r="BP24" s="967"/>
      <c r="BQ24" s="967"/>
      <c r="BR24" s="967"/>
      <c r="BS24" s="967"/>
      <c r="BT24" s="967"/>
      <c r="BU24" s="967">
        <f>BQ22+BX22+CE22+CL22+CS22</f>
        <v>0</v>
      </c>
      <c r="BV24" s="967"/>
      <c r="BW24" s="967"/>
      <c r="BX24" s="967"/>
      <c r="BY24" s="967"/>
      <c r="BZ24" s="967"/>
      <c r="CA24" s="967"/>
      <c r="CB24" s="967"/>
      <c r="CC24" s="967"/>
      <c r="CD24" s="967"/>
      <c r="CE24" s="967"/>
      <c r="CF24" s="967"/>
      <c r="CG24" s="967"/>
      <c r="CH24" s="967"/>
      <c r="CI24" s="967"/>
      <c r="CJ24" s="967"/>
      <c r="CK24" s="967"/>
      <c r="CL24" s="967"/>
      <c r="CM24" s="967"/>
      <c r="CN24" s="967"/>
      <c r="CO24" s="967"/>
      <c r="CP24" s="967"/>
      <c r="CQ24" s="967"/>
      <c r="CR24" s="967"/>
      <c r="CS24" s="967"/>
      <c r="CT24" s="967"/>
      <c r="CU24" s="967"/>
      <c r="CV24" s="967"/>
      <c r="CW24" s="967"/>
      <c r="CX24" s="967"/>
      <c r="CY24" s="967"/>
      <c r="CZ24" s="954"/>
    </row>
    <row r="25" spans="1:104" ht="8.1" customHeight="1">
      <c r="A25" s="1306">
        <f>EDIFICACION!A35</f>
        <v>2.2000000000000002</v>
      </c>
      <c r="B25" s="1307" t="str">
        <f>EDIFICACION!B35</f>
        <v>DEMOLICIÓN MUROS SENCILLOS</v>
      </c>
      <c r="C25" s="1308" t="str">
        <f>EDIFICACION!C35</f>
        <v>M2</v>
      </c>
      <c r="D25" s="1309">
        <f>(7.28*0.34)+(1.97*0.25*5)+(0.5*0.6*2*3)+(1.75*0.79*3)+(0.86*2*3)</f>
        <v>16.045200000000001</v>
      </c>
      <c r="E25" s="944">
        <f>EDIFICACION!F35</f>
        <v>9421</v>
      </c>
      <c r="F25" s="1003">
        <f t="shared" si="0"/>
        <v>151161.82920000001</v>
      </c>
      <c r="G25" s="989">
        <f>F25/F259</f>
        <v>4.5644085587446544E-4</v>
      </c>
      <c r="H25" s="1140"/>
      <c r="I25" s="1009" t="s">
        <v>3339</v>
      </c>
      <c r="J25" s="985" t="s">
        <v>3348</v>
      </c>
      <c r="K25" s="985" t="s">
        <v>3348</v>
      </c>
      <c r="L25" s="806" t="s">
        <v>3318</v>
      </c>
      <c r="M25" s="1034"/>
      <c r="N25" s="1033"/>
      <c r="O25" s="1033"/>
      <c r="P25" s="1033"/>
      <c r="Q25" s="1033"/>
      <c r="R25" s="1033"/>
      <c r="S25" s="1033"/>
      <c r="T25" s="1033"/>
      <c r="U25" s="1033"/>
      <c r="V25" s="1033"/>
      <c r="W25" s="1033"/>
      <c r="X25" s="1033"/>
      <c r="Y25" s="1033"/>
      <c r="Z25" s="1033"/>
      <c r="AA25" s="1035">
        <f>F25/CZ25*AA26</f>
        <v>151161.82920000001</v>
      </c>
      <c r="AB25" s="1033"/>
      <c r="AC25" s="1033"/>
      <c r="AD25" s="1033"/>
      <c r="AE25" s="1033"/>
      <c r="AF25" s="1033"/>
      <c r="AG25" s="1033"/>
      <c r="AH25" s="1033"/>
      <c r="AI25" s="1033"/>
      <c r="AJ25" s="1033"/>
      <c r="AK25" s="1033"/>
      <c r="AL25" s="1033"/>
      <c r="AM25" s="1033"/>
      <c r="AN25" s="1033"/>
      <c r="AO25" s="1033"/>
      <c r="AP25" s="1033"/>
      <c r="AQ25" s="1033"/>
      <c r="AR25" s="1033"/>
      <c r="AS25" s="1033"/>
      <c r="AT25" s="1033"/>
      <c r="AU25" s="1033"/>
      <c r="AV25" s="1033"/>
      <c r="AW25" s="1033"/>
      <c r="AX25" s="1033"/>
      <c r="AY25" s="1033"/>
      <c r="AZ25" s="1033"/>
      <c r="BA25" s="1033"/>
      <c r="BB25" s="1033"/>
      <c r="BC25" s="1033"/>
      <c r="BD25" s="1033"/>
      <c r="BE25" s="1033"/>
      <c r="BF25" s="1033"/>
      <c r="BG25" s="1033"/>
      <c r="BH25" s="1033"/>
      <c r="BI25" s="1033"/>
      <c r="BJ25" s="1033"/>
      <c r="BK25" s="1033"/>
      <c r="BL25" s="1033"/>
      <c r="BM25" s="1033"/>
      <c r="BN25" s="1033"/>
      <c r="BO25" s="1033"/>
      <c r="BP25" s="1033"/>
      <c r="BQ25" s="1033"/>
      <c r="BR25" s="1033"/>
      <c r="BS25" s="1033"/>
      <c r="BT25" s="1033"/>
      <c r="BU25" s="1033"/>
      <c r="BV25" s="1033"/>
      <c r="BW25" s="1033"/>
      <c r="BX25" s="1033"/>
      <c r="BY25" s="1033"/>
      <c r="BZ25" s="1033"/>
      <c r="CA25" s="1033"/>
      <c r="CB25" s="1033"/>
      <c r="CC25" s="1033"/>
      <c r="CD25" s="1033"/>
      <c r="CE25" s="1033"/>
      <c r="CF25" s="1033"/>
      <c r="CG25" s="1033"/>
      <c r="CH25" s="1033"/>
      <c r="CI25" s="1033"/>
      <c r="CJ25" s="1033"/>
      <c r="CK25" s="1033"/>
      <c r="CL25" s="1033"/>
      <c r="CM25" s="1033"/>
      <c r="CN25" s="1033"/>
      <c r="CO25" s="1033"/>
      <c r="CP25" s="1033"/>
      <c r="CQ25" s="1033"/>
      <c r="CR25" s="1033"/>
      <c r="CS25" s="1033"/>
      <c r="CT25" s="1033"/>
      <c r="CU25" s="1033"/>
      <c r="CV25" s="1033"/>
      <c r="CW25" s="1033"/>
      <c r="CX25" s="1033"/>
      <c r="CY25" s="1033"/>
      <c r="CZ25" s="953">
        <v>1</v>
      </c>
    </row>
    <row r="26" spans="1:104" ht="8.1" customHeight="1">
      <c r="A26" s="1306"/>
      <c r="B26" s="1307"/>
      <c r="C26" s="1308"/>
      <c r="D26" s="1309"/>
      <c r="E26" s="944"/>
      <c r="F26" s="1003"/>
      <c r="G26" s="989"/>
      <c r="H26" s="1140"/>
      <c r="I26" s="1010"/>
      <c r="J26" s="986"/>
      <c r="K26" s="986"/>
      <c r="L26" s="807" t="s">
        <v>3319</v>
      </c>
      <c r="M26" s="811">
        <v>1</v>
      </c>
      <c r="N26" s="810">
        <v>2</v>
      </c>
      <c r="O26" s="810">
        <v>3</v>
      </c>
      <c r="P26" s="810">
        <v>4</v>
      </c>
      <c r="Q26" s="810">
        <v>5</v>
      </c>
      <c r="R26" s="810">
        <v>6</v>
      </c>
      <c r="S26" s="810">
        <v>7</v>
      </c>
      <c r="T26" s="810">
        <v>1</v>
      </c>
      <c r="U26" s="810">
        <v>2</v>
      </c>
      <c r="V26" s="810">
        <v>3</v>
      </c>
      <c r="W26" s="810">
        <v>4</v>
      </c>
      <c r="X26" s="810">
        <v>5</v>
      </c>
      <c r="Y26" s="810">
        <v>6</v>
      </c>
      <c r="Z26" s="810">
        <v>7</v>
      </c>
      <c r="AA26" s="810">
        <v>1</v>
      </c>
      <c r="AB26" s="812">
        <v>2</v>
      </c>
      <c r="AC26" s="810">
        <v>3</v>
      </c>
      <c r="AD26" s="810">
        <v>4</v>
      </c>
      <c r="AE26" s="810">
        <v>5</v>
      </c>
      <c r="AF26" s="810">
        <v>6</v>
      </c>
      <c r="AG26" s="810">
        <v>7</v>
      </c>
      <c r="AH26" s="810">
        <v>1</v>
      </c>
      <c r="AI26" s="810">
        <v>2</v>
      </c>
      <c r="AJ26" s="810">
        <v>3</v>
      </c>
      <c r="AK26" s="810">
        <v>4</v>
      </c>
      <c r="AL26" s="810">
        <v>5</v>
      </c>
      <c r="AM26" s="810">
        <v>6</v>
      </c>
      <c r="AN26" s="810">
        <v>7</v>
      </c>
      <c r="AO26" s="810">
        <v>1</v>
      </c>
      <c r="AP26" s="810">
        <v>2</v>
      </c>
      <c r="AQ26" s="810">
        <v>3</v>
      </c>
      <c r="AR26" s="810">
        <v>4</v>
      </c>
      <c r="AS26" s="810">
        <v>5</v>
      </c>
      <c r="AT26" s="810">
        <v>6</v>
      </c>
      <c r="AU26" s="810">
        <v>7</v>
      </c>
      <c r="AV26" s="810">
        <v>1</v>
      </c>
      <c r="AW26" s="810">
        <v>2</v>
      </c>
      <c r="AX26" s="810">
        <v>3</v>
      </c>
      <c r="AY26" s="810">
        <v>4</v>
      </c>
      <c r="AZ26" s="810">
        <v>5</v>
      </c>
      <c r="BA26" s="810">
        <v>6</v>
      </c>
      <c r="BB26" s="810">
        <v>7</v>
      </c>
      <c r="BC26" s="810">
        <v>1</v>
      </c>
      <c r="BD26" s="810">
        <v>2</v>
      </c>
      <c r="BE26" s="810">
        <v>3</v>
      </c>
      <c r="BF26" s="810">
        <v>4</v>
      </c>
      <c r="BG26" s="810">
        <v>5</v>
      </c>
      <c r="BH26" s="810">
        <v>6</v>
      </c>
      <c r="BI26" s="810">
        <v>7</v>
      </c>
      <c r="BJ26" s="810">
        <v>1</v>
      </c>
      <c r="BK26" s="810">
        <v>2</v>
      </c>
      <c r="BL26" s="810">
        <v>3</v>
      </c>
      <c r="BM26" s="810">
        <v>4</v>
      </c>
      <c r="BN26" s="810">
        <v>5</v>
      </c>
      <c r="BO26" s="810">
        <v>6</v>
      </c>
      <c r="BP26" s="810">
        <v>7</v>
      </c>
      <c r="BQ26" s="810">
        <v>1</v>
      </c>
      <c r="BR26" s="810">
        <v>2</v>
      </c>
      <c r="BS26" s="810">
        <v>3</v>
      </c>
      <c r="BT26" s="810">
        <v>4</v>
      </c>
      <c r="BU26" s="810">
        <v>5</v>
      </c>
      <c r="BV26" s="810">
        <v>6</v>
      </c>
      <c r="BW26" s="810">
        <v>7</v>
      </c>
      <c r="BX26" s="810">
        <v>1</v>
      </c>
      <c r="BY26" s="810">
        <v>2</v>
      </c>
      <c r="BZ26" s="810">
        <v>3</v>
      </c>
      <c r="CA26" s="810">
        <v>4</v>
      </c>
      <c r="CB26" s="810">
        <v>5</v>
      </c>
      <c r="CC26" s="810">
        <v>6</v>
      </c>
      <c r="CD26" s="810">
        <v>7</v>
      </c>
      <c r="CE26" s="810">
        <v>1</v>
      </c>
      <c r="CF26" s="810">
        <v>2</v>
      </c>
      <c r="CG26" s="810">
        <v>3</v>
      </c>
      <c r="CH26" s="810">
        <v>4</v>
      </c>
      <c r="CI26" s="810">
        <v>5</v>
      </c>
      <c r="CJ26" s="810">
        <v>6</v>
      </c>
      <c r="CK26" s="810">
        <v>7</v>
      </c>
      <c r="CL26" s="810">
        <v>1</v>
      </c>
      <c r="CM26" s="810">
        <v>2</v>
      </c>
      <c r="CN26" s="810">
        <v>3</v>
      </c>
      <c r="CO26" s="810">
        <v>4</v>
      </c>
      <c r="CP26" s="810">
        <v>5</v>
      </c>
      <c r="CQ26" s="810">
        <v>6</v>
      </c>
      <c r="CR26" s="810">
        <v>7</v>
      </c>
      <c r="CS26" s="810">
        <v>1</v>
      </c>
      <c r="CT26" s="810">
        <v>2</v>
      </c>
      <c r="CU26" s="810">
        <v>3</v>
      </c>
      <c r="CV26" s="810">
        <v>4</v>
      </c>
      <c r="CW26" s="810">
        <v>5</v>
      </c>
      <c r="CX26" s="810">
        <v>6</v>
      </c>
      <c r="CY26" s="810">
        <v>7</v>
      </c>
      <c r="CZ26" s="954"/>
    </row>
    <row r="27" spans="1:104" ht="8.1" customHeight="1" thickBot="1">
      <c r="A27" s="1306"/>
      <c r="B27" s="1307"/>
      <c r="C27" s="1308"/>
      <c r="D27" s="1309"/>
      <c r="E27" s="944"/>
      <c r="F27" s="1003"/>
      <c r="G27" s="989"/>
      <c r="H27" s="1140"/>
      <c r="I27" s="1011"/>
      <c r="J27" s="987"/>
      <c r="K27" s="987"/>
      <c r="L27" s="808" t="s">
        <v>3320</v>
      </c>
      <c r="M27" s="1024">
        <f>M25+T25+AA25+AH25</f>
        <v>151161.82920000001</v>
      </c>
      <c r="N27" s="967"/>
      <c r="O27" s="967"/>
      <c r="P27" s="967"/>
      <c r="Q27" s="967"/>
      <c r="R27" s="967"/>
      <c r="S27" s="967"/>
      <c r="T27" s="967"/>
      <c r="U27" s="967"/>
      <c r="V27" s="967"/>
      <c r="W27" s="967"/>
      <c r="X27" s="967"/>
      <c r="Y27" s="967"/>
      <c r="Z27" s="967"/>
      <c r="AA27" s="967"/>
      <c r="AB27" s="967"/>
      <c r="AC27" s="967"/>
      <c r="AD27" s="967"/>
      <c r="AE27" s="967"/>
      <c r="AF27" s="967"/>
      <c r="AG27" s="967"/>
      <c r="AH27" s="967"/>
      <c r="AI27" s="967"/>
      <c r="AJ27" s="967"/>
      <c r="AK27" s="967"/>
      <c r="AL27" s="967"/>
      <c r="AM27" s="967"/>
      <c r="AN27" s="967"/>
      <c r="AO27" s="967"/>
      <c r="AP27" s="967"/>
      <c r="AQ27" s="967">
        <f>AO25+AV25+BC25+BJ25</f>
        <v>0</v>
      </c>
      <c r="AR27" s="967"/>
      <c r="AS27" s="967"/>
      <c r="AT27" s="967"/>
      <c r="AU27" s="967"/>
      <c r="AV27" s="967"/>
      <c r="AW27" s="967"/>
      <c r="AX27" s="967"/>
      <c r="AY27" s="967"/>
      <c r="AZ27" s="967"/>
      <c r="BA27" s="967"/>
      <c r="BB27" s="967"/>
      <c r="BC27" s="967"/>
      <c r="BD27" s="967"/>
      <c r="BE27" s="967"/>
      <c r="BF27" s="967"/>
      <c r="BG27" s="967"/>
      <c r="BH27" s="967"/>
      <c r="BI27" s="967"/>
      <c r="BJ27" s="967"/>
      <c r="BK27" s="967"/>
      <c r="BL27" s="967"/>
      <c r="BM27" s="967"/>
      <c r="BN27" s="967"/>
      <c r="BO27" s="967"/>
      <c r="BP27" s="967"/>
      <c r="BQ27" s="967"/>
      <c r="BR27" s="967"/>
      <c r="BS27" s="967"/>
      <c r="BT27" s="967"/>
      <c r="BU27" s="967">
        <f>BQ25+BX25+CE25+CL25+CS25</f>
        <v>0</v>
      </c>
      <c r="BV27" s="967"/>
      <c r="BW27" s="967"/>
      <c r="BX27" s="967"/>
      <c r="BY27" s="967"/>
      <c r="BZ27" s="967"/>
      <c r="CA27" s="967"/>
      <c r="CB27" s="967"/>
      <c r="CC27" s="967"/>
      <c r="CD27" s="967"/>
      <c r="CE27" s="967"/>
      <c r="CF27" s="967"/>
      <c r="CG27" s="967"/>
      <c r="CH27" s="967"/>
      <c r="CI27" s="967"/>
      <c r="CJ27" s="967"/>
      <c r="CK27" s="967"/>
      <c r="CL27" s="967"/>
      <c r="CM27" s="967"/>
      <c r="CN27" s="967"/>
      <c r="CO27" s="967"/>
      <c r="CP27" s="967"/>
      <c r="CQ27" s="967"/>
      <c r="CR27" s="967"/>
      <c r="CS27" s="967"/>
      <c r="CT27" s="967"/>
      <c r="CU27" s="967"/>
      <c r="CV27" s="967"/>
      <c r="CW27" s="967"/>
      <c r="CX27" s="967"/>
      <c r="CY27" s="967"/>
      <c r="CZ27" s="954"/>
    </row>
    <row r="28" spans="1:104" ht="10.5" customHeight="1">
      <c r="A28" s="938">
        <f>EDIFICACION!A40</f>
        <v>2.2999999999999998</v>
      </c>
      <c r="B28" s="940" t="str">
        <f>EDIFICACION!B40</f>
        <v>DESMONTE DE APARATOS SANITARIOS, LAVAMANOS Y LAVAPLATOS</v>
      </c>
      <c r="C28" s="1046" t="str">
        <f>EDIFICACION!C40</f>
        <v>UN</v>
      </c>
      <c r="D28" s="1045">
        <f>16+21+18</f>
        <v>55</v>
      </c>
      <c r="E28" s="944">
        <f>EDIFICACION!F40</f>
        <v>26649</v>
      </c>
      <c r="F28" s="1003">
        <f t="shared" si="0"/>
        <v>1465695</v>
      </c>
      <c r="G28" s="989">
        <f>F28/F259</f>
        <v>4.4257408354444853E-3</v>
      </c>
      <c r="H28" s="1140"/>
      <c r="I28" s="1009" t="s">
        <v>3340</v>
      </c>
      <c r="J28" s="985" t="s">
        <v>3349</v>
      </c>
      <c r="K28" s="985" t="s">
        <v>3350</v>
      </c>
      <c r="L28" s="806" t="s">
        <v>3318</v>
      </c>
      <c r="M28" s="1044">
        <f>F28/CZ28*N29</f>
        <v>1465695</v>
      </c>
      <c r="N28" s="1033"/>
      <c r="O28" s="1033"/>
      <c r="P28" s="1033"/>
      <c r="Q28" s="1033"/>
      <c r="R28" s="1033"/>
      <c r="S28" s="1033"/>
      <c r="T28" s="1033"/>
      <c r="U28" s="1033"/>
      <c r="V28" s="1033"/>
      <c r="W28" s="1033"/>
      <c r="X28" s="1033"/>
      <c r="Y28" s="1033"/>
      <c r="Z28" s="1033"/>
      <c r="AA28" s="1033"/>
      <c r="AB28" s="1033"/>
      <c r="AC28" s="1033"/>
      <c r="AD28" s="1033"/>
      <c r="AE28" s="1033"/>
      <c r="AF28" s="1033"/>
      <c r="AG28" s="1033"/>
      <c r="AH28" s="1033"/>
      <c r="AI28" s="1033"/>
      <c r="AJ28" s="1033"/>
      <c r="AK28" s="1033"/>
      <c r="AL28" s="1033"/>
      <c r="AM28" s="1033"/>
      <c r="AN28" s="1033"/>
      <c r="AO28" s="1033"/>
      <c r="AP28" s="1033"/>
      <c r="AQ28" s="1033"/>
      <c r="AR28" s="1033"/>
      <c r="AS28" s="1033"/>
      <c r="AT28" s="1033"/>
      <c r="AU28" s="1033"/>
      <c r="AV28" s="1033"/>
      <c r="AW28" s="1033"/>
      <c r="AX28" s="1033"/>
      <c r="AY28" s="1033"/>
      <c r="AZ28" s="1033"/>
      <c r="BA28" s="1033"/>
      <c r="BB28" s="1033"/>
      <c r="BC28" s="1033"/>
      <c r="BD28" s="1033"/>
      <c r="BE28" s="1033"/>
      <c r="BF28" s="1033"/>
      <c r="BG28" s="1033"/>
      <c r="BH28" s="1033"/>
      <c r="BI28" s="1033"/>
      <c r="BJ28" s="1033"/>
      <c r="BK28" s="1033"/>
      <c r="BL28" s="1033"/>
      <c r="BM28" s="1033"/>
      <c r="BN28" s="1033"/>
      <c r="BO28" s="1033"/>
      <c r="BP28" s="1033"/>
      <c r="BQ28" s="1033"/>
      <c r="BR28" s="1033"/>
      <c r="BS28" s="1033"/>
      <c r="BT28" s="1033"/>
      <c r="BU28" s="1033"/>
      <c r="BV28" s="1033"/>
      <c r="BW28" s="1033"/>
      <c r="BX28" s="1033"/>
      <c r="BY28" s="1033"/>
      <c r="BZ28" s="1033"/>
      <c r="CA28" s="1033"/>
      <c r="CB28" s="1033"/>
      <c r="CC28" s="1033"/>
      <c r="CD28" s="1033"/>
      <c r="CE28" s="1033"/>
      <c r="CF28" s="1033"/>
      <c r="CG28" s="1033"/>
      <c r="CH28" s="1033"/>
      <c r="CI28" s="1033"/>
      <c r="CJ28" s="1033"/>
      <c r="CK28" s="1033"/>
      <c r="CL28" s="1033"/>
      <c r="CM28" s="1033"/>
      <c r="CN28" s="1033"/>
      <c r="CO28" s="1033"/>
      <c r="CP28" s="1033"/>
      <c r="CQ28" s="1033"/>
      <c r="CR28" s="1033"/>
      <c r="CS28" s="1033"/>
      <c r="CT28" s="1033"/>
      <c r="CU28" s="1033"/>
      <c r="CV28" s="1033"/>
      <c r="CW28" s="1033"/>
      <c r="CX28" s="1033"/>
      <c r="CY28" s="1033"/>
      <c r="CZ28" s="953">
        <v>2</v>
      </c>
    </row>
    <row r="29" spans="1:104" ht="10.5" customHeight="1">
      <c r="A29" s="938"/>
      <c r="B29" s="940"/>
      <c r="C29" s="1046"/>
      <c r="D29" s="1045"/>
      <c r="E29" s="944"/>
      <c r="F29" s="1003"/>
      <c r="G29" s="989"/>
      <c r="H29" s="1140"/>
      <c r="I29" s="1010"/>
      <c r="J29" s="986"/>
      <c r="K29" s="986"/>
      <c r="L29" s="807" t="s">
        <v>3319</v>
      </c>
      <c r="M29" s="811">
        <v>1</v>
      </c>
      <c r="N29" s="812">
        <v>2</v>
      </c>
      <c r="O29" s="812">
        <v>3</v>
      </c>
      <c r="P29" s="810">
        <v>4</v>
      </c>
      <c r="Q29" s="810">
        <v>5</v>
      </c>
      <c r="R29" s="810">
        <v>6</v>
      </c>
      <c r="S29" s="810">
        <v>7</v>
      </c>
      <c r="T29" s="810">
        <v>1</v>
      </c>
      <c r="U29" s="810">
        <v>2</v>
      </c>
      <c r="V29" s="810">
        <v>3</v>
      </c>
      <c r="W29" s="810">
        <v>4</v>
      </c>
      <c r="X29" s="810">
        <v>5</v>
      </c>
      <c r="Y29" s="810">
        <v>6</v>
      </c>
      <c r="Z29" s="810">
        <v>7</v>
      </c>
      <c r="AA29" s="810">
        <v>1</v>
      </c>
      <c r="AB29" s="810">
        <v>2</v>
      </c>
      <c r="AC29" s="810">
        <v>3</v>
      </c>
      <c r="AD29" s="810">
        <v>4</v>
      </c>
      <c r="AE29" s="810">
        <v>5</v>
      </c>
      <c r="AF29" s="810">
        <v>6</v>
      </c>
      <c r="AG29" s="810">
        <v>7</v>
      </c>
      <c r="AH29" s="810">
        <v>1</v>
      </c>
      <c r="AI29" s="810">
        <v>2</v>
      </c>
      <c r="AJ29" s="810">
        <v>3</v>
      </c>
      <c r="AK29" s="810">
        <v>4</v>
      </c>
      <c r="AL29" s="810">
        <v>5</v>
      </c>
      <c r="AM29" s="810">
        <v>6</v>
      </c>
      <c r="AN29" s="810">
        <v>7</v>
      </c>
      <c r="AO29" s="810">
        <v>1</v>
      </c>
      <c r="AP29" s="810">
        <v>2</v>
      </c>
      <c r="AQ29" s="810">
        <v>3</v>
      </c>
      <c r="AR29" s="810">
        <v>4</v>
      </c>
      <c r="AS29" s="810">
        <v>5</v>
      </c>
      <c r="AT29" s="810">
        <v>6</v>
      </c>
      <c r="AU29" s="810">
        <v>7</v>
      </c>
      <c r="AV29" s="810">
        <v>1</v>
      </c>
      <c r="AW29" s="810">
        <v>2</v>
      </c>
      <c r="AX29" s="810">
        <v>3</v>
      </c>
      <c r="AY29" s="810">
        <v>4</v>
      </c>
      <c r="AZ29" s="810">
        <v>5</v>
      </c>
      <c r="BA29" s="810">
        <v>6</v>
      </c>
      <c r="BB29" s="810">
        <v>7</v>
      </c>
      <c r="BC29" s="810">
        <v>1</v>
      </c>
      <c r="BD29" s="810">
        <v>2</v>
      </c>
      <c r="BE29" s="810">
        <v>3</v>
      </c>
      <c r="BF29" s="810">
        <v>4</v>
      </c>
      <c r="BG29" s="810">
        <v>5</v>
      </c>
      <c r="BH29" s="810">
        <v>6</v>
      </c>
      <c r="BI29" s="810">
        <v>7</v>
      </c>
      <c r="BJ29" s="810">
        <v>1</v>
      </c>
      <c r="BK29" s="810">
        <v>2</v>
      </c>
      <c r="BL29" s="810">
        <v>3</v>
      </c>
      <c r="BM29" s="810">
        <v>4</v>
      </c>
      <c r="BN29" s="810">
        <v>5</v>
      </c>
      <c r="BO29" s="810">
        <v>6</v>
      </c>
      <c r="BP29" s="810">
        <v>7</v>
      </c>
      <c r="BQ29" s="810">
        <v>1</v>
      </c>
      <c r="BR29" s="810">
        <v>2</v>
      </c>
      <c r="BS29" s="810">
        <v>3</v>
      </c>
      <c r="BT29" s="810">
        <v>4</v>
      </c>
      <c r="BU29" s="810">
        <v>5</v>
      </c>
      <c r="BV29" s="810">
        <v>6</v>
      </c>
      <c r="BW29" s="810">
        <v>7</v>
      </c>
      <c r="BX29" s="810">
        <v>1</v>
      </c>
      <c r="BY29" s="810">
        <v>2</v>
      </c>
      <c r="BZ29" s="810">
        <v>3</v>
      </c>
      <c r="CA29" s="810">
        <v>4</v>
      </c>
      <c r="CB29" s="810">
        <v>5</v>
      </c>
      <c r="CC29" s="810">
        <v>6</v>
      </c>
      <c r="CD29" s="810">
        <v>7</v>
      </c>
      <c r="CE29" s="810">
        <v>1</v>
      </c>
      <c r="CF29" s="810">
        <v>2</v>
      </c>
      <c r="CG29" s="810">
        <v>3</v>
      </c>
      <c r="CH29" s="810">
        <v>4</v>
      </c>
      <c r="CI29" s="810">
        <v>5</v>
      </c>
      <c r="CJ29" s="810">
        <v>6</v>
      </c>
      <c r="CK29" s="810">
        <v>7</v>
      </c>
      <c r="CL29" s="810">
        <v>1</v>
      </c>
      <c r="CM29" s="810">
        <v>2</v>
      </c>
      <c r="CN29" s="810">
        <v>3</v>
      </c>
      <c r="CO29" s="810">
        <v>4</v>
      </c>
      <c r="CP29" s="810">
        <v>5</v>
      </c>
      <c r="CQ29" s="810">
        <v>6</v>
      </c>
      <c r="CR29" s="810">
        <v>7</v>
      </c>
      <c r="CS29" s="810">
        <v>1</v>
      </c>
      <c r="CT29" s="810">
        <v>2</v>
      </c>
      <c r="CU29" s="810">
        <v>3</v>
      </c>
      <c r="CV29" s="810">
        <v>4</v>
      </c>
      <c r="CW29" s="810">
        <v>5</v>
      </c>
      <c r="CX29" s="810">
        <v>6</v>
      </c>
      <c r="CY29" s="810">
        <v>7</v>
      </c>
      <c r="CZ29" s="954"/>
    </row>
    <row r="30" spans="1:104" ht="10.5" customHeight="1" thickBot="1">
      <c r="A30" s="938"/>
      <c r="B30" s="940"/>
      <c r="C30" s="1046"/>
      <c r="D30" s="1045"/>
      <c r="E30" s="944"/>
      <c r="F30" s="1003"/>
      <c r="G30" s="989"/>
      <c r="H30" s="1140"/>
      <c r="I30" s="1011"/>
      <c r="J30" s="987"/>
      <c r="K30" s="987"/>
      <c r="L30" s="808" t="s">
        <v>3320</v>
      </c>
      <c r="M30" s="1024">
        <f>M28+T28+AA28+AH28</f>
        <v>1465695</v>
      </c>
      <c r="N30" s="967"/>
      <c r="O30" s="967"/>
      <c r="P30" s="967"/>
      <c r="Q30" s="967"/>
      <c r="R30" s="967"/>
      <c r="S30" s="967"/>
      <c r="T30" s="967"/>
      <c r="U30" s="967"/>
      <c r="V30" s="967"/>
      <c r="W30" s="967"/>
      <c r="X30" s="967"/>
      <c r="Y30" s="967"/>
      <c r="Z30" s="967"/>
      <c r="AA30" s="967"/>
      <c r="AB30" s="967"/>
      <c r="AC30" s="967"/>
      <c r="AD30" s="967"/>
      <c r="AE30" s="967"/>
      <c r="AF30" s="967"/>
      <c r="AG30" s="967"/>
      <c r="AH30" s="967"/>
      <c r="AI30" s="967"/>
      <c r="AJ30" s="967"/>
      <c r="AK30" s="967"/>
      <c r="AL30" s="967"/>
      <c r="AM30" s="967"/>
      <c r="AN30" s="967"/>
      <c r="AO30" s="967"/>
      <c r="AP30" s="967"/>
      <c r="AQ30" s="967">
        <f>AO28+AV28+BC28+BJ28</f>
        <v>0</v>
      </c>
      <c r="AR30" s="967"/>
      <c r="AS30" s="967"/>
      <c r="AT30" s="967"/>
      <c r="AU30" s="967"/>
      <c r="AV30" s="967"/>
      <c r="AW30" s="967"/>
      <c r="AX30" s="967"/>
      <c r="AY30" s="967"/>
      <c r="AZ30" s="967"/>
      <c r="BA30" s="967"/>
      <c r="BB30" s="967"/>
      <c r="BC30" s="967"/>
      <c r="BD30" s="967"/>
      <c r="BE30" s="967"/>
      <c r="BF30" s="967"/>
      <c r="BG30" s="967"/>
      <c r="BH30" s="967"/>
      <c r="BI30" s="967"/>
      <c r="BJ30" s="967"/>
      <c r="BK30" s="967"/>
      <c r="BL30" s="967"/>
      <c r="BM30" s="967"/>
      <c r="BN30" s="967"/>
      <c r="BO30" s="967"/>
      <c r="BP30" s="967"/>
      <c r="BQ30" s="967"/>
      <c r="BR30" s="967"/>
      <c r="BS30" s="967"/>
      <c r="BT30" s="967"/>
      <c r="BU30" s="967">
        <f>BQ28+BX28+CE28+CL28+CS28</f>
        <v>0</v>
      </c>
      <c r="BV30" s="967"/>
      <c r="BW30" s="967"/>
      <c r="BX30" s="967"/>
      <c r="BY30" s="967"/>
      <c r="BZ30" s="967"/>
      <c r="CA30" s="967"/>
      <c r="CB30" s="967"/>
      <c r="CC30" s="967"/>
      <c r="CD30" s="967"/>
      <c r="CE30" s="967"/>
      <c r="CF30" s="967"/>
      <c r="CG30" s="967"/>
      <c r="CH30" s="967"/>
      <c r="CI30" s="967"/>
      <c r="CJ30" s="967"/>
      <c r="CK30" s="967"/>
      <c r="CL30" s="967"/>
      <c r="CM30" s="967"/>
      <c r="CN30" s="967"/>
      <c r="CO30" s="967"/>
      <c r="CP30" s="967"/>
      <c r="CQ30" s="967"/>
      <c r="CR30" s="967"/>
      <c r="CS30" s="967"/>
      <c r="CT30" s="967"/>
      <c r="CU30" s="967"/>
      <c r="CV30" s="967"/>
      <c r="CW30" s="967"/>
      <c r="CX30" s="967"/>
      <c r="CY30" s="967"/>
      <c r="CZ30" s="954"/>
    </row>
    <row r="31" spans="1:104" ht="8.1" customHeight="1">
      <c r="A31" s="938">
        <f>EDIFICACION!A44</f>
        <v>2.4</v>
      </c>
      <c r="B31" s="940" t="str">
        <f>EDIFICACION!B44</f>
        <v>DESMONTE DE LAMPARAS FLUORESCENTES DE 2X48</v>
      </c>
      <c r="C31" s="938" t="str">
        <f>EDIFICACION!C44</f>
        <v>UN</v>
      </c>
      <c r="D31" s="1045">
        <v>6</v>
      </c>
      <c r="E31" s="944">
        <f>EDIFICACION!F44</f>
        <v>29610</v>
      </c>
      <c r="F31" s="1003">
        <f t="shared" si="0"/>
        <v>177660</v>
      </c>
      <c r="G31" s="989">
        <f>F31/F259</f>
        <v>5.3645343459933156E-4</v>
      </c>
      <c r="H31" s="1140"/>
      <c r="I31" s="1009" t="s">
        <v>3396</v>
      </c>
      <c r="J31" s="985" t="s">
        <v>3350</v>
      </c>
      <c r="K31" s="985" t="s">
        <v>3350</v>
      </c>
      <c r="L31" s="806" t="s">
        <v>3318</v>
      </c>
      <c r="M31" s="1143">
        <f>F31/CZ31*M32</f>
        <v>177660</v>
      </c>
      <c r="N31" s="1023"/>
      <c r="O31" s="1023"/>
      <c r="P31" s="1023"/>
      <c r="Q31" s="1023"/>
      <c r="R31" s="1023"/>
      <c r="S31" s="1023"/>
      <c r="T31" s="1033"/>
      <c r="U31" s="1033"/>
      <c r="V31" s="1033"/>
      <c r="W31" s="1033"/>
      <c r="X31" s="1033"/>
      <c r="Y31" s="1033"/>
      <c r="Z31" s="1033"/>
      <c r="AA31" s="1033"/>
      <c r="AB31" s="1033"/>
      <c r="AC31" s="1033"/>
      <c r="AD31" s="1033"/>
      <c r="AE31" s="1033"/>
      <c r="AF31" s="1033"/>
      <c r="AG31" s="1033"/>
      <c r="AH31" s="1033"/>
      <c r="AI31" s="1033"/>
      <c r="AJ31" s="1033"/>
      <c r="AK31" s="1033"/>
      <c r="AL31" s="1033"/>
      <c r="AM31" s="1033"/>
      <c r="AN31" s="1033"/>
      <c r="AO31" s="1033"/>
      <c r="AP31" s="1033"/>
      <c r="AQ31" s="1033"/>
      <c r="AR31" s="1033"/>
      <c r="AS31" s="1033"/>
      <c r="AT31" s="1033"/>
      <c r="AU31" s="1033"/>
      <c r="AV31" s="1033"/>
      <c r="AW31" s="1033"/>
      <c r="AX31" s="1033"/>
      <c r="AY31" s="1033"/>
      <c r="AZ31" s="1033"/>
      <c r="BA31" s="1033"/>
      <c r="BB31" s="1033"/>
      <c r="BC31" s="1033"/>
      <c r="BD31" s="1033"/>
      <c r="BE31" s="1033"/>
      <c r="BF31" s="1033"/>
      <c r="BG31" s="1033"/>
      <c r="BH31" s="1033"/>
      <c r="BI31" s="1033"/>
      <c r="BJ31" s="1033"/>
      <c r="BK31" s="1033"/>
      <c r="BL31" s="1033"/>
      <c r="BM31" s="1033"/>
      <c r="BN31" s="1033"/>
      <c r="BO31" s="1033"/>
      <c r="BP31" s="1033"/>
      <c r="BQ31" s="1033"/>
      <c r="BR31" s="1033"/>
      <c r="BS31" s="1033"/>
      <c r="BT31" s="1033"/>
      <c r="BU31" s="1033"/>
      <c r="BV31" s="1033"/>
      <c r="BW31" s="1033"/>
      <c r="BX31" s="1033"/>
      <c r="BY31" s="1033"/>
      <c r="BZ31" s="1033"/>
      <c r="CA31" s="1033"/>
      <c r="CB31" s="1033"/>
      <c r="CC31" s="1033"/>
      <c r="CD31" s="1033"/>
      <c r="CE31" s="1033"/>
      <c r="CF31" s="1033"/>
      <c r="CG31" s="1033"/>
      <c r="CH31" s="1033"/>
      <c r="CI31" s="1033"/>
      <c r="CJ31" s="1033"/>
      <c r="CK31" s="1033"/>
      <c r="CL31" s="1033"/>
      <c r="CM31" s="1033"/>
      <c r="CN31" s="1033"/>
      <c r="CO31" s="1033"/>
      <c r="CP31" s="1033"/>
      <c r="CQ31" s="1033"/>
      <c r="CR31" s="1033"/>
      <c r="CS31" s="1033"/>
      <c r="CT31" s="1033"/>
      <c r="CU31" s="1033"/>
      <c r="CV31" s="1033"/>
      <c r="CW31" s="1033"/>
      <c r="CX31" s="1033"/>
      <c r="CY31" s="1033"/>
      <c r="CZ31" s="953">
        <v>1</v>
      </c>
    </row>
    <row r="32" spans="1:104" ht="8.1" customHeight="1">
      <c r="A32" s="938"/>
      <c r="B32" s="940"/>
      <c r="C32" s="938"/>
      <c r="D32" s="1045"/>
      <c r="E32" s="944"/>
      <c r="F32" s="1003"/>
      <c r="G32" s="989"/>
      <c r="H32" s="1140"/>
      <c r="I32" s="1010"/>
      <c r="J32" s="986"/>
      <c r="K32" s="986"/>
      <c r="L32" s="807" t="s">
        <v>3319</v>
      </c>
      <c r="M32" s="811">
        <v>1</v>
      </c>
      <c r="N32" s="816">
        <v>2</v>
      </c>
      <c r="O32" s="812">
        <v>3</v>
      </c>
      <c r="P32" s="810">
        <v>4</v>
      </c>
      <c r="Q32" s="810">
        <v>5</v>
      </c>
      <c r="R32" s="810">
        <v>6</v>
      </c>
      <c r="S32" s="810">
        <v>7</v>
      </c>
      <c r="T32" s="810">
        <v>1</v>
      </c>
      <c r="U32" s="810">
        <v>2</v>
      </c>
      <c r="V32" s="810">
        <v>3</v>
      </c>
      <c r="W32" s="810">
        <v>4</v>
      </c>
      <c r="X32" s="810">
        <v>5</v>
      </c>
      <c r="Y32" s="810">
        <v>6</v>
      </c>
      <c r="Z32" s="810">
        <v>7</v>
      </c>
      <c r="AA32" s="810">
        <v>1</v>
      </c>
      <c r="AB32" s="810">
        <v>2</v>
      </c>
      <c r="AC32" s="810">
        <v>3</v>
      </c>
      <c r="AD32" s="810">
        <v>4</v>
      </c>
      <c r="AE32" s="810">
        <v>5</v>
      </c>
      <c r="AF32" s="810">
        <v>6</v>
      </c>
      <c r="AG32" s="810">
        <v>7</v>
      </c>
      <c r="AH32" s="810">
        <v>1</v>
      </c>
      <c r="AI32" s="810">
        <v>2</v>
      </c>
      <c r="AJ32" s="810">
        <v>3</v>
      </c>
      <c r="AK32" s="810">
        <v>4</v>
      </c>
      <c r="AL32" s="810">
        <v>5</v>
      </c>
      <c r="AM32" s="810">
        <v>6</v>
      </c>
      <c r="AN32" s="810">
        <v>7</v>
      </c>
      <c r="AO32" s="810">
        <v>1</v>
      </c>
      <c r="AP32" s="810">
        <v>2</v>
      </c>
      <c r="AQ32" s="810">
        <v>3</v>
      </c>
      <c r="AR32" s="810">
        <v>4</v>
      </c>
      <c r="AS32" s="810">
        <v>5</v>
      </c>
      <c r="AT32" s="810">
        <v>6</v>
      </c>
      <c r="AU32" s="810">
        <v>7</v>
      </c>
      <c r="AV32" s="810">
        <v>1</v>
      </c>
      <c r="AW32" s="810">
        <v>2</v>
      </c>
      <c r="AX32" s="810">
        <v>3</v>
      </c>
      <c r="AY32" s="810">
        <v>4</v>
      </c>
      <c r="AZ32" s="810">
        <v>5</v>
      </c>
      <c r="BA32" s="810">
        <v>6</v>
      </c>
      <c r="BB32" s="810">
        <v>7</v>
      </c>
      <c r="BC32" s="810">
        <v>1</v>
      </c>
      <c r="BD32" s="810">
        <v>2</v>
      </c>
      <c r="BE32" s="810">
        <v>3</v>
      </c>
      <c r="BF32" s="810">
        <v>4</v>
      </c>
      <c r="BG32" s="810">
        <v>5</v>
      </c>
      <c r="BH32" s="810">
        <v>6</v>
      </c>
      <c r="BI32" s="810">
        <v>7</v>
      </c>
      <c r="BJ32" s="810">
        <v>1</v>
      </c>
      <c r="BK32" s="810">
        <v>2</v>
      </c>
      <c r="BL32" s="810">
        <v>3</v>
      </c>
      <c r="BM32" s="810">
        <v>4</v>
      </c>
      <c r="BN32" s="810">
        <v>5</v>
      </c>
      <c r="BO32" s="810">
        <v>6</v>
      </c>
      <c r="BP32" s="810">
        <v>7</v>
      </c>
      <c r="BQ32" s="810">
        <v>1</v>
      </c>
      <c r="BR32" s="810">
        <v>2</v>
      </c>
      <c r="BS32" s="810">
        <v>3</v>
      </c>
      <c r="BT32" s="810">
        <v>4</v>
      </c>
      <c r="BU32" s="810">
        <v>5</v>
      </c>
      <c r="BV32" s="810">
        <v>6</v>
      </c>
      <c r="BW32" s="810">
        <v>7</v>
      </c>
      <c r="BX32" s="810">
        <v>1</v>
      </c>
      <c r="BY32" s="810">
        <v>2</v>
      </c>
      <c r="BZ32" s="810">
        <v>3</v>
      </c>
      <c r="CA32" s="810">
        <v>4</v>
      </c>
      <c r="CB32" s="810">
        <v>5</v>
      </c>
      <c r="CC32" s="810">
        <v>6</v>
      </c>
      <c r="CD32" s="810">
        <v>7</v>
      </c>
      <c r="CE32" s="810">
        <v>1</v>
      </c>
      <c r="CF32" s="810">
        <v>2</v>
      </c>
      <c r="CG32" s="810">
        <v>3</v>
      </c>
      <c r="CH32" s="810">
        <v>4</v>
      </c>
      <c r="CI32" s="810">
        <v>5</v>
      </c>
      <c r="CJ32" s="810">
        <v>6</v>
      </c>
      <c r="CK32" s="810">
        <v>7</v>
      </c>
      <c r="CL32" s="810">
        <v>1</v>
      </c>
      <c r="CM32" s="810">
        <v>2</v>
      </c>
      <c r="CN32" s="810">
        <v>3</v>
      </c>
      <c r="CO32" s="810">
        <v>4</v>
      </c>
      <c r="CP32" s="810">
        <v>5</v>
      </c>
      <c r="CQ32" s="810">
        <v>6</v>
      </c>
      <c r="CR32" s="810">
        <v>7</v>
      </c>
      <c r="CS32" s="810">
        <v>1</v>
      </c>
      <c r="CT32" s="810">
        <v>2</v>
      </c>
      <c r="CU32" s="810">
        <v>3</v>
      </c>
      <c r="CV32" s="810">
        <v>4</v>
      </c>
      <c r="CW32" s="810">
        <v>5</v>
      </c>
      <c r="CX32" s="810">
        <v>6</v>
      </c>
      <c r="CY32" s="810">
        <v>7</v>
      </c>
      <c r="CZ32" s="954"/>
    </row>
    <row r="33" spans="1:104" ht="8.1" customHeight="1" thickBot="1">
      <c r="A33" s="938"/>
      <c r="B33" s="940"/>
      <c r="C33" s="938"/>
      <c r="D33" s="1045"/>
      <c r="E33" s="944"/>
      <c r="F33" s="1003"/>
      <c r="G33" s="989"/>
      <c r="H33" s="1140"/>
      <c r="I33" s="1011"/>
      <c r="J33" s="987"/>
      <c r="K33" s="987"/>
      <c r="L33" s="808" t="s">
        <v>3320</v>
      </c>
      <c r="M33" s="1024">
        <f>M31+T31+AA31+AH31</f>
        <v>177660</v>
      </c>
      <c r="N33" s="967"/>
      <c r="O33" s="967"/>
      <c r="P33" s="967"/>
      <c r="Q33" s="967"/>
      <c r="R33" s="967"/>
      <c r="S33" s="967"/>
      <c r="T33" s="967"/>
      <c r="U33" s="967"/>
      <c r="V33" s="967"/>
      <c r="W33" s="967"/>
      <c r="X33" s="967"/>
      <c r="Y33" s="967"/>
      <c r="Z33" s="967"/>
      <c r="AA33" s="967"/>
      <c r="AB33" s="967"/>
      <c r="AC33" s="967"/>
      <c r="AD33" s="967"/>
      <c r="AE33" s="967"/>
      <c r="AF33" s="967"/>
      <c r="AG33" s="967"/>
      <c r="AH33" s="967"/>
      <c r="AI33" s="967"/>
      <c r="AJ33" s="967"/>
      <c r="AK33" s="967"/>
      <c r="AL33" s="967"/>
      <c r="AM33" s="967"/>
      <c r="AN33" s="967"/>
      <c r="AO33" s="967"/>
      <c r="AP33" s="967"/>
      <c r="AQ33" s="967"/>
      <c r="AR33" s="967"/>
      <c r="AS33" s="967"/>
      <c r="AT33" s="967"/>
      <c r="AU33" s="967"/>
      <c r="AV33" s="967"/>
      <c r="AW33" s="967"/>
      <c r="AX33" s="967"/>
      <c r="AY33" s="967"/>
      <c r="AZ33" s="967"/>
      <c r="BA33" s="967"/>
      <c r="BB33" s="967"/>
      <c r="BC33" s="967"/>
      <c r="BD33" s="967"/>
      <c r="BE33" s="967"/>
      <c r="BF33" s="967"/>
      <c r="BG33" s="967"/>
      <c r="BH33" s="967"/>
      <c r="BI33" s="967"/>
      <c r="BJ33" s="967"/>
      <c r="BK33" s="967"/>
      <c r="BL33" s="967"/>
      <c r="BM33" s="967"/>
      <c r="BN33" s="967"/>
      <c r="BO33" s="967"/>
      <c r="BP33" s="967"/>
      <c r="BQ33" s="967"/>
      <c r="BR33" s="967"/>
      <c r="BS33" s="967"/>
      <c r="BT33" s="967"/>
      <c r="BU33" s="967"/>
      <c r="BV33" s="967"/>
      <c r="BW33" s="967"/>
      <c r="BX33" s="967"/>
      <c r="BY33" s="967"/>
      <c r="BZ33" s="967"/>
      <c r="CA33" s="967"/>
      <c r="CB33" s="967"/>
      <c r="CC33" s="967"/>
      <c r="CD33" s="967"/>
      <c r="CE33" s="967"/>
      <c r="CF33" s="967"/>
      <c r="CG33" s="967"/>
      <c r="CH33" s="967"/>
      <c r="CI33" s="967"/>
      <c r="CJ33" s="967"/>
      <c r="CK33" s="967"/>
      <c r="CL33" s="967"/>
      <c r="CM33" s="967"/>
      <c r="CN33" s="967"/>
      <c r="CO33" s="967"/>
      <c r="CP33" s="967"/>
      <c r="CQ33" s="967"/>
      <c r="CR33" s="967"/>
      <c r="CS33" s="967"/>
      <c r="CT33" s="967"/>
      <c r="CU33" s="967"/>
      <c r="CV33" s="967"/>
      <c r="CW33" s="967"/>
      <c r="CX33" s="967"/>
      <c r="CY33" s="967"/>
      <c r="CZ33" s="954"/>
    </row>
    <row r="34" spans="1:104" ht="9" customHeight="1">
      <c r="A34" s="938">
        <f>EDIFICACION!A48</f>
        <v>2.5</v>
      </c>
      <c r="B34" s="940" t="str">
        <f>EDIFICACION!B48</f>
        <v>DESMONTE MARCOS Y PUERTAS</v>
      </c>
      <c r="C34" s="1046" t="str">
        <f>EDIFICACION!C48</f>
        <v>M2</v>
      </c>
      <c r="D34" s="1045">
        <f>(0.65*1.9*16)+(0.65*1.9*21)+(2.5*1*2)</f>
        <v>50.694999999999993</v>
      </c>
      <c r="E34" s="944">
        <f>EDIFICACION!F48</f>
        <v>10767</v>
      </c>
      <c r="F34" s="1003">
        <f t="shared" si="0"/>
        <v>545833.06499999994</v>
      </c>
      <c r="G34" s="989">
        <f>F34/F259</f>
        <v>1.6481707893568061E-3</v>
      </c>
      <c r="H34" s="1140"/>
      <c r="I34" s="1009" t="s">
        <v>3339</v>
      </c>
      <c r="J34" s="985" t="s">
        <v>3351</v>
      </c>
      <c r="K34" s="985" t="s">
        <v>3351</v>
      </c>
      <c r="L34" s="806" t="s">
        <v>3318</v>
      </c>
      <c r="M34" s="1044">
        <f>F34/CZ34*M35</f>
        <v>545833.06499999994</v>
      </c>
      <c r="N34" s="1033"/>
      <c r="O34" s="1033"/>
      <c r="P34" s="1033"/>
      <c r="Q34" s="1033"/>
      <c r="R34" s="1033"/>
      <c r="S34" s="1033"/>
      <c r="T34" s="1033"/>
      <c r="U34" s="1033"/>
      <c r="V34" s="1033"/>
      <c r="W34" s="1033"/>
      <c r="X34" s="1033"/>
      <c r="Y34" s="1033"/>
      <c r="Z34" s="1033"/>
      <c r="AA34" s="1033"/>
      <c r="AB34" s="1033"/>
      <c r="AC34" s="1033"/>
      <c r="AD34" s="1033"/>
      <c r="AE34" s="1033"/>
      <c r="AF34" s="1033"/>
      <c r="AG34" s="1033"/>
      <c r="AH34" s="1033"/>
      <c r="AI34" s="1033"/>
      <c r="AJ34" s="1033"/>
      <c r="AK34" s="1033"/>
      <c r="AL34" s="1033"/>
      <c r="AM34" s="1033"/>
      <c r="AN34" s="1033"/>
      <c r="AO34" s="1033"/>
      <c r="AP34" s="1033"/>
      <c r="AQ34" s="1033"/>
      <c r="AR34" s="1033"/>
      <c r="AS34" s="1033"/>
      <c r="AT34" s="1033"/>
      <c r="AU34" s="1033"/>
      <c r="AV34" s="1033"/>
      <c r="AW34" s="1033"/>
      <c r="AX34" s="1033"/>
      <c r="AY34" s="1033"/>
      <c r="AZ34" s="1033"/>
      <c r="BA34" s="1033"/>
      <c r="BB34" s="1033"/>
      <c r="BC34" s="1033"/>
      <c r="BD34" s="1033"/>
      <c r="BE34" s="1033"/>
      <c r="BF34" s="1033"/>
      <c r="BG34" s="1033"/>
      <c r="BH34" s="1033"/>
      <c r="BI34" s="1033"/>
      <c r="BJ34" s="1033"/>
      <c r="BK34" s="1033"/>
      <c r="BL34" s="1033"/>
      <c r="BM34" s="1033"/>
      <c r="BN34" s="1033"/>
      <c r="BO34" s="1033"/>
      <c r="BP34" s="1033"/>
      <c r="BQ34" s="1033"/>
      <c r="BR34" s="1033"/>
      <c r="BS34" s="1033"/>
      <c r="BT34" s="1033"/>
      <c r="BU34" s="1033"/>
      <c r="BV34" s="1033"/>
      <c r="BW34" s="1033"/>
      <c r="BX34" s="1033"/>
      <c r="BY34" s="1033"/>
      <c r="BZ34" s="1033"/>
      <c r="CA34" s="1033"/>
      <c r="CB34" s="1033"/>
      <c r="CC34" s="1033"/>
      <c r="CD34" s="1033"/>
      <c r="CE34" s="1033"/>
      <c r="CF34" s="1033"/>
      <c r="CG34" s="1033"/>
      <c r="CH34" s="1033"/>
      <c r="CI34" s="1033"/>
      <c r="CJ34" s="1033"/>
      <c r="CK34" s="1033"/>
      <c r="CL34" s="1033"/>
      <c r="CM34" s="1033"/>
      <c r="CN34" s="1033"/>
      <c r="CO34" s="1033"/>
      <c r="CP34" s="1033"/>
      <c r="CQ34" s="1033"/>
      <c r="CR34" s="1033"/>
      <c r="CS34" s="1033"/>
      <c r="CT34" s="1033"/>
      <c r="CU34" s="1033"/>
      <c r="CV34" s="1033"/>
      <c r="CW34" s="1033"/>
      <c r="CX34" s="1033"/>
      <c r="CY34" s="1033"/>
      <c r="CZ34" s="953">
        <v>1</v>
      </c>
    </row>
    <row r="35" spans="1:104" ht="9" customHeight="1">
      <c r="A35" s="938"/>
      <c r="B35" s="940"/>
      <c r="C35" s="1046"/>
      <c r="D35" s="1045"/>
      <c r="E35" s="944"/>
      <c r="F35" s="1003"/>
      <c r="G35" s="989"/>
      <c r="H35" s="1140"/>
      <c r="I35" s="1010"/>
      <c r="J35" s="986"/>
      <c r="K35" s="986"/>
      <c r="L35" s="807" t="s">
        <v>3319</v>
      </c>
      <c r="M35" s="811">
        <v>1</v>
      </c>
      <c r="N35" s="810">
        <v>2</v>
      </c>
      <c r="O35" s="810">
        <v>3</v>
      </c>
      <c r="P35" s="812">
        <v>4</v>
      </c>
      <c r="Q35" s="810">
        <v>5</v>
      </c>
      <c r="R35" s="810">
        <v>6</v>
      </c>
      <c r="S35" s="810">
        <v>7</v>
      </c>
      <c r="T35" s="810">
        <v>1</v>
      </c>
      <c r="U35" s="810">
        <v>2</v>
      </c>
      <c r="V35" s="810">
        <v>3</v>
      </c>
      <c r="W35" s="810">
        <v>4</v>
      </c>
      <c r="X35" s="810">
        <v>5</v>
      </c>
      <c r="Y35" s="810">
        <v>6</v>
      </c>
      <c r="Z35" s="810">
        <v>7</v>
      </c>
      <c r="AA35" s="810">
        <v>1</v>
      </c>
      <c r="AB35" s="810">
        <v>2</v>
      </c>
      <c r="AC35" s="810">
        <v>3</v>
      </c>
      <c r="AD35" s="810">
        <v>4</v>
      </c>
      <c r="AE35" s="810">
        <v>5</v>
      </c>
      <c r="AF35" s="810">
        <v>6</v>
      </c>
      <c r="AG35" s="810">
        <v>7</v>
      </c>
      <c r="AH35" s="810">
        <v>1</v>
      </c>
      <c r="AI35" s="810">
        <v>2</v>
      </c>
      <c r="AJ35" s="810">
        <v>3</v>
      </c>
      <c r="AK35" s="810">
        <v>4</v>
      </c>
      <c r="AL35" s="810">
        <v>5</v>
      </c>
      <c r="AM35" s="810">
        <v>6</v>
      </c>
      <c r="AN35" s="810">
        <v>7</v>
      </c>
      <c r="AO35" s="810">
        <v>1</v>
      </c>
      <c r="AP35" s="810">
        <v>2</v>
      </c>
      <c r="AQ35" s="810">
        <v>3</v>
      </c>
      <c r="AR35" s="810">
        <v>4</v>
      </c>
      <c r="AS35" s="810">
        <v>5</v>
      </c>
      <c r="AT35" s="810">
        <v>6</v>
      </c>
      <c r="AU35" s="810">
        <v>7</v>
      </c>
      <c r="AV35" s="810">
        <v>1</v>
      </c>
      <c r="AW35" s="810">
        <v>2</v>
      </c>
      <c r="AX35" s="810">
        <v>3</v>
      </c>
      <c r="AY35" s="810">
        <v>4</v>
      </c>
      <c r="AZ35" s="810">
        <v>5</v>
      </c>
      <c r="BA35" s="810">
        <v>6</v>
      </c>
      <c r="BB35" s="810">
        <v>7</v>
      </c>
      <c r="BC35" s="810">
        <v>1</v>
      </c>
      <c r="BD35" s="810">
        <v>2</v>
      </c>
      <c r="BE35" s="810">
        <v>3</v>
      </c>
      <c r="BF35" s="810">
        <v>4</v>
      </c>
      <c r="BG35" s="810">
        <v>5</v>
      </c>
      <c r="BH35" s="810">
        <v>6</v>
      </c>
      <c r="BI35" s="810">
        <v>7</v>
      </c>
      <c r="BJ35" s="810">
        <v>1</v>
      </c>
      <c r="BK35" s="810">
        <v>2</v>
      </c>
      <c r="BL35" s="810">
        <v>3</v>
      </c>
      <c r="BM35" s="810">
        <v>4</v>
      </c>
      <c r="BN35" s="810">
        <v>5</v>
      </c>
      <c r="BO35" s="810">
        <v>6</v>
      </c>
      <c r="BP35" s="810">
        <v>7</v>
      </c>
      <c r="BQ35" s="810">
        <v>1</v>
      </c>
      <c r="BR35" s="810">
        <v>2</v>
      </c>
      <c r="BS35" s="810">
        <v>3</v>
      </c>
      <c r="BT35" s="810">
        <v>4</v>
      </c>
      <c r="BU35" s="810">
        <v>5</v>
      </c>
      <c r="BV35" s="810">
        <v>6</v>
      </c>
      <c r="BW35" s="810">
        <v>7</v>
      </c>
      <c r="BX35" s="810">
        <v>1</v>
      </c>
      <c r="BY35" s="810">
        <v>2</v>
      </c>
      <c r="BZ35" s="810">
        <v>3</v>
      </c>
      <c r="CA35" s="810">
        <v>4</v>
      </c>
      <c r="CB35" s="810">
        <v>5</v>
      </c>
      <c r="CC35" s="810">
        <v>6</v>
      </c>
      <c r="CD35" s="810">
        <v>7</v>
      </c>
      <c r="CE35" s="810">
        <v>1</v>
      </c>
      <c r="CF35" s="810">
        <v>2</v>
      </c>
      <c r="CG35" s="810">
        <v>3</v>
      </c>
      <c r="CH35" s="810">
        <v>4</v>
      </c>
      <c r="CI35" s="810">
        <v>5</v>
      </c>
      <c r="CJ35" s="810">
        <v>6</v>
      </c>
      <c r="CK35" s="810">
        <v>7</v>
      </c>
      <c r="CL35" s="810">
        <v>1</v>
      </c>
      <c r="CM35" s="810">
        <v>2</v>
      </c>
      <c r="CN35" s="810">
        <v>3</v>
      </c>
      <c r="CO35" s="810">
        <v>4</v>
      </c>
      <c r="CP35" s="810">
        <v>5</v>
      </c>
      <c r="CQ35" s="810">
        <v>6</v>
      </c>
      <c r="CR35" s="810">
        <v>7</v>
      </c>
      <c r="CS35" s="810">
        <v>1</v>
      </c>
      <c r="CT35" s="810">
        <v>2</v>
      </c>
      <c r="CU35" s="810">
        <v>3</v>
      </c>
      <c r="CV35" s="810">
        <v>4</v>
      </c>
      <c r="CW35" s="810">
        <v>5</v>
      </c>
      <c r="CX35" s="810">
        <v>6</v>
      </c>
      <c r="CY35" s="810">
        <v>7</v>
      </c>
      <c r="CZ35" s="954"/>
    </row>
    <row r="36" spans="1:104" ht="9" customHeight="1" thickBot="1">
      <c r="A36" s="938"/>
      <c r="B36" s="940"/>
      <c r="C36" s="1046"/>
      <c r="D36" s="1045"/>
      <c r="E36" s="944"/>
      <c r="F36" s="1003"/>
      <c r="G36" s="989"/>
      <c r="H36" s="1140"/>
      <c r="I36" s="1011"/>
      <c r="J36" s="987"/>
      <c r="K36" s="987"/>
      <c r="L36" s="808" t="s">
        <v>3320</v>
      </c>
      <c r="M36" s="1024">
        <f>M34+T34+AA34+AH34</f>
        <v>545833.06499999994</v>
      </c>
      <c r="N36" s="967"/>
      <c r="O36" s="967"/>
      <c r="P36" s="967"/>
      <c r="Q36" s="967"/>
      <c r="R36" s="967"/>
      <c r="S36" s="967"/>
      <c r="T36" s="967"/>
      <c r="U36" s="967"/>
      <c r="V36" s="967"/>
      <c r="W36" s="967"/>
      <c r="X36" s="967"/>
      <c r="Y36" s="967"/>
      <c r="Z36" s="967"/>
      <c r="AA36" s="967"/>
      <c r="AB36" s="967"/>
      <c r="AC36" s="967"/>
      <c r="AD36" s="967"/>
      <c r="AE36" s="967"/>
      <c r="AF36" s="967"/>
      <c r="AG36" s="967"/>
      <c r="AH36" s="967"/>
      <c r="AI36" s="967"/>
      <c r="AJ36" s="967"/>
      <c r="AK36" s="967"/>
      <c r="AL36" s="967"/>
      <c r="AM36" s="967"/>
      <c r="AN36" s="967"/>
      <c r="AO36" s="967"/>
      <c r="AP36" s="967"/>
      <c r="AQ36" s="967">
        <f>AO34+AV34+BC34+BJ34</f>
        <v>0</v>
      </c>
      <c r="AR36" s="967"/>
      <c r="AS36" s="967"/>
      <c r="AT36" s="967"/>
      <c r="AU36" s="967"/>
      <c r="AV36" s="967"/>
      <c r="AW36" s="967"/>
      <c r="AX36" s="967"/>
      <c r="AY36" s="967"/>
      <c r="AZ36" s="967"/>
      <c r="BA36" s="967"/>
      <c r="BB36" s="967"/>
      <c r="BC36" s="967"/>
      <c r="BD36" s="967"/>
      <c r="BE36" s="967"/>
      <c r="BF36" s="967"/>
      <c r="BG36" s="967"/>
      <c r="BH36" s="967"/>
      <c r="BI36" s="967"/>
      <c r="BJ36" s="967"/>
      <c r="BK36" s="967"/>
      <c r="BL36" s="967"/>
      <c r="BM36" s="967"/>
      <c r="BN36" s="967"/>
      <c r="BO36" s="967"/>
      <c r="BP36" s="967"/>
      <c r="BQ36" s="967"/>
      <c r="BR36" s="967"/>
      <c r="BS36" s="967"/>
      <c r="BT36" s="967"/>
      <c r="BU36" s="967">
        <f>BQ34+BX34+CE34+CL34+CS34</f>
        <v>0</v>
      </c>
      <c r="BV36" s="967"/>
      <c r="BW36" s="967"/>
      <c r="BX36" s="967"/>
      <c r="BY36" s="967"/>
      <c r="BZ36" s="967"/>
      <c r="CA36" s="967"/>
      <c r="CB36" s="967"/>
      <c r="CC36" s="967"/>
      <c r="CD36" s="967"/>
      <c r="CE36" s="967"/>
      <c r="CF36" s="967"/>
      <c r="CG36" s="967"/>
      <c r="CH36" s="967"/>
      <c r="CI36" s="967"/>
      <c r="CJ36" s="967"/>
      <c r="CK36" s="967"/>
      <c r="CL36" s="967"/>
      <c r="CM36" s="967"/>
      <c r="CN36" s="967"/>
      <c r="CO36" s="967"/>
      <c r="CP36" s="967"/>
      <c r="CQ36" s="967"/>
      <c r="CR36" s="967"/>
      <c r="CS36" s="967"/>
      <c r="CT36" s="967"/>
      <c r="CU36" s="967"/>
      <c r="CV36" s="967"/>
      <c r="CW36" s="967"/>
      <c r="CX36" s="967"/>
      <c r="CY36" s="967"/>
      <c r="CZ36" s="954"/>
    </row>
    <row r="37" spans="1:104" ht="9" customHeight="1">
      <c r="A37" s="938">
        <f>EDIFICACION!A52</f>
        <v>2.6</v>
      </c>
      <c r="B37" s="940" t="str">
        <f>EDIFICACION!B52</f>
        <v>REVISION DE CUBIERTAS CANALETA ASBESTO CEMENTO, INCLUYE REPARACION DE GOTERAS</v>
      </c>
      <c r="C37" s="1046" t="str">
        <f>EDIFICACION!C52</f>
        <v>M2</v>
      </c>
      <c r="D37" s="1045">
        <v>20</v>
      </c>
      <c r="E37" s="944">
        <f>EDIFICACION!F52</f>
        <v>10716</v>
      </c>
      <c r="F37" s="1003">
        <f t="shared" si="0"/>
        <v>214320</v>
      </c>
      <c r="G37" s="989">
        <f>F37/F259</f>
        <v>6.4715017507220942E-4</v>
      </c>
      <c r="H37" s="1140"/>
      <c r="I37" s="1009" t="s">
        <v>3339</v>
      </c>
      <c r="J37" s="985" t="s">
        <v>3352</v>
      </c>
      <c r="K37" s="985" t="s">
        <v>3352</v>
      </c>
      <c r="L37" s="806" t="s">
        <v>3318</v>
      </c>
      <c r="M37" s="1042">
        <f>F37/CZ37*M35</f>
        <v>214320</v>
      </c>
      <c r="N37" s="1043"/>
      <c r="O37" s="1043"/>
      <c r="P37" s="1043"/>
      <c r="Q37" s="1043"/>
      <c r="R37" s="1043"/>
      <c r="S37" s="1043"/>
      <c r="T37" s="1033"/>
      <c r="U37" s="1033"/>
      <c r="V37" s="1033"/>
      <c r="W37" s="1033"/>
      <c r="X37" s="1033"/>
      <c r="Y37" s="1033"/>
      <c r="Z37" s="1033"/>
      <c r="AA37" s="1033"/>
      <c r="AB37" s="1033"/>
      <c r="AC37" s="1033"/>
      <c r="AD37" s="1033"/>
      <c r="AE37" s="1033"/>
      <c r="AF37" s="1033"/>
      <c r="AG37" s="1033"/>
      <c r="AH37" s="1033"/>
      <c r="AI37" s="1033"/>
      <c r="AJ37" s="1033"/>
      <c r="AK37" s="1033"/>
      <c r="AL37" s="1033"/>
      <c r="AM37" s="1033"/>
      <c r="AN37" s="1033"/>
      <c r="AO37" s="1033"/>
      <c r="AP37" s="1033"/>
      <c r="AQ37" s="1033"/>
      <c r="AR37" s="1033"/>
      <c r="AS37" s="1033"/>
      <c r="AT37" s="1033"/>
      <c r="AU37" s="1033"/>
      <c r="AV37" s="1033"/>
      <c r="AW37" s="1033"/>
      <c r="AX37" s="1033"/>
      <c r="AY37" s="1033"/>
      <c r="AZ37" s="1033"/>
      <c r="BA37" s="1033"/>
      <c r="BB37" s="1033"/>
      <c r="BC37" s="1033"/>
      <c r="BD37" s="1033"/>
      <c r="BE37" s="1033"/>
      <c r="BF37" s="1033"/>
      <c r="BG37" s="1033"/>
      <c r="BH37" s="1033"/>
      <c r="BI37" s="1033"/>
      <c r="BJ37" s="1033"/>
      <c r="BK37" s="1033"/>
      <c r="BL37" s="1033"/>
      <c r="BM37" s="1033"/>
      <c r="BN37" s="1033"/>
      <c r="BO37" s="1033"/>
      <c r="BP37" s="1033"/>
      <c r="BQ37" s="1033"/>
      <c r="BR37" s="1033"/>
      <c r="BS37" s="1033"/>
      <c r="BT37" s="1033"/>
      <c r="BU37" s="1033"/>
      <c r="BV37" s="1033"/>
      <c r="BW37" s="1033"/>
      <c r="BX37" s="1033"/>
      <c r="BY37" s="1033"/>
      <c r="BZ37" s="1033"/>
      <c r="CA37" s="1033"/>
      <c r="CB37" s="1033"/>
      <c r="CC37" s="1033"/>
      <c r="CD37" s="1033"/>
      <c r="CE37" s="1033"/>
      <c r="CF37" s="1033"/>
      <c r="CG37" s="1033"/>
      <c r="CH37" s="1033"/>
      <c r="CI37" s="1033"/>
      <c r="CJ37" s="1033"/>
      <c r="CK37" s="1033"/>
      <c r="CL37" s="1033"/>
      <c r="CM37" s="1033"/>
      <c r="CN37" s="1033"/>
      <c r="CO37" s="1033"/>
      <c r="CP37" s="1033"/>
      <c r="CQ37" s="1033"/>
      <c r="CR37" s="1033"/>
      <c r="CS37" s="1033"/>
      <c r="CT37" s="1033"/>
      <c r="CU37" s="1033"/>
      <c r="CV37" s="1033"/>
      <c r="CW37" s="1033"/>
      <c r="CX37" s="1033"/>
      <c r="CY37" s="1033"/>
      <c r="CZ37" s="953">
        <v>1</v>
      </c>
    </row>
    <row r="38" spans="1:104" ht="9" customHeight="1">
      <c r="A38" s="938"/>
      <c r="B38" s="940"/>
      <c r="C38" s="1046"/>
      <c r="D38" s="1045"/>
      <c r="E38" s="944"/>
      <c r="F38" s="1003"/>
      <c r="G38" s="989"/>
      <c r="H38" s="1140"/>
      <c r="I38" s="1010"/>
      <c r="J38" s="986"/>
      <c r="K38" s="986"/>
      <c r="L38" s="807" t="s">
        <v>3319</v>
      </c>
      <c r="M38" s="811">
        <v>1</v>
      </c>
      <c r="N38" s="810">
        <v>2</v>
      </c>
      <c r="O38" s="810">
        <v>3</v>
      </c>
      <c r="P38" s="810">
        <v>4</v>
      </c>
      <c r="Q38" s="812">
        <v>5</v>
      </c>
      <c r="R38" s="810">
        <v>6</v>
      </c>
      <c r="S38" s="810">
        <v>7</v>
      </c>
      <c r="T38" s="810">
        <v>1</v>
      </c>
      <c r="U38" s="810">
        <v>2</v>
      </c>
      <c r="V38" s="810">
        <v>3</v>
      </c>
      <c r="W38" s="810">
        <v>4</v>
      </c>
      <c r="X38" s="810">
        <v>5</v>
      </c>
      <c r="Y38" s="810">
        <v>6</v>
      </c>
      <c r="Z38" s="810">
        <v>7</v>
      </c>
      <c r="AA38" s="810">
        <v>1</v>
      </c>
      <c r="AB38" s="810">
        <v>2</v>
      </c>
      <c r="AC38" s="810">
        <v>3</v>
      </c>
      <c r="AD38" s="810">
        <v>4</v>
      </c>
      <c r="AE38" s="810">
        <v>5</v>
      </c>
      <c r="AF38" s="810">
        <v>6</v>
      </c>
      <c r="AG38" s="810">
        <v>7</v>
      </c>
      <c r="AH38" s="810">
        <v>1</v>
      </c>
      <c r="AI38" s="810">
        <v>2</v>
      </c>
      <c r="AJ38" s="810">
        <v>3</v>
      </c>
      <c r="AK38" s="810">
        <v>4</v>
      </c>
      <c r="AL38" s="810">
        <v>5</v>
      </c>
      <c r="AM38" s="810">
        <v>6</v>
      </c>
      <c r="AN38" s="810">
        <v>7</v>
      </c>
      <c r="AO38" s="810">
        <v>1</v>
      </c>
      <c r="AP38" s="810">
        <v>2</v>
      </c>
      <c r="AQ38" s="810">
        <v>3</v>
      </c>
      <c r="AR38" s="810">
        <v>4</v>
      </c>
      <c r="AS38" s="810">
        <v>5</v>
      </c>
      <c r="AT38" s="810">
        <v>6</v>
      </c>
      <c r="AU38" s="810">
        <v>7</v>
      </c>
      <c r="AV38" s="810">
        <v>1</v>
      </c>
      <c r="AW38" s="810">
        <v>2</v>
      </c>
      <c r="AX38" s="810">
        <v>3</v>
      </c>
      <c r="AY38" s="810">
        <v>4</v>
      </c>
      <c r="AZ38" s="810">
        <v>5</v>
      </c>
      <c r="BA38" s="810">
        <v>6</v>
      </c>
      <c r="BB38" s="810">
        <v>7</v>
      </c>
      <c r="BC38" s="810">
        <v>1</v>
      </c>
      <c r="BD38" s="810">
        <v>2</v>
      </c>
      <c r="BE38" s="810">
        <v>3</v>
      </c>
      <c r="BF38" s="810">
        <v>4</v>
      </c>
      <c r="BG38" s="810">
        <v>5</v>
      </c>
      <c r="BH38" s="810">
        <v>6</v>
      </c>
      <c r="BI38" s="810">
        <v>7</v>
      </c>
      <c r="BJ38" s="810">
        <v>1</v>
      </c>
      <c r="BK38" s="810">
        <v>2</v>
      </c>
      <c r="BL38" s="810">
        <v>3</v>
      </c>
      <c r="BM38" s="810">
        <v>4</v>
      </c>
      <c r="BN38" s="810">
        <v>5</v>
      </c>
      <c r="BO38" s="810">
        <v>6</v>
      </c>
      <c r="BP38" s="810">
        <v>7</v>
      </c>
      <c r="BQ38" s="810">
        <v>1</v>
      </c>
      <c r="BR38" s="810">
        <v>2</v>
      </c>
      <c r="BS38" s="810">
        <v>3</v>
      </c>
      <c r="BT38" s="810">
        <v>4</v>
      </c>
      <c r="BU38" s="810">
        <v>5</v>
      </c>
      <c r="BV38" s="810">
        <v>6</v>
      </c>
      <c r="BW38" s="810">
        <v>7</v>
      </c>
      <c r="BX38" s="810">
        <v>1</v>
      </c>
      <c r="BY38" s="810">
        <v>2</v>
      </c>
      <c r="BZ38" s="810">
        <v>3</v>
      </c>
      <c r="CA38" s="810">
        <v>4</v>
      </c>
      <c r="CB38" s="810">
        <v>5</v>
      </c>
      <c r="CC38" s="810">
        <v>6</v>
      </c>
      <c r="CD38" s="810">
        <v>7</v>
      </c>
      <c r="CE38" s="810">
        <v>1</v>
      </c>
      <c r="CF38" s="810">
        <v>2</v>
      </c>
      <c r="CG38" s="810">
        <v>3</v>
      </c>
      <c r="CH38" s="810">
        <v>4</v>
      </c>
      <c r="CI38" s="810">
        <v>5</v>
      </c>
      <c r="CJ38" s="810">
        <v>6</v>
      </c>
      <c r="CK38" s="810">
        <v>7</v>
      </c>
      <c r="CL38" s="810">
        <v>1</v>
      </c>
      <c r="CM38" s="810">
        <v>2</v>
      </c>
      <c r="CN38" s="810">
        <v>3</v>
      </c>
      <c r="CO38" s="810">
        <v>4</v>
      </c>
      <c r="CP38" s="810">
        <v>5</v>
      </c>
      <c r="CQ38" s="810">
        <v>6</v>
      </c>
      <c r="CR38" s="810">
        <v>7</v>
      </c>
      <c r="CS38" s="810">
        <v>1</v>
      </c>
      <c r="CT38" s="810">
        <v>2</v>
      </c>
      <c r="CU38" s="810">
        <v>3</v>
      </c>
      <c r="CV38" s="810">
        <v>4</v>
      </c>
      <c r="CW38" s="810">
        <v>5</v>
      </c>
      <c r="CX38" s="810">
        <v>6</v>
      </c>
      <c r="CY38" s="810">
        <v>7</v>
      </c>
      <c r="CZ38" s="954"/>
    </row>
    <row r="39" spans="1:104" ht="9" customHeight="1" thickBot="1">
      <c r="A39" s="938"/>
      <c r="B39" s="940"/>
      <c r="C39" s="1046"/>
      <c r="D39" s="1045"/>
      <c r="E39" s="944"/>
      <c r="F39" s="1003"/>
      <c r="G39" s="989"/>
      <c r="H39" s="1140"/>
      <c r="I39" s="1011"/>
      <c r="J39" s="987"/>
      <c r="K39" s="987"/>
      <c r="L39" s="808" t="s">
        <v>3320</v>
      </c>
      <c r="M39" s="1024">
        <f>M37+T37+AA37+AH37</f>
        <v>214320</v>
      </c>
      <c r="N39" s="967"/>
      <c r="O39" s="967"/>
      <c r="P39" s="967"/>
      <c r="Q39" s="967"/>
      <c r="R39" s="967"/>
      <c r="S39" s="967"/>
      <c r="T39" s="967"/>
      <c r="U39" s="967"/>
      <c r="V39" s="967"/>
      <c r="W39" s="967"/>
      <c r="X39" s="967"/>
      <c r="Y39" s="967"/>
      <c r="Z39" s="967"/>
      <c r="AA39" s="967"/>
      <c r="AB39" s="967"/>
      <c r="AC39" s="967"/>
      <c r="AD39" s="967"/>
      <c r="AE39" s="967"/>
      <c r="AF39" s="967"/>
      <c r="AG39" s="967"/>
      <c r="AH39" s="967"/>
      <c r="AI39" s="967"/>
      <c r="AJ39" s="967"/>
      <c r="AK39" s="967"/>
      <c r="AL39" s="967"/>
      <c r="AM39" s="967"/>
      <c r="AN39" s="967"/>
      <c r="AO39" s="967"/>
      <c r="AP39" s="967"/>
      <c r="AQ39" s="967">
        <f>AO37+AV37+BC37+BJ37</f>
        <v>0</v>
      </c>
      <c r="AR39" s="967"/>
      <c r="AS39" s="967"/>
      <c r="AT39" s="967"/>
      <c r="AU39" s="967"/>
      <c r="AV39" s="967"/>
      <c r="AW39" s="967"/>
      <c r="AX39" s="967"/>
      <c r="AY39" s="967"/>
      <c r="AZ39" s="967"/>
      <c r="BA39" s="967"/>
      <c r="BB39" s="967"/>
      <c r="BC39" s="967"/>
      <c r="BD39" s="967"/>
      <c r="BE39" s="967"/>
      <c r="BF39" s="967"/>
      <c r="BG39" s="967"/>
      <c r="BH39" s="967"/>
      <c r="BI39" s="967"/>
      <c r="BJ39" s="967"/>
      <c r="BK39" s="967"/>
      <c r="BL39" s="967"/>
      <c r="BM39" s="967"/>
      <c r="BN39" s="967"/>
      <c r="BO39" s="967"/>
      <c r="BP39" s="967"/>
      <c r="BQ39" s="967"/>
      <c r="BR39" s="967"/>
      <c r="BS39" s="967"/>
      <c r="BT39" s="967"/>
      <c r="BU39" s="967">
        <f>BQ37+BX37+CE37+CL37+CS37</f>
        <v>0</v>
      </c>
      <c r="BV39" s="967"/>
      <c r="BW39" s="967"/>
      <c r="BX39" s="967"/>
      <c r="BY39" s="967"/>
      <c r="BZ39" s="967"/>
      <c r="CA39" s="967"/>
      <c r="CB39" s="967"/>
      <c r="CC39" s="967"/>
      <c r="CD39" s="967"/>
      <c r="CE39" s="967"/>
      <c r="CF39" s="967"/>
      <c r="CG39" s="967"/>
      <c r="CH39" s="967"/>
      <c r="CI39" s="967"/>
      <c r="CJ39" s="967"/>
      <c r="CK39" s="967"/>
      <c r="CL39" s="967"/>
      <c r="CM39" s="967"/>
      <c r="CN39" s="967"/>
      <c r="CO39" s="967"/>
      <c r="CP39" s="967"/>
      <c r="CQ39" s="967"/>
      <c r="CR39" s="967"/>
      <c r="CS39" s="967"/>
      <c r="CT39" s="967"/>
      <c r="CU39" s="967"/>
      <c r="CV39" s="967"/>
      <c r="CW39" s="967"/>
      <c r="CX39" s="967"/>
      <c r="CY39" s="967"/>
      <c r="CZ39" s="954"/>
    </row>
    <row r="40" spans="1:104" ht="9" customHeight="1">
      <c r="A40" s="938">
        <f>EDIFICACION!A58</f>
        <v>2.7</v>
      </c>
      <c r="B40" s="940" t="str">
        <f>EDIFICACION!B58</f>
        <v>RETIRO DE TUBERIA DE 0 A 12" NO INCL. EXCAVACION</v>
      </c>
      <c r="C40" s="1046" t="str">
        <f>EDIFICACION!C58</f>
        <v>ML</v>
      </c>
      <c r="D40" s="1045">
        <v>132</v>
      </c>
      <c r="E40" s="944">
        <f>EDIFICACION!F58</f>
        <v>5114</v>
      </c>
      <c r="F40" s="1003">
        <f t="shared" si="0"/>
        <v>675048</v>
      </c>
      <c r="G40" s="989">
        <f>F40/F259</f>
        <v>2.0383418784161293E-3</v>
      </c>
      <c r="H40" s="1140"/>
      <c r="I40" s="1009" t="s">
        <v>3340</v>
      </c>
      <c r="J40" s="985" t="s">
        <v>3343</v>
      </c>
      <c r="K40" s="985" t="s">
        <v>3344</v>
      </c>
      <c r="L40" s="806" t="s">
        <v>3318</v>
      </c>
      <c r="M40" s="1034"/>
      <c r="N40" s="1033"/>
      <c r="O40" s="1033"/>
      <c r="P40" s="1033"/>
      <c r="Q40" s="1033"/>
      <c r="R40" s="1033"/>
      <c r="S40" s="1033"/>
      <c r="T40" s="1033"/>
      <c r="U40" s="1033"/>
      <c r="V40" s="1033"/>
      <c r="W40" s="1033"/>
      <c r="X40" s="1033"/>
      <c r="Y40" s="1033"/>
      <c r="Z40" s="1033"/>
      <c r="AA40" s="1035">
        <f>F40/CZ40*AB41</f>
        <v>675048</v>
      </c>
      <c r="AB40" s="1033"/>
      <c r="AC40" s="1033"/>
      <c r="AD40" s="1033"/>
      <c r="AE40" s="1033"/>
      <c r="AF40" s="1033"/>
      <c r="AG40" s="1033"/>
      <c r="AH40" s="1033"/>
      <c r="AI40" s="1033"/>
      <c r="AJ40" s="1033"/>
      <c r="AK40" s="1033"/>
      <c r="AL40" s="1033"/>
      <c r="AM40" s="1033"/>
      <c r="AN40" s="1033"/>
      <c r="AO40" s="1033"/>
      <c r="AP40" s="1033"/>
      <c r="AQ40" s="1033"/>
      <c r="AR40" s="1033"/>
      <c r="AS40" s="1033"/>
      <c r="AT40" s="1033"/>
      <c r="AU40" s="1033"/>
      <c r="AV40" s="1033"/>
      <c r="AW40" s="1033"/>
      <c r="AX40" s="1033"/>
      <c r="AY40" s="1033"/>
      <c r="AZ40" s="1033"/>
      <c r="BA40" s="1033"/>
      <c r="BB40" s="1033"/>
      <c r="BC40" s="1033"/>
      <c r="BD40" s="1033"/>
      <c r="BE40" s="1033"/>
      <c r="BF40" s="1033"/>
      <c r="BG40" s="1033"/>
      <c r="BH40" s="1033"/>
      <c r="BI40" s="1033"/>
      <c r="BJ40" s="1033"/>
      <c r="BK40" s="1033"/>
      <c r="BL40" s="1033"/>
      <c r="BM40" s="1033"/>
      <c r="BN40" s="1033"/>
      <c r="BO40" s="1033"/>
      <c r="BP40" s="1033"/>
      <c r="BQ40" s="1033"/>
      <c r="BR40" s="1033"/>
      <c r="BS40" s="1033"/>
      <c r="BT40" s="1033"/>
      <c r="BU40" s="1033"/>
      <c r="BV40" s="1033"/>
      <c r="BW40" s="1033"/>
      <c r="BX40" s="1033"/>
      <c r="BY40" s="1033"/>
      <c r="BZ40" s="1033"/>
      <c r="CA40" s="1033"/>
      <c r="CB40" s="1033"/>
      <c r="CC40" s="1033"/>
      <c r="CD40" s="1033"/>
      <c r="CE40" s="1033"/>
      <c r="CF40" s="1033"/>
      <c r="CG40" s="1033"/>
      <c r="CH40" s="1033"/>
      <c r="CI40" s="1033"/>
      <c r="CJ40" s="1033"/>
      <c r="CK40" s="1033"/>
      <c r="CL40" s="1033"/>
      <c r="CM40" s="1033"/>
      <c r="CN40" s="1033"/>
      <c r="CO40" s="1033"/>
      <c r="CP40" s="1033"/>
      <c r="CQ40" s="1033"/>
      <c r="CR40" s="1033"/>
      <c r="CS40" s="1033"/>
      <c r="CT40" s="1033"/>
      <c r="CU40" s="1033"/>
      <c r="CV40" s="1033"/>
      <c r="CW40" s="1033"/>
      <c r="CX40" s="1033"/>
      <c r="CY40" s="1033"/>
      <c r="CZ40" s="953">
        <v>2</v>
      </c>
    </row>
    <row r="41" spans="1:104" ht="9" customHeight="1">
      <c r="A41" s="938"/>
      <c r="B41" s="940"/>
      <c r="C41" s="1046"/>
      <c r="D41" s="1045"/>
      <c r="E41" s="944"/>
      <c r="F41" s="1003"/>
      <c r="G41" s="989"/>
      <c r="H41" s="1140"/>
      <c r="I41" s="1010"/>
      <c r="J41" s="986"/>
      <c r="K41" s="986"/>
      <c r="L41" s="807" t="s">
        <v>3319</v>
      </c>
      <c r="M41" s="811">
        <v>1</v>
      </c>
      <c r="N41" s="810">
        <v>2</v>
      </c>
      <c r="O41" s="810">
        <v>3</v>
      </c>
      <c r="P41" s="810">
        <v>4</v>
      </c>
      <c r="Q41" s="810">
        <v>5</v>
      </c>
      <c r="R41" s="810">
        <v>6</v>
      </c>
      <c r="S41" s="810">
        <v>7</v>
      </c>
      <c r="T41" s="810">
        <v>1</v>
      </c>
      <c r="U41" s="810">
        <v>2</v>
      </c>
      <c r="V41" s="810">
        <v>3</v>
      </c>
      <c r="W41" s="810">
        <v>4</v>
      </c>
      <c r="X41" s="810">
        <v>5</v>
      </c>
      <c r="Y41" s="810">
        <v>6</v>
      </c>
      <c r="Z41" s="810">
        <v>7</v>
      </c>
      <c r="AA41" s="810">
        <v>1</v>
      </c>
      <c r="AB41" s="810">
        <v>2</v>
      </c>
      <c r="AC41" s="813">
        <v>3</v>
      </c>
      <c r="AD41" s="813">
        <v>4</v>
      </c>
      <c r="AE41" s="812">
        <v>5</v>
      </c>
      <c r="AF41" s="812">
        <v>6</v>
      </c>
      <c r="AG41" s="810">
        <v>7</v>
      </c>
      <c r="AH41" s="810">
        <v>1</v>
      </c>
      <c r="AI41" s="810">
        <v>2</v>
      </c>
      <c r="AJ41" s="810">
        <v>3</v>
      </c>
      <c r="AK41" s="810">
        <v>4</v>
      </c>
      <c r="AL41" s="810">
        <v>5</v>
      </c>
      <c r="AM41" s="810">
        <v>6</v>
      </c>
      <c r="AN41" s="810">
        <v>7</v>
      </c>
      <c r="AO41" s="810">
        <v>1</v>
      </c>
      <c r="AP41" s="810">
        <v>2</v>
      </c>
      <c r="AQ41" s="810">
        <v>3</v>
      </c>
      <c r="AR41" s="810">
        <v>4</v>
      </c>
      <c r="AS41" s="810">
        <v>5</v>
      </c>
      <c r="AT41" s="810">
        <v>6</v>
      </c>
      <c r="AU41" s="810">
        <v>7</v>
      </c>
      <c r="AV41" s="810">
        <v>1</v>
      </c>
      <c r="AW41" s="810">
        <v>2</v>
      </c>
      <c r="AX41" s="810">
        <v>3</v>
      </c>
      <c r="AY41" s="810">
        <v>4</v>
      </c>
      <c r="AZ41" s="810">
        <v>5</v>
      </c>
      <c r="BA41" s="810">
        <v>6</v>
      </c>
      <c r="BB41" s="810">
        <v>7</v>
      </c>
      <c r="BC41" s="810">
        <v>1</v>
      </c>
      <c r="BD41" s="810">
        <v>2</v>
      </c>
      <c r="BE41" s="810">
        <v>3</v>
      </c>
      <c r="BF41" s="810">
        <v>4</v>
      </c>
      <c r="BG41" s="810">
        <v>5</v>
      </c>
      <c r="BH41" s="810">
        <v>6</v>
      </c>
      <c r="BI41" s="810">
        <v>7</v>
      </c>
      <c r="BJ41" s="810">
        <v>1</v>
      </c>
      <c r="BK41" s="810">
        <v>2</v>
      </c>
      <c r="BL41" s="810">
        <v>3</v>
      </c>
      <c r="BM41" s="810">
        <v>4</v>
      </c>
      <c r="BN41" s="810">
        <v>5</v>
      </c>
      <c r="BO41" s="810">
        <v>6</v>
      </c>
      <c r="BP41" s="810">
        <v>7</v>
      </c>
      <c r="BQ41" s="810">
        <v>1</v>
      </c>
      <c r="BR41" s="810">
        <v>2</v>
      </c>
      <c r="BS41" s="810">
        <v>3</v>
      </c>
      <c r="BT41" s="810">
        <v>4</v>
      </c>
      <c r="BU41" s="810">
        <v>5</v>
      </c>
      <c r="BV41" s="810">
        <v>6</v>
      </c>
      <c r="BW41" s="810">
        <v>7</v>
      </c>
      <c r="BX41" s="810">
        <v>1</v>
      </c>
      <c r="BY41" s="810">
        <v>2</v>
      </c>
      <c r="BZ41" s="810">
        <v>3</v>
      </c>
      <c r="CA41" s="810">
        <v>4</v>
      </c>
      <c r="CB41" s="810">
        <v>5</v>
      </c>
      <c r="CC41" s="810">
        <v>6</v>
      </c>
      <c r="CD41" s="810">
        <v>7</v>
      </c>
      <c r="CE41" s="810">
        <v>1</v>
      </c>
      <c r="CF41" s="810">
        <v>2</v>
      </c>
      <c r="CG41" s="810">
        <v>3</v>
      </c>
      <c r="CH41" s="810">
        <v>4</v>
      </c>
      <c r="CI41" s="810">
        <v>5</v>
      </c>
      <c r="CJ41" s="810">
        <v>6</v>
      </c>
      <c r="CK41" s="810">
        <v>7</v>
      </c>
      <c r="CL41" s="810">
        <v>1</v>
      </c>
      <c r="CM41" s="810">
        <v>2</v>
      </c>
      <c r="CN41" s="810">
        <v>3</v>
      </c>
      <c r="CO41" s="810">
        <v>4</v>
      </c>
      <c r="CP41" s="810">
        <v>5</v>
      </c>
      <c r="CQ41" s="810">
        <v>6</v>
      </c>
      <c r="CR41" s="810">
        <v>7</v>
      </c>
      <c r="CS41" s="810">
        <v>1</v>
      </c>
      <c r="CT41" s="810">
        <v>2</v>
      </c>
      <c r="CU41" s="810">
        <v>3</v>
      </c>
      <c r="CV41" s="810">
        <v>4</v>
      </c>
      <c r="CW41" s="810">
        <v>5</v>
      </c>
      <c r="CX41" s="810">
        <v>6</v>
      </c>
      <c r="CY41" s="810">
        <v>7</v>
      </c>
      <c r="CZ41" s="954"/>
    </row>
    <row r="42" spans="1:104" ht="9" customHeight="1" thickBot="1">
      <c r="A42" s="938"/>
      <c r="B42" s="940"/>
      <c r="C42" s="1046"/>
      <c r="D42" s="1045"/>
      <c r="E42" s="944"/>
      <c r="F42" s="1003"/>
      <c r="G42" s="989"/>
      <c r="H42" s="1140"/>
      <c r="I42" s="1011"/>
      <c r="J42" s="987"/>
      <c r="K42" s="987"/>
      <c r="L42" s="808" t="s">
        <v>3320</v>
      </c>
      <c r="M42" s="1024">
        <f>M40+T40+AA40+AH40</f>
        <v>675048</v>
      </c>
      <c r="N42" s="967"/>
      <c r="O42" s="967"/>
      <c r="P42" s="967"/>
      <c r="Q42" s="967"/>
      <c r="R42" s="967"/>
      <c r="S42" s="967"/>
      <c r="T42" s="967"/>
      <c r="U42" s="967"/>
      <c r="V42" s="967"/>
      <c r="W42" s="967"/>
      <c r="X42" s="967"/>
      <c r="Y42" s="967"/>
      <c r="Z42" s="967"/>
      <c r="AA42" s="967"/>
      <c r="AB42" s="967"/>
      <c r="AC42" s="967"/>
      <c r="AD42" s="967"/>
      <c r="AE42" s="967"/>
      <c r="AF42" s="967"/>
      <c r="AG42" s="967"/>
      <c r="AH42" s="967"/>
      <c r="AI42" s="967"/>
      <c r="AJ42" s="967"/>
      <c r="AK42" s="967"/>
      <c r="AL42" s="967"/>
      <c r="AM42" s="967"/>
      <c r="AN42" s="967"/>
      <c r="AO42" s="967"/>
      <c r="AP42" s="967"/>
      <c r="AQ42" s="967">
        <f>AO40+AV40+BC40+BJ40</f>
        <v>0</v>
      </c>
      <c r="AR42" s="967"/>
      <c r="AS42" s="967"/>
      <c r="AT42" s="967"/>
      <c r="AU42" s="967"/>
      <c r="AV42" s="967"/>
      <c r="AW42" s="967"/>
      <c r="AX42" s="967"/>
      <c r="AY42" s="967"/>
      <c r="AZ42" s="967"/>
      <c r="BA42" s="967"/>
      <c r="BB42" s="967"/>
      <c r="BC42" s="967"/>
      <c r="BD42" s="967"/>
      <c r="BE42" s="967"/>
      <c r="BF42" s="967"/>
      <c r="BG42" s="967"/>
      <c r="BH42" s="967"/>
      <c r="BI42" s="967"/>
      <c r="BJ42" s="967"/>
      <c r="BK42" s="967"/>
      <c r="BL42" s="967"/>
      <c r="BM42" s="967"/>
      <c r="BN42" s="967"/>
      <c r="BO42" s="967"/>
      <c r="BP42" s="967"/>
      <c r="BQ42" s="967"/>
      <c r="BR42" s="967"/>
      <c r="BS42" s="967"/>
      <c r="BT42" s="967"/>
      <c r="BU42" s="967">
        <f>BQ40+BX40+CE40+CL40+CS40</f>
        <v>0</v>
      </c>
      <c r="BV42" s="967"/>
      <c r="BW42" s="967"/>
      <c r="BX42" s="967"/>
      <c r="BY42" s="967"/>
      <c r="BZ42" s="967"/>
      <c r="CA42" s="967"/>
      <c r="CB42" s="967"/>
      <c r="CC42" s="967"/>
      <c r="CD42" s="967"/>
      <c r="CE42" s="967"/>
      <c r="CF42" s="967"/>
      <c r="CG42" s="967"/>
      <c r="CH42" s="967"/>
      <c r="CI42" s="967"/>
      <c r="CJ42" s="967"/>
      <c r="CK42" s="967"/>
      <c r="CL42" s="967"/>
      <c r="CM42" s="967"/>
      <c r="CN42" s="967"/>
      <c r="CO42" s="967"/>
      <c r="CP42" s="967"/>
      <c r="CQ42" s="967"/>
      <c r="CR42" s="967"/>
      <c r="CS42" s="967"/>
      <c r="CT42" s="967"/>
      <c r="CU42" s="967"/>
      <c r="CV42" s="967"/>
      <c r="CW42" s="967"/>
      <c r="CX42" s="967"/>
      <c r="CY42" s="967"/>
      <c r="CZ42" s="954"/>
    </row>
    <row r="43" spans="1:104" ht="9" customHeight="1">
      <c r="A43" s="938">
        <f>EDIFICACION!A62</f>
        <v>2.8</v>
      </c>
      <c r="B43" s="940" t="str">
        <f>EDIFICACION!B62</f>
        <v>DEMOLICIONES DE ENCHAPES</v>
      </c>
      <c r="C43" s="1046" t="str">
        <f>EDIFICACION!C62</f>
        <v>M2</v>
      </c>
      <c r="D43" s="1045">
        <f>(96.3*1.97)+(110.18*2)+(7.28*0.34*3)+(7.28*0.15)+(6.12*0.33*3)+(6.12*0.15)</f>
        <v>425.56540000000001</v>
      </c>
      <c r="E43" s="944">
        <f>EDIFICACION!F62</f>
        <v>9421</v>
      </c>
      <c r="F43" s="1003">
        <f t="shared" si="0"/>
        <v>4009251.6334000002</v>
      </c>
      <c r="G43" s="989">
        <f>F43/F259</f>
        <v>1.2106139867783463E-2</v>
      </c>
      <c r="H43" s="1140"/>
      <c r="I43" s="1009" t="s">
        <v>3353</v>
      </c>
      <c r="J43" s="985" t="s">
        <v>3354</v>
      </c>
      <c r="K43" s="985" t="s">
        <v>3355</v>
      </c>
      <c r="L43" s="806" t="s">
        <v>3318</v>
      </c>
      <c r="M43" s="1042">
        <f>F43/CZ43*N44</f>
        <v>2004625.8167000001</v>
      </c>
      <c r="N43" s="1043"/>
      <c r="O43" s="1043"/>
      <c r="P43" s="1043"/>
      <c r="Q43" s="1043"/>
      <c r="R43" s="1043"/>
      <c r="S43" s="1043"/>
      <c r="T43" s="1042">
        <f>F43/CZ43*U44</f>
        <v>2004625.8167000001</v>
      </c>
      <c r="U43" s="1043"/>
      <c r="V43" s="1043"/>
      <c r="W43" s="1043"/>
      <c r="X43" s="1043"/>
      <c r="Y43" s="1043"/>
      <c r="Z43" s="1043"/>
      <c r="AA43" s="1033"/>
      <c r="AB43" s="1033"/>
      <c r="AC43" s="1033"/>
      <c r="AD43" s="1033"/>
      <c r="AE43" s="1033"/>
      <c r="AF43" s="1033"/>
      <c r="AG43" s="1033"/>
      <c r="AH43" s="1033"/>
      <c r="AI43" s="1033"/>
      <c r="AJ43" s="1033"/>
      <c r="AK43" s="1033"/>
      <c r="AL43" s="1033"/>
      <c r="AM43" s="1033"/>
      <c r="AN43" s="1033"/>
      <c r="AO43" s="1033"/>
      <c r="AP43" s="1033"/>
      <c r="AQ43" s="1033"/>
      <c r="AR43" s="1033"/>
      <c r="AS43" s="1033"/>
      <c r="AT43" s="1033"/>
      <c r="AU43" s="1033"/>
      <c r="AV43" s="1033"/>
      <c r="AW43" s="1033"/>
      <c r="AX43" s="1033"/>
      <c r="AY43" s="1033"/>
      <c r="AZ43" s="1033"/>
      <c r="BA43" s="1033"/>
      <c r="BB43" s="1033"/>
      <c r="BC43" s="1033"/>
      <c r="BD43" s="1033"/>
      <c r="BE43" s="1033"/>
      <c r="BF43" s="1033"/>
      <c r="BG43" s="1033"/>
      <c r="BH43" s="1033"/>
      <c r="BI43" s="1033"/>
      <c r="BJ43" s="1033"/>
      <c r="BK43" s="1033"/>
      <c r="BL43" s="1033"/>
      <c r="BM43" s="1033"/>
      <c r="BN43" s="1033"/>
      <c r="BO43" s="1033"/>
      <c r="BP43" s="1033"/>
      <c r="BQ43" s="1033"/>
      <c r="BR43" s="1033"/>
      <c r="BS43" s="1033"/>
      <c r="BT43" s="1033"/>
      <c r="BU43" s="1033"/>
      <c r="BV43" s="1033"/>
      <c r="BW43" s="1033"/>
      <c r="BX43" s="1033"/>
      <c r="BY43" s="1033"/>
      <c r="BZ43" s="1033"/>
      <c r="CA43" s="1033"/>
      <c r="CB43" s="1033"/>
      <c r="CC43" s="1033"/>
      <c r="CD43" s="1033"/>
      <c r="CE43" s="1033"/>
      <c r="CF43" s="1033"/>
      <c r="CG43" s="1033"/>
      <c r="CH43" s="1033"/>
      <c r="CI43" s="1033"/>
      <c r="CJ43" s="1033"/>
      <c r="CK43" s="1033"/>
      <c r="CL43" s="1033"/>
      <c r="CM43" s="1033"/>
      <c r="CN43" s="1033"/>
      <c r="CO43" s="1033"/>
      <c r="CP43" s="1033"/>
      <c r="CQ43" s="1033"/>
      <c r="CR43" s="1033"/>
      <c r="CS43" s="1033"/>
      <c r="CT43" s="1033"/>
      <c r="CU43" s="1033"/>
      <c r="CV43" s="1033"/>
      <c r="CW43" s="1033"/>
      <c r="CX43" s="1033"/>
      <c r="CY43" s="1033"/>
      <c r="CZ43" s="953">
        <v>4</v>
      </c>
    </row>
    <row r="44" spans="1:104" ht="9" customHeight="1">
      <c r="A44" s="938"/>
      <c r="B44" s="940"/>
      <c r="C44" s="1046"/>
      <c r="D44" s="1045"/>
      <c r="E44" s="944"/>
      <c r="F44" s="1003"/>
      <c r="G44" s="989"/>
      <c r="H44" s="1140"/>
      <c r="I44" s="1010"/>
      <c r="J44" s="986"/>
      <c r="K44" s="986"/>
      <c r="L44" s="807" t="s">
        <v>3319</v>
      </c>
      <c r="M44" s="811">
        <v>1</v>
      </c>
      <c r="N44" s="810">
        <v>2</v>
      </c>
      <c r="O44" s="810">
        <v>3</v>
      </c>
      <c r="P44" s="810">
        <v>4</v>
      </c>
      <c r="Q44" s="810">
        <v>5</v>
      </c>
      <c r="R44" s="812">
        <v>6</v>
      </c>
      <c r="S44" s="812">
        <v>7</v>
      </c>
      <c r="T44" s="812">
        <v>1</v>
      </c>
      <c r="U44" s="812">
        <v>2</v>
      </c>
      <c r="V44" s="810">
        <v>3</v>
      </c>
      <c r="W44" s="810">
        <v>4</v>
      </c>
      <c r="X44" s="810">
        <v>5</v>
      </c>
      <c r="Y44" s="810">
        <v>6</v>
      </c>
      <c r="Z44" s="810">
        <v>7</v>
      </c>
      <c r="AA44" s="810">
        <v>1</v>
      </c>
      <c r="AB44" s="810">
        <v>2</v>
      </c>
      <c r="AC44" s="810">
        <v>3</v>
      </c>
      <c r="AD44" s="810">
        <v>4</v>
      </c>
      <c r="AE44" s="810">
        <v>5</v>
      </c>
      <c r="AF44" s="810">
        <v>6</v>
      </c>
      <c r="AG44" s="810">
        <v>7</v>
      </c>
      <c r="AH44" s="810">
        <v>1</v>
      </c>
      <c r="AI44" s="810">
        <v>2</v>
      </c>
      <c r="AJ44" s="810">
        <v>3</v>
      </c>
      <c r="AK44" s="810">
        <v>4</v>
      </c>
      <c r="AL44" s="810">
        <v>5</v>
      </c>
      <c r="AM44" s="810">
        <v>6</v>
      </c>
      <c r="AN44" s="810">
        <v>7</v>
      </c>
      <c r="AO44" s="810">
        <v>1</v>
      </c>
      <c r="AP44" s="810">
        <v>2</v>
      </c>
      <c r="AQ44" s="810">
        <v>3</v>
      </c>
      <c r="AR44" s="810">
        <v>4</v>
      </c>
      <c r="AS44" s="810">
        <v>5</v>
      </c>
      <c r="AT44" s="810">
        <v>6</v>
      </c>
      <c r="AU44" s="810">
        <v>7</v>
      </c>
      <c r="AV44" s="810">
        <v>1</v>
      </c>
      <c r="AW44" s="810">
        <v>2</v>
      </c>
      <c r="AX44" s="810">
        <v>3</v>
      </c>
      <c r="AY44" s="810">
        <v>4</v>
      </c>
      <c r="AZ44" s="810">
        <v>5</v>
      </c>
      <c r="BA44" s="810">
        <v>6</v>
      </c>
      <c r="BB44" s="810">
        <v>7</v>
      </c>
      <c r="BC44" s="810">
        <v>1</v>
      </c>
      <c r="BD44" s="810">
        <v>2</v>
      </c>
      <c r="BE44" s="810">
        <v>3</v>
      </c>
      <c r="BF44" s="810">
        <v>4</v>
      </c>
      <c r="BG44" s="810">
        <v>5</v>
      </c>
      <c r="BH44" s="810">
        <v>6</v>
      </c>
      <c r="BI44" s="810">
        <v>7</v>
      </c>
      <c r="BJ44" s="810">
        <v>1</v>
      </c>
      <c r="BK44" s="810">
        <v>2</v>
      </c>
      <c r="BL44" s="810">
        <v>3</v>
      </c>
      <c r="BM44" s="810">
        <v>4</v>
      </c>
      <c r="BN44" s="810">
        <v>5</v>
      </c>
      <c r="BO44" s="810">
        <v>6</v>
      </c>
      <c r="BP44" s="810">
        <v>7</v>
      </c>
      <c r="BQ44" s="810">
        <v>1</v>
      </c>
      <c r="BR44" s="810">
        <v>2</v>
      </c>
      <c r="BS44" s="810">
        <v>3</v>
      </c>
      <c r="BT44" s="810">
        <v>4</v>
      </c>
      <c r="BU44" s="810">
        <v>5</v>
      </c>
      <c r="BV44" s="810">
        <v>6</v>
      </c>
      <c r="BW44" s="810">
        <v>7</v>
      </c>
      <c r="BX44" s="810">
        <v>1</v>
      </c>
      <c r="BY44" s="810">
        <v>2</v>
      </c>
      <c r="BZ44" s="810">
        <v>3</v>
      </c>
      <c r="CA44" s="810">
        <v>4</v>
      </c>
      <c r="CB44" s="810">
        <v>5</v>
      </c>
      <c r="CC44" s="810">
        <v>6</v>
      </c>
      <c r="CD44" s="810">
        <v>7</v>
      </c>
      <c r="CE44" s="810">
        <v>1</v>
      </c>
      <c r="CF44" s="810">
        <v>2</v>
      </c>
      <c r="CG44" s="810">
        <v>3</v>
      </c>
      <c r="CH44" s="810">
        <v>4</v>
      </c>
      <c r="CI44" s="810">
        <v>5</v>
      </c>
      <c r="CJ44" s="810">
        <v>6</v>
      </c>
      <c r="CK44" s="810">
        <v>7</v>
      </c>
      <c r="CL44" s="810">
        <v>1</v>
      </c>
      <c r="CM44" s="810">
        <v>2</v>
      </c>
      <c r="CN44" s="810">
        <v>3</v>
      </c>
      <c r="CO44" s="810">
        <v>4</v>
      </c>
      <c r="CP44" s="810">
        <v>5</v>
      </c>
      <c r="CQ44" s="810">
        <v>6</v>
      </c>
      <c r="CR44" s="810">
        <v>7</v>
      </c>
      <c r="CS44" s="810">
        <v>1</v>
      </c>
      <c r="CT44" s="810">
        <v>2</v>
      </c>
      <c r="CU44" s="810">
        <v>3</v>
      </c>
      <c r="CV44" s="810">
        <v>4</v>
      </c>
      <c r="CW44" s="810">
        <v>5</v>
      </c>
      <c r="CX44" s="810">
        <v>6</v>
      </c>
      <c r="CY44" s="810">
        <v>7</v>
      </c>
      <c r="CZ44" s="954"/>
    </row>
    <row r="45" spans="1:104" ht="9" customHeight="1" thickBot="1">
      <c r="A45" s="938"/>
      <c r="B45" s="940"/>
      <c r="C45" s="1046"/>
      <c r="D45" s="1045"/>
      <c r="E45" s="944"/>
      <c r="F45" s="1003"/>
      <c r="G45" s="989"/>
      <c r="H45" s="1140"/>
      <c r="I45" s="1011"/>
      <c r="J45" s="987"/>
      <c r="K45" s="987"/>
      <c r="L45" s="808" t="s">
        <v>3320</v>
      </c>
      <c r="M45" s="1024">
        <f>M43+T43+AA43+AH43</f>
        <v>4009251.6334000002</v>
      </c>
      <c r="N45" s="967"/>
      <c r="O45" s="967"/>
      <c r="P45" s="967"/>
      <c r="Q45" s="967"/>
      <c r="R45" s="967"/>
      <c r="S45" s="967"/>
      <c r="T45" s="967"/>
      <c r="U45" s="967"/>
      <c r="V45" s="967"/>
      <c r="W45" s="967"/>
      <c r="X45" s="967"/>
      <c r="Y45" s="967"/>
      <c r="Z45" s="967"/>
      <c r="AA45" s="967"/>
      <c r="AB45" s="967"/>
      <c r="AC45" s="967"/>
      <c r="AD45" s="967"/>
      <c r="AE45" s="967"/>
      <c r="AF45" s="967"/>
      <c r="AG45" s="967"/>
      <c r="AH45" s="967"/>
      <c r="AI45" s="967"/>
      <c r="AJ45" s="967"/>
      <c r="AK45" s="967"/>
      <c r="AL45" s="967"/>
      <c r="AM45" s="967"/>
      <c r="AN45" s="967"/>
      <c r="AO45" s="967"/>
      <c r="AP45" s="967"/>
      <c r="AQ45" s="967">
        <f>AO43+AV43+BC43+BJ43</f>
        <v>0</v>
      </c>
      <c r="AR45" s="967"/>
      <c r="AS45" s="967"/>
      <c r="AT45" s="967"/>
      <c r="AU45" s="967"/>
      <c r="AV45" s="967"/>
      <c r="AW45" s="967"/>
      <c r="AX45" s="967"/>
      <c r="AY45" s="967"/>
      <c r="AZ45" s="967"/>
      <c r="BA45" s="967"/>
      <c r="BB45" s="967"/>
      <c r="BC45" s="967"/>
      <c r="BD45" s="967"/>
      <c r="BE45" s="967"/>
      <c r="BF45" s="967"/>
      <c r="BG45" s="967"/>
      <c r="BH45" s="967"/>
      <c r="BI45" s="967"/>
      <c r="BJ45" s="967"/>
      <c r="BK45" s="967"/>
      <c r="BL45" s="967"/>
      <c r="BM45" s="967"/>
      <c r="BN45" s="967"/>
      <c r="BO45" s="967"/>
      <c r="BP45" s="967"/>
      <c r="BQ45" s="967"/>
      <c r="BR45" s="967"/>
      <c r="BS45" s="967"/>
      <c r="BT45" s="967"/>
      <c r="BU45" s="967">
        <f>BQ43+BX43+CE43+CL43+CS43</f>
        <v>0</v>
      </c>
      <c r="BV45" s="967"/>
      <c r="BW45" s="967"/>
      <c r="BX45" s="967"/>
      <c r="BY45" s="967"/>
      <c r="BZ45" s="967"/>
      <c r="CA45" s="967"/>
      <c r="CB45" s="967"/>
      <c r="CC45" s="967"/>
      <c r="CD45" s="967"/>
      <c r="CE45" s="967"/>
      <c r="CF45" s="967"/>
      <c r="CG45" s="967"/>
      <c r="CH45" s="967"/>
      <c r="CI45" s="967"/>
      <c r="CJ45" s="967"/>
      <c r="CK45" s="967"/>
      <c r="CL45" s="967"/>
      <c r="CM45" s="967"/>
      <c r="CN45" s="967"/>
      <c r="CO45" s="967"/>
      <c r="CP45" s="967"/>
      <c r="CQ45" s="967"/>
      <c r="CR45" s="967"/>
      <c r="CS45" s="967"/>
      <c r="CT45" s="967"/>
      <c r="CU45" s="967"/>
      <c r="CV45" s="967"/>
      <c r="CW45" s="967"/>
      <c r="CX45" s="967"/>
      <c r="CY45" s="967"/>
      <c r="CZ45" s="954"/>
    </row>
    <row r="46" spans="1:104" ht="9" customHeight="1">
      <c r="A46" s="938">
        <f>EDIFICACION!A66</f>
        <v>2.9</v>
      </c>
      <c r="B46" s="940" t="str">
        <f>EDIFICACION!B66</f>
        <v>DEMOLICION DE PAÑETE</v>
      </c>
      <c r="C46" s="1046" t="str">
        <f>EDIFICACION!C66</f>
        <v>M2</v>
      </c>
      <c r="D46" s="1045">
        <f>(96.3*1.97)+(110.18*2)</f>
        <v>410.07100000000003</v>
      </c>
      <c r="E46" s="944">
        <f>EDIFICACION!F66</f>
        <v>4576</v>
      </c>
      <c r="F46" s="1003">
        <f t="shared" si="0"/>
        <v>1876484.8960000002</v>
      </c>
      <c r="G46" s="948">
        <f>F46/F259</f>
        <v>5.6661418858098027E-3</v>
      </c>
      <c r="H46" s="1140"/>
      <c r="I46" s="1009" t="s">
        <v>3353</v>
      </c>
      <c r="J46" s="985" t="s">
        <v>3356</v>
      </c>
      <c r="K46" s="985" t="s">
        <v>3357</v>
      </c>
      <c r="L46" s="806" t="s">
        <v>3318</v>
      </c>
      <c r="M46" s="1034"/>
      <c r="N46" s="1033"/>
      <c r="O46" s="1033"/>
      <c r="P46" s="1033"/>
      <c r="Q46" s="1033"/>
      <c r="R46" s="1033"/>
      <c r="S46" s="1033"/>
      <c r="T46" s="1042">
        <f>F46/CZ46*W47</f>
        <v>1876484.8960000002</v>
      </c>
      <c r="U46" s="1043"/>
      <c r="V46" s="1043"/>
      <c r="W46" s="1043"/>
      <c r="X46" s="1043"/>
      <c r="Y46" s="1043"/>
      <c r="Z46" s="1043"/>
      <c r="AA46" s="1033"/>
      <c r="AB46" s="1033"/>
      <c r="AC46" s="1033"/>
      <c r="AD46" s="1033"/>
      <c r="AE46" s="1033"/>
      <c r="AF46" s="1033"/>
      <c r="AG46" s="1033"/>
      <c r="AH46" s="1033"/>
      <c r="AI46" s="1033"/>
      <c r="AJ46" s="1033"/>
      <c r="AK46" s="1033"/>
      <c r="AL46" s="1033"/>
      <c r="AM46" s="1033"/>
      <c r="AN46" s="1033"/>
      <c r="AO46" s="1033"/>
      <c r="AP46" s="1033"/>
      <c r="AQ46" s="1033"/>
      <c r="AR46" s="1033"/>
      <c r="AS46" s="1033"/>
      <c r="AT46" s="1033"/>
      <c r="AU46" s="1033"/>
      <c r="AV46" s="1033"/>
      <c r="AW46" s="1033"/>
      <c r="AX46" s="1033"/>
      <c r="AY46" s="1033"/>
      <c r="AZ46" s="1033"/>
      <c r="BA46" s="1033"/>
      <c r="BB46" s="1033"/>
      <c r="BC46" s="1033"/>
      <c r="BD46" s="1033"/>
      <c r="BE46" s="1033"/>
      <c r="BF46" s="1033"/>
      <c r="BG46" s="1033"/>
      <c r="BH46" s="1033"/>
      <c r="BI46" s="1033"/>
      <c r="BJ46" s="1033"/>
      <c r="BK46" s="1033"/>
      <c r="BL46" s="1033"/>
      <c r="BM46" s="1033"/>
      <c r="BN46" s="1033"/>
      <c r="BO46" s="1033"/>
      <c r="BP46" s="1033"/>
      <c r="BQ46" s="1033"/>
      <c r="BR46" s="1033"/>
      <c r="BS46" s="1033"/>
      <c r="BT46" s="1033"/>
      <c r="BU46" s="1033"/>
      <c r="BV46" s="1033"/>
      <c r="BW46" s="1033"/>
      <c r="BX46" s="1033"/>
      <c r="BY46" s="1033"/>
      <c r="BZ46" s="1033"/>
      <c r="CA46" s="1033"/>
      <c r="CB46" s="1033"/>
      <c r="CC46" s="1033"/>
      <c r="CD46" s="1033"/>
      <c r="CE46" s="1033"/>
      <c r="CF46" s="1033"/>
      <c r="CG46" s="1033"/>
      <c r="CH46" s="1033"/>
      <c r="CI46" s="1033"/>
      <c r="CJ46" s="1033"/>
      <c r="CK46" s="1033"/>
      <c r="CL46" s="1033"/>
      <c r="CM46" s="1033"/>
      <c r="CN46" s="1033"/>
      <c r="CO46" s="1033"/>
      <c r="CP46" s="1033"/>
      <c r="CQ46" s="1033"/>
      <c r="CR46" s="1033"/>
      <c r="CS46" s="1033"/>
      <c r="CT46" s="1033"/>
      <c r="CU46" s="1033"/>
      <c r="CV46" s="1033"/>
      <c r="CW46" s="1033"/>
      <c r="CX46" s="1033"/>
      <c r="CY46" s="1033"/>
      <c r="CZ46" s="953">
        <v>4</v>
      </c>
    </row>
    <row r="47" spans="1:104" ht="9" customHeight="1">
      <c r="A47" s="938"/>
      <c r="B47" s="940"/>
      <c r="C47" s="1046"/>
      <c r="D47" s="1045"/>
      <c r="E47" s="944"/>
      <c r="F47" s="1003"/>
      <c r="G47" s="948"/>
      <c r="H47" s="1140"/>
      <c r="I47" s="1010"/>
      <c r="J47" s="986"/>
      <c r="K47" s="986"/>
      <c r="L47" s="807" t="s">
        <v>3319</v>
      </c>
      <c r="M47" s="811">
        <v>1</v>
      </c>
      <c r="N47" s="810">
        <v>2</v>
      </c>
      <c r="O47" s="810">
        <v>3</v>
      </c>
      <c r="P47" s="810">
        <v>4</v>
      </c>
      <c r="Q47" s="810">
        <v>5</v>
      </c>
      <c r="R47" s="810">
        <v>6</v>
      </c>
      <c r="S47" s="810">
        <v>7</v>
      </c>
      <c r="T47" s="810">
        <v>1</v>
      </c>
      <c r="U47" s="810">
        <v>2</v>
      </c>
      <c r="V47" s="812">
        <v>3</v>
      </c>
      <c r="W47" s="812">
        <v>4</v>
      </c>
      <c r="X47" s="812">
        <v>5</v>
      </c>
      <c r="Y47" s="812">
        <v>6</v>
      </c>
      <c r="Z47" s="810">
        <v>7</v>
      </c>
      <c r="AA47" s="810">
        <v>1</v>
      </c>
      <c r="AB47" s="810">
        <v>2</v>
      </c>
      <c r="AC47" s="810">
        <v>3</v>
      </c>
      <c r="AD47" s="810">
        <v>4</v>
      </c>
      <c r="AE47" s="810">
        <v>5</v>
      </c>
      <c r="AF47" s="810">
        <v>6</v>
      </c>
      <c r="AG47" s="810">
        <v>7</v>
      </c>
      <c r="AH47" s="810">
        <v>1</v>
      </c>
      <c r="AI47" s="810">
        <v>2</v>
      </c>
      <c r="AJ47" s="810">
        <v>3</v>
      </c>
      <c r="AK47" s="810">
        <v>4</v>
      </c>
      <c r="AL47" s="810">
        <v>5</v>
      </c>
      <c r="AM47" s="810">
        <v>6</v>
      </c>
      <c r="AN47" s="810">
        <v>7</v>
      </c>
      <c r="AO47" s="810">
        <v>1</v>
      </c>
      <c r="AP47" s="810">
        <v>2</v>
      </c>
      <c r="AQ47" s="810">
        <v>3</v>
      </c>
      <c r="AR47" s="810">
        <v>4</v>
      </c>
      <c r="AS47" s="810">
        <v>5</v>
      </c>
      <c r="AT47" s="810">
        <v>6</v>
      </c>
      <c r="AU47" s="810">
        <v>7</v>
      </c>
      <c r="AV47" s="810">
        <v>1</v>
      </c>
      <c r="AW47" s="810">
        <v>2</v>
      </c>
      <c r="AX47" s="810">
        <v>3</v>
      </c>
      <c r="AY47" s="810">
        <v>4</v>
      </c>
      <c r="AZ47" s="810">
        <v>5</v>
      </c>
      <c r="BA47" s="810">
        <v>6</v>
      </c>
      <c r="BB47" s="810">
        <v>7</v>
      </c>
      <c r="BC47" s="810">
        <v>1</v>
      </c>
      <c r="BD47" s="810">
        <v>2</v>
      </c>
      <c r="BE47" s="810">
        <v>3</v>
      </c>
      <c r="BF47" s="810">
        <v>4</v>
      </c>
      <c r="BG47" s="810">
        <v>5</v>
      </c>
      <c r="BH47" s="810">
        <v>6</v>
      </c>
      <c r="BI47" s="810">
        <v>7</v>
      </c>
      <c r="BJ47" s="810">
        <v>1</v>
      </c>
      <c r="BK47" s="810">
        <v>2</v>
      </c>
      <c r="BL47" s="810">
        <v>3</v>
      </c>
      <c r="BM47" s="810">
        <v>4</v>
      </c>
      <c r="BN47" s="810">
        <v>5</v>
      </c>
      <c r="BO47" s="810">
        <v>6</v>
      </c>
      <c r="BP47" s="810">
        <v>7</v>
      </c>
      <c r="BQ47" s="810">
        <v>1</v>
      </c>
      <c r="BR47" s="810">
        <v>2</v>
      </c>
      <c r="BS47" s="810">
        <v>3</v>
      </c>
      <c r="BT47" s="810">
        <v>4</v>
      </c>
      <c r="BU47" s="810">
        <v>5</v>
      </c>
      <c r="BV47" s="810">
        <v>6</v>
      </c>
      <c r="BW47" s="810">
        <v>7</v>
      </c>
      <c r="BX47" s="810">
        <v>1</v>
      </c>
      <c r="BY47" s="810">
        <v>2</v>
      </c>
      <c r="BZ47" s="810">
        <v>3</v>
      </c>
      <c r="CA47" s="810">
        <v>4</v>
      </c>
      <c r="CB47" s="810">
        <v>5</v>
      </c>
      <c r="CC47" s="810">
        <v>6</v>
      </c>
      <c r="CD47" s="810">
        <v>7</v>
      </c>
      <c r="CE47" s="810">
        <v>1</v>
      </c>
      <c r="CF47" s="810">
        <v>2</v>
      </c>
      <c r="CG47" s="810">
        <v>3</v>
      </c>
      <c r="CH47" s="810">
        <v>4</v>
      </c>
      <c r="CI47" s="810">
        <v>5</v>
      </c>
      <c r="CJ47" s="810">
        <v>6</v>
      </c>
      <c r="CK47" s="810">
        <v>7</v>
      </c>
      <c r="CL47" s="810">
        <v>1</v>
      </c>
      <c r="CM47" s="810">
        <v>2</v>
      </c>
      <c r="CN47" s="810">
        <v>3</v>
      </c>
      <c r="CO47" s="810">
        <v>4</v>
      </c>
      <c r="CP47" s="810">
        <v>5</v>
      </c>
      <c r="CQ47" s="810">
        <v>6</v>
      </c>
      <c r="CR47" s="810">
        <v>7</v>
      </c>
      <c r="CS47" s="810">
        <v>1</v>
      </c>
      <c r="CT47" s="810">
        <v>2</v>
      </c>
      <c r="CU47" s="810">
        <v>3</v>
      </c>
      <c r="CV47" s="810">
        <v>4</v>
      </c>
      <c r="CW47" s="810">
        <v>5</v>
      </c>
      <c r="CX47" s="810">
        <v>6</v>
      </c>
      <c r="CY47" s="810">
        <v>7</v>
      </c>
      <c r="CZ47" s="954"/>
    </row>
    <row r="48" spans="1:104" ht="9" customHeight="1" thickBot="1">
      <c r="A48" s="939"/>
      <c r="B48" s="941"/>
      <c r="C48" s="1047"/>
      <c r="D48" s="1048"/>
      <c r="E48" s="945"/>
      <c r="F48" s="1004"/>
      <c r="G48" s="949"/>
      <c r="H48" s="1140"/>
      <c r="I48" s="1011"/>
      <c r="J48" s="987"/>
      <c r="K48" s="987"/>
      <c r="L48" s="808" t="s">
        <v>3320</v>
      </c>
      <c r="M48" s="1024">
        <f>M46+T46+AA46+AH46</f>
        <v>1876484.8960000002</v>
      </c>
      <c r="N48" s="967"/>
      <c r="O48" s="967"/>
      <c r="P48" s="967"/>
      <c r="Q48" s="967"/>
      <c r="R48" s="967"/>
      <c r="S48" s="967"/>
      <c r="T48" s="967"/>
      <c r="U48" s="967"/>
      <c r="V48" s="967"/>
      <c r="W48" s="967"/>
      <c r="X48" s="967"/>
      <c r="Y48" s="967"/>
      <c r="Z48" s="967"/>
      <c r="AA48" s="967"/>
      <c r="AB48" s="967"/>
      <c r="AC48" s="967"/>
      <c r="AD48" s="967"/>
      <c r="AE48" s="967"/>
      <c r="AF48" s="967"/>
      <c r="AG48" s="967"/>
      <c r="AH48" s="967"/>
      <c r="AI48" s="967"/>
      <c r="AJ48" s="967"/>
      <c r="AK48" s="967"/>
      <c r="AL48" s="967"/>
      <c r="AM48" s="967"/>
      <c r="AN48" s="967"/>
      <c r="AO48" s="967"/>
      <c r="AP48" s="967"/>
      <c r="AQ48" s="967">
        <f>AO46+AV46+BC46+BJ46</f>
        <v>0</v>
      </c>
      <c r="AR48" s="967"/>
      <c r="AS48" s="967"/>
      <c r="AT48" s="967"/>
      <c r="AU48" s="967"/>
      <c r="AV48" s="967"/>
      <c r="AW48" s="967"/>
      <c r="AX48" s="967"/>
      <c r="AY48" s="967"/>
      <c r="AZ48" s="967"/>
      <c r="BA48" s="967"/>
      <c r="BB48" s="967"/>
      <c r="BC48" s="967"/>
      <c r="BD48" s="967"/>
      <c r="BE48" s="967"/>
      <c r="BF48" s="967"/>
      <c r="BG48" s="967"/>
      <c r="BH48" s="967"/>
      <c r="BI48" s="967"/>
      <c r="BJ48" s="967"/>
      <c r="BK48" s="967"/>
      <c r="BL48" s="967"/>
      <c r="BM48" s="967"/>
      <c r="BN48" s="967"/>
      <c r="BO48" s="967"/>
      <c r="BP48" s="967"/>
      <c r="BQ48" s="967"/>
      <c r="BR48" s="967"/>
      <c r="BS48" s="967"/>
      <c r="BT48" s="967"/>
      <c r="BU48" s="967">
        <f>BQ46+BX46+CE46+CL46+CS46</f>
        <v>0</v>
      </c>
      <c r="BV48" s="967"/>
      <c r="BW48" s="967"/>
      <c r="BX48" s="967"/>
      <c r="BY48" s="967"/>
      <c r="BZ48" s="967"/>
      <c r="CA48" s="967"/>
      <c r="CB48" s="967"/>
      <c r="CC48" s="967"/>
      <c r="CD48" s="967"/>
      <c r="CE48" s="967"/>
      <c r="CF48" s="967"/>
      <c r="CG48" s="967"/>
      <c r="CH48" s="967"/>
      <c r="CI48" s="967"/>
      <c r="CJ48" s="967"/>
      <c r="CK48" s="967"/>
      <c r="CL48" s="967"/>
      <c r="CM48" s="967"/>
      <c r="CN48" s="967"/>
      <c r="CO48" s="967"/>
      <c r="CP48" s="967"/>
      <c r="CQ48" s="967"/>
      <c r="CR48" s="967"/>
      <c r="CS48" s="967"/>
      <c r="CT48" s="967"/>
      <c r="CU48" s="967"/>
      <c r="CV48" s="967"/>
      <c r="CW48" s="967"/>
      <c r="CX48" s="967"/>
      <c r="CY48" s="967"/>
      <c r="CZ48" s="954"/>
    </row>
    <row r="49" spans="1:104" ht="19.899999999999999" customHeight="1">
      <c r="A49" s="724"/>
      <c r="B49" s="928"/>
      <c r="C49" s="714"/>
      <c r="D49" s="759"/>
      <c r="E49" s="771" t="s">
        <v>3245</v>
      </c>
      <c r="F49" s="769">
        <f>SUM(F22:F48)</f>
        <v>12231610.8236</v>
      </c>
      <c r="G49" s="776">
        <f>F49/F259</f>
        <v>3.6933972965228969E-2</v>
      </c>
      <c r="H49" s="1139"/>
      <c r="I49" s="995" t="s">
        <v>3336</v>
      </c>
      <c r="J49" s="995"/>
      <c r="K49" s="995"/>
      <c r="L49" s="995"/>
      <c r="M49" s="996">
        <f>M48+M45+M42+M39+M36+M33+M30+M27+M24</f>
        <v>12231610.8236</v>
      </c>
      <c r="N49" s="996"/>
      <c r="O49" s="996"/>
      <c r="P49" s="996"/>
      <c r="Q49" s="996"/>
      <c r="R49" s="996"/>
      <c r="S49" s="996"/>
      <c r="T49" s="996"/>
      <c r="U49" s="996"/>
      <c r="V49" s="996"/>
      <c r="W49" s="996"/>
      <c r="X49" s="996"/>
      <c r="Y49" s="996"/>
      <c r="Z49" s="996"/>
      <c r="AA49" s="996"/>
      <c r="AB49" s="996"/>
      <c r="AC49" s="996"/>
      <c r="AD49" s="996"/>
      <c r="AE49" s="996"/>
      <c r="AF49" s="996"/>
      <c r="AG49" s="996"/>
      <c r="AH49" s="996"/>
      <c r="AI49" s="996"/>
      <c r="AJ49" s="996"/>
      <c r="AK49" s="996"/>
      <c r="AL49" s="996"/>
      <c r="AM49" s="996"/>
      <c r="AN49" s="996"/>
      <c r="AO49" s="996"/>
      <c r="AP49" s="997"/>
      <c r="AQ49" s="1020">
        <f>AQ48+AQ45+AQ42+AQ39+AQ36+AQ33+AQ30+AQ27+AQ24</f>
        <v>0</v>
      </c>
      <c r="AR49" s="996"/>
      <c r="AS49" s="996"/>
      <c r="AT49" s="996"/>
      <c r="AU49" s="996"/>
      <c r="AV49" s="996"/>
      <c r="AW49" s="996"/>
      <c r="AX49" s="996"/>
      <c r="AY49" s="996"/>
      <c r="AZ49" s="996"/>
      <c r="BA49" s="996"/>
      <c r="BB49" s="996"/>
      <c r="BC49" s="996"/>
      <c r="BD49" s="996"/>
      <c r="BE49" s="996"/>
      <c r="BF49" s="996"/>
      <c r="BG49" s="996"/>
      <c r="BH49" s="996"/>
      <c r="BI49" s="996"/>
      <c r="BJ49" s="996"/>
      <c r="BK49" s="996"/>
      <c r="BL49" s="996"/>
      <c r="BM49" s="996"/>
      <c r="BN49" s="996"/>
      <c r="BO49" s="996"/>
      <c r="BP49" s="996"/>
      <c r="BQ49" s="996"/>
      <c r="BR49" s="996"/>
      <c r="BS49" s="996"/>
      <c r="BT49" s="997"/>
      <c r="BU49" s="998">
        <f>BU24+BU27+BU30+BU33+BU36+BU39+BU42+BU45+BU48</f>
        <v>0</v>
      </c>
      <c r="BV49" s="998"/>
      <c r="BW49" s="998"/>
      <c r="BX49" s="998"/>
      <c r="BY49" s="998"/>
      <c r="BZ49" s="998"/>
      <c r="CA49" s="998"/>
      <c r="CB49" s="998"/>
      <c r="CC49" s="998"/>
      <c r="CD49" s="998"/>
      <c r="CE49" s="998"/>
      <c r="CF49" s="998"/>
      <c r="CG49" s="998"/>
      <c r="CH49" s="998"/>
      <c r="CI49" s="998"/>
      <c r="CJ49" s="998"/>
      <c r="CK49" s="998"/>
      <c r="CL49" s="998"/>
      <c r="CM49" s="998"/>
      <c r="CN49" s="998"/>
      <c r="CO49" s="998"/>
      <c r="CP49" s="998"/>
      <c r="CQ49" s="998"/>
      <c r="CR49" s="998"/>
      <c r="CS49" s="998"/>
      <c r="CT49" s="998"/>
      <c r="CU49" s="998"/>
      <c r="CV49" s="998"/>
      <c r="CW49" s="998"/>
      <c r="CX49" s="998"/>
      <c r="CY49" s="998"/>
      <c r="CZ49" s="858">
        <f>SUM(CZ22:CZ48)</f>
        <v>18</v>
      </c>
    </row>
    <row r="50" spans="1:104" ht="19.899999999999999" customHeight="1">
      <c r="A50" s="724"/>
      <c r="B50" s="928"/>
      <c r="C50" s="714"/>
      <c r="D50" s="759"/>
      <c r="E50" s="757"/>
      <c r="F50" s="716"/>
      <c r="H50" s="1139"/>
      <c r="I50" s="991" t="s">
        <v>3325</v>
      </c>
      <c r="J50" s="991"/>
      <c r="K50" s="991"/>
      <c r="L50" s="991"/>
      <c r="M50" s="992">
        <f>M49+AQ49+BU49</f>
        <v>12231610.8236</v>
      </c>
      <c r="N50" s="993"/>
      <c r="O50" s="993"/>
      <c r="P50" s="993"/>
      <c r="Q50" s="993"/>
      <c r="R50" s="993"/>
      <c r="S50" s="993"/>
      <c r="T50" s="993"/>
      <c r="U50" s="993"/>
      <c r="V50" s="993"/>
      <c r="W50" s="993"/>
      <c r="X50" s="993"/>
      <c r="Y50" s="993"/>
      <c r="Z50" s="993"/>
      <c r="AA50" s="993"/>
      <c r="AB50" s="993"/>
      <c r="AC50" s="993"/>
      <c r="AD50" s="993"/>
      <c r="AE50" s="993"/>
      <c r="AF50" s="993"/>
      <c r="AG50" s="993"/>
      <c r="AH50" s="993"/>
      <c r="AI50" s="993"/>
      <c r="AJ50" s="993"/>
      <c r="AK50" s="993"/>
      <c r="AL50" s="993"/>
      <c r="AM50" s="993"/>
      <c r="AN50" s="993"/>
      <c r="AO50" s="993"/>
      <c r="AP50" s="993"/>
      <c r="AQ50" s="993"/>
      <c r="AR50" s="993"/>
      <c r="AS50" s="993"/>
      <c r="AT50" s="993"/>
      <c r="AU50" s="993"/>
      <c r="AV50" s="993"/>
      <c r="AW50" s="993"/>
      <c r="AX50" s="993"/>
      <c r="AY50" s="993"/>
      <c r="AZ50" s="993"/>
      <c r="BA50" s="993"/>
      <c r="BB50" s="993"/>
      <c r="BC50" s="993"/>
      <c r="BD50" s="993"/>
      <c r="BE50" s="993"/>
      <c r="BF50" s="993"/>
      <c r="BG50" s="993"/>
      <c r="BH50" s="993"/>
      <c r="BI50" s="993"/>
      <c r="BJ50" s="993"/>
      <c r="BK50" s="993"/>
      <c r="BL50" s="993"/>
      <c r="BM50" s="993"/>
      <c r="BN50" s="993"/>
      <c r="BO50" s="993"/>
      <c r="BP50" s="993"/>
      <c r="BQ50" s="993"/>
      <c r="BR50" s="993"/>
      <c r="BS50" s="993"/>
      <c r="BT50" s="993"/>
      <c r="BU50" s="993"/>
      <c r="BV50" s="993"/>
      <c r="BW50" s="993"/>
      <c r="BX50" s="993"/>
      <c r="BY50" s="993"/>
      <c r="BZ50" s="993"/>
      <c r="CA50" s="993"/>
      <c r="CB50" s="993"/>
      <c r="CC50" s="993"/>
      <c r="CD50" s="993"/>
      <c r="CE50" s="993"/>
      <c r="CF50" s="993"/>
      <c r="CG50" s="993"/>
      <c r="CH50" s="993"/>
      <c r="CI50" s="993"/>
      <c r="CJ50" s="993"/>
      <c r="CK50" s="993"/>
      <c r="CL50" s="993"/>
      <c r="CM50" s="993"/>
      <c r="CN50" s="993"/>
      <c r="CO50" s="993"/>
      <c r="CP50" s="993"/>
      <c r="CQ50" s="993"/>
      <c r="CR50" s="993"/>
      <c r="CS50" s="993"/>
      <c r="CT50" s="993"/>
      <c r="CU50" s="993"/>
      <c r="CV50" s="993"/>
      <c r="CW50" s="993"/>
      <c r="CX50" s="993"/>
      <c r="CY50" s="993"/>
      <c r="CZ50" s="792"/>
    </row>
    <row r="51" spans="1:104" ht="19.899999999999999" customHeight="1" thickBot="1">
      <c r="A51" s="720" t="str">
        <f>EDIFICACION!A70</f>
        <v>III</v>
      </c>
      <c r="B51" s="1051" t="str">
        <f>EDIFICACION!B70</f>
        <v>CIMENTACIONES</v>
      </c>
      <c r="C51" s="1052"/>
      <c r="D51" s="1052"/>
      <c r="E51" s="1052"/>
      <c r="F51" s="1052"/>
      <c r="G51" s="1052"/>
      <c r="H51" s="1139"/>
      <c r="I51" s="994"/>
      <c r="J51" s="994"/>
      <c r="K51" s="994"/>
      <c r="L51" s="994"/>
      <c r="M51" s="994"/>
      <c r="N51" s="994"/>
      <c r="O51" s="994"/>
      <c r="P51" s="994"/>
      <c r="Q51" s="994"/>
      <c r="R51" s="994"/>
      <c r="S51" s="994"/>
      <c r="T51" s="994"/>
      <c r="U51" s="994"/>
      <c r="V51" s="994"/>
      <c r="W51" s="994"/>
      <c r="X51" s="994"/>
      <c r="Y51" s="994"/>
      <c r="Z51" s="994"/>
      <c r="AA51" s="994"/>
      <c r="AB51" s="994"/>
      <c r="AC51" s="994"/>
      <c r="AD51" s="994"/>
      <c r="AE51" s="994"/>
      <c r="AF51" s="994"/>
      <c r="AG51" s="994"/>
      <c r="AH51" s="994"/>
      <c r="AI51" s="994"/>
      <c r="AJ51" s="994"/>
      <c r="AK51" s="994"/>
      <c r="AL51" s="994"/>
      <c r="AM51" s="994"/>
      <c r="AN51" s="994"/>
      <c r="AO51" s="994"/>
      <c r="AP51" s="994"/>
      <c r="AQ51" s="994"/>
      <c r="AR51" s="994"/>
      <c r="AS51" s="994"/>
      <c r="AT51" s="994"/>
      <c r="AU51" s="994"/>
      <c r="AV51" s="994"/>
      <c r="AW51" s="994"/>
      <c r="AX51" s="994"/>
      <c r="AY51" s="994"/>
      <c r="AZ51" s="994"/>
      <c r="BA51" s="994"/>
      <c r="BB51" s="994"/>
      <c r="BC51" s="994"/>
      <c r="BD51" s="994"/>
      <c r="BE51" s="994"/>
      <c r="BF51" s="994"/>
      <c r="BG51" s="994"/>
      <c r="BH51" s="994"/>
      <c r="BI51" s="994"/>
      <c r="BJ51" s="994"/>
      <c r="BK51" s="994"/>
      <c r="BL51" s="994"/>
      <c r="BM51" s="994"/>
      <c r="BN51" s="994"/>
      <c r="BO51" s="994"/>
      <c r="BP51" s="994"/>
      <c r="BQ51" s="994"/>
      <c r="BR51" s="994"/>
      <c r="BS51" s="994"/>
      <c r="BT51" s="994"/>
      <c r="BU51" s="994"/>
      <c r="BV51" s="994"/>
      <c r="BW51" s="994"/>
      <c r="BX51" s="994"/>
      <c r="BY51" s="994"/>
      <c r="BZ51" s="994"/>
      <c r="CA51" s="994"/>
      <c r="CB51" s="994"/>
      <c r="CC51" s="994"/>
      <c r="CD51" s="994"/>
      <c r="CE51" s="994"/>
      <c r="CF51" s="994"/>
      <c r="CG51" s="994"/>
      <c r="CH51" s="994"/>
      <c r="CI51" s="994"/>
      <c r="CJ51" s="994"/>
      <c r="CK51" s="994"/>
      <c r="CL51" s="994"/>
      <c r="CM51" s="994"/>
      <c r="CN51" s="994"/>
      <c r="CO51" s="994"/>
      <c r="CP51" s="994"/>
      <c r="CQ51" s="994"/>
      <c r="CR51" s="994"/>
      <c r="CS51" s="994"/>
      <c r="CT51" s="994"/>
      <c r="CU51" s="994"/>
      <c r="CV51" s="994"/>
      <c r="CW51" s="994"/>
      <c r="CX51" s="994"/>
      <c r="CY51" s="994"/>
      <c r="CZ51" s="994"/>
    </row>
    <row r="52" spans="1:104" ht="8.1" customHeight="1">
      <c r="A52" s="1017">
        <f>EDIFICACION!A71</f>
        <v>3.1</v>
      </c>
      <c r="B52" s="1018" t="str">
        <f>EDIFICACION!B71</f>
        <v>SOLADO CONCRETO 2.500 PSI</v>
      </c>
      <c r="C52" s="1016" t="str">
        <f>EDIFICACION!C71</f>
        <v>M3</v>
      </c>
      <c r="D52" s="1015">
        <f>1.2*1.2*0.05*2</f>
        <v>0.14399999999999999</v>
      </c>
      <c r="E52" s="1014">
        <f>EDIFICACION!F71</f>
        <v>509326</v>
      </c>
      <c r="F52" s="1012">
        <f t="shared" si="0"/>
        <v>73342.943999999989</v>
      </c>
      <c r="G52" s="1013">
        <f>F52/F259</f>
        <v>2.2146276152440857E-4</v>
      </c>
      <c r="H52" s="1139"/>
      <c r="I52" s="982" t="s">
        <v>3339</v>
      </c>
      <c r="J52" s="985" t="s">
        <v>3359</v>
      </c>
      <c r="K52" s="985" t="s">
        <v>3359</v>
      </c>
      <c r="L52" s="806" t="s">
        <v>3318</v>
      </c>
      <c r="M52" s="1022"/>
      <c r="N52" s="1021"/>
      <c r="O52" s="1021"/>
      <c r="P52" s="1021"/>
      <c r="Q52" s="1021"/>
      <c r="R52" s="1021"/>
      <c r="S52" s="1021"/>
      <c r="T52" s="1021"/>
      <c r="U52" s="1021"/>
      <c r="V52" s="1021"/>
      <c r="W52" s="1021"/>
      <c r="X52" s="1021"/>
      <c r="Y52" s="1021"/>
      <c r="Z52" s="1021"/>
      <c r="AA52" s="1021"/>
      <c r="AB52" s="1021"/>
      <c r="AC52" s="1021"/>
      <c r="AD52" s="1021"/>
      <c r="AE52" s="1021"/>
      <c r="AF52" s="1021"/>
      <c r="AG52" s="1021"/>
      <c r="AH52" s="1023">
        <f>F52/CZ52*AH53</f>
        <v>73342.943999999989</v>
      </c>
      <c r="AI52" s="1023"/>
      <c r="AJ52" s="1023"/>
      <c r="AK52" s="1023"/>
      <c r="AL52" s="1023"/>
      <c r="AM52" s="1023"/>
      <c r="AN52" s="1023"/>
      <c r="AO52" s="1021"/>
      <c r="AP52" s="1021"/>
      <c r="AQ52" s="1021"/>
      <c r="AR52" s="1021"/>
      <c r="AS52" s="1021"/>
      <c r="AT52" s="1021"/>
      <c r="AU52" s="1021"/>
      <c r="AV52" s="1021"/>
      <c r="AW52" s="1021"/>
      <c r="AX52" s="1021"/>
      <c r="AY52" s="1021"/>
      <c r="AZ52" s="1021"/>
      <c r="BA52" s="1021"/>
      <c r="BB52" s="1021"/>
      <c r="BC52" s="1021"/>
      <c r="BD52" s="1021"/>
      <c r="BE52" s="1021"/>
      <c r="BF52" s="1021"/>
      <c r="BG52" s="1021"/>
      <c r="BH52" s="1021"/>
      <c r="BI52" s="1021"/>
      <c r="BJ52" s="1021"/>
      <c r="BK52" s="1021"/>
      <c r="BL52" s="1021"/>
      <c r="BM52" s="1021"/>
      <c r="BN52" s="1021"/>
      <c r="BO52" s="1021"/>
      <c r="BP52" s="1021"/>
      <c r="BQ52" s="1021"/>
      <c r="BR52" s="1021"/>
      <c r="BS52" s="1021"/>
      <c r="BT52" s="1021"/>
      <c r="BU52" s="1021"/>
      <c r="BV52" s="1021"/>
      <c r="BW52" s="1021"/>
      <c r="BX52" s="1021"/>
      <c r="BY52" s="1021"/>
      <c r="BZ52" s="1021"/>
      <c r="CA52" s="1021"/>
      <c r="CB52" s="1021"/>
      <c r="CC52" s="1021"/>
      <c r="CD52" s="1021"/>
      <c r="CE52" s="1021"/>
      <c r="CF52" s="1021"/>
      <c r="CG52" s="1021"/>
      <c r="CH52" s="1021"/>
      <c r="CI52" s="1021"/>
      <c r="CJ52" s="1021"/>
      <c r="CK52" s="1021"/>
      <c r="CL52" s="1021"/>
      <c r="CM52" s="1021"/>
      <c r="CN52" s="1021"/>
      <c r="CO52" s="1021"/>
      <c r="CP52" s="1021"/>
      <c r="CQ52" s="1021"/>
      <c r="CR52" s="1021"/>
      <c r="CS52" s="1021"/>
      <c r="CT52" s="1021"/>
      <c r="CU52" s="1021"/>
      <c r="CV52" s="1021"/>
      <c r="CW52" s="1021"/>
      <c r="CX52" s="1021"/>
      <c r="CY52" s="1021"/>
      <c r="CZ52" s="957">
        <v>1</v>
      </c>
    </row>
    <row r="53" spans="1:104" ht="8.1" customHeight="1">
      <c r="A53" s="938"/>
      <c r="B53" s="940"/>
      <c r="C53" s="1008"/>
      <c r="D53" s="942"/>
      <c r="E53" s="944"/>
      <c r="F53" s="946"/>
      <c r="G53" s="948"/>
      <c r="H53" s="1139"/>
      <c r="I53" s="983"/>
      <c r="J53" s="986"/>
      <c r="K53" s="986"/>
      <c r="L53" s="807" t="s">
        <v>3319</v>
      </c>
      <c r="M53" s="810">
        <v>1</v>
      </c>
      <c r="N53" s="810">
        <v>2</v>
      </c>
      <c r="O53" s="810">
        <v>3</v>
      </c>
      <c r="P53" s="810">
        <v>4</v>
      </c>
      <c r="Q53" s="810">
        <v>5</v>
      </c>
      <c r="R53" s="810">
        <v>6</v>
      </c>
      <c r="S53" s="810">
        <v>7</v>
      </c>
      <c r="T53" s="810">
        <v>1</v>
      </c>
      <c r="U53" s="810">
        <v>2</v>
      </c>
      <c r="V53" s="810">
        <v>3</v>
      </c>
      <c r="W53" s="810">
        <v>4</v>
      </c>
      <c r="X53" s="810">
        <v>5</v>
      </c>
      <c r="Y53" s="810">
        <v>6</v>
      </c>
      <c r="Z53" s="810">
        <v>7</v>
      </c>
      <c r="AA53" s="810">
        <v>1</v>
      </c>
      <c r="AB53" s="810">
        <v>2</v>
      </c>
      <c r="AC53" s="810">
        <v>3</v>
      </c>
      <c r="AD53" s="810">
        <v>4</v>
      </c>
      <c r="AE53" s="810">
        <v>5</v>
      </c>
      <c r="AF53" s="810">
        <v>6</v>
      </c>
      <c r="AG53" s="810">
        <v>7</v>
      </c>
      <c r="AH53" s="810">
        <v>1</v>
      </c>
      <c r="AI53" s="812">
        <v>2</v>
      </c>
      <c r="AJ53" s="810">
        <v>3</v>
      </c>
      <c r="AK53" s="810">
        <v>4</v>
      </c>
      <c r="AL53" s="810">
        <v>5</v>
      </c>
      <c r="AM53" s="810">
        <v>6</v>
      </c>
      <c r="AN53" s="810">
        <v>7</v>
      </c>
      <c r="AO53" s="810">
        <v>1</v>
      </c>
      <c r="AP53" s="810">
        <v>2</v>
      </c>
      <c r="AQ53" s="810">
        <v>3</v>
      </c>
      <c r="AR53" s="810">
        <v>4</v>
      </c>
      <c r="AS53" s="810">
        <v>5</v>
      </c>
      <c r="AT53" s="810">
        <v>6</v>
      </c>
      <c r="AU53" s="810">
        <v>7</v>
      </c>
      <c r="AV53" s="810">
        <v>1</v>
      </c>
      <c r="AW53" s="810">
        <v>2</v>
      </c>
      <c r="AX53" s="810">
        <v>3</v>
      </c>
      <c r="AY53" s="810">
        <v>4</v>
      </c>
      <c r="AZ53" s="810">
        <v>5</v>
      </c>
      <c r="BA53" s="810">
        <v>6</v>
      </c>
      <c r="BB53" s="810">
        <v>7</v>
      </c>
      <c r="BC53" s="810">
        <v>1</v>
      </c>
      <c r="BD53" s="810">
        <v>2</v>
      </c>
      <c r="BE53" s="810">
        <v>3</v>
      </c>
      <c r="BF53" s="810">
        <v>4</v>
      </c>
      <c r="BG53" s="810">
        <v>5</v>
      </c>
      <c r="BH53" s="810">
        <v>6</v>
      </c>
      <c r="BI53" s="810">
        <v>7</v>
      </c>
      <c r="BJ53" s="810">
        <v>1</v>
      </c>
      <c r="BK53" s="810">
        <v>2</v>
      </c>
      <c r="BL53" s="810">
        <v>3</v>
      </c>
      <c r="BM53" s="810">
        <v>4</v>
      </c>
      <c r="BN53" s="810">
        <v>5</v>
      </c>
      <c r="BO53" s="810">
        <v>6</v>
      </c>
      <c r="BP53" s="810">
        <v>7</v>
      </c>
      <c r="BQ53" s="810">
        <v>1</v>
      </c>
      <c r="BR53" s="810">
        <v>2</v>
      </c>
      <c r="BS53" s="810">
        <v>3</v>
      </c>
      <c r="BT53" s="810">
        <v>4</v>
      </c>
      <c r="BU53" s="810">
        <v>5</v>
      </c>
      <c r="BV53" s="810">
        <v>6</v>
      </c>
      <c r="BW53" s="810">
        <v>7</v>
      </c>
      <c r="BX53" s="810">
        <v>1</v>
      </c>
      <c r="BY53" s="810">
        <v>2</v>
      </c>
      <c r="BZ53" s="810">
        <v>3</v>
      </c>
      <c r="CA53" s="810">
        <v>4</v>
      </c>
      <c r="CB53" s="810">
        <v>5</v>
      </c>
      <c r="CC53" s="810">
        <v>6</v>
      </c>
      <c r="CD53" s="810">
        <v>7</v>
      </c>
      <c r="CE53" s="810">
        <v>1</v>
      </c>
      <c r="CF53" s="810">
        <v>2</v>
      </c>
      <c r="CG53" s="810">
        <v>3</v>
      </c>
      <c r="CH53" s="810">
        <v>4</v>
      </c>
      <c r="CI53" s="810">
        <v>5</v>
      </c>
      <c r="CJ53" s="810">
        <v>6</v>
      </c>
      <c r="CK53" s="810">
        <v>7</v>
      </c>
      <c r="CL53" s="810">
        <v>1</v>
      </c>
      <c r="CM53" s="810">
        <v>2</v>
      </c>
      <c r="CN53" s="810">
        <v>3</v>
      </c>
      <c r="CO53" s="810">
        <v>4</v>
      </c>
      <c r="CP53" s="810">
        <v>5</v>
      </c>
      <c r="CQ53" s="810">
        <v>6</v>
      </c>
      <c r="CR53" s="810">
        <v>7</v>
      </c>
      <c r="CS53" s="810">
        <v>1</v>
      </c>
      <c r="CT53" s="810">
        <v>2</v>
      </c>
      <c r="CU53" s="810">
        <v>3</v>
      </c>
      <c r="CV53" s="810">
        <v>4</v>
      </c>
      <c r="CW53" s="810">
        <v>5</v>
      </c>
      <c r="CX53" s="810">
        <v>6</v>
      </c>
      <c r="CY53" s="810">
        <v>7</v>
      </c>
      <c r="CZ53" s="957"/>
    </row>
    <row r="54" spans="1:104" ht="8.1" customHeight="1" thickBot="1">
      <c r="A54" s="938"/>
      <c r="B54" s="940"/>
      <c r="C54" s="1008"/>
      <c r="D54" s="942"/>
      <c r="E54" s="944"/>
      <c r="F54" s="946"/>
      <c r="G54" s="948"/>
      <c r="H54" s="1139"/>
      <c r="I54" s="984"/>
      <c r="J54" s="987"/>
      <c r="K54" s="987"/>
      <c r="L54" s="808" t="s">
        <v>3320</v>
      </c>
      <c r="M54" s="1024">
        <f>M52+T52+AA52+AH52</f>
        <v>73342.943999999989</v>
      </c>
      <c r="N54" s="967"/>
      <c r="O54" s="967"/>
      <c r="P54" s="967"/>
      <c r="Q54" s="967"/>
      <c r="R54" s="967"/>
      <c r="S54" s="967"/>
      <c r="T54" s="967"/>
      <c r="U54" s="967"/>
      <c r="V54" s="967"/>
      <c r="W54" s="967"/>
      <c r="X54" s="967"/>
      <c r="Y54" s="967"/>
      <c r="Z54" s="967"/>
      <c r="AA54" s="967"/>
      <c r="AB54" s="967"/>
      <c r="AC54" s="967"/>
      <c r="AD54" s="967"/>
      <c r="AE54" s="967"/>
      <c r="AF54" s="967"/>
      <c r="AG54" s="967"/>
      <c r="AH54" s="967"/>
      <c r="AI54" s="967"/>
      <c r="AJ54" s="967"/>
      <c r="AK54" s="967"/>
      <c r="AL54" s="967"/>
      <c r="AM54" s="967"/>
      <c r="AN54" s="967"/>
      <c r="AO54" s="967"/>
      <c r="AP54" s="967"/>
      <c r="AQ54" s="967"/>
      <c r="AR54" s="967"/>
      <c r="AS54" s="967"/>
      <c r="AT54" s="967"/>
      <c r="AU54" s="967"/>
      <c r="AV54" s="967"/>
      <c r="AW54" s="967"/>
      <c r="AX54" s="967"/>
      <c r="AY54" s="967"/>
      <c r="AZ54" s="967"/>
      <c r="BA54" s="967"/>
      <c r="BB54" s="967"/>
      <c r="BC54" s="967"/>
      <c r="BD54" s="967"/>
      <c r="BE54" s="967"/>
      <c r="BF54" s="967"/>
      <c r="BG54" s="967"/>
      <c r="BH54" s="967"/>
      <c r="BI54" s="967"/>
      <c r="BJ54" s="967"/>
      <c r="BK54" s="967"/>
      <c r="BL54" s="967"/>
      <c r="BM54" s="967"/>
      <c r="BN54" s="967"/>
      <c r="BO54" s="967"/>
      <c r="BP54" s="967"/>
      <c r="BQ54" s="967"/>
      <c r="BR54" s="967"/>
      <c r="BS54" s="967"/>
      <c r="BT54" s="967"/>
      <c r="BU54" s="967"/>
      <c r="BV54" s="967"/>
      <c r="BW54" s="967"/>
      <c r="BX54" s="967"/>
      <c r="BY54" s="967"/>
      <c r="BZ54" s="967"/>
      <c r="CA54" s="967"/>
      <c r="CB54" s="967"/>
      <c r="CC54" s="967"/>
      <c r="CD54" s="967"/>
      <c r="CE54" s="967"/>
      <c r="CF54" s="967"/>
      <c r="CG54" s="967"/>
      <c r="CH54" s="967"/>
      <c r="CI54" s="967"/>
      <c r="CJ54" s="967"/>
      <c r="CK54" s="967"/>
      <c r="CL54" s="967"/>
      <c r="CM54" s="967"/>
      <c r="CN54" s="967"/>
      <c r="CO54" s="967"/>
      <c r="CP54" s="967"/>
      <c r="CQ54" s="967"/>
      <c r="CR54" s="967"/>
      <c r="CS54" s="967"/>
      <c r="CT54" s="967"/>
      <c r="CU54" s="967"/>
      <c r="CV54" s="967"/>
      <c r="CW54" s="967"/>
      <c r="CX54" s="967"/>
      <c r="CY54" s="967"/>
      <c r="CZ54" s="957"/>
    </row>
    <row r="55" spans="1:104" ht="8.1" customHeight="1">
      <c r="A55" s="938">
        <f>EDIFICACION!A86</f>
        <v>3.3</v>
      </c>
      <c r="B55" s="950" t="str">
        <f>EDIFICACION!B86</f>
        <v>ZAPATAS EN CONCRETO 3.000 PSI</v>
      </c>
      <c r="C55" s="938" t="str">
        <f>EDIFICACION!C86</f>
        <v>M3</v>
      </c>
      <c r="D55" s="942">
        <f>0.6*0.3*2*3</f>
        <v>1.08</v>
      </c>
      <c r="E55" s="944">
        <f>EDIFICACION!F86</f>
        <v>582236</v>
      </c>
      <c r="F55" s="946">
        <f t="shared" ref="F55" si="1">E55*D55</f>
        <v>628814.88</v>
      </c>
      <c r="G55" s="948">
        <f>F55/F259</f>
        <v>1.8987386136618625E-3</v>
      </c>
      <c r="H55" s="1139"/>
      <c r="I55" s="982" t="s">
        <v>3340</v>
      </c>
      <c r="J55" s="985" t="s">
        <v>3343</v>
      </c>
      <c r="K55" s="985" t="s">
        <v>3344</v>
      </c>
      <c r="L55" s="806" t="s">
        <v>3318</v>
      </c>
      <c r="M55" s="1022"/>
      <c r="N55" s="1021"/>
      <c r="O55" s="1021"/>
      <c r="P55" s="1021"/>
      <c r="Q55" s="1021"/>
      <c r="R55" s="1021"/>
      <c r="S55" s="1021"/>
      <c r="T55" s="1021"/>
      <c r="U55" s="1021"/>
      <c r="V55" s="1021"/>
      <c r="W55" s="1021"/>
      <c r="X55" s="1021"/>
      <c r="Y55" s="1021"/>
      <c r="Z55" s="1021"/>
      <c r="AA55" s="1023">
        <f>F55/CZ55*2</f>
        <v>628814.88</v>
      </c>
      <c r="AB55" s="1023"/>
      <c r="AC55" s="1023"/>
      <c r="AD55" s="1023"/>
      <c r="AE55" s="1023"/>
      <c r="AF55" s="1023"/>
      <c r="AG55" s="1023"/>
      <c r="AH55" s="1023"/>
      <c r="AI55" s="1023"/>
      <c r="AJ55" s="1023"/>
      <c r="AK55" s="1023"/>
      <c r="AL55" s="1023"/>
      <c r="AM55" s="1023"/>
      <c r="AN55" s="1023"/>
      <c r="AO55" s="1021"/>
      <c r="AP55" s="1021"/>
      <c r="AQ55" s="1021"/>
      <c r="AR55" s="1021"/>
      <c r="AS55" s="1021"/>
      <c r="AT55" s="1021"/>
      <c r="AU55" s="1021"/>
      <c r="AV55" s="1021"/>
      <c r="AW55" s="1021"/>
      <c r="AX55" s="1021"/>
      <c r="AY55" s="1021"/>
      <c r="AZ55" s="1021"/>
      <c r="BA55" s="1021"/>
      <c r="BB55" s="1021"/>
      <c r="BC55" s="1021"/>
      <c r="BD55" s="1021"/>
      <c r="BE55" s="1021"/>
      <c r="BF55" s="1021"/>
      <c r="BG55" s="1021"/>
      <c r="BH55" s="1021"/>
      <c r="BI55" s="1021"/>
      <c r="BJ55" s="1021"/>
      <c r="BK55" s="1021"/>
      <c r="BL55" s="1021"/>
      <c r="BM55" s="1021"/>
      <c r="BN55" s="1021"/>
      <c r="BO55" s="1021"/>
      <c r="BP55" s="1021"/>
      <c r="BQ55" s="1021"/>
      <c r="BR55" s="1021"/>
      <c r="BS55" s="1021"/>
      <c r="BT55" s="1021"/>
      <c r="BU55" s="1021"/>
      <c r="BV55" s="1021"/>
      <c r="BW55" s="1021"/>
      <c r="BX55" s="1021"/>
      <c r="BY55" s="1021"/>
      <c r="BZ55" s="1021"/>
      <c r="CA55" s="1021"/>
      <c r="CB55" s="1021"/>
      <c r="CC55" s="1021"/>
      <c r="CD55" s="1021"/>
      <c r="CE55" s="1021"/>
      <c r="CF55" s="1021"/>
      <c r="CG55" s="1021"/>
      <c r="CH55" s="1021"/>
      <c r="CI55" s="1021"/>
      <c r="CJ55" s="1021"/>
      <c r="CK55" s="1021"/>
      <c r="CL55" s="1021"/>
      <c r="CM55" s="1021"/>
      <c r="CN55" s="1021"/>
      <c r="CO55" s="1021"/>
      <c r="CP55" s="1021"/>
      <c r="CQ55" s="1021"/>
      <c r="CR55" s="1021"/>
      <c r="CS55" s="1021"/>
      <c r="CT55" s="1021"/>
      <c r="CU55" s="1021"/>
      <c r="CV55" s="1021"/>
      <c r="CW55" s="1021"/>
      <c r="CX55" s="1021"/>
      <c r="CY55" s="1021"/>
      <c r="CZ55" s="957">
        <v>2</v>
      </c>
    </row>
    <row r="56" spans="1:104" ht="8.1" customHeight="1">
      <c r="A56" s="938"/>
      <c r="B56" s="950"/>
      <c r="C56" s="938"/>
      <c r="D56" s="942"/>
      <c r="E56" s="944"/>
      <c r="F56" s="946"/>
      <c r="G56" s="948"/>
      <c r="H56" s="1139"/>
      <c r="I56" s="983"/>
      <c r="J56" s="986"/>
      <c r="K56" s="986"/>
      <c r="L56" s="807" t="s">
        <v>3319</v>
      </c>
      <c r="M56" s="810">
        <v>1</v>
      </c>
      <c r="N56" s="810">
        <v>2</v>
      </c>
      <c r="O56" s="810">
        <v>3</v>
      </c>
      <c r="P56" s="810">
        <v>4</v>
      </c>
      <c r="Q56" s="810">
        <v>5</v>
      </c>
      <c r="R56" s="810">
        <v>6</v>
      </c>
      <c r="S56" s="810">
        <v>7</v>
      </c>
      <c r="T56" s="810">
        <v>1</v>
      </c>
      <c r="U56" s="810">
        <v>2</v>
      </c>
      <c r="V56" s="810">
        <v>3</v>
      </c>
      <c r="W56" s="810">
        <v>4</v>
      </c>
      <c r="X56" s="810">
        <v>5</v>
      </c>
      <c r="Y56" s="810">
        <v>6</v>
      </c>
      <c r="Z56" s="810">
        <v>7</v>
      </c>
      <c r="AA56" s="810">
        <v>1</v>
      </c>
      <c r="AB56" s="810">
        <v>2</v>
      </c>
      <c r="AC56" s="810">
        <v>3</v>
      </c>
      <c r="AD56" s="810">
        <v>4</v>
      </c>
      <c r="AE56" s="812">
        <v>5</v>
      </c>
      <c r="AF56" s="812">
        <v>6</v>
      </c>
      <c r="AG56" s="810">
        <v>7</v>
      </c>
      <c r="AH56" s="810">
        <v>1</v>
      </c>
      <c r="AI56" s="816">
        <v>2</v>
      </c>
      <c r="AJ56" s="810">
        <v>3</v>
      </c>
      <c r="AK56" s="810">
        <v>4</v>
      </c>
      <c r="AL56" s="810">
        <v>5</v>
      </c>
      <c r="AM56" s="810">
        <v>6</v>
      </c>
      <c r="AN56" s="810">
        <v>7</v>
      </c>
      <c r="AO56" s="810">
        <v>1</v>
      </c>
      <c r="AP56" s="810">
        <v>2</v>
      </c>
      <c r="AQ56" s="810">
        <v>3</v>
      </c>
      <c r="AR56" s="810">
        <v>4</v>
      </c>
      <c r="AS56" s="810">
        <v>5</v>
      </c>
      <c r="AT56" s="810">
        <v>6</v>
      </c>
      <c r="AU56" s="810">
        <v>7</v>
      </c>
      <c r="AV56" s="810">
        <v>1</v>
      </c>
      <c r="AW56" s="810">
        <v>2</v>
      </c>
      <c r="AX56" s="810">
        <v>3</v>
      </c>
      <c r="AY56" s="810">
        <v>4</v>
      </c>
      <c r="AZ56" s="810">
        <v>5</v>
      </c>
      <c r="BA56" s="810">
        <v>6</v>
      </c>
      <c r="BB56" s="810">
        <v>7</v>
      </c>
      <c r="BC56" s="810">
        <v>1</v>
      </c>
      <c r="BD56" s="810">
        <v>2</v>
      </c>
      <c r="BE56" s="810">
        <v>3</v>
      </c>
      <c r="BF56" s="810">
        <v>4</v>
      </c>
      <c r="BG56" s="810">
        <v>5</v>
      </c>
      <c r="BH56" s="810">
        <v>6</v>
      </c>
      <c r="BI56" s="810">
        <v>7</v>
      </c>
      <c r="BJ56" s="810">
        <v>1</v>
      </c>
      <c r="BK56" s="810">
        <v>2</v>
      </c>
      <c r="BL56" s="810">
        <v>3</v>
      </c>
      <c r="BM56" s="810">
        <v>4</v>
      </c>
      <c r="BN56" s="810">
        <v>5</v>
      </c>
      <c r="BO56" s="810">
        <v>6</v>
      </c>
      <c r="BP56" s="810">
        <v>7</v>
      </c>
      <c r="BQ56" s="810">
        <v>1</v>
      </c>
      <c r="BR56" s="810">
        <v>2</v>
      </c>
      <c r="BS56" s="810">
        <v>3</v>
      </c>
      <c r="BT56" s="810">
        <v>4</v>
      </c>
      <c r="BU56" s="810">
        <v>5</v>
      </c>
      <c r="BV56" s="810">
        <v>6</v>
      </c>
      <c r="BW56" s="810">
        <v>7</v>
      </c>
      <c r="BX56" s="810">
        <v>1</v>
      </c>
      <c r="BY56" s="810">
        <v>2</v>
      </c>
      <c r="BZ56" s="810">
        <v>3</v>
      </c>
      <c r="CA56" s="810">
        <v>4</v>
      </c>
      <c r="CB56" s="810">
        <v>5</v>
      </c>
      <c r="CC56" s="810">
        <v>6</v>
      </c>
      <c r="CD56" s="810">
        <v>7</v>
      </c>
      <c r="CE56" s="810">
        <v>1</v>
      </c>
      <c r="CF56" s="810">
        <v>2</v>
      </c>
      <c r="CG56" s="810">
        <v>3</v>
      </c>
      <c r="CH56" s="810">
        <v>4</v>
      </c>
      <c r="CI56" s="810">
        <v>5</v>
      </c>
      <c r="CJ56" s="810">
        <v>6</v>
      </c>
      <c r="CK56" s="810">
        <v>7</v>
      </c>
      <c r="CL56" s="810">
        <v>1</v>
      </c>
      <c r="CM56" s="810">
        <v>2</v>
      </c>
      <c r="CN56" s="810">
        <v>3</v>
      </c>
      <c r="CO56" s="810">
        <v>4</v>
      </c>
      <c r="CP56" s="810">
        <v>5</v>
      </c>
      <c r="CQ56" s="810">
        <v>6</v>
      </c>
      <c r="CR56" s="810">
        <v>7</v>
      </c>
      <c r="CS56" s="810">
        <v>1</v>
      </c>
      <c r="CT56" s="810">
        <v>2</v>
      </c>
      <c r="CU56" s="810">
        <v>3</v>
      </c>
      <c r="CV56" s="810">
        <v>4</v>
      </c>
      <c r="CW56" s="810">
        <v>5</v>
      </c>
      <c r="CX56" s="810">
        <v>6</v>
      </c>
      <c r="CY56" s="810">
        <v>7</v>
      </c>
      <c r="CZ56" s="957"/>
    </row>
    <row r="57" spans="1:104" ht="8.1" customHeight="1" thickBot="1">
      <c r="A57" s="939"/>
      <c r="B57" s="981"/>
      <c r="C57" s="939"/>
      <c r="D57" s="943"/>
      <c r="E57" s="945"/>
      <c r="F57" s="947"/>
      <c r="G57" s="949"/>
      <c r="H57" s="1139"/>
      <c r="I57" s="984"/>
      <c r="J57" s="987"/>
      <c r="K57" s="987"/>
      <c r="L57" s="808" t="s">
        <v>3320</v>
      </c>
      <c r="M57" s="1024">
        <f>AH55+AA55+T55+M55</f>
        <v>628814.88</v>
      </c>
      <c r="N57" s="967"/>
      <c r="O57" s="967"/>
      <c r="P57" s="967"/>
      <c r="Q57" s="967"/>
      <c r="R57" s="967"/>
      <c r="S57" s="967"/>
      <c r="T57" s="967"/>
      <c r="U57" s="967"/>
      <c r="V57" s="967"/>
      <c r="W57" s="967"/>
      <c r="X57" s="967"/>
      <c r="Y57" s="967"/>
      <c r="Z57" s="967"/>
      <c r="AA57" s="967"/>
      <c r="AB57" s="967"/>
      <c r="AC57" s="967"/>
      <c r="AD57" s="967"/>
      <c r="AE57" s="967"/>
      <c r="AF57" s="967"/>
      <c r="AG57" s="967"/>
      <c r="AH57" s="967"/>
      <c r="AI57" s="967"/>
      <c r="AJ57" s="967"/>
      <c r="AK57" s="967"/>
      <c r="AL57" s="967"/>
      <c r="AM57" s="967"/>
      <c r="AN57" s="967"/>
      <c r="AO57" s="967"/>
      <c r="AP57" s="967"/>
      <c r="AQ57" s="967"/>
      <c r="AR57" s="967"/>
      <c r="AS57" s="967"/>
      <c r="AT57" s="967"/>
      <c r="AU57" s="967"/>
      <c r="AV57" s="967"/>
      <c r="AW57" s="967"/>
      <c r="AX57" s="967"/>
      <c r="AY57" s="967"/>
      <c r="AZ57" s="967"/>
      <c r="BA57" s="967"/>
      <c r="BB57" s="967"/>
      <c r="BC57" s="967"/>
      <c r="BD57" s="967"/>
      <c r="BE57" s="967"/>
      <c r="BF57" s="967"/>
      <c r="BG57" s="967"/>
      <c r="BH57" s="967"/>
      <c r="BI57" s="967"/>
      <c r="BJ57" s="967"/>
      <c r="BK57" s="967"/>
      <c r="BL57" s="967"/>
      <c r="BM57" s="967"/>
      <c r="BN57" s="967"/>
      <c r="BO57" s="967"/>
      <c r="BP57" s="967"/>
      <c r="BQ57" s="967"/>
      <c r="BR57" s="967"/>
      <c r="BS57" s="967"/>
      <c r="BT57" s="967"/>
      <c r="BU57" s="967"/>
      <c r="BV57" s="967"/>
      <c r="BW57" s="967"/>
      <c r="BX57" s="967"/>
      <c r="BY57" s="967"/>
      <c r="BZ57" s="967"/>
      <c r="CA57" s="967"/>
      <c r="CB57" s="967"/>
      <c r="CC57" s="967"/>
      <c r="CD57" s="967"/>
      <c r="CE57" s="967"/>
      <c r="CF57" s="967"/>
      <c r="CG57" s="967"/>
      <c r="CH57" s="967"/>
      <c r="CI57" s="967"/>
      <c r="CJ57" s="967"/>
      <c r="CK57" s="967"/>
      <c r="CL57" s="967"/>
      <c r="CM57" s="967"/>
      <c r="CN57" s="967"/>
      <c r="CO57" s="967"/>
      <c r="CP57" s="967"/>
      <c r="CQ57" s="967"/>
      <c r="CR57" s="967"/>
      <c r="CS57" s="967"/>
      <c r="CT57" s="967"/>
      <c r="CU57" s="967"/>
      <c r="CV57" s="967"/>
      <c r="CW57" s="967"/>
      <c r="CX57" s="967"/>
      <c r="CY57" s="967"/>
      <c r="CZ57" s="957"/>
    </row>
    <row r="58" spans="1:104" ht="19.899999999999999" customHeight="1">
      <c r="A58" s="724"/>
      <c r="B58" s="928"/>
      <c r="C58" s="714"/>
      <c r="D58" s="759"/>
      <c r="E58" s="771" t="s">
        <v>3245</v>
      </c>
      <c r="F58" s="769">
        <f>SUM(F52:F57)</f>
        <v>702157.82400000002</v>
      </c>
      <c r="G58" s="776">
        <f>F58/F259</f>
        <v>2.1202013751862713E-3</v>
      </c>
      <c r="H58" s="1139"/>
      <c r="I58" s="995" t="s">
        <v>3336</v>
      </c>
      <c r="J58" s="995"/>
      <c r="K58" s="995"/>
      <c r="L58" s="995"/>
      <c r="M58" s="996">
        <f>M54+M57</f>
        <v>702157.82400000002</v>
      </c>
      <c r="N58" s="996"/>
      <c r="O58" s="996"/>
      <c r="P58" s="996"/>
      <c r="Q58" s="996"/>
      <c r="R58" s="996"/>
      <c r="S58" s="996"/>
      <c r="T58" s="996"/>
      <c r="U58" s="996"/>
      <c r="V58" s="996"/>
      <c r="W58" s="996"/>
      <c r="X58" s="996"/>
      <c r="Y58" s="996"/>
      <c r="Z58" s="996"/>
      <c r="AA58" s="996"/>
      <c r="AB58" s="996"/>
      <c r="AC58" s="996"/>
      <c r="AD58" s="996"/>
      <c r="AE58" s="996"/>
      <c r="AF58" s="996"/>
      <c r="AG58" s="996"/>
      <c r="AH58" s="996"/>
      <c r="AI58" s="996"/>
      <c r="AJ58" s="996"/>
      <c r="AK58" s="996"/>
      <c r="AL58" s="996"/>
      <c r="AM58" s="996"/>
      <c r="AN58" s="996"/>
      <c r="AO58" s="996"/>
      <c r="AP58" s="997"/>
      <c r="AQ58" s="1020">
        <f>AQ54</f>
        <v>0</v>
      </c>
      <c r="AR58" s="996"/>
      <c r="AS58" s="996"/>
      <c r="AT58" s="996"/>
      <c r="AU58" s="996"/>
      <c r="AV58" s="996"/>
      <c r="AW58" s="996"/>
      <c r="AX58" s="996"/>
      <c r="AY58" s="996"/>
      <c r="AZ58" s="996"/>
      <c r="BA58" s="996"/>
      <c r="BB58" s="996"/>
      <c r="BC58" s="996"/>
      <c r="BD58" s="996"/>
      <c r="BE58" s="996"/>
      <c r="BF58" s="996"/>
      <c r="BG58" s="996"/>
      <c r="BH58" s="996"/>
      <c r="BI58" s="996"/>
      <c r="BJ58" s="996"/>
      <c r="BK58" s="996"/>
      <c r="BL58" s="996"/>
      <c r="BM58" s="996"/>
      <c r="BN58" s="996"/>
      <c r="BO58" s="996"/>
      <c r="BP58" s="996"/>
      <c r="BQ58" s="996"/>
      <c r="BR58" s="996"/>
      <c r="BS58" s="996"/>
      <c r="BT58" s="997"/>
      <c r="BU58" s="998">
        <f>BU54</f>
        <v>0</v>
      </c>
      <c r="BV58" s="998"/>
      <c r="BW58" s="998"/>
      <c r="BX58" s="998"/>
      <c r="BY58" s="998"/>
      <c r="BZ58" s="998"/>
      <c r="CA58" s="998"/>
      <c r="CB58" s="998"/>
      <c r="CC58" s="998"/>
      <c r="CD58" s="998"/>
      <c r="CE58" s="998"/>
      <c r="CF58" s="998"/>
      <c r="CG58" s="998"/>
      <c r="CH58" s="998"/>
      <c r="CI58" s="998"/>
      <c r="CJ58" s="998"/>
      <c r="CK58" s="998"/>
      <c r="CL58" s="998"/>
      <c r="CM58" s="998"/>
      <c r="CN58" s="998"/>
      <c r="CO58" s="998"/>
      <c r="CP58" s="998"/>
      <c r="CQ58" s="998"/>
      <c r="CR58" s="998"/>
      <c r="CS58" s="998"/>
      <c r="CT58" s="998"/>
      <c r="CU58" s="998"/>
      <c r="CV58" s="998"/>
      <c r="CW58" s="998"/>
      <c r="CX58" s="998"/>
      <c r="CY58" s="998"/>
      <c r="CZ58" s="793">
        <f>SUM(CZ52:CZ57)</f>
        <v>3</v>
      </c>
    </row>
    <row r="59" spans="1:104" ht="19.899999999999999" customHeight="1">
      <c r="A59" s="724"/>
      <c r="B59" s="928"/>
      <c r="C59" s="714"/>
      <c r="D59" s="759"/>
      <c r="E59" s="757"/>
      <c r="F59" s="716"/>
      <c r="H59" s="1139"/>
      <c r="I59" s="991" t="s">
        <v>3325</v>
      </c>
      <c r="J59" s="991"/>
      <c r="K59" s="991"/>
      <c r="L59" s="991"/>
      <c r="M59" s="992">
        <f>M58+AQ58+BU58</f>
        <v>702157.82400000002</v>
      </c>
      <c r="N59" s="993"/>
      <c r="O59" s="993"/>
      <c r="P59" s="993"/>
      <c r="Q59" s="993"/>
      <c r="R59" s="993"/>
      <c r="S59" s="993"/>
      <c r="T59" s="993"/>
      <c r="U59" s="993"/>
      <c r="V59" s="993"/>
      <c r="W59" s="993"/>
      <c r="X59" s="993"/>
      <c r="Y59" s="993"/>
      <c r="Z59" s="993"/>
      <c r="AA59" s="993"/>
      <c r="AB59" s="993"/>
      <c r="AC59" s="993"/>
      <c r="AD59" s="993"/>
      <c r="AE59" s="993"/>
      <c r="AF59" s="993"/>
      <c r="AG59" s="993"/>
      <c r="AH59" s="993"/>
      <c r="AI59" s="993"/>
      <c r="AJ59" s="993"/>
      <c r="AK59" s="993"/>
      <c r="AL59" s="993"/>
      <c r="AM59" s="993"/>
      <c r="AN59" s="993"/>
      <c r="AO59" s="993"/>
      <c r="AP59" s="993"/>
      <c r="AQ59" s="993"/>
      <c r="AR59" s="993"/>
      <c r="AS59" s="993"/>
      <c r="AT59" s="993"/>
      <c r="AU59" s="993"/>
      <c r="AV59" s="993"/>
      <c r="AW59" s="993"/>
      <c r="AX59" s="993"/>
      <c r="AY59" s="993"/>
      <c r="AZ59" s="993"/>
      <c r="BA59" s="993"/>
      <c r="BB59" s="993"/>
      <c r="BC59" s="993"/>
      <c r="BD59" s="993"/>
      <c r="BE59" s="993"/>
      <c r="BF59" s="993"/>
      <c r="BG59" s="993"/>
      <c r="BH59" s="993"/>
      <c r="BI59" s="993"/>
      <c r="BJ59" s="993"/>
      <c r="BK59" s="993"/>
      <c r="BL59" s="993"/>
      <c r="BM59" s="993"/>
      <c r="BN59" s="993"/>
      <c r="BO59" s="993"/>
      <c r="BP59" s="993"/>
      <c r="BQ59" s="993"/>
      <c r="BR59" s="993"/>
      <c r="BS59" s="993"/>
      <c r="BT59" s="993"/>
      <c r="BU59" s="993"/>
      <c r="BV59" s="993"/>
      <c r="BW59" s="993"/>
      <c r="BX59" s="993"/>
      <c r="BY59" s="993"/>
      <c r="BZ59" s="993"/>
      <c r="CA59" s="993"/>
      <c r="CB59" s="993"/>
      <c r="CC59" s="993"/>
      <c r="CD59" s="993"/>
      <c r="CE59" s="993"/>
      <c r="CF59" s="993"/>
      <c r="CG59" s="993"/>
      <c r="CH59" s="993"/>
      <c r="CI59" s="993"/>
      <c r="CJ59" s="993"/>
      <c r="CK59" s="993"/>
      <c r="CL59" s="993"/>
      <c r="CM59" s="993"/>
      <c r="CN59" s="993"/>
      <c r="CO59" s="993"/>
      <c r="CP59" s="993"/>
      <c r="CQ59" s="993"/>
      <c r="CR59" s="993"/>
      <c r="CS59" s="993"/>
      <c r="CT59" s="993"/>
      <c r="CU59" s="993"/>
      <c r="CV59" s="993"/>
      <c r="CW59" s="993"/>
      <c r="CX59" s="993"/>
      <c r="CY59" s="993"/>
      <c r="CZ59" s="792"/>
    </row>
    <row r="60" spans="1:104" ht="19.899999999999999" customHeight="1" thickBot="1">
      <c r="A60" s="720" t="str">
        <f>EDIFICACION!A94</f>
        <v>IV</v>
      </c>
      <c r="B60" s="1051" t="str">
        <f>EDIFICACION!B94</f>
        <v>INSTALACIONES SANITARIAS</v>
      </c>
      <c r="C60" s="1052"/>
      <c r="D60" s="1052"/>
      <c r="E60" s="1052"/>
      <c r="F60" s="1052"/>
      <c r="G60" s="1052"/>
      <c r="H60" s="1139"/>
      <c r="I60" s="994"/>
      <c r="J60" s="994"/>
      <c r="K60" s="994"/>
      <c r="L60" s="994"/>
      <c r="M60" s="994"/>
      <c r="N60" s="994"/>
      <c r="O60" s="994"/>
      <c r="P60" s="994"/>
      <c r="Q60" s="994"/>
      <c r="R60" s="994"/>
      <c r="S60" s="994"/>
      <c r="T60" s="994"/>
      <c r="U60" s="994"/>
      <c r="V60" s="994"/>
      <c r="W60" s="994"/>
      <c r="X60" s="994"/>
      <c r="Y60" s="994"/>
      <c r="Z60" s="994"/>
      <c r="AA60" s="994"/>
      <c r="AB60" s="994"/>
      <c r="AC60" s="994"/>
      <c r="AD60" s="994"/>
      <c r="AE60" s="994"/>
      <c r="AF60" s="994"/>
      <c r="AG60" s="994"/>
      <c r="AH60" s="994"/>
      <c r="AI60" s="994"/>
      <c r="AJ60" s="994"/>
      <c r="AK60" s="994"/>
      <c r="AL60" s="994"/>
      <c r="AM60" s="994"/>
      <c r="AN60" s="994"/>
      <c r="AO60" s="994"/>
      <c r="AP60" s="994"/>
      <c r="AQ60" s="994"/>
      <c r="AR60" s="994"/>
      <c r="AS60" s="994"/>
      <c r="AT60" s="994"/>
      <c r="AU60" s="994"/>
      <c r="AV60" s="994"/>
      <c r="AW60" s="994"/>
      <c r="AX60" s="994"/>
      <c r="AY60" s="994"/>
      <c r="AZ60" s="994"/>
      <c r="BA60" s="994"/>
      <c r="BB60" s="994"/>
      <c r="BC60" s="994"/>
      <c r="BD60" s="994"/>
      <c r="BE60" s="994"/>
      <c r="BF60" s="994"/>
      <c r="BG60" s="994"/>
      <c r="BH60" s="994"/>
      <c r="BI60" s="994"/>
      <c r="BJ60" s="994"/>
      <c r="BK60" s="994"/>
      <c r="BL60" s="994"/>
      <c r="BM60" s="994"/>
      <c r="BN60" s="994"/>
      <c r="BO60" s="994"/>
      <c r="BP60" s="994"/>
      <c r="BQ60" s="994"/>
      <c r="BR60" s="994"/>
      <c r="BS60" s="994"/>
      <c r="BT60" s="994"/>
      <c r="BU60" s="994"/>
      <c r="BV60" s="994"/>
      <c r="BW60" s="994"/>
      <c r="BX60" s="994"/>
      <c r="BY60" s="994"/>
      <c r="BZ60" s="994"/>
      <c r="CA60" s="994"/>
      <c r="CB60" s="994"/>
      <c r="CC60" s="994"/>
      <c r="CD60" s="994"/>
      <c r="CE60" s="994"/>
      <c r="CF60" s="994"/>
      <c r="CG60" s="994"/>
      <c r="CH60" s="994"/>
      <c r="CI60" s="994"/>
      <c r="CJ60" s="994"/>
      <c r="CK60" s="994"/>
      <c r="CL60" s="994"/>
      <c r="CM60" s="994"/>
      <c r="CN60" s="994"/>
      <c r="CO60" s="994"/>
      <c r="CP60" s="994"/>
      <c r="CQ60" s="994"/>
      <c r="CR60" s="994"/>
      <c r="CS60" s="994"/>
      <c r="CT60" s="994"/>
      <c r="CU60" s="994"/>
      <c r="CV60" s="994"/>
      <c r="CW60" s="994"/>
      <c r="CX60" s="994"/>
      <c r="CY60" s="994"/>
      <c r="CZ60" s="994"/>
    </row>
    <row r="61" spans="1:104" ht="27" customHeight="1">
      <c r="A61" s="1017">
        <f>EDIFICACION!A95</f>
        <v>4.0999999999999996</v>
      </c>
      <c r="B61" s="1018" t="str">
        <f>EDIFICACION!B95</f>
        <v>CAJA DE INSPECCIÓN DE 60x60x60CM, EN CONCRETO DE f'c=3.000PSI IMPERMEABILIZADO, INCLUYE EXCAVACIÓN Y TAPE, TAPA Y HERRAJES, CAÑUELAS, MARCOS EN ANGULO DE 1 1/2"X3/16 E INCLUYE TODO LO NECESARIO PARA SU CORRECTO FUNCIONAMIENTO</v>
      </c>
      <c r="C61" s="1016" t="str">
        <f>EDIFICACION!C95</f>
        <v>UN</v>
      </c>
      <c r="D61" s="1015">
        <v>2</v>
      </c>
      <c r="E61" s="1014">
        <f>EDIFICACION!F95</f>
        <v>287179</v>
      </c>
      <c r="F61" s="1012">
        <f t="shared" si="0"/>
        <v>574358</v>
      </c>
      <c r="G61" s="1013">
        <f>F61/F259</f>
        <v>1.7343032859934867E-3</v>
      </c>
      <c r="H61" s="1139"/>
      <c r="I61" s="1009" t="s">
        <v>3340</v>
      </c>
      <c r="J61" s="985" t="s">
        <v>3360</v>
      </c>
      <c r="K61" s="985" t="s">
        <v>3361</v>
      </c>
      <c r="L61" s="806" t="s">
        <v>3318</v>
      </c>
      <c r="M61" s="964"/>
      <c r="N61" s="965"/>
      <c r="O61" s="965"/>
      <c r="P61" s="965"/>
      <c r="Q61" s="965"/>
      <c r="R61" s="965"/>
      <c r="S61" s="965"/>
      <c r="T61" s="965"/>
      <c r="U61" s="965"/>
      <c r="V61" s="965"/>
      <c r="W61" s="965"/>
      <c r="X61" s="965"/>
      <c r="Y61" s="965"/>
      <c r="Z61" s="965"/>
      <c r="AA61" s="1019"/>
      <c r="AB61" s="1019"/>
      <c r="AC61" s="1019"/>
      <c r="AD61" s="1019"/>
      <c r="AE61" s="1019"/>
      <c r="AF61" s="1019"/>
      <c r="AG61" s="1019"/>
      <c r="AH61" s="1019">
        <f>F61/CZ61*AI62</f>
        <v>574358</v>
      </c>
      <c r="AI61" s="1019"/>
      <c r="AJ61" s="1019"/>
      <c r="AK61" s="1019"/>
      <c r="AL61" s="1019"/>
      <c r="AM61" s="1019"/>
      <c r="AN61" s="1019"/>
      <c r="AO61" s="965"/>
      <c r="AP61" s="965"/>
      <c r="AQ61" s="965"/>
      <c r="AR61" s="965"/>
      <c r="AS61" s="965"/>
      <c r="AT61" s="965"/>
      <c r="AU61" s="965"/>
      <c r="AV61" s="965"/>
      <c r="AW61" s="965"/>
      <c r="AX61" s="965"/>
      <c r="AY61" s="965"/>
      <c r="AZ61" s="965"/>
      <c r="BA61" s="965"/>
      <c r="BB61" s="965"/>
      <c r="BC61" s="965"/>
      <c r="BD61" s="965"/>
      <c r="BE61" s="965"/>
      <c r="BF61" s="965"/>
      <c r="BG61" s="965"/>
      <c r="BH61" s="965"/>
      <c r="BI61" s="965"/>
      <c r="BJ61" s="965"/>
      <c r="BK61" s="965"/>
      <c r="BL61" s="965"/>
      <c r="BM61" s="965"/>
      <c r="BN61" s="965"/>
      <c r="BO61" s="965"/>
      <c r="BP61" s="965"/>
      <c r="BQ61" s="965"/>
      <c r="BR61" s="965"/>
      <c r="BS61" s="965"/>
      <c r="BT61" s="965"/>
      <c r="BU61" s="965"/>
      <c r="BV61" s="965"/>
      <c r="BW61" s="965"/>
      <c r="BX61" s="965"/>
      <c r="BY61" s="965"/>
      <c r="BZ61" s="965"/>
      <c r="CA61" s="965"/>
      <c r="CB61" s="965"/>
      <c r="CC61" s="965"/>
      <c r="CD61" s="965"/>
      <c r="CE61" s="965"/>
      <c r="CF61" s="965"/>
      <c r="CG61" s="965"/>
      <c r="CH61" s="965"/>
      <c r="CI61" s="965"/>
      <c r="CJ61" s="965"/>
      <c r="CK61" s="965"/>
      <c r="CL61" s="965"/>
      <c r="CM61" s="965"/>
      <c r="CN61" s="965"/>
      <c r="CO61" s="965"/>
      <c r="CP61" s="965"/>
      <c r="CQ61" s="965"/>
      <c r="CR61" s="965"/>
      <c r="CS61" s="965"/>
      <c r="CT61" s="965"/>
      <c r="CU61" s="965"/>
      <c r="CV61" s="965"/>
      <c r="CW61" s="965"/>
      <c r="CX61" s="965"/>
      <c r="CY61" s="965"/>
      <c r="CZ61" s="953">
        <v>2</v>
      </c>
    </row>
    <row r="62" spans="1:104" ht="27" customHeight="1">
      <c r="A62" s="938"/>
      <c r="B62" s="940"/>
      <c r="C62" s="1008"/>
      <c r="D62" s="942"/>
      <c r="E62" s="944"/>
      <c r="F62" s="946"/>
      <c r="G62" s="948"/>
      <c r="H62" s="1139"/>
      <c r="I62" s="1010"/>
      <c r="J62" s="986"/>
      <c r="K62" s="986"/>
      <c r="L62" s="807" t="s">
        <v>3319</v>
      </c>
      <c r="M62" s="811">
        <v>1</v>
      </c>
      <c r="N62" s="810">
        <v>2</v>
      </c>
      <c r="O62" s="810">
        <v>3</v>
      </c>
      <c r="P62" s="810">
        <v>4</v>
      </c>
      <c r="Q62" s="810">
        <v>5</v>
      </c>
      <c r="R62" s="810">
        <v>6</v>
      </c>
      <c r="S62" s="810">
        <v>7</v>
      </c>
      <c r="T62" s="810">
        <v>1</v>
      </c>
      <c r="U62" s="810">
        <v>2</v>
      </c>
      <c r="V62" s="810">
        <v>3</v>
      </c>
      <c r="W62" s="810">
        <v>4</v>
      </c>
      <c r="X62" s="810">
        <v>5</v>
      </c>
      <c r="Y62" s="810">
        <v>6</v>
      </c>
      <c r="Z62" s="810">
        <v>7</v>
      </c>
      <c r="AA62" s="810">
        <v>1</v>
      </c>
      <c r="AB62" s="810">
        <v>2</v>
      </c>
      <c r="AC62" s="810">
        <v>3</v>
      </c>
      <c r="AD62" s="810">
        <v>4</v>
      </c>
      <c r="AE62" s="810">
        <v>5</v>
      </c>
      <c r="AF62" s="810">
        <v>6</v>
      </c>
      <c r="AG62" s="816">
        <v>7</v>
      </c>
      <c r="AH62" s="816">
        <v>1</v>
      </c>
      <c r="AI62" s="816">
        <v>2</v>
      </c>
      <c r="AJ62" s="812">
        <v>3</v>
      </c>
      <c r="AK62" s="812">
        <v>4</v>
      </c>
      <c r="AL62" s="810">
        <v>5</v>
      </c>
      <c r="AM62" s="810">
        <v>6</v>
      </c>
      <c r="AN62" s="810">
        <v>7</v>
      </c>
      <c r="AO62" s="810">
        <v>1</v>
      </c>
      <c r="AP62" s="810">
        <v>2</v>
      </c>
      <c r="AQ62" s="810">
        <v>3</v>
      </c>
      <c r="AR62" s="810">
        <v>4</v>
      </c>
      <c r="AS62" s="810">
        <v>5</v>
      </c>
      <c r="AT62" s="810">
        <v>6</v>
      </c>
      <c r="AU62" s="810">
        <v>7</v>
      </c>
      <c r="AV62" s="810">
        <v>1</v>
      </c>
      <c r="AW62" s="810">
        <v>2</v>
      </c>
      <c r="AX62" s="810">
        <v>3</v>
      </c>
      <c r="AY62" s="810">
        <v>4</v>
      </c>
      <c r="AZ62" s="810">
        <v>5</v>
      </c>
      <c r="BA62" s="810">
        <v>6</v>
      </c>
      <c r="BB62" s="810">
        <v>7</v>
      </c>
      <c r="BC62" s="810">
        <v>1</v>
      </c>
      <c r="BD62" s="810">
        <v>2</v>
      </c>
      <c r="BE62" s="810">
        <v>3</v>
      </c>
      <c r="BF62" s="810">
        <v>4</v>
      </c>
      <c r="BG62" s="810">
        <v>5</v>
      </c>
      <c r="BH62" s="810">
        <v>6</v>
      </c>
      <c r="BI62" s="810">
        <v>7</v>
      </c>
      <c r="BJ62" s="810">
        <v>1</v>
      </c>
      <c r="BK62" s="810">
        <v>2</v>
      </c>
      <c r="BL62" s="810">
        <v>3</v>
      </c>
      <c r="BM62" s="810">
        <v>4</v>
      </c>
      <c r="BN62" s="810">
        <v>5</v>
      </c>
      <c r="BO62" s="810">
        <v>6</v>
      </c>
      <c r="BP62" s="810">
        <v>7</v>
      </c>
      <c r="BQ62" s="810">
        <v>1</v>
      </c>
      <c r="BR62" s="810">
        <v>2</v>
      </c>
      <c r="BS62" s="810">
        <v>3</v>
      </c>
      <c r="BT62" s="810">
        <v>4</v>
      </c>
      <c r="BU62" s="810">
        <v>5</v>
      </c>
      <c r="BV62" s="810">
        <v>6</v>
      </c>
      <c r="BW62" s="810">
        <v>7</v>
      </c>
      <c r="BX62" s="810">
        <v>1</v>
      </c>
      <c r="BY62" s="810">
        <v>2</v>
      </c>
      <c r="BZ62" s="810">
        <v>3</v>
      </c>
      <c r="CA62" s="810">
        <v>4</v>
      </c>
      <c r="CB62" s="810">
        <v>5</v>
      </c>
      <c r="CC62" s="810">
        <v>6</v>
      </c>
      <c r="CD62" s="810">
        <v>7</v>
      </c>
      <c r="CE62" s="810">
        <v>1</v>
      </c>
      <c r="CF62" s="810">
        <v>2</v>
      </c>
      <c r="CG62" s="810">
        <v>3</v>
      </c>
      <c r="CH62" s="810">
        <v>4</v>
      </c>
      <c r="CI62" s="810">
        <v>5</v>
      </c>
      <c r="CJ62" s="810">
        <v>6</v>
      </c>
      <c r="CK62" s="810">
        <v>7</v>
      </c>
      <c r="CL62" s="810">
        <v>1</v>
      </c>
      <c r="CM62" s="810">
        <v>2</v>
      </c>
      <c r="CN62" s="810">
        <v>3</v>
      </c>
      <c r="CO62" s="810">
        <v>4</v>
      </c>
      <c r="CP62" s="810">
        <v>5</v>
      </c>
      <c r="CQ62" s="810">
        <v>6</v>
      </c>
      <c r="CR62" s="810">
        <v>7</v>
      </c>
      <c r="CS62" s="810">
        <v>1</v>
      </c>
      <c r="CT62" s="810">
        <v>2</v>
      </c>
      <c r="CU62" s="810">
        <v>3</v>
      </c>
      <c r="CV62" s="810">
        <v>4</v>
      </c>
      <c r="CW62" s="810">
        <v>5</v>
      </c>
      <c r="CX62" s="781">
        <v>6</v>
      </c>
      <c r="CY62" s="781">
        <v>7</v>
      </c>
      <c r="CZ62" s="954"/>
    </row>
    <row r="63" spans="1:104" ht="27" customHeight="1" thickBot="1">
      <c r="A63" s="938"/>
      <c r="B63" s="940"/>
      <c r="C63" s="1008"/>
      <c r="D63" s="942"/>
      <c r="E63" s="944"/>
      <c r="F63" s="946"/>
      <c r="G63" s="948"/>
      <c r="H63" s="1139"/>
      <c r="I63" s="1011"/>
      <c r="J63" s="987"/>
      <c r="K63" s="987"/>
      <c r="L63" s="808" t="s">
        <v>3320</v>
      </c>
      <c r="M63" s="955">
        <f>AA61+AH61+T61+M61</f>
        <v>574358</v>
      </c>
      <c r="N63" s="956"/>
      <c r="O63" s="956"/>
      <c r="P63" s="956"/>
      <c r="Q63" s="956"/>
      <c r="R63" s="956"/>
      <c r="S63" s="956"/>
      <c r="T63" s="956"/>
      <c r="U63" s="956"/>
      <c r="V63" s="956"/>
      <c r="W63" s="956"/>
      <c r="X63" s="956"/>
      <c r="Y63" s="956"/>
      <c r="Z63" s="956"/>
      <c r="AA63" s="956"/>
      <c r="AB63" s="956"/>
      <c r="AC63" s="956"/>
      <c r="AD63" s="956"/>
      <c r="AE63" s="956"/>
      <c r="AF63" s="956"/>
      <c r="AG63" s="956"/>
      <c r="AH63" s="956"/>
      <c r="AI63" s="956"/>
      <c r="AJ63" s="956"/>
      <c r="AK63" s="956"/>
      <c r="AL63" s="956"/>
      <c r="AM63" s="956"/>
      <c r="AN63" s="956"/>
      <c r="AO63" s="956"/>
      <c r="AP63" s="956"/>
      <c r="AQ63" s="956"/>
      <c r="AR63" s="956"/>
      <c r="AS63" s="956"/>
      <c r="AT63" s="956"/>
      <c r="AU63" s="956"/>
      <c r="AV63" s="956"/>
      <c r="AW63" s="956"/>
      <c r="AX63" s="956"/>
      <c r="AY63" s="956"/>
      <c r="AZ63" s="956"/>
      <c r="BA63" s="956"/>
      <c r="BB63" s="956"/>
      <c r="BC63" s="956"/>
      <c r="BD63" s="956"/>
      <c r="BE63" s="956"/>
      <c r="BF63" s="956"/>
      <c r="BG63" s="956"/>
      <c r="BH63" s="956"/>
      <c r="BI63" s="956"/>
      <c r="BJ63" s="956"/>
      <c r="BK63" s="956"/>
      <c r="BL63" s="956"/>
      <c r="BM63" s="956"/>
      <c r="BN63" s="956"/>
      <c r="BO63" s="956"/>
      <c r="BP63" s="956"/>
      <c r="BQ63" s="956"/>
      <c r="BR63" s="956"/>
      <c r="BS63" s="956"/>
      <c r="BT63" s="956"/>
      <c r="BU63" s="956"/>
      <c r="BV63" s="956"/>
      <c r="BW63" s="956"/>
      <c r="BX63" s="956"/>
      <c r="BY63" s="956"/>
      <c r="BZ63" s="956"/>
      <c r="CA63" s="956"/>
      <c r="CB63" s="956"/>
      <c r="CC63" s="956"/>
      <c r="CD63" s="956"/>
      <c r="CE63" s="956"/>
      <c r="CF63" s="956"/>
      <c r="CG63" s="956"/>
      <c r="CH63" s="956"/>
      <c r="CI63" s="956"/>
      <c r="CJ63" s="956"/>
      <c r="CK63" s="956"/>
      <c r="CL63" s="956"/>
      <c r="CM63" s="956"/>
      <c r="CN63" s="956"/>
      <c r="CO63" s="956"/>
      <c r="CP63" s="956"/>
      <c r="CQ63" s="956"/>
      <c r="CR63" s="956"/>
      <c r="CS63" s="956"/>
      <c r="CT63" s="956"/>
      <c r="CU63" s="956"/>
      <c r="CV63" s="956"/>
      <c r="CW63" s="956"/>
      <c r="CX63" s="956"/>
      <c r="CY63" s="956"/>
      <c r="CZ63" s="954"/>
    </row>
    <row r="64" spans="1:104" ht="44.25" customHeight="1">
      <c r="A64" s="938">
        <f>EDIFICACION!A107</f>
        <v>4.2</v>
      </c>
      <c r="B64" s="940" t="str">
        <f>EDIFICACION!B107</f>
        <v>CONSTRUCCION DE CANAL  EN CONCRETO DE 3000 PSI PARA RECOGER AGUAS LLUVIAS EN EL ACCESO PRINCIPALY LOS PATIOS Y LAS CANCHAS, INCLUYE REGILLA EN ANGULO DE 3/16 CON VARILLAS CORRUGADAS de 5/8" CADA 4CMS DE DIASTANCIA ENTRE VARILLAS, CON ANTICORROSIVO GRIS Y ESMALTE SINTETICO, SECCION 30CMS DE ANCHO X 40CMS DE PROFUNDIDAD, ESPESORES DE MUROS 15CMS Y TABLON FACHALETA DE 1E4X0,8 PARA ACABADOS DEL CANAL</v>
      </c>
      <c r="C64" s="938" t="str">
        <f>EDIFICACION!C107</f>
        <v>ML</v>
      </c>
      <c r="D64" s="942">
        <v>10</v>
      </c>
      <c r="E64" s="944">
        <f>EDIFICACION!F107</f>
        <v>827381</v>
      </c>
      <c r="F64" s="946">
        <f>E64*D64</f>
        <v>8273810</v>
      </c>
      <c r="G64" s="948">
        <f>F64/F259</f>
        <v>2.4983191442768744E-2</v>
      </c>
      <c r="H64" s="1139"/>
      <c r="I64" s="899"/>
      <c r="J64" s="907"/>
      <c r="K64" s="907"/>
      <c r="L64" s="908"/>
      <c r="M64" s="897"/>
      <c r="N64" s="898"/>
      <c r="O64" s="898"/>
      <c r="P64" s="898"/>
      <c r="Q64" s="898"/>
      <c r="R64" s="898"/>
      <c r="S64" s="898"/>
      <c r="T64" s="898"/>
      <c r="U64" s="898"/>
      <c r="V64" s="898"/>
      <c r="W64" s="898"/>
      <c r="X64" s="898"/>
      <c r="Y64" s="898"/>
      <c r="Z64" s="898"/>
      <c r="AA64" s="898"/>
      <c r="AB64" s="898"/>
      <c r="AC64" s="898"/>
      <c r="AD64" s="898"/>
      <c r="AE64" s="898"/>
      <c r="AF64" s="898"/>
      <c r="AG64" s="898"/>
      <c r="AH64" s="898"/>
      <c r="AI64" s="898"/>
      <c r="AJ64" s="898"/>
      <c r="AK64" s="898"/>
      <c r="AL64" s="898"/>
      <c r="AM64" s="898"/>
      <c r="AN64" s="898"/>
      <c r="AO64" s="898"/>
      <c r="AP64" s="898"/>
      <c r="AQ64" s="898"/>
      <c r="AR64" s="898"/>
      <c r="AS64" s="898"/>
      <c r="AT64" s="898"/>
      <c r="AU64" s="898"/>
      <c r="AV64" s="898"/>
      <c r="AW64" s="898"/>
      <c r="AX64" s="898"/>
      <c r="AY64" s="898"/>
      <c r="AZ64" s="898"/>
      <c r="BA64" s="898"/>
      <c r="BB64" s="898"/>
      <c r="BC64" s="898"/>
      <c r="BD64" s="898"/>
      <c r="BE64" s="898"/>
      <c r="BF64" s="898"/>
      <c r="BG64" s="898"/>
      <c r="BH64" s="898"/>
      <c r="BI64" s="898"/>
      <c r="BJ64" s="898"/>
      <c r="BK64" s="898"/>
      <c r="BL64" s="898"/>
      <c r="BM64" s="898"/>
      <c r="BN64" s="898"/>
      <c r="BO64" s="898"/>
      <c r="BP64" s="898"/>
      <c r="BQ64" s="898"/>
      <c r="BR64" s="898"/>
      <c r="BS64" s="898"/>
      <c r="BT64" s="898"/>
      <c r="BU64" s="898"/>
      <c r="BV64" s="898"/>
      <c r="BW64" s="898"/>
      <c r="BX64" s="898"/>
      <c r="BY64" s="898"/>
      <c r="BZ64" s="898"/>
      <c r="CA64" s="898"/>
      <c r="CB64" s="898"/>
      <c r="CC64" s="898"/>
      <c r="CD64" s="898"/>
      <c r="CE64" s="898"/>
      <c r="CF64" s="898"/>
      <c r="CG64" s="898"/>
      <c r="CH64" s="898"/>
      <c r="CI64" s="898"/>
      <c r="CJ64" s="898"/>
      <c r="CK64" s="898"/>
      <c r="CL64" s="898"/>
      <c r="CM64" s="898"/>
      <c r="CN64" s="898"/>
      <c r="CO64" s="898"/>
      <c r="CP64" s="898"/>
      <c r="CQ64" s="898"/>
      <c r="CR64" s="898"/>
      <c r="CS64" s="898"/>
      <c r="CT64" s="898"/>
      <c r="CU64" s="898"/>
      <c r="CV64" s="898"/>
      <c r="CW64" s="898"/>
      <c r="CX64" s="898"/>
      <c r="CY64" s="898"/>
      <c r="CZ64" s="896"/>
    </row>
    <row r="65" spans="1:104" ht="44.25" customHeight="1">
      <c r="A65" s="938"/>
      <c r="B65" s="940"/>
      <c r="C65" s="938"/>
      <c r="D65" s="942"/>
      <c r="E65" s="944"/>
      <c r="F65" s="946"/>
      <c r="G65" s="948"/>
      <c r="H65" s="1139"/>
      <c r="I65" s="899"/>
      <c r="J65" s="907"/>
      <c r="K65" s="907"/>
      <c r="L65" s="908"/>
      <c r="M65" s="897"/>
      <c r="N65" s="898"/>
      <c r="O65" s="898"/>
      <c r="P65" s="898"/>
      <c r="Q65" s="898"/>
      <c r="R65" s="898"/>
      <c r="S65" s="898"/>
      <c r="T65" s="898"/>
      <c r="U65" s="898"/>
      <c r="V65" s="898"/>
      <c r="W65" s="898"/>
      <c r="X65" s="898"/>
      <c r="Y65" s="898"/>
      <c r="Z65" s="898"/>
      <c r="AA65" s="898"/>
      <c r="AB65" s="898"/>
      <c r="AC65" s="898"/>
      <c r="AD65" s="898"/>
      <c r="AE65" s="898"/>
      <c r="AF65" s="898"/>
      <c r="AG65" s="898"/>
      <c r="AH65" s="898"/>
      <c r="AI65" s="898"/>
      <c r="AJ65" s="898"/>
      <c r="AK65" s="898"/>
      <c r="AL65" s="898"/>
      <c r="AM65" s="898"/>
      <c r="AN65" s="898"/>
      <c r="AO65" s="898"/>
      <c r="AP65" s="898"/>
      <c r="AQ65" s="898"/>
      <c r="AR65" s="898"/>
      <c r="AS65" s="898"/>
      <c r="AT65" s="898"/>
      <c r="AU65" s="898"/>
      <c r="AV65" s="898"/>
      <c r="AW65" s="898"/>
      <c r="AX65" s="898"/>
      <c r="AY65" s="898"/>
      <c r="AZ65" s="898"/>
      <c r="BA65" s="898"/>
      <c r="BB65" s="898"/>
      <c r="BC65" s="898"/>
      <c r="BD65" s="898"/>
      <c r="BE65" s="898"/>
      <c r="BF65" s="898"/>
      <c r="BG65" s="898"/>
      <c r="BH65" s="898"/>
      <c r="BI65" s="898"/>
      <c r="BJ65" s="898"/>
      <c r="BK65" s="898"/>
      <c r="BL65" s="898"/>
      <c r="BM65" s="898"/>
      <c r="BN65" s="898"/>
      <c r="BO65" s="898"/>
      <c r="BP65" s="898"/>
      <c r="BQ65" s="898"/>
      <c r="BR65" s="898"/>
      <c r="BS65" s="898"/>
      <c r="BT65" s="898"/>
      <c r="BU65" s="898"/>
      <c r="BV65" s="898"/>
      <c r="BW65" s="898"/>
      <c r="BX65" s="898"/>
      <c r="BY65" s="898"/>
      <c r="BZ65" s="898"/>
      <c r="CA65" s="898"/>
      <c r="CB65" s="898"/>
      <c r="CC65" s="898"/>
      <c r="CD65" s="898"/>
      <c r="CE65" s="898"/>
      <c r="CF65" s="898"/>
      <c r="CG65" s="898"/>
      <c r="CH65" s="898"/>
      <c r="CI65" s="898"/>
      <c r="CJ65" s="898"/>
      <c r="CK65" s="898"/>
      <c r="CL65" s="898"/>
      <c r="CM65" s="898"/>
      <c r="CN65" s="898"/>
      <c r="CO65" s="898"/>
      <c r="CP65" s="898"/>
      <c r="CQ65" s="898"/>
      <c r="CR65" s="898"/>
      <c r="CS65" s="898"/>
      <c r="CT65" s="898"/>
      <c r="CU65" s="898"/>
      <c r="CV65" s="898"/>
      <c r="CW65" s="898"/>
      <c r="CX65" s="898"/>
      <c r="CY65" s="898"/>
      <c r="CZ65" s="896"/>
    </row>
    <row r="66" spans="1:104" ht="44.25" customHeight="1" thickBot="1">
      <c r="A66" s="938"/>
      <c r="B66" s="940"/>
      <c r="C66" s="938"/>
      <c r="D66" s="942"/>
      <c r="E66" s="944"/>
      <c r="F66" s="946"/>
      <c r="G66" s="948"/>
      <c r="H66" s="1139"/>
      <c r="I66" s="899"/>
      <c r="J66" s="907"/>
      <c r="K66" s="907"/>
      <c r="L66" s="908"/>
      <c r="M66" s="897"/>
      <c r="N66" s="898"/>
      <c r="O66" s="898"/>
      <c r="P66" s="898"/>
      <c r="Q66" s="898"/>
      <c r="R66" s="898"/>
      <c r="S66" s="898"/>
      <c r="T66" s="898"/>
      <c r="U66" s="898"/>
      <c r="V66" s="898"/>
      <c r="W66" s="898"/>
      <c r="X66" s="898"/>
      <c r="Y66" s="898"/>
      <c r="Z66" s="898"/>
      <c r="AA66" s="898"/>
      <c r="AB66" s="898"/>
      <c r="AC66" s="898"/>
      <c r="AD66" s="898"/>
      <c r="AE66" s="898"/>
      <c r="AF66" s="898"/>
      <c r="AG66" s="898"/>
      <c r="AH66" s="898"/>
      <c r="AI66" s="898"/>
      <c r="AJ66" s="898"/>
      <c r="AK66" s="898"/>
      <c r="AL66" s="898"/>
      <c r="AM66" s="898"/>
      <c r="AN66" s="898"/>
      <c r="AO66" s="898"/>
      <c r="AP66" s="898"/>
      <c r="AQ66" s="898"/>
      <c r="AR66" s="898"/>
      <c r="AS66" s="898"/>
      <c r="AT66" s="898"/>
      <c r="AU66" s="898"/>
      <c r="AV66" s="898"/>
      <c r="AW66" s="898"/>
      <c r="AX66" s="898"/>
      <c r="AY66" s="898"/>
      <c r="AZ66" s="898"/>
      <c r="BA66" s="898"/>
      <c r="BB66" s="898"/>
      <c r="BC66" s="898"/>
      <c r="BD66" s="898"/>
      <c r="BE66" s="898"/>
      <c r="BF66" s="898"/>
      <c r="BG66" s="898"/>
      <c r="BH66" s="898"/>
      <c r="BI66" s="898"/>
      <c r="BJ66" s="898"/>
      <c r="BK66" s="898"/>
      <c r="BL66" s="898"/>
      <c r="BM66" s="898"/>
      <c r="BN66" s="898"/>
      <c r="BO66" s="898"/>
      <c r="BP66" s="898"/>
      <c r="BQ66" s="898"/>
      <c r="BR66" s="898"/>
      <c r="BS66" s="898"/>
      <c r="BT66" s="898"/>
      <c r="BU66" s="898"/>
      <c r="BV66" s="898"/>
      <c r="BW66" s="898"/>
      <c r="BX66" s="898"/>
      <c r="BY66" s="898"/>
      <c r="BZ66" s="898"/>
      <c r="CA66" s="898"/>
      <c r="CB66" s="898"/>
      <c r="CC66" s="898"/>
      <c r="CD66" s="898"/>
      <c r="CE66" s="898"/>
      <c r="CF66" s="898"/>
      <c r="CG66" s="898"/>
      <c r="CH66" s="898"/>
      <c r="CI66" s="898"/>
      <c r="CJ66" s="898"/>
      <c r="CK66" s="898"/>
      <c r="CL66" s="898"/>
      <c r="CM66" s="898"/>
      <c r="CN66" s="898"/>
      <c r="CO66" s="898"/>
      <c r="CP66" s="898"/>
      <c r="CQ66" s="898"/>
      <c r="CR66" s="898"/>
      <c r="CS66" s="898"/>
      <c r="CT66" s="898"/>
      <c r="CU66" s="898"/>
      <c r="CV66" s="898"/>
      <c r="CW66" s="898"/>
      <c r="CX66" s="898"/>
      <c r="CY66" s="898"/>
      <c r="CZ66" s="896"/>
    </row>
    <row r="67" spans="1:104" ht="7.5" customHeight="1">
      <c r="A67" s="938">
        <f>EDIFICACION!A124</f>
        <v>4.3</v>
      </c>
      <c r="B67" s="940" t="str">
        <f>EDIFICACION!B124</f>
        <v>PUNTO SANITARIO PVC  4"</v>
      </c>
      <c r="C67" s="1008" t="str">
        <f>EDIFICACION!C124</f>
        <v>UN</v>
      </c>
      <c r="D67" s="942">
        <f>16+21</f>
        <v>37</v>
      </c>
      <c r="E67" s="944">
        <f>EDIFICACION!F124</f>
        <v>101742</v>
      </c>
      <c r="F67" s="946">
        <f t="shared" ref="F67:F94" si="2">E67*D67</f>
        <v>3764454</v>
      </c>
      <c r="G67" s="948">
        <f>F67/F259</f>
        <v>1.1366960923624856E-2</v>
      </c>
      <c r="H67" s="1139"/>
      <c r="I67" s="1009" t="s">
        <v>3340</v>
      </c>
      <c r="J67" s="985" t="s">
        <v>3362</v>
      </c>
      <c r="K67" s="985" t="s">
        <v>3363</v>
      </c>
      <c r="L67" s="806" t="s">
        <v>3318</v>
      </c>
      <c r="M67" s="988"/>
      <c r="N67" s="952"/>
      <c r="O67" s="952"/>
      <c r="P67" s="952"/>
      <c r="Q67" s="952"/>
      <c r="R67" s="952"/>
      <c r="S67" s="952"/>
      <c r="T67" s="1007"/>
      <c r="U67" s="952"/>
      <c r="V67" s="952"/>
      <c r="W67" s="952"/>
      <c r="X67" s="952"/>
      <c r="Y67" s="952"/>
      <c r="Z67" s="952"/>
      <c r="AA67" s="1007"/>
      <c r="AB67" s="952"/>
      <c r="AC67" s="952"/>
      <c r="AD67" s="952"/>
      <c r="AE67" s="952"/>
      <c r="AF67" s="952"/>
      <c r="AG67" s="952"/>
      <c r="AH67" s="1006">
        <f>F67/CZ67*AI68</f>
        <v>3764454</v>
      </c>
      <c r="AI67" s="1001"/>
      <c r="AJ67" s="1001"/>
      <c r="AK67" s="1001"/>
      <c r="AL67" s="1001"/>
      <c r="AM67" s="1001"/>
      <c r="AN67" s="1001"/>
      <c r="AO67" s="952"/>
      <c r="AP67" s="952"/>
      <c r="AQ67" s="952"/>
      <c r="AR67" s="952"/>
      <c r="AS67" s="952"/>
      <c r="AT67" s="952"/>
      <c r="AU67" s="952"/>
      <c r="AV67" s="952"/>
      <c r="AW67" s="952"/>
      <c r="AX67" s="952"/>
      <c r="AY67" s="952"/>
      <c r="AZ67" s="952"/>
      <c r="BA67" s="952"/>
      <c r="BB67" s="952"/>
      <c r="BC67" s="952"/>
      <c r="BD67" s="952"/>
      <c r="BE67" s="952"/>
      <c r="BF67" s="952"/>
      <c r="BG67" s="952"/>
      <c r="BH67" s="952"/>
      <c r="BI67" s="952"/>
      <c r="BJ67" s="952"/>
      <c r="BK67" s="952"/>
      <c r="BL67" s="952"/>
      <c r="BM67" s="952"/>
      <c r="BN67" s="952"/>
      <c r="BO67" s="952"/>
      <c r="BP67" s="952"/>
      <c r="BQ67" s="952"/>
      <c r="BR67" s="952"/>
      <c r="BS67" s="952"/>
      <c r="BT67" s="952"/>
      <c r="BU67" s="952"/>
      <c r="BV67" s="952"/>
      <c r="BW67" s="952"/>
      <c r="BX67" s="952"/>
      <c r="BY67" s="952"/>
      <c r="BZ67" s="952"/>
      <c r="CA67" s="952"/>
      <c r="CB67" s="952"/>
      <c r="CC67" s="952"/>
      <c r="CD67" s="952"/>
      <c r="CE67" s="952"/>
      <c r="CF67" s="952"/>
      <c r="CG67" s="952"/>
      <c r="CH67" s="952"/>
      <c r="CI67" s="952"/>
      <c r="CJ67" s="952"/>
      <c r="CK67" s="952"/>
      <c r="CL67" s="952"/>
      <c r="CM67" s="952"/>
      <c r="CN67" s="952"/>
      <c r="CO67" s="952"/>
      <c r="CP67" s="952"/>
      <c r="CQ67" s="952"/>
      <c r="CR67" s="952"/>
      <c r="CS67" s="952"/>
      <c r="CT67" s="952"/>
      <c r="CU67" s="952"/>
      <c r="CV67" s="952"/>
      <c r="CW67" s="952"/>
      <c r="CX67" s="952"/>
      <c r="CY67" s="952"/>
      <c r="CZ67" s="953">
        <v>2</v>
      </c>
    </row>
    <row r="68" spans="1:104" ht="8.1" customHeight="1">
      <c r="A68" s="938"/>
      <c r="B68" s="940"/>
      <c r="C68" s="1008"/>
      <c r="D68" s="942"/>
      <c r="E68" s="944"/>
      <c r="F68" s="946"/>
      <c r="G68" s="948"/>
      <c r="H68" s="1139"/>
      <c r="I68" s="1010"/>
      <c r="J68" s="986"/>
      <c r="K68" s="986"/>
      <c r="L68" s="807" t="s">
        <v>3319</v>
      </c>
      <c r="M68" s="811">
        <v>1</v>
      </c>
      <c r="N68" s="810">
        <v>2</v>
      </c>
      <c r="O68" s="810">
        <v>3</v>
      </c>
      <c r="P68" s="810">
        <v>4</v>
      </c>
      <c r="Q68" s="810">
        <v>5</v>
      </c>
      <c r="R68" s="810">
        <v>6</v>
      </c>
      <c r="S68" s="810">
        <v>7</v>
      </c>
      <c r="T68" s="810">
        <v>1</v>
      </c>
      <c r="U68" s="810">
        <v>2</v>
      </c>
      <c r="V68" s="810">
        <v>3</v>
      </c>
      <c r="W68" s="810">
        <v>4</v>
      </c>
      <c r="X68" s="810">
        <v>5</v>
      </c>
      <c r="Y68" s="810">
        <v>6</v>
      </c>
      <c r="Z68" s="810">
        <v>7</v>
      </c>
      <c r="AA68" s="810">
        <v>1</v>
      </c>
      <c r="AB68" s="810">
        <v>2</v>
      </c>
      <c r="AC68" s="810">
        <v>3</v>
      </c>
      <c r="AD68" s="810">
        <v>4</v>
      </c>
      <c r="AE68" s="810">
        <v>5</v>
      </c>
      <c r="AF68" s="810">
        <v>6</v>
      </c>
      <c r="AG68" s="810">
        <v>7</v>
      </c>
      <c r="AH68" s="810">
        <v>1</v>
      </c>
      <c r="AI68" s="810">
        <v>2</v>
      </c>
      <c r="AJ68" s="810">
        <v>3</v>
      </c>
      <c r="AK68" s="810">
        <v>4</v>
      </c>
      <c r="AL68" s="812">
        <v>5</v>
      </c>
      <c r="AM68" s="812">
        <v>6</v>
      </c>
      <c r="AN68" s="810">
        <v>7</v>
      </c>
      <c r="AO68" s="810">
        <v>1</v>
      </c>
      <c r="AP68" s="810">
        <v>2</v>
      </c>
      <c r="AQ68" s="810">
        <v>3</v>
      </c>
      <c r="AR68" s="810">
        <v>4</v>
      </c>
      <c r="AS68" s="810">
        <v>5</v>
      </c>
      <c r="AT68" s="810">
        <v>6</v>
      </c>
      <c r="AU68" s="810">
        <v>7</v>
      </c>
      <c r="AV68" s="810">
        <v>1</v>
      </c>
      <c r="AW68" s="810">
        <v>2</v>
      </c>
      <c r="AX68" s="810">
        <v>3</v>
      </c>
      <c r="AY68" s="810">
        <v>4</v>
      </c>
      <c r="AZ68" s="810">
        <v>5</v>
      </c>
      <c r="BA68" s="810">
        <v>6</v>
      </c>
      <c r="BB68" s="810">
        <v>7</v>
      </c>
      <c r="BC68" s="810">
        <v>1</v>
      </c>
      <c r="BD68" s="810">
        <v>2</v>
      </c>
      <c r="BE68" s="810">
        <v>3</v>
      </c>
      <c r="BF68" s="810">
        <v>4</v>
      </c>
      <c r="BG68" s="810">
        <v>5</v>
      </c>
      <c r="BH68" s="810">
        <v>6</v>
      </c>
      <c r="BI68" s="810">
        <v>7</v>
      </c>
      <c r="BJ68" s="810">
        <v>1</v>
      </c>
      <c r="BK68" s="810">
        <v>2</v>
      </c>
      <c r="BL68" s="810">
        <v>3</v>
      </c>
      <c r="BM68" s="810">
        <v>4</v>
      </c>
      <c r="BN68" s="810">
        <v>5</v>
      </c>
      <c r="BO68" s="810">
        <v>6</v>
      </c>
      <c r="BP68" s="810">
        <v>7</v>
      </c>
      <c r="BQ68" s="810">
        <v>1</v>
      </c>
      <c r="BR68" s="810">
        <v>2</v>
      </c>
      <c r="BS68" s="810">
        <v>3</v>
      </c>
      <c r="BT68" s="810">
        <v>4</v>
      </c>
      <c r="BU68" s="810">
        <v>5</v>
      </c>
      <c r="BV68" s="810">
        <v>6</v>
      </c>
      <c r="BW68" s="810">
        <v>7</v>
      </c>
      <c r="BX68" s="810">
        <v>1</v>
      </c>
      <c r="BY68" s="810">
        <v>2</v>
      </c>
      <c r="BZ68" s="810">
        <v>3</v>
      </c>
      <c r="CA68" s="810">
        <v>4</v>
      </c>
      <c r="CB68" s="810">
        <v>5</v>
      </c>
      <c r="CC68" s="810">
        <v>6</v>
      </c>
      <c r="CD68" s="810">
        <v>7</v>
      </c>
      <c r="CE68" s="810">
        <v>1</v>
      </c>
      <c r="CF68" s="810">
        <v>2</v>
      </c>
      <c r="CG68" s="810">
        <v>3</v>
      </c>
      <c r="CH68" s="810">
        <v>4</v>
      </c>
      <c r="CI68" s="810">
        <v>5</v>
      </c>
      <c r="CJ68" s="810">
        <v>6</v>
      </c>
      <c r="CK68" s="810">
        <v>7</v>
      </c>
      <c r="CL68" s="810">
        <v>1</v>
      </c>
      <c r="CM68" s="810">
        <v>2</v>
      </c>
      <c r="CN68" s="810">
        <v>3</v>
      </c>
      <c r="CO68" s="810">
        <v>4</v>
      </c>
      <c r="CP68" s="810">
        <v>5</v>
      </c>
      <c r="CQ68" s="810">
        <v>6</v>
      </c>
      <c r="CR68" s="810">
        <v>7</v>
      </c>
      <c r="CS68" s="810">
        <v>1</v>
      </c>
      <c r="CT68" s="810">
        <v>2</v>
      </c>
      <c r="CU68" s="810">
        <v>3</v>
      </c>
      <c r="CV68" s="810">
        <v>4</v>
      </c>
      <c r="CW68" s="810">
        <v>5</v>
      </c>
      <c r="CX68" s="781">
        <v>6</v>
      </c>
      <c r="CY68" s="781">
        <v>7</v>
      </c>
      <c r="CZ68" s="954"/>
    </row>
    <row r="69" spans="1:104" ht="8.1" customHeight="1" thickBot="1">
      <c r="A69" s="938"/>
      <c r="B69" s="940"/>
      <c r="C69" s="1008"/>
      <c r="D69" s="942"/>
      <c r="E69" s="944"/>
      <c r="F69" s="946"/>
      <c r="G69" s="948"/>
      <c r="H69" s="1139"/>
      <c r="I69" s="1011"/>
      <c r="J69" s="987"/>
      <c r="K69" s="987"/>
      <c r="L69" s="808" t="s">
        <v>3320</v>
      </c>
      <c r="M69" s="955">
        <f>AH67+AA67+T67+T67+M67</f>
        <v>3764454</v>
      </c>
      <c r="N69" s="956"/>
      <c r="O69" s="956"/>
      <c r="P69" s="956"/>
      <c r="Q69" s="956"/>
      <c r="R69" s="956"/>
      <c r="S69" s="956"/>
      <c r="T69" s="956"/>
      <c r="U69" s="956"/>
      <c r="V69" s="956"/>
      <c r="W69" s="956"/>
      <c r="X69" s="956"/>
      <c r="Y69" s="956"/>
      <c r="Z69" s="956"/>
      <c r="AA69" s="956"/>
      <c r="AB69" s="956"/>
      <c r="AC69" s="956"/>
      <c r="AD69" s="956"/>
      <c r="AE69" s="956"/>
      <c r="AF69" s="956"/>
      <c r="AG69" s="956"/>
      <c r="AH69" s="956"/>
      <c r="AI69" s="956"/>
      <c r="AJ69" s="956"/>
      <c r="AK69" s="956"/>
      <c r="AL69" s="956"/>
      <c r="AM69" s="956"/>
      <c r="AN69" s="956"/>
      <c r="AO69" s="956"/>
      <c r="AP69" s="956"/>
      <c r="AQ69" s="956"/>
      <c r="AR69" s="956"/>
      <c r="AS69" s="956"/>
      <c r="AT69" s="956"/>
      <c r="AU69" s="956"/>
      <c r="AV69" s="956"/>
      <c r="AW69" s="956"/>
      <c r="AX69" s="956"/>
      <c r="AY69" s="956"/>
      <c r="AZ69" s="956"/>
      <c r="BA69" s="956"/>
      <c r="BB69" s="956"/>
      <c r="BC69" s="956"/>
      <c r="BD69" s="956"/>
      <c r="BE69" s="956"/>
      <c r="BF69" s="956"/>
      <c r="BG69" s="956"/>
      <c r="BH69" s="956"/>
      <c r="BI69" s="956"/>
      <c r="BJ69" s="956"/>
      <c r="BK69" s="956"/>
      <c r="BL69" s="956"/>
      <c r="BM69" s="956"/>
      <c r="BN69" s="956"/>
      <c r="BO69" s="956"/>
      <c r="BP69" s="956"/>
      <c r="BQ69" s="956"/>
      <c r="BR69" s="956"/>
      <c r="BS69" s="956"/>
      <c r="BT69" s="956"/>
      <c r="BU69" s="956"/>
      <c r="BV69" s="956"/>
      <c r="BW69" s="956"/>
      <c r="BX69" s="956"/>
      <c r="BY69" s="956"/>
      <c r="BZ69" s="956"/>
      <c r="CA69" s="956"/>
      <c r="CB69" s="956"/>
      <c r="CC69" s="956"/>
      <c r="CD69" s="956"/>
      <c r="CE69" s="956"/>
      <c r="CF69" s="956"/>
      <c r="CG69" s="956"/>
      <c r="CH69" s="956"/>
      <c r="CI69" s="956"/>
      <c r="CJ69" s="956"/>
      <c r="CK69" s="956"/>
      <c r="CL69" s="956"/>
      <c r="CM69" s="956"/>
      <c r="CN69" s="956"/>
      <c r="CO69" s="956"/>
      <c r="CP69" s="956"/>
      <c r="CQ69" s="956"/>
      <c r="CR69" s="956"/>
      <c r="CS69" s="956"/>
      <c r="CT69" s="956"/>
      <c r="CU69" s="956"/>
      <c r="CV69" s="956"/>
      <c r="CW69" s="956"/>
      <c r="CX69" s="956"/>
      <c r="CY69" s="956"/>
      <c r="CZ69" s="954"/>
    </row>
    <row r="70" spans="1:104" ht="8.1" customHeight="1">
      <c r="A70" s="938">
        <f>EDIFICACION!A135</f>
        <v>4.4000000000000004</v>
      </c>
      <c r="B70" s="940" t="str">
        <f>EDIFICACION!B135</f>
        <v>PUNTO SANITARIO PVC 2"</v>
      </c>
      <c r="C70" s="1008" t="str">
        <f>EDIFICACION!C135</f>
        <v>UN</v>
      </c>
      <c r="D70" s="942">
        <v>30</v>
      </c>
      <c r="E70" s="944">
        <f>EDIFICACION!F135</f>
        <v>62115</v>
      </c>
      <c r="F70" s="946">
        <f t="shared" si="2"/>
        <v>1863450</v>
      </c>
      <c r="G70" s="948">
        <f>F70/F259</f>
        <v>5.6267823522690779E-3</v>
      </c>
      <c r="H70" s="1139"/>
      <c r="I70" s="1009" t="s">
        <v>3340</v>
      </c>
      <c r="J70" s="985" t="s">
        <v>3364</v>
      </c>
      <c r="K70" s="985" t="s">
        <v>3365</v>
      </c>
      <c r="L70" s="806" t="s">
        <v>3318</v>
      </c>
      <c r="M70" s="988"/>
      <c r="N70" s="952"/>
      <c r="O70" s="952"/>
      <c r="P70" s="952"/>
      <c r="Q70" s="952"/>
      <c r="R70" s="952"/>
      <c r="S70" s="952"/>
      <c r="T70" s="952"/>
      <c r="U70" s="952"/>
      <c r="V70" s="952"/>
      <c r="W70" s="952"/>
      <c r="X70" s="952"/>
      <c r="Y70" s="952"/>
      <c r="Z70" s="952"/>
      <c r="AA70" s="1007"/>
      <c r="AB70" s="952"/>
      <c r="AC70" s="952"/>
      <c r="AD70" s="952"/>
      <c r="AE70" s="952"/>
      <c r="AF70" s="952"/>
      <c r="AG70" s="952"/>
      <c r="AH70" s="1006">
        <f>F70/CZ70*AH71</f>
        <v>931725</v>
      </c>
      <c r="AI70" s="1001"/>
      <c r="AJ70" s="1001"/>
      <c r="AK70" s="1001"/>
      <c r="AL70" s="1001"/>
      <c r="AM70" s="1001"/>
      <c r="AN70" s="1001"/>
      <c r="AO70" s="1006">
        <f>F70/CZ70*AO71</f>
        <v>931725</v>
      </c>
      <c r="AP70" s="1001"/>
      <c r="AQ70" s="1001"/>
      <c r="AR70" s="1001"/>
      <c r="AS70" s="1001"/>
      <c r="AT70" s="1001"/>
      <c r="AU70" s="1001"/>
      <c r="AV70" s="952"/>
      <c r="AW70" s="952"/>
      <c r="AX70" s="952"/>
      <c r="AY70" s="952"/>
      <c r="AZ70" s="952"/>
      <c r="BA70" s="952"/>
      <c r="BB70" s="952"/>
      <c r="BC70" s="952"/>
      <c r="BD70" s="952"/>
      <c r="BE70" s="952"/>
      <c r="BF70" s="952"/>
      <c r="BG70" s="952"/>
      <c r="BH70" s="952"/>
      <c r="BI70" s="952"/>
      <c r="BJ70" s="952"/>
      <c r="BK70" s="952"/>
      <c r="BL70" s="952"/>
      <c r="BM70" s="952"/>
      <c r="BN70" s="952"/>
      <c r="BO70" s="952"/>
      <c r="BP70" s="952"/>
      <c r="BQ70" s="952"/>
      <c r="BR70" s="952"/>
      <c r="BS70" s="952"/>
      <c r="BT70" s="952"/>
      <c r="BU70" s="952"/>
      <c r="BV70" s="952"/>
      <c r="BW70" s="952"/>
      <c r="BX70" s="952"/>
      <c r="BY70" s="952"/>
      <c r="BZ70" s="952"/>
      <c r="CA70" s="952"/>
      <c r="CB70" s="952"/>
      <c r="CC70" s="952"/>
      <c r="CD70" s="952"/>
      <c r="CE70" s="952"/>
      <c r="CF70" s="952"/>
      <c r="CG70" s="952"/>
      <c r="CH70" s="952"/>
      <c r="CI70" s="952"/>
      <c r="CJ70" s="952"/>
      <c r="CK70" s="952"/>
      <c r="CL70" s="952"/>
      <c r="CM70" s="952"/>
      <c r="CN70" s="952"/>
      <c r="CO70" s="952"/>
      <c r="CP70" s="952"/>
      <c r="CQ70" s="952"/>
      <c r="CR70" s="952"/>
      <c r="CS70" s="952"/>
      <c r="CT70" s="952"/>
      <c r="CU70" s="952"/>
      <c r="CV70" s="952"/>
      <c r="CW70" s="952"/>
      <c r="CX70" s="952"/>
      <c r="CY70" s="952"/>
      <c r="CZ70" s="953">
        <v>2</v>
      </c>
    </row>
    <row r="71" spans="1:104" ht="8.1" customHeight="1">
      <c r="A71" s="938"/>
      <c r="B71" s="940"/>
      <c r="C71" s="1008"/>
      <c r="D71" s="942"/>
      <c r="E71" s="944"/>
      <c r="F71" s="946"/>
      <c r="G71" s="948"/>
      <c r="H71" s="1139"/>
      <c r="I71" s="1010"/>
      <c r="J71" s="986"/>
      <c r="K71" s="986"/>
      <c r="L71" s="807" t="s">
        <v>3319</v>
      </c>
      <c r="M71" s="811">
        <v>1</v>
      </c>
      <c r="N71" s="810">
        <v>2</v>
      </c>
      <c r="O71" s="810">
        <v>3</v>
      </c>
      <c r="P71" s="810">
        <v>4</v>
      </c>
      <c r="Q71" s="810">
        <v>5</v>
      </c>
      <c r="R71" s="810">
        <v>6</v>
      </c>
      <c r="S71" s="810">
        <v>7</v>
      </c>
      <c r="T71" s="810">
        <v>1</v>
      </c>
      <c r="U71" s="810">
        <v>2</v>
      </c>
      <c r="V71" s="810">
        <v>3</v>
      </c>
      <c r="W71" s="810">
        <v>4</v>
      </c>
      <c r="X71" s="810">
        <v>5</v>
      </c>
      <c r="Y71" s="810">
        <v>6</v>
      </c>
      <c r="Z71" s="810">
        <v>7</v>
      </c>
      <c r="AA71" s="810">
        <v>1</v>
      </c>
      <c r="AB71" s="810">
        <v>2</v>
      </c>
      <c r="AC71" s="810">
        <v>3</v>
      </c>
      <c r="AD71" s="810">
        <v>4</v>
      </c>
      <c r="AE71" s="810">
        <v>5</v>
      </c>
      <c r="AF71" s="810">
        <v>6</v>
      </c>
      <c r="AG71" s="810">
        <v>7</v>
      </c>
      <c r="AH71" s="810">
        <v>1</v>
      </c>
      <c r="AI71" s="810">
        <v>2</v>
      </c>
      <c r="AJ71" s="810">
        <v>3</v>
      </c>
      <c r="AK71" s="810">
        <v>4</v>
      </c>
      <c r="AL71" s="810">
        <v>5</v>
      </c>
      <c r="AM71" s="810">
        <v>6</v>
      </c>
      <c r="AN71" s="812">
        <v>7</v>
      </c>
      <c r="AO71" s="812">
        <v>1</v>
      </c>
      <c r="AP71" s="810">
        <v>2</v>
      </c>
      <c r="AQ71" s="810">
        <v>3</v>
      </c>
      <c r="AR71" s="810">
        <v>4</v>
      </c>
      <c r="AS71" s="810">
        <v>5</v>
      </c>
      <c r="AT71" s="810">
        <v>6</v>
      </c>
      <c r="AU71" s="810">
        <v>7</v>
      </c>
      <c r="AV71" s="810">
        <v>1</v>
      </c>
      <c r="AW71" s="810">
        <v>2</v>
      </c>
      <c r="AX71" s="810">
        <v>3</v>
      </c>
      <c r="AY71" s="810">
        <v>4</v>
      </c>
      <c r="AZ71" s="810">
        <v>5</v>
      </c>
      <c r="BA71" s="810">
        <v>6</v>
      </c>
      <c r="BB71" s="810">
        <v>7</v>
      </c>
      <c r="BC71" s="810">
        <v>1</v>
      </c>
      <c r="BD71" s="810">
        <v>2</v>
      </c>
      <c r="BE71" s="810">
        <v>3</v>
      </c>
      <c r="BF71" s="810">
        <v>4</v>
      </c>
      <c r="BG71" s="810">
        <v>5</v>
      </c>
      <c r="BH71" s="810">
        <v>6</v>
      </c>
      <c r="BI71" s="810">
        <v>7</v>
      </c>
      <c r="BJ71" s="810">
        <v>1</v>
      </c>
      <c r="BK71" s="810">
        <v>2</v>
      </c>
      <c r="BL71" s="810">
        <v>3</v>
      </c>
      <c r="BM71" s="810">
        <v>4</v>
      </c>
      <c r="BN71" s="810">
        <v>5</v>
      </c>
      <c r="BO71" s="810">
        <v>6</v>
      </c>
      <c r="BP71" s="810">
        <v>7</v>
      </c>
      <c r="BQ71" s="810">
        <v>1</v>
      </c>
      <c r="BR71" s="810">
        <v>2</v>
      </c>
      <c r="BS71" s="810">
        <v>3</v>
      </c>
      <c r="BT71" s="810">
        <v>4</v>
      </c>
      <c r="BU71" s="810">
        <v>5</v>
      </c>
      <c r="BV71" s="810">
        <v>6</v>
      </c>
      <c r="BW71" s="810">
        <v>7</v>
      </c>
      <c r="BX71" s="810">
        <v>1</v>
      </c>
      <c r="BY71" s="810">
        <v>2</v>
      </c>
      <c r="BZ71" s="810">
        <v>3</v>
      </c>
      <c r="CA71" s="810">
        <v>4</v>
      </c>
      <c r="CB71" s="810">
        <v>5</v>
      </c>
      <c r="CC71" s="810">
        <v>6</v>
      </c>
      <c r="CD71" s="810">
        <v>7</v>
      </c>
      <c r="CE71" s="810">
        <v>1</v>
      </c>
      <c r="CF71" s="810">
        <v>2</v>
      </c>
      <c r="CG71" s="810">
        <v>3</v>
      </c>
      <c r="CH71" s="810">
        <v>4</v>
      </c>
      <c r="CI71" s="810">
        <v>5</v>
      </c>
      <c r="CJ71" s="810">
        <v>6</v>
      </c>
      <c r="CK71" s="810">
        <v>7</v>
      </c>
      <c r="CL71" s="810">
        <v>1</v>
      </c>
      <c r="CM71" s="810">
        <v>2</v>
      </c>
      <c r="CN71" s="810">
        <v>3</v>
      </c>
      <c r="CO71" s="810">
        <v>4</v>
      </c>
      <c r="CP71" s="810">
        <v>5</v>
      </c>
      <c r="CQ71" s="810">
        <v>6</v>
      </c>
      <c r="CR71" s="810">
        <v>7</v>
      </c>
      <c r="CS71" s="810">
        <v>1</v>
      </c>
      <c r="CT71" s="810">
        <v>2</v>
      </c>
      <c r="CU71" s="810">
        <v>3</v>
      </c>
      <c r="CV71" s="810">
        <v>4</v>
      </c>
      <c r="CW71" s="810">
        <v>5</v>
      </c>
      <c r="CX71" s="781">
        <v>6</v>
      </c>
      <c r="CY71" s="781">
        <v>7</v>
      </c>
      <c r="CZ71" s="954"/>
    </row>
    <row r="72" spans="1:104" ht="8.1" customHeight="1" thickBot="1">
      <c r="A72" s="938"/>
      <c r="B72" s="940"/>
      <c r="C72" s="1008"/>
      <c r="D72" s="942"/>
      <c r="E72" s="944"/>
      <c r="F72" s="946"/>
      <c r="G72" s="948"/>
      <c r="H72" s="1139"/>
      <c r="I72" s="1011"/>
      <c r="J72" s="987"/>
      <c r="K72" s="987"/>
      <c r="L72" s="808" t="s">
        <v>3320</v>
      </c>
      <c r="M72" s="955">
        <f>M70+T70+AA70+AH70</f>
        <v>931725</v>
      </c>
      <c r="N72" s="956"/>
      <c r="O72" s="956"/>
      <c r="P72" s="956"/>
      <c r="Q72" s="956"/>
      <c r="R72" s="956"/>
      <c r="S72" s="956"/>
      <c r="T72" s="956"/>
      <c r="U72" s="956"/>
      <c r="V72" s="956"/>
      <c r="W72" s="956"/>
      <c r="X72" s="956"/>
      <c r="Y72" s="956"/>
      <c r="Z72" s="956"/>
      <c r="AA72" s="956"/>
      <c r="AB72" s="956"/>
      <c r="AC72" s="956"/>
      <c r="AD72" s="956"/>
      <c r="AE72" s="956"/>
      <c r="AF72" s="956"/>
      <c r="AG72" s="956"/>
      <c r="AH72" s="956"/>
      <c r="AI72" s="956"/>
      <c r="AJ72" s="956"/>
      <c r="AK72" s="956"/>
      <c r="AL72" s="956"/>
      <c r="AM72" s="956"/>
      <c r="AN72" s="956"/>
      <c r="AO72" s="956"/>
      <c r="AP72" s="956"/>
      <c r="AQ72" s="956">
        <f>AO70+AV70+BC70+BJ70</f>
        <v>931725</v>
      </c>
      <c r="AR72" s="956"/>
      <c r="AS72" s="956"/>
      <c r="AT72" s="956"/>
      <c r="AU72" s="956"/>
      <c r="AV72" s="956"/>
      <c r="AW72" s="956"/>
      <c r="AX72" s="956"/>
      <c r="AY72" s="956"/>
      <c r="AZ72" s="956"/>
      <c r="BA72" s="956"/>
      <c r="BB72" s="956"/>
      <c r="BC72" s="956"/>
      <c r="BD72" s="956"/>
      <c r="BE72" s="956"/>
      <c r="BF72" s="956"/>
      <c r="BG72" s="956"/>
      <c r="BH72" s="956"/>
      <c r="BI72" s="956"/>
      <c r="BJ72" s="956"/>
      <c r="BK72" s="956"/>
      <c r="BL72" s="956"/>
      <c r="BM72" s="956"/>
      <c r="BN72" s="956"/>
      <c r="BO72" s="956"/>
      <c r="BP72" s="956"/>
      <c r="BQ72" s="956"/>
      <c r="BR72" s="956"/>
      <c r="BS72" s="956"/>
      <c r="BT72" s="956"/>
      <c r="BU72" s="956"/>
      <c r="BV72" s="956"/>
      <c r="BW72" s="956"/>
      <c r="BX72" s="956"/>
      <c r="BY72" s="956"/>
      <c r="BZ72" s="956"/>
      <c r="CA72" s="956"/>
      <c r="CB72" s="956"/>
      <c r="CC72" s="956"/>
      <c r="CD72" s="956"/>
      <c r="CE72" s="956"/>
      <c r="CF72" s="956"/>
      <c r="CG72" s="956"/>
      <c r="CH72" s="956"/>
      <c r="CI72" s="956"/>
      <c r="CJ72" s="956"/>
      <c r="CK72" s="956"/>
      <c r="CL72" s="956"/>
      <c r="CM72" s="956"/>
      <c r="CN72" s="956"/>
      <c r="CO72" s="956"/>
      <c r="CP72" s="956"/>
      <c r="CQ72" s="956"/>
      <c r="CR72" s="956"/>
      <c r="CS72" s="956"/>
      <c r="CT72" s="956"/>
      <c r="CU72" s="956"/>
      <c r="CV72" s="956"/>
      <c r="CW72" s="956"/>
      <c r="CX72" s="956"/>
      <c r="CY72" s="956"/>
      <c r="CZ72" s="954"/>
    </row>
    <row r="73" spans="1:104" ht="8.1" customHeight="1">
      <c r="A73" s="938">
        <f>EDIFICACION!A146</f>
        <v>4.5</v>
      </c>
      <c r="B73" s="940" t="str">
        <f>EDIFICACION!B146</f>
        <v>RED SANITARIA PVC 3"</v>
      </c>
      <c r="C73" s="1008" t="str">
        <f>EDIFICACION!C146</f>
        <v>ML</v>
      </c>
      <c r="D73" s="942">
        <v>10</v>
      </c>
      <c r="E73" s="944">
        <f>EDIFICACION!F146</f>
        <v>31519</v>
      </c>
      <c r="F73" s="946">
        <f t="shared" si="2"/>
        <v>315190</v>
      </c>
      <c r="G73" s="948">
        <f>F73/F259</f>
        <v>9.5173228667884337E-4</v>
      </c>
      <c r="H73" s="1139"/>
      <c r="I73" s="982" t="s">
        <v>3339</v>
      </c>
      <c r="J73" s="985" t="s">
        <v>3366</v>
      </c>
      <c r="K73" s="985" t="s">
        <v>3366</v>
      </c>
      <c r="L73" s="806" t="s">
        <v>3318</v>
      </c>
      <c r="M73" s="1005"/>
      <c r="N73" s="952"/>
      <c r="O73" s="952"/>
      <c r="P73" s="952"/>
      <c r="Q73" s="952"/>
      <c r="R73" s="952"/>
      <c r="S73" s="952"/>
      <c r="T73" s="952"/>
      <c r="U73" s="952"/>
      <c r="V73" s="952"/>
      <c r="W73" s="952"/>
      <c r="X73" s="952"/>
      <c r="Y73" s="952"/>
      <c r="Z73" s="952"/>
      <c r="AA73" s="952"/>
      <c r="AB73" s="952"/>
      <c r="AC73" s="952"/>
      <c r="AD73" s="952"/>
      <c r="AE73" s="952"/>
      <c r="AF73" s="952"/>
      <c r="AG73" s="952"/>
      <c r="AH73" s="952"/>
      <c r="AI73" s="952"/>
      <c r="AJ73" s="952"/>
      <c r="AK73" s="952"/>
      <c r="AL73" s="952"/>
      <c r="AM73" s="952"/>
      <c r="AN73" s="952"/>
      <c r="AO73" s="1006">
        <f>F73/CZ73*AO74</f>
        <v>315190</v>
      </c>
      <c r="AP73" s="1001"/>
      <c r="AQ73" s="1001"/>
      <c r="AR73" s="1001"/>
      <c r="AS73" s="1001"/>
      <c r="AT73" s="1001"/>
      <c r="AU73" s="1001"/>
      <c r="AV73" s="952"/>
      <c r="AW73" s="952"/>
      <c r="AX73" s="952"/>
      <c r="AY73" s="952"/>
      <c r="AZ73" s="952"/>
      <c r="BA73" s="952"/>
      <c r="BB73" s="952"/>
      <c r="BC73" s="952"/>
      <c r="BD73" s="952"/>
      <c r="BE73" s="952"/>
      <c r="BF73" s="952"/>
      <c r="BG73" s="952"/>
      <c r="BH73" s="952"/>
      <c r="BI73" s="952"/>
      <c r="BJ73" s="952"/>
      <c r="BK73" s="952"/>
      <c r="BL73" s="952"/>
      <c r="BM73" s="952"/>
      <c r="BN73" s="952"/>
      <c r="BO73" s="952"/>
      <c r="BP73" s="952"/>
      <c r="BQ73" s="952"/>
      <c r="BR73" s="952"/>
      <c r="BS73" s="952"/>
      <c r="BT73" s="952"/>
      <c r="BU73" s="952"/>
      <c r="BV73" s="952"/>
      <c r="BW73" s="952"/>
      <c r="BX73" s="952"/>
      <c r="BY73" s="952"/>
      <c r="BZ73" s="952"/>
      <c r="CA73" s="952"/>
      <c r="CB73" s="952"/>
      <c r="CC73" s="952"/>
      <c r="CD73" s="952"/>
      <c r="CE73" s="952"/>
      <c r="CF73" s="952"/>
      <c r="CG73" s="952"/>
      <c r="CH73" s="952"/>
      <c r="CI73" s="952"/>
      <c r="CJ73" s="952"/>
      <c r="CK73" s="952"/>
      <c r="CL73" s="952"/>
      <c r="CM73" s="952"/>
      <c r="CN73" s="952"/>
      <c r="CO73" s="952"/>
      <c r="CP73" s="952"/>
      <c r="CQ73" s="952"/>
      <c r="CR73" s="952"/>
      <c r="CS73" s="952"/>
      <c r="CT73" s="952"/>
      <c r="CU73" s="952"/>
      <c r="CV73" s="952"/>
      <c r="CW73" s="952"/>
      <c r="CX73" s="952"/>
      <c r="CY73" s="952"/>
      <c r="CZ73" s="953">
        <v>1</v>
      </c>
    </row>
    <row r="74" spans="1:104" ht="8.1" customHeight="1">
      <c r="A74" s="938"/>
      <c r="B74" s="940"/>
      <c r="C74" s="1008"/>
      <c r="D74" s="942"/>
      <c r="E74" s="944"/>
      <c r="F74" s="946"/>
      <c r="G74" s="948"/>
      <c r="H74" s="1139"/>
      <c r="I74" s="983"/>
      <c r="J74" s="986"/>
      <c r="K74" s="986"/>
      <c r="L74" s="807" t="s">
        <v>3319</v>
      </c>
      <c r="M74" s="811">
        <v>1</v>
      </c>
      <c r="N74" s="810">
        <v>2</v>
      </c>
      <c r="O74" s="810">
        <v>3</v>
      </c>
      <c r="P74" s="810">
        <v>4</v>
      </c>
      <c r="Q74" s="810">
        <v>5</v>
      </c>
      <c r="R74" s="810">
        <v>6</v>
      </c>
      <c r="S74" s="810">
        <v>7</v>
      </c>
      <c r="T74" s="810">
        <v>1</v>
      </c>
      <c r="U74" s="810">
        <v>2</v>
      </c>
      <c r="V74" s="810">
        <v>3</v>
      </c>
      <c r="W74" s="810">
        <v>4</v>
      </c>
      <c r="X74" s="810">
        <v>5</v>
      </c>
      <c r="Y74" s="810">
        <v>6</v>
      </c>
      <c r="Z74" s="810">
        <v>7</v>
      </c>
      <c r="AA74" s="810">
        <v>1</v>
      </c>
      <c r="AB74" s="810">
        <v>2</v>
      </c>
      <c r="AC74" s="810">
        <v>3</v>
      </c>
      <c r="AD74" s="810">
        <v>4</v>
      </c>
      <c r="AE74" s="810">
        <v>5</v>
      </c>
      <c r="AF74" s="810">
        <v>6</v>
      </c>
      <c r="AG74" s="810">
        <v>7</v>
      </c>
      <c r="AH74" s="810">
        <v>1</v>
      </c>
      <c r="AI74" s="810">
        <v>2</v>
      </c>
      <c r="AJ74" s="810">
        <v>3</v>
      </c>
      <c r="AK74" s="810">
        <v>4</v>
      </c>
      <c r="AL74" s="810">
        <v>5</v>
      </c>
      <c r="AM74" s="810">
        <v>6</v>
      </c>
      <c r="AN74" s="810">
        <v>7</v>
      </c>
      <c r="AO74" s="810">
        <v>1</v>
      </c>
      <c r="AP74" s="812">
        <v>2</v>
      </c>
      <c r="AQ74" s="810">
        <v>3</v>
      </c>
      <c r="AR74" s="810">
        <v>4</v>
      </c>
      <c r="AS74" s="810">
        <v>5</v>
      </c>
      <c r="AT74" s="810">
        <v>6</v>
      </c>
      <c r="AU74" s="810">
        <v>7</v>
      </c>
      <c r="AV74" s="810">
        <v>1</v>
      </c>
      <c r="AW74" s="810">
        <v>2</v>
      </c>
      <c r="AX74" s="810">
        <v>3</v>
      </c>
      <c r="AY74" s="810">
        <v>4</v>
      </c>
      <c r="AZ74" s="810">
        <v>5</v>
      </c>
      <c r="BA74" s="810">
        <v>6</v>
      </c>
      <c r="BB74" s="810">
        <v>7</v>
      </c>
      <c r="BC74" s="810">
        <v>1</v>
      </c>
      <c r="BD74" s="810">
        <v>2</v>
      </c>
      <c r="BE74" s="810">
        <v>3</v>
      </c>
      <c r="BF74" s="810">
        <v>4</v>
      </c>
      <c r="BG74" s="810">
        <v>5</v>
      </c>
      <c r="BH74" s="810">
        <v>6</v>
      </c>
      <c r="BI74" s="810">
        <v>7</v>
      </c>
      <c r="BJ74" s="810">
        <v>1</v>
      </c>
      <c r="BK74" s="810">
        <v>2</v>
      </c>
      <c r="BL74" s="810">
        <v>3</v>
      </c>
      <c r="BM74" s="810">
        <v>4</v>
      </c>
      <c r="BN74" s="810">
        <v>5</v>
      </c>
      <c r="BO74" s="810">
        <v>6</v>
      </c>
      <c r="BP74" s="810">
        <v>7</v>
      </c>
      <c r="BQ74" s="810">
        <v>1</v>
      </c>
      <c r="BR74" s="810">
        <v>2</v>
      </c>
      <c r="BS74" s="810">
        <v>3</v>
      </c>
      <c r="BT74" s="810">
        <v>4</v>
      </c>
      <c r="BU74" s="810">
        <v>5</v>
      </c>
      <c r="BV74" s="810">
        <v>6</v>
      </c>
      <c r="BW74" s="810">
        <v>7</v>
      </c>
      <c r="BX74" s="810">
        <v>1</v>
      </c>
      <c r="BY74" s="810">
        <v>2</v>
      </c>
      <c r="BZ74" s="810">
        <v>3</v>
      </c>
      <c r="CA74" s="810">
        <v>4</v>
      </c>
      <c r="CB74" s="810">
        <v>5</v>
      </c>
      <c r="CC74" s="810">
        <v>6</v>
      </c>
      <c r="CD74" s="810">
        <v>7</v>
      </c>
      <c r="CE74" s="810">
        <v>1</v>
      </c>
      <c r="CF74" s="810">
        <v>2</v>
      </c>
      <c r="CG74" s="810">
        <v>3</v>
      </c>
      <c r="CH74" s="810">
        <v>4</v>
      </c>
      <c r="CI74" s="810">
        <v>5</v>
      </c>
      <c r="CJ74" s="810">
        <v>6</v>
      </c>
      <c r="CK74" s="810">
        <v>7</v>
      </c>
      <c r="CL74" s="810">
        <v>1</v>
      </c>
      <c r="CM74" s="810">
        <v>2</v>
      </c>
      <c r="CN74" s="810">
        <v>3</v>
      </c>
      <c r="CO74" s="810">
        <v>4</v>
      </c>
      <c r="CP74" s="810">
        <v>5</v>
      </c>
      <c r="CQ74" s="810">
        <v>6</v>
      </c>
      <c r="CR74" s="810">
        <v>7</v>
      </c>
      <c r="CS74" s="810">
        <v>1</v>
      </c>
      <c r="CT74" s="810">
        <v>2</v>
      </c>
      <c r="CU74" s="810">
        <v>3</v>
      </c>
      <c r="CV74" s="810">
        <v>4</v>
      </c>
      <c r="CW74" s="810">
        <v>5</v>
      </c>
      <c r="CX74" s="781">
        <v>6</v>
      </c>
      <c r="CY74" s="781">
        <v>7</v>
      </c>
      <c r="CZ74" s="954"/>
    </row>
    <row r="75" spans="1:104" ht="8.1" customHeight="1" thickBot="1">
      <c r="A75" s="938"/>
      <c r="B75" s="940"/>
      <c r="C75" s="1008"/>
      <c r="D75" s="942"/>
      <c r="E75" s="944"/>
      <c r="F75" s="946"/>
      <c r="G75" s="948"/>
      <c r="H75" s="1139"/>
      <c r="I75" s="984"/>
      <c r="J75" s="987"/>
      <c r="K75" s="987"/>
      <c r="L75" s="808" t="s">
        <v>3320</v>
      </c>
      <c r="M75" s="955"/>
      <c r="N75" s="956"/>
      <c r="O75" s="956"/>
      <c r="P75" s="956"/>
      <c r="Q75" s="956"/>
      <c r="R75" s="956"/>
      <c r="S75" s="956"/>
      <c r="T75" s="956"/>
      <c r="U75" s="956"/>
      <c r="V75" s="956"/>
      <c r="W75" s="956"/>
      <c r="X75" s="956"/>
      <c r="Y75" s="956"/>
      <c r="Z75" s="956"/>
      <c r="AA75" s="956"/>
      <c r="AB75" s="956"/>
      <c r="AC75" s="956"/>
      <c r="AD75" s="956"/>
      <c r="AE75" s="956"/>
      <c r="AF75" s="956"/>
      <c r="AG75" s="956"/>
      <c r="AH75" s="956"/>
      <c r="AI75" s="956"/>
      <c r="AJ75" s="956"/>
      <c r="AK75" s="956"/>
      <c r="AL75" s="956"/>
      <c r="AM75" s="956"/>
      <c r="AN75" s="956"/>
      <c r="AO75" s="956"/>
      <c r="AP75" s="956"/>
      <c r="AQ75" s="956">
        <f>AO73+AV73+BC73+BJ73</f>
        <v>315190</v>
      </c>
      <c r="AR75" s="956"/>
      <c r="AS75" s="956"/>
      <c r="AT75" s="956"/>
      <c r="AU75" s="956"/>
      <c r="AV75" s="956"/>
      <c r="AW75" s="956"/>
      <c r="AX75" s="956"/>
      <c r="AY75" s="956"/>
      <c r="AZ75" s="956"/>
      <c r="BA75" s="956"/>
      <c r="BB75" s="956"/>
      <c r="BC75" s="956"/>
      <c r="BD75" s="956"/>
      <c r="BE75" s="956"/>
      <c r="BF75" s="956"/>
      <c r="BG75" s="956"/>
      <c r="BH75" s="956"/>
      <c r="BI75" s="956"/>
      <c r="BJ75" s="956"/>
      <c r="BK75" s="956"/>
      <c r="BL75" s="956"/>
      <c r="BM75" s="956"/>
      <c r="BN75" s="956"/>
      <c r="BO75" s="956"/>
      <c r="BP75" s="956"/>
      <c r="BQ75" s="956"/>
      <c r="BR75" s="956"/>
      <c r="BS75" s="956"/>
      <c r="BT75" s="956"/>
      <c r="BU75" s="956"/>
      <c r="BV75" s="956"/>
      <c r="BW75" s="956"/>
      <c r="BX75" s="956"/>
      <c r="BY75" s="956"/>
      <c r="BZ75" s="956"/>
      <c r="CA75" s="956"/>
      <c r="CB75" s="956"/>
      <c r="CC75" s="956"/>
      <c r="CD75" s="956"/>
      <c r="CE75" s="956"/>
      <c r="CF75" s="956"/>
      <c r="CG75" s="956"/>
      <c r="CH75" s="956"/>
      <c r="CI75" s="956"/>
      <c r="CJ75" s="956"/>
      <c r="CK75" s="956"/>
      <c r="CL75" s="956"/>
      <c r="CM75" s="956"/>
      <c r="CN75" s="956"/>
      <c r="CO75" s="956"/>
      <c r="CP75" s="956"/>
      <c r="CQ75" s="956"/>
      <c r="CR75" s="956"/>
      <c r="CS75" s="956"/>
      <c r="CT75" s="956"/>
      <c r="CU75" s="956"/>
      <c r="CV75" s="956"/>
      <c r="CW75" s="956"/>
      <c r="CX75" s="956"/>
      <c r="CY75" s="956"/>
      <c r="CZ75" s="954"/>
    </row>
    <row r="76" spans="1:104" ht="8.1" customHeight="1">
      <c r="A76" s="938">
        <f>EDIFICACION!A157</f>
        <v>4.5999999999999996</v>
      </c>
      <c r="B76" s="940" t="str">
        <f>EDIFICACION!B157</f>
        <v>RED SANITARIA PVC 2"</v>
      </c>
      <c r="C76" s="1008" t="str">
        <f>EDIFICACION!C157</f>
        <v>ML</v>
      </c>
      <c r="D76" s="942">
        <v>20</v>
      </c>
      <c r="E76" s="944">
        <f>EDIFICACION!F157</f>
        <v>25495</v>
      </c>
      <c r="F76" s="946">
        <f t="shared" si="2"/>
        <v>509900</v>
      </c>
      <c r="G76" s="948">
        <f>F76/F259</f>
        <v>1.5396690662062319E-3</v>
      </c>
      <c r="H76" s="1139"/>
      <c r="I76" s="982" t="s">
        <v>3339</v>
      </c>
      <c r="J76" s="985" t="s">
        <v>3366</v>
      </c>
      <c r="K76" s="985" t="s">
        <v>3366</v>
      </c>
      <c r="L76" s="806" t="s">
        <v>3318</v>
      </c>
      <c r="M76" s="1005"/>
      <c r="N76" s="952"/>
      <c r="O76" s="952"/>
      <c r="P76" s="952"/>
      <c r="Q76" s="952"/>
      <c r="R76" s="952"/>
      <c r="S76" s="952"/>
      <c r="T76" s="952"/>
      <c r="U76" s="952"/>
      <c r="V76" s="952"/>
      <c r="W76" s="952"/>
      <c r="X76" s="952"/>
      <c r="Y76" s="952"/>
      <c r="Z76" s="952"/>
      <c r="AA76" s="952"/>
      <c r="AB76" s="952"/>
      <c r="AC76" s="952"/>
      <c r="AD76" s="952"/>
      <c r="AE76" s="952"/>
      <c r="AF76" s="952"/>
      <c r="AG76" s="952"/>
      <c r="AH76" s="952"/>
      <c r="AI76" s="952"/>
      <c r="AJ76" s="952"/>
      <c r="AK76" s="952"/>
      <c r="AL76" s="952"/>
      <c r="AM76" s="952"/>
      <c r="AN76" s="952"/>
      <c r="AO76" s="1006">
        <f>F76/CZ76*AO77</f>
        <v>509900</v>
      </c>
      <c r="AP76" s="1001"/>
      <c r="AQ76" s="1001"/>
      <c r="AR76" s="1001"/>
      <c r="AS76" s="1001"/>
      <c r="AT76" s="1001"/>
      <c r="AU76" s="1001"/>
      <c r="AV76" s="952"/>
      <c r="AW76" s="952"/>
      <c r="AX76" s="952"/>
      <c r="AY76" s="952"/>
      <c r="AZ76" s="952"/>
      <c r="BA76" s="952"/>
      <c r="BB76" s="952"/>
      <c r="BC76" s="952"/>
      <c r="BD76" s="952"/>
      <c r="BE76" s="952"/>
      <c r="BF76" s="952"/>
      <c r="BG76" s="952"/>
      <c r="BH76" s="952"/>
      <c r="BI76" s="952"/>
      <c r="BJ76" s="952"/>
      <c r="BK76" s="952"/>
      <c r="BL76" s="952"/>
      <c r="BM76" s="952"/>
      <c r="BN76" s="952"/>
      <c r="BO76" s="952"/>
      <c r="BP76" s="952"/>
      <c r="BQ76" s="952"/>
      <c r="BR76" s="952"/>
      <c r="BS76" s="952"/>
      <c r="BT76" s="952"/>
      <c r="BU76" s="952"/>
      <c r="BV76" s="952"/>
      <c r="BW76" s="952"/>
      <c r="BX76" s="952"/>
      <c r="BY76" s="952"/>
      <c r="BZ76" s="952"/>
      <c r="CA76" s="952"/>
      <c r="CB76" s="952"/>
      <c r="CC76" s="952"/>
      <c r="CD76" s="952"/>
      <c r="CE76" s="952"/>
      <c r="CF76" s="952"/>
      <c r="CG76" s="952"/>
      <c r="CH76" s="952"/>
      <c r="CI76" s="952"/>
      <c r="CJ76" s="952"/>
      <c r="CK76" s="952"/>
      <c r="CL76" s="952"/>
      <c r="CM76" s="952"/>
      <c r="CN76" s="952"/>
      <c r="CO76" s="952"/>
      <c r="CP76" s="952"/>
      <c r="CQ76" s="952"/>
      <c r="CR76" s="952"/>
      <c r="CS76" s="952"/>
      <c r="CT76" s="952"/>
      <c r="CU76" s="952"/>
      <c r="CV76" s="952"/>
      <c r="CW76" s="952"/>
      <c r="CX76" s="952"/>
      <c r="CY76" s="952"/>
      <c r="CZ76" s="953">
        <v>1</v>
      </c>
    </row>
    <row r="77" spans="1:104" ht="8.1" customHeight="1">
      <c r="A77" s="938"/>
      <c r="B77" s="940"/>
      <c r="C77" s="1008"/>
      <c r="D77" s="942"/>
      <c r="E77" s="944"/>
      <c r="F77" s="946"/>
      <c r="G77" s="948"/>
      <c r="H77" s="1139"/>
      <c r="I77" s="983"/>
      <c r="J77" s="986"/>
      <c r="K77" s="986"/>
      <c r="L77" s="807" t="s">
        <v>3319</v>
      </c>
      <c r="M77" s="811">
        <v>1</v>
      </c>
      <c r="N77" s="810">
        <v>2</v>
      </c>
      <c r="O77" s="810">
        <v>3</v>
      </c>
      <c r="P77" s="810">
        <v>4</v>
      </c>
      <c r="Q77" s="810">
        <v>5</v>
      </c>
      <c r="R77" s="810">
        <v>6</v>
      </c>
      <c r="S77" s="810">
        <v>7</v>
      </c>
      <c r="T77" s="810">
        <v>1</v>
      </c>
      <c r="U77" s="810">
        <v>2</v>
      </c>
      <c r="V77" s="810">
        <v>3</v>
      </c>
      <c r="W77" s="810">
        <v>4</v>
      </c>
      <c r="X77" s="810">
        <v>5</v>
      </c>
      <c r="Y77" s="810">
        <v>6</v>
      </c>
      <c r="Z77" s="810">
        <v>7</v>
      </c>
      <c r="AA77" s="810">
        <v>1</v>
      </c>
      <c r="AB77" s="810">
        <v>2</v>
      </c>
      <c r="AC77" s="810">
        <v>3</v>
      </c>
      <c r="AD77" s="810">
        <v>4</v>
      </c>
      <c r="AE77" s="810">
        <v>5</v>
      </c>
      <c r="AF77" s="810">
        <v>6</v>
      </c>
      <c r="AG77" s="810">
        <v>7</v>
      </c>
      <c r="AH77" s="810">
        <v>1</v>
      </c>
      <c r="AI77" s="810">
        <v>2</v>
      </c>
      <c r="AJ77" s="810">
        <v>3</v>
      </c>
      <c r="AK77" s="810">
        <v>4</v>
      </c>
      <c r="AL77" s="810">
        <v>5</v>
      </c>
      <c r="AM77" s="810">
        <v>6</v>
      </c>
      <c r="AN77" s="810">
        <v>7</v>
      </c>
      <c r="AO77" s="810">
        <v>1</v>
      </c>
      <c r="AP77" s="812">
        <v>2</v>
      </c>
      <c r="AQ77" s="810">
        <v>3</v>
      </c>
      <c r="AR77" s="810">
        <v>4</v>
      </c>
      <c r="AS77" s="810">
        <v>5</v>
      </c>
      <c r="AT77" s="810">
        <v>6</v>
      </c>
      <c r="AU77" s="810">
        <v>7</v>
      </c>
      <c r="AV77" s="810">
        <v>1</v>
      </c>
      <c r="AW77" s="810">
        <v>2</v>
      </c>
      <c r="AX77" s="810">
        <v>3</v>
      </c>
      <c r="AY77" s="810">
        <v>4</v>
      </c>
      <c r="AZ77" s="810">
        <v>5</v>
      </c>
      <c r="BA77" s="810">
        <v>6</v>
      </c>
      <c r="BB77" s="810">
        <v>7</v>
      </c>
      <c r="BC77" s="810">
        <v>1</v>
      </c>
      <c r="BD77" s="810">
        <v>2</v>
      </c>
      <c r="BE77" s="810">
        <v>3</v>
      </c>
      <c r="BF77" s="810">
        <v>4</v>
      </c>
      <c r="BG77" s="810">
        <v>5</v>
      </c>
      <c r="BH77" s="810">
        <v>6</v>
      </c>
      <c r="BI77" s="810">
        <v>7</v>
      </c>
      <c r="BJ77" s="810">
        <v>1</v>
      </c>
      <c r="BK77" s="810">
        <v>2</v>
      </c>
      <c r="BL77" s="810">
        <v>3</v>
      </c>
      <c r="BM77" s="810">
        <v>4</v>
      </c>
      <c r="BN77" s="810">
        <v>5</v>
      </c>
      <c r="BO77" s="810">
        <v>6</v>
      </c>
      <c r="BP77" s="810">
        <v>7</v>
      </c>
      <c r="BQ77" s="810">
        <v>1</v>
      </c>
      <c r="BR77" s="810">
        <v>2</v>
      </c>
      <c r="BS77" s="810">
        <v>3</v>
      </c>
      <c r="BT77" s="810">
        <v>4</v>
      </c>
      <c r="BU77" s="810">
        <v>5</v>
      </c>
      <c r="BV77" s="810">
        <v>6</v>
      </c>
      <c r="BW77" s="810">
        <v>7</v>
      </c>
      <c r="BX77" s="810">
        <v>1</v>
      </c>
      <c r="BY77" s="810">
        <v>2</v>
      </c>
      <c r="BZ77" s="810">
        <v>3</v>
      </c>
      <c r="CA77" s="810">
        <v>4</v>
      </c>
      <c r="CB77" s="810">
        <v>5</v>
      </c>
      <c r="CC77" s="810">
        <v>6</v>
      </c>
      <c r="CD77" s="810">
        <v>7</v>
      </c>
      <c r="CE77" s="810">
        <v>1</v>
      </c>
      <c r="CF77" s="810">
        <v>2</v>
      </c>
      <c r="CG77" s="810">
        <v>3</v>
      </c>
      <c r="CH77" s="810">
        <v>4</v>
      </c>
      <c r="CI77" s="810">
        <v>5</v>
      </c>
      <c r="CJ77" s="810">
        <v>6</v>
      </c>
      <c r="CK77" s="810">
        <v>7</v>
      </c>
      <c r="CL77" s="810">
        <v>1</v>
      </c>
      <c r="CM77" s="810">
        <v>2</v>
      </c>
      <c r="CN77" s="810">
        <v>3</v>
      </c>
      <c r="CO77" s="810">
        <v>4</v>
      </c>
      <c r="CP77" s="810">
        <v>5</v>
      </c>
      <c r="CQ77" s="810">
        <v>6</v>
      </c>
      <c r="CR77" s="810">
        <v>7</v>
      </c>
      <c r="CS77" s="810">
        <v>1</v>
      </c>
      <c r="CT77" s="810">
        <v>2</v>
      </c>
      <c r="CU77" s="810">
        <v>3</v>
      </c>
      <c r="CV77" s="810">
        <v>4</v>
      </c>
      <c r="CW77" s="810">
        <v>5</v>
      </c>
      <c r="CX77" s="781">
        <v>6</v>
      </c>
      <c r="CY77" s="781">
        <v>7</v>
      </c>
      <c r="CZ77" s="954"/>
    </row>
    <row r="78" spans="1:104" ht="8.1" customHeight="1" thickBot="1">
      <c r="A78" s="938"/>
      <c r="B78" s="940"/>
      <c r="C78" s="1008"/>
      <c r="D78" s="942"/>
      <c r="E78" s="944"/>
      <c r="F78" s="946"/>
      <c r="G78" s="948"/>
      <c r="H78" s="1139"/>
      <c r="I78" s="984"/>
      <c r="J78" s="987"/>
      <c r="K78" s="987"/>
      <c r="L78" s="808" t="s">
        <v>3320</v>
      </c>
      <c r="M78" s="955"/>
      <c r="N78" s="956"/>
      <c r="O78" s="956"/>
      <c r="P78" s="956"/>
      <c r="Q78" s="956"/>
      <c r="R78" s="956"/>
      <c r="S78" s="956"/>
      <c r="T78" s="956"/>
      <c r="U78" s="956"/>
      <c r="V78" s="956"/>
      <c r="W78" s="956"/>
      <c r="X78" s="956"/>
      <c r="Y78" s="956"/>
      <c r="Z78" s="956"/>
      <c r="AA78" s="956"/>
      <c r="AB78" s="956"/>
      <c r="AC78" s="956"/>
      <c r="AD78" s="956"/>
      <c r="AE78" s="956"/>
      <c r="AF78" s="956"/>
      <c r="AG78" s="956"/>
      <c r="AH78" s="956"/>
      <c r="AI78" s="956"/>
      <c r="AJ78" s="956"/>
      <c r="AK78" s="956"/>
      <c r="AL78" s="956"/>
      <c r="AM78" s="956"/>
      <c r="AN78" s="956"/>
      <c r="AO78" s="956"/>
      <c r="AP78" s="956"/>
      <c r="AQ78" s="956">
        <f>AO76+AV76+BC76+BJ76</f>
        <v>509900</v>
      </c>
      <c r="AR78" s="956"/>
      <c r="AS78" s="956"/>
      <c r="AT78" s="956"/>
      <c r="AU78" s="956"/>
      <c r="AV78" s="956"/>
      <c r="AW78" s="956"/>
      <c r="AX78" s="956"/>
      <c r="AY78" s="956"/>
      <c r="AZ78" s="956"/>
      <c r="BA78" s="956"/>
      <c r="BB78" s="956"/>
      <c r="BC78" s="956"/>
      <c r="BD78" s="956"/>
      <c r="BE78" s="956"/>
      <c r="BF78" s="956"/>
      <c r="BG78" s="956"/>
      <c r="BH78" s="956"/>
      <c r="BI78" s="956"/>
      <c r="BJ78" s="956"/>
      <c r="BK78" s="956"/>
      <c r="BL78" s="956"/>
      <c r="BM78" s="956"/>
      <c r="BN78" s="956"/>
      <c r="BO78" s="956"/>
      <c r="BP78" s="956"/>
      <c r="BQ78" s="956"/>
      <c r="BR78" s="956"/>
      <c r="BS78" s="956"/>
      <c r="BT78" s="956"/>
      <c r="BU78" s="956"/>
      <c r="BV78" s="956"/>
      <c r="BW78" s="956"/>
      <c r="BX78" s="956"/>
      <c r="BY78" s="956"/>
      <c r="BZ78" s="956"/>
      <c r="CA78" s="956"/>
      <c r="CB78" s="956"/>
      <c r="CC78" s="956"/>
      <c r="CD78" s="956"/>
      <c r="CE78" s="956"/>
      <c r="CF78" s="956"/>
      <c r="CG78" s="956"/>
      <c r="CH78" s="956"/>
      <c r="CI78" s="956"/>
      <c r="CJ78" s="956"/>
      <c r="CK78" s="956"/>
      <c r="CL78" s="956"/>
      <c r="CM78" s="956"/>
      <c r="CN78" s="956"/>
      <c r="CO78" s="956"/>
      <c r="CP78" s="956"/>
      <c r="CQ78" s="956"/>
      <c r="CR78" s="956"/>
      <c r="CS78" s="956"/>
      <c r="CT78" s="956"/>
      <c r="CU78" s="956"/>
      <c r="CV78" s="956"/>
      <c r="CW78" s="956"/>
      <c r="CX78" s="956"/>
      <c r="CY78" s="956"/>
      <c r="CZ78" s="954"/>
    </row>
    <row r="79" spans="1:104" ht="8.1" customHeight="1">
      <c r="A79" s="938">
        <f>EDIFICACION!A168</f>
        <v>4.7</v>
      </c>
      <c r="B79" s="940" t="str">
        <f>EDIFICACION!B168</f>
        <v>RED SANITARIA PVC 4- 110 MM</v>
      </c>
      <c r="C79" s="1008" t="str">
        <f>EDIFICACION!C168</f>
        <v>ML</v>
      </c>
      <c r="D79" s="942">
        <v>80</v>
      </c>
      <c r="E79" s="944">
        <f>EDIFICACION!F168</f>
        <v>42283</v>
      </c>
      <c r="F79" s="946">
        <f t="shared" si="2"/>
        <v>3382640</v>
      </c>
      <c r="G79" s="948">
        <f>F79/F259</f>
        <v>1.0214054069644731E-2</v>
      </c>
      <c r="H79" s="1139"/>
      <c r="I79" s="982" t="s">
        <v>3339</v>
      </c>
      <c r="J79" s="985" t="s">
        <v>3367</v>
      </c>
      <c r="K79" s="985" t="s">
        <v>3367</v>
      </c>
      <c r="L79" s="806" t="s">
        <v>3318</v>
      </c>
      <c r="M79" s="1005"/>
      <c r="N79" s="952"/>
      <c r="O79" s="952"/>
      <c r="P79" s="952"/>
      <c r="Q79" s="952"/>
      <c r="R79" s="952"/>
      <c r="S79" s="952"/>
      <c r="T79" s="952"/>
      <c r="U79" s="952"/>
      <c r="V79" s="952"/>
      <c r="W79" s="952"/>
      <c r="X79" s="952"/>
      <c r="Y79" s="952"/>
      <c r="Z79" s="952"/>
      <c r="AA79" s="952"/>
      <c r="AB79" s="952"/>
      <c r="AC79" s="952"/>
      <c r="AD79" s="952"/>
      <c r="AE79" s="952"/>
      <c r="AF79" s="952"/>
      <c r="AG79" s="952"/>
      <c r="AH79" s="952"/>
      <c r="AI79" s="952"/>
      <c r="AJ79" s="952"/>
      <c r="AK79" s="952"/>
      <c r="AL79" s="952"/>
      <c r="AM79" s="952"/>
      <c r="AN79" s="952"/>
      <c r="AO79" s="1006">
        <f>F79/CZ79*AO80</f>
        <v>3382640</v>
      </c>
      <c r="AP79" s="1001"/>
      <c r="AQ79" s="1001"/>
      <c r="AR79" s="1001"/>
      <c r="AS79" s="1001"/>
      <c r="AT79" s="1001"/>
      <c r="AU79" s="1001"/>
      <c r="AV79" s="952"/>
      <c r="AW79" s="952"/>
      <c r="AX79" s="952"/>
      <c r="AY79" s="952"/>
      <c r="AZ79" s="952"/>
      <c r="BA79" s="952"/>
      <c r="BB79" s="952"/>
      <c r="BC79" s="952"/>
      <c r="BD79" s="952"/>
      <c r="BE79" s="952"/>
      <c r="BF79" s="952"/>
      <c r="BG79" s="952"/>
      <c r="BH79" s="952"/>
      <c r="BI79" s="952"/>
      <c r="BJ79" s="952"/>
      <c r="BK79" s="952"/>
      <c r="BL79" s="952"/>
      <c r="BM79" s="952"/>
      <c r="BN79" s="952"/>
      <c r="BO79" s="952"/>
      <c r="BP79" s="952"/>
      <c r="BQ79" s="952"/>
      <c r="BR79" s="952"/>
      <c r="BS79" s="952"/>
      <c r="BT79" s="952"/>
      <c r="BU79" s="952"/>
      <c r="BV79" s="952"/>
      <c r="BW79" s="952"/>
      <c r="BX79" s="952"/>
      <c r="BY79" s="952"/>
      <c r="BZ79" s="952"/>
      <c r="CA79" s="952"/>
      <c r="CB79" s="952"/>
      <c r="CC79" s="952"/>
      <c r="CD79" s="952"/>
      <c r="CE79" s="952"/>
      <c r="CF79" s="952"/>
      <c r="CG79" s="952"/>
      <c r="CH79" s="952"/>
      <c r="CI79" s="952"/>
      <c r="CJ79" s="952"/>
      <c r="CK79" s="952"/>
      <c r="CL79" s="952"/>
      <c r="CM79" s="952"/>
      <c r="CN79" s="952"/>
      <c r="CO79" s="952"/>
      <c r="CP79" s="952"/>
      <c r="CQ79" s="952"/>
      <c r="CR79" s="952"/>
      <c r="CS79" s="952"/>
      <c r="CT79" s="952"/>
      <c r="CU79" s="952"/>
      <c r="CV79" s="952"/>
      <c r="CW79" s="952"/>
      <c r="CX79" s="952"/>
      <c r="CY79" s="952"/>
      <c r="CZ79" s="953">
        <v>1</v>
      </c>
    </row>
    <row r="80" spans="1:104" ht="8.1" customHeight="1">
      <c r="A80" s="938"/>
      <c r="B80" s="940"/>
      <c r="C80" s="1008"/>
      <c r="D80" s="942"/>
      <c r="E80" s="944"/>
      <c r="F80" s="946"/>
      <c r="G80" s="948"/>
      <c r="H80" s="1139"/>
      <c r="I80" s="983"/>
      <c r="J80" s="986"/>
      <c r="K80" s="986"/>
      <c r="L80" s="807" t="s">
        <v>3319</v>
      </c>
      <c r="M80" s="811">
        <v>1</v>
      </c>
      <c r="N80" s="810">
        <v>2</v>
      </c>
      <c r="O80" s="810">
        <v>3</v>
      </c>
      <c r="P80" s="810">
        <v>4</v>
      </c>
      <c r="Q80" s="810">
        <v>5</v>
      </c>
      <c r="R80" s="810">
        <v>6</v>
      </c>
      <c r="S80" s="810">
        <v>7</v>
      </c>
      <c r="T80" s="810">
        <v>1</v>
      </c>
      <c r="U80" s="810">
        <v>2</v>
      </c>
      <c r="V80" s="810">
        <v>3</v>
      </c>
      <c r="W80" s="810">
        <v>4</v>
      </c>
      <c r="X80" s="810">
        <v>5</v>
      </c>
      <c r="Y80" s="810">
        <v>6</v>
      </c>
      <c r="Z80" s="810">
        <v>7</v>
      </c>
      <c r="AA80" s="810">
        <v>1</v>
      </c>
      <c r="AB80" s="810">
        <v>2</v>
      </c>
      <c r="AC80" s="810">
        <v>3</v>
      </c>
      <c r="AD80" s="810">
        <v>4</v>
      </c>
      <c r="AE80" s="810">
        <v>5</v>
      </c>
      <c r="AF80" s="810">
        <v>6</v>
      </c>
      <c r="AG80" s="810">
        <v>7</v>
      </c>
      <c r="AH80" s="810">
        <v>1</v>
      </c>
      <c r="AI80" s="810">
        <v>2</v>
      </c>
      <c r="AJ80" s="810">
        <v>3</v>
      </c>
      <c r="AK80" s="810">
        <v>4</v>
      </c>
      <c r="AL80" s="810">
        <v>5</v>
      </c>
      <c r="AM80" s="810">
        <v>6</v>
      </c>
      <c r="AN80" s="810">
        <v>7</v>
      </c>
      <c r="AO80" s="810">
        <v>1</v>
      </c>
      <c r="AP80" s="810">
        <v>2</v>
      </c>
      <c r="AQ80" s="812">
        <v>3</v>
      </c>
      <c r="AR80" s="810">
        <v>4</v>
      </c>
      <c r="AS80" s="810">
        <v>5</v>
      </c>
      <c r="AT80" s="810">
        <v>6</v>
      </c>
      <c r="AU80" s="810">
        <v>7</v>
      </c>
      <c r="AV80" s="810">
        <v>1</v>
      </c>
      <c r="AW80" s="810">
        <v>2</v>
      </c>
      <c r="AX80" s="810">
        <v>3</v>
      </c>
      <c r="AY80" s="810">
        <v>4</v>
      </c>
      <c r="AZ80" s="810">
        <v>5</v>
      </c>
      <c r="BA80" s="810">
        <v>6</v>
      </c>
      <c r="BB80" s="810">
        <v>7</v>
      </c>
      <c r="BC80" s="810">
        <v>1</v>
      </c>
      <c r="BD80" s="810">
        <v>2</v>
      </c>
      <c r="BE80" s="810">
        <v>3</v>
      </c>
      <c r="BF80" s="810">
        <v>4</v>
      </c>
      <c r="BG80" s="810">
        <v>5</v>
      </c>
      <c r="BH80" s="810">
        <v>6</v>
      </c>
      <c r="BI80" s="810">
        <v>7</v>
      </c>
      <c r="BJ80" s="810">
        <v>1</v>
      </c>
      <c r="BK80" s="810">
        <v>2</v>
      </c>
      <c r="BL80" s="810">
        <v>3</v>
      </c>
      <c r="BM80" s="810">
        <v>4</v>
      </c>
      <c r="BN80" s="810">
        <v>5</v>
      </c>
      <c r="BO80" s="810">
        <v>6</v>
      </c>
      <c r="BP80" s="810">
        <v>7</v>
      </c>
      <c r="BQ80" s="810">
        <v>1</v>
      </c>
      <c r="BR80" s="810">
        <v>2</v>
      </c>
      <c r="BS80" s="810">
        <v>3</v>
      </c>
      <c r="BT80" s="810">
        <v>4</v>
      </c>
      <c r="BU80" s="810">
        <v>5</v>
      </c>
      <c r="BV80" s="810">
        <v>6</v>
      </c>
      <c r="BW80" s="810">
        <v>7</v>
      </c>
      <c r="BX80" s="810">
        <v>1</v>
      </c>
      <c r="BY80" s="810">
        <v>2</v>
      </c>
      <c r="BZ80" s="810">
        <v>3</v>
      </c>
      <c r="CA80" s="810">
        <v>4</v>
      </c>
      <c r="CB80" s="810">
        <v>5</v>
      </c>
      <c r="CC80" s="810">
        <v>6</v>
      </c>
      <c r="CD80" s="810">
        <v>7</v>
      </c>
      <c r="CE80" s="810">
        <v>1</v>
      </c>
      <c r="CF80" s="810">
        <v>2</v>
      </c>
      <c r="CG80" s="810">
        <v>3</v>
      </c>
      <c r="CH80" s="810">
        <v>4</v>
      </c>
      <c r="CI80" s="810">
        <v>5</v>
      </c>
      <c r="CJ80" s="810">
        <v>6</v>
      </c>
      <c r="CK80" s="810">
        <v>7</v>
      </c>
      <c r="CL80" s="810">
        <v>1</v>
      </c>
      <c r="CM80" s="810">
        <v>2</v>
      </c>
      <c r="CN80" s="810">
        <v>3</v>
      </c>
      <c r="CO80" s="810">
        <v>4</v>
      </c>
      <c r="CP80" s="810">
        <v>5</v>
      </c>
      <c r="CQ80" s="810">
        <v>6</v>
      </c>
      <c r="CR80" s="810">
        <v>7</v>
      </c>
      <c r="CS80" s="810">
        <v>1</v>
      </c>
      <c r="CT80" s="810">
        <v>2</v>
      </c>
      <c r="CU80" s="810">
        <v>3</v>
      </c>
      <c r="CV80" s="810">
        <v>4</v>
      </c>
      <c r="CW80" s="810">
        <v>5</v>
      </c>
      <c r="CX80" s="781">
        <v>6</v>
      </c>
      <c r="CY80" s="781">
        <v>7</v>
      </c>
      <c r="CZ80" s="954"/>
    </row>
    <row r="81" spans="1:104" ht="8.1" customHeight="1" thickBot="1">
      <c r="A81" s="938"/>
      <c r="B81" s="940"/>
      <c r="C81" s="1008"/>
      <c r="D81" s="942"/>
      <c r="E81" s="944"/>
      <c r="F81" s="946"/>
      <c r="G81" s="948"/>
      <c r="H81" s="1139"/>
      <c r="I81" s="984"/>
      <c r="J81" s="987"/>
      <c r="K81" s="987"/>
      <c r="L81" s="808" t="s">
        <v>3320</v>
      </c>
      <c r="M81" s="955"/>
      <c r="N81" s="956"/>
      <c r="O81" s="956"/>
      <c r="P81" s="956"/>
      <c r="Q81" s="956"/>
      <c r="R81" s="956"/>
      <c r="S81" s="956"/>
      <c r="T81" s="956"/>
      <c r="U81" s="956"/>
      <c r="V81" s="956"/>
      <c r="W81" s="956"/>
      <c r="X81" s="956"/>
      <c r="Y81" s="956"/>
      <c r="Z81" s="956"/>
      <c r="AA81" s="956"/>
      <c r="AB81" s="956"/>
      <c r="AC81" s="956"/>
      <c r="AD81" s="956"/>
      <c r="AE81" s="956"/>
      <c r="AF81" s="956"/>
      <c r="AG81" s="956"/>
      <c r="AH81" s="956"/>
      <c r="AI81" s="956"/>
      <c r="AJ81" s="956"/>
      <c r="AK81" s="956"/>
      <c r="AL81" s="956"/>
      <c r="AM81" s="956"/>
      <c r="AN81" s="956"/>
      <c r="AO81" s="956"/>
      <c r="AP81" s="956"/>
      <c r="AQ81" s="956">
        <f>AO79+AV79+BC79+BJ79</f>
        <v>3382640</v>
      </c>
      <c r="AR81" s="956"/>
      <c r="AS81" s="956"/>
      <c r="AT81" s="956"/>
      <c r="AU81" s="956"/>
      <c r="AV81" s="956"/>
      <c r="AW81" s="956"/>
      <c r="AX81" s="956"/>
      <c r="AY81" s="956"/>
      <c r="AZ81" s="956"/>
      <c r="BA81" s="956"/>
      <c r="BB81" s="956"/>
      <c r="BC81" s="956"/>
      <c r="BD81" s="956"/>
      <c r="BE81" s="956"/>
      <c r="BF81" s="956"/>
      <c r="BG81" s="956"/>
      <c r="BH81" s="956"/>
      <c r="BI81" s="956"/>
      <c r="BJ81" s="956"/>
      <c r="BK81" s="956"/>
      <c r="BL81" s="956"/>
      <c r="BM81" s="956"/>
      <c r="BN81" s="956"/>
      <c r="BO81" s="956"/>
      <c r="BP81" s="956"/>
      <c r="BQ81" s="956"/>
      <c r="BR81" s="956"/>
      <c r="BS81" s="956"/>
      <c r="BT81" s="956"/>
      <c r="BU81" s="956"/>
      <c r="BV81" s="956"/>
      <c r="BW81" s="956"/>
      <c r="BX81" s="956"/>
      <c r="BY81" s="956"/>
      <c r="BZ81" s="956"/>
      <c r="CA81" s="956"/>
      <c r="CB81" s="956"/>
      <c r="CC81" s="956"/>
      <c r="CD81" s="956"/>
      <c r="CE81" s="956"/>
      <c r="CF81" s="956"/>
      <c r="CG81" s="956"/>
      <c r="CH81" s="956"/>
      <c r="CI81" s="956"/>
      <c r="CJ81" s="956"/>
      <c r="CK81" s="956"/>
      <c r="CL81" s="956"/>
      <c r="CM81" s="956"/>
      <c r="CN81" s="956"/>
      <c r="CO81" s="956"/>
      <c r="CP81" s="956"/>
      <c r="CQ81" s="956"/>
      <c r="CR81" s="956"/>
      <c r="CS81" s="956"/>
      <c r="CT81" s="956"/>
      <c r="CU81" s="956"/>
      <c r="CV81" s="956"/>
      <c r="CW81" s="956"/>
      <c r="CX81" s="956"/>
      <c r="CY81" s="956"/>
      <c r="CZ81" s="954"/>
    </row>
    <row r="82" spans="1:104" ht="9.75" customHeight="1">
      <c r="A82" s="938">
        <f>EDIFICACION!A179</f>
        <v>4.8</v>
      </c>
      <c r="B82" s="940" t="str">
        <f>EDIFICACION!B179</f>
        <v>RED AGUAS NEGRAS PVC  6"  - 160 MM - INSTALACION</v>
      </c>
      <c r="C82" s="938" t="str">
        <f>EDIFICACION!C179</f>
        <v>ML</v>
      </c>
      <c r="D82" s="942">
        <v>100</v>
      </c>
      <c r="E82" s="944">
        <f>EDIFICACION!F179</f>
        <v>58046</v>
      </c>
      <c r="F82" s="946">
        <f t="shared" ref="F82" si="3">E82*D82</f>
        <v>5804600</v>
      </c>
      <c r="G82" s="948">
        <f>F82/F259</f>
        <v>1.7527285863307891E-2</v>
      </c>
      <c r="H82" s="1139"/>
      <c r="I82" s="922"/>
      <c r="J82" s="907"/>
      <c r="K82" s="907"/>
      <c r="L82" s="923"/>
      <c r="M82" s="924"/>
      <c r="N82" s="924"/>
      <c r="O82" s="924"/>
      <c r="P82" s="924"/>
      <c r="Q82" s="924"/>
      <c r="R82" s="924"/>
      <c r="S82" s="924"/>
      <c r="T82" s="924"/>
      <c r="U82" s="924"/>
      <c r="V82" s="924"/>
      <c r="W82" s="924"/>
      <c r="X82" s="924"/>
      <c r="Y82" s="924"/>
      <c r="Z82" s="924"/>
      <c r="AA82" s="924"/>
      <c r="AB82" s="924"/>
      <c r="AC82" s="924"/>
      <c r="AD82" s="924"/>
      <c r="AE82" s="924"/>
      <c r="AF82" s="924"/>
      <c r="AG82" s="924"/>
      <c r="AH82" s="924"/>
      <c r="AI82" s="924"/>
      <c r="AJ82" s="924"/>
      <c r="AK82" s="924"/>
      <c r="AL82" s="924"/>
      <c r="AM82" s="924"/>
      <c r="AN82" s="924"/>
      <c r="AO82" s="924"/>
      <c r="AP82" s="925"/>
      <c r="AQ82" s="924"/>
      <c r="AR82" s="924"/>
      <c r="AS82" s="924"/>
      <c r="AT82" s="924"/>
      <c r="AU82" s="924"/>
      <c r="AV82" s="924"/>
      <c r="AW82" s="924"/>
      <c r="AX82" s="924"/>
      <c r="AY82" s="924"/>
      <c r="AZ82" s="924"/>
      <c r="BA82" s="924"/>
      <c r="BB82" s="924"/>
      <c r="BC82" s="924"/>
      <c r="BD82" s="924"/>
      <c r="BE82" s="924"/>
      <c r="BF82" s="924"/>
      <c r="BG82" s="924"/>
      <c r="BH82" s="924"/>
      <c r="BI82" s="924"/>
      <c r="BJ82" s="924"/>
      <c r="BK82" s="924"/>
      <c r="BL82" s="924"/>
      <c r="BM82" s="924"/>
      <c r="BN82" s="924"/>
      <c r="BO82" s="924"/>
      <c r="BP82" s="924"/>
      <c r="BQ82" s="924"/>
      <c r="BR82" s="924"/>
      <c r="BS82" s="924"/>
      <c r="BT82" s="925"/>
      <c r="BU82" s="926"/>
      <c r="BV82" s="926"/>
      <c r="BW82" s="926"/>
      <c r="BX82" s="926"/>
      <c r="BY82" s="926"/>
      <c r="BZ82" s="926"/>
      <c r="CA82" s="926"/>
      <c r="CB82" s="926"/>
      <c r="CC82" s="926"/>
      <c r="CD82" s="926"/>
      <c r="CE82" s="926"/>
      <c r="CF82" s="926"/>
      <c r="CG82" s="926"/>
      <c r="CH82" s="926"/>
      <c r="CI82" s="926"/>
      <c r="CJ82" s="926"/>
      <c r="CK82" s="926"/>
      <c r="CL82" s="926"/>
      <c r="CM82" s="926"/>
      <c r="CN82" s="926"/>
      <c r="CO82" s="926"/>
      <c r="CP82" s="926"/>
      <c r="CQ82" s="926"/>
      <c r="CR82" s="926"/>
      <c r="CS82" s="926"/>
      <c r="CT82" s="926"/>
      <c r="CU82" s="926"/>
      <c r="CV82" s="926"/>
      <c r="CW82" s="926"/>
      <c r="CX82" s="926"/>
      <c r="CY82" s="926"/>
      <c r="CZ82" s="896"/>
    </row>
    <row r="83" spans="1:104" ht="9.75" customHeight="1">
      <c r="A83" s="938"/>
      <c r="B83" s="940"/>
      <c r="C83" s="938"/>
      <c r="D83" s="942"/>
      <c r="E83" s="944"/>
      <c r="F83" s="946"/>
      <c r="G83" s="948"/>
      <c r="H83" s="1139"/>
      <c r="I83" s="922"/>
      <c r="J83" s="907"/>
      <c r="K83" s="907"/>
      <c r="L83" s="923"/>
      <c r="M83" s="924"/>
      <c r="N83" s="924"/>
      <c r="O83" s="924"/>
      <c r="P83" s="924"/>
      <c r="Q83" s="924"/>
      <c r="R83" s="924"/>
      <c r="S83" s="924"/>
      <c r="T83" s="924"/>
      <c r="U83" s="924"/>
      <c r="V83" s="924"/>
      <c r="W83" s="924"/>
      <c r="X83" s="924"/>
      <c r="Y83" s="924"/>
      <c r="Z83" s="924"/>
      <c r="AA83" s="924"/>
      <c r="AB83" s="924"/>
      <c r="AC83" s="924"/>
      <c r="AD83" s="924"/>
      <c r="AE83" s="924"/>
      <c r="AF83" s="924"/>
      <c r="AG83" s="924"/>
      <c r="AH83" s="924"/>
      <c r="AI83" s="924"/>
      <c r="AJ83" s="924"/>
      <c r="AK83" s="924"/>
      <c r="AL83" s="924"/>
      <c r="AM83" s="924"/>
      <c r="AN83" s="924"/>
      <c r="AO83" s="924"/>
      <c r="AP83" s="925"/>
      <c r="AQ83" s="924"/>
      <c r="AR83" s="924"/>
      <c r="AS83" s="924"/>
      <c r="AT83" s="924"/>
      <c r="AU83" s="924"/>
      <c r="AV83" s="924"/>
      <c r="AW83" s="924"/>
      <c r="AX83" s="924"/>
      <c r="AY83" s="924"/>
      <c r="AZ83" s="924"/>
      <c r="BA83" s="924"/>
      <c r="BB83" s="924"/>
      <c r="BC83" s="924"/>
      <c r="BD83" s="924"/>
      <c r="BE83" s="924"/>
      <c r="BF83" s="924"/>
      <c r="BG83" s="924"/>
      <c r="BH83" s="924"/>
      <c r="BI83" s="924"/>
      <c r="BJ83" s="924"/>
      <c r="BK83" s="924"/>
      <c r="BL83" s="924"/>
      <c r="BM83" s="924"/>
      <c r="BN83" s="924"/>
      <c r="BO83" s="924"/>
      <c r="BP83" s="924"/>
      <c r="BQ83" s="924"/>
      <c r="BR83" s="924"/>
      <c r="BS83" s="924"/>
      <c r="BT83" s="925"/>
      <c r="BU83" s="926"/>
      <c r="BV83" s="926"/>
      <c r="BW83" s="926"/>
      <c r="BX83" s="926"/>
      <c r="BY83" s="926"/>
      <c r="BZ83" s="926"/>
      <c r="CA83" s="926"/>
      <c r="CB83" s="926"/>
      <c r="CC83" s="926"/>
      <c r="CD83" s="926"/>
      <c r="CE83" s="926"/>
      <c r="CF83" s="926"/>
      <c r="CG83" s="926"/>
      <c r="CH83" s="926"/>
      <c r="CI83" s="926"/>
      <c r="CJ83" s="926"/>
      <c r="CK83" s="926"/>
      <c r="CL83" s="926"/>
      <c r="CM83" s="926"/>
      <c r="CN83" s="926"/>
      <c r="CO83" s="926"/>
      <c r="CP83" s="926"/>
      <c r="CQ83" s="926"/>
      <c r="CR83" s="926"/>
      <c r="CS83" s="926"/>
      <c r="CT83" s="926"/>
      <c r="CU83" s="926"/>
      <c r="CV83" s="926"/>
      <c r="CW83" s="926"/>
      <c r="CX83" s="926"/>
      <c r="CY83" s="926"/>
      <c r="CZ83" s="896"/>
    </row>
    <row r="84" spans="1:104" ht="9.75" customHeight="1">
      <c r="A84" s="939"/>
      <c r="B84" s="941"/>
      <c r="C84" s="939"/>
      <c r="D84" s="943"/>
      <c r="E84" s="945"/>
      <c r="F84" s="947"/>
      <c r="G84" s="949"/>
      <c r="H84" s="1139"/>
      <c r="I84" s="922"/>
      <c r="J84" s="907"/>
      <c r="K84" s="907"/>
      <c r="L84" s="923"/>
      <c r="M84" s="924"/>
      <c r="N84" s="924"/>
      <c r="O84" s="924"/>
      <c r="P84" s="924"/>
      <c r="Q84" s="924"/>
      <c r="R84" s="924"/>
      <c r="S84" s="924"/>
      <c r="T84" s="924"/>
      <c r="U84" s="924"/>
      <c r="V84" s="924"/>
      <c r="W84" s="924"/>
      <c r="X84" s="924"/>
      <c r="Y84" s="924"/>
      <c r="Z84" s="924"/>
      <c r="AA84" s="924"/>
      <c r="AB84" s="924"/>
      <c r="AC84" s="924"/>
      <c r="AD84" s="924"/>
      <c r="AE84" s="924"/>
      <c r="AF84" s="924"/>
      <c r="AG84" s="924"/>
      <c r="AH84" s="924"/>
      <c r="AI84" s="924"/>
      <c r="AJ84" s="924"/>
      <c r="AK84" s="924"/>
      <c r="AL84" s="924"/>
      <c r="AM84" s="924"/>
      <c r="AN84" s="924"/>
      <c r="AO84" s="924"/>
      <c r="AP84" s="925"/>
      <c r="AQ84" s="924"/>
      <c r="AR84" s="924"/>
      <c r="AS84" s="924"/>
      <c r="AT84" s="924"/>
      <c r="AU84" s="924"/>
      <c r="AV84" s="924"/>
      <c r="AW84" s="924"/>
      <c r="AX84" s="924"/>
      <c r="AY84" s="924"/>
      <c r="AZ84" s="924"/>
      <c r="BA84" s="924"/>
      <c r="BB84" s="924"/>
      <c r="BC84" s="924"/>
      <c r="BD84" s="924"/>
      <c r="BE84" s="924"/>
      <c r="BF84" s="924"/>
      <c r="BG84" s="924"/>
      <c r="BH84" s="924"/>
      <c r="BI84" s="924"/>
      <c r="BJ84" s="924"/>
      <c r="BK84" s="924"/>
      <c r="BL84" s="924"/>
      <c r="BM84" s="924"/>
      <c r="BN84" s="924"/>
      <c r="BO84" s="924"/>
      <c r="BP84" s="924"/>
      <c r="BQ84" s="924"/>
      <c r="BR84" s="924"/>
      <c r="BS84" s="924"/>
      <c r="BT84" s="925"/>
      <c r="BU84" s="926"/>
      <c r="BV84" s="926"/>
      <c r="BW84" s="926"/>
      <c r="BX84" s="926"/>
      <c r="BY84" s="926"/>
      <c r="BZ84" s="926"/>
      <c r="CA84" s="926"/>
      <c r="CB84" s="926"/>
      <c r="CC84" s="926"/>
      <c r="CD84" s="926"/>
      <c r="CE84" s="926"/>
      <c r="CF84" s="926"/>
      <c r="CG84" s="926"/>
      <c r="CH84" s="926"/>
      <c r="CI84" s="926"/>
      <c r="CJ84" s="926"/>
      <c r="CK84" s="926"/>
      <c r="CL84" s="926"/>
      <c r="CM84" s="926"/>
      <c r="CN84" s="926"/>
      <c r="CO84" s="926"/>
      <c r="CP84" s="926"/>
      <c r="CQ84" s="926"/>
      <c r="CR84" s="926"/>
      <c r="CS84" s="926"/>
      <c r="CT84" s="926"/>
      <c r="CU84" s="926"/>
      <c r="CV84" s="926"/>
      <c r="CW84" s="926"/>
      <c r="CX84" s="926"/>
      <c r="CY84" s="926"/>
      <c r="CZ84" s="896"/>
    </row>
    <row r="85" spans="1:104" ht="20.100000000000001" customHeight="1">
      <c r="A85" s="724"/>
      <c r="B85" s="928"/>
      <c r="C85" s="714"/>
      <c r="D85" s="759"/>
      <c r="E85" s="771" t="s">
        <v>3245</v>
      </c>
      <c r="F85" s="769">
        <f>SUM(F61:F84)</f>
        <v>24488402</v>
      </c>
      <c r="G85" s="776">
        <f>F85/F259</f>
        <v>7.3943979290493858E-2</v>
      </c>
      <c r="H85" s="1139"/>
      <c r="I85" s="995" t="s">
        <v>3336</v>
      </c>
      <c r="J85" s="995"/>
      <c r="K85" s="995"/>
      <c r="L85" s="995"/>
      <c r="M85" s="996">
        <f>M81+M78+M75+M72+M69+M63</f>
        <v>5270537</v>
      </c>
      <c r="N85" s="996"/>
      <c r="O85" s="996"/>
      <c r="P85" s="996"/>
      <c r="Q85" s="996"/>
      <c r="R85" s="996"/>
      <c r="S85" s="996"/>
      <c r="T85" s="996"/>
      <c r="U85" s="996"/>
      <c r="V85" s="996"/>
      <c r="W85" s="996"/>
      <c r="X85" s="996"/>
      <c r="Y85" s="996"/>
      <c r="Z85" s="996"/>
      <c r="AA85" s="996"/>
      <c r="AB85" s="996"/>
      <c r="AC85" s="996"/>
      <c r="AD85" s="996"/>
      <c r="AE85" s="996"/>
      <c r="AF85" s="996"/>
      <c r="AG85" s="996"/>
      <c r="AH85" s="996"/>
      <c r="AI85" s="996"/>
      <c r="AJ85" s="996"/>
      <c r="AK85" s="996"/>
      <c r="AL85" s="996"/>
      <c r="AM85" s="996"/>
      <c r="AN85" s="996"/>
      <c r="AO85" s="996"/>
      <c r="AP85" s="997"/>
      <c r="AQ85" s="996">
        <f>AQ81+AQ78+AQ75+AQ72+AQ69+AQ63</f>
        <v>5139455</v>
      </c>
      <c r="AR85" s="996"/>
      <c r="AS85" s="996"/>
      <c r="AT85" s="996"/>
      <c r="AU85" s="996"/>
      <c r="AV85" s="996"/>
      <c r="AW85" s="996"/>
      <c r="AX85" s="996"/>
      <c r="AY85" s="996"/>
      <c r="AZ85" s="996"/>
      <c r="BA85" s="996"/>
      <c r="BB85" s="996"/>
      <c r="BC85" s="996"/>
      <c r="BD85" s="996"/>
      <c r="BE85" s="996"/>
      <c r="BF85" s="996"/>
      <c r="BG85" s="996"/>
      <c r="BH85" s="996"/>
      <c r="BI85" s="996"/>
      <c r="BJ85" s="996"/>
      <c r="BK85" s="996"/>
      <c r="BL85" s="996"/>
      <c r="BM85" s="996"/>
      <c r="BN85" s="996"/>
      <c r="BO85" s="996"/>
      <c r="BP85" s="996"/>
      <c r="BQ85" s="996"/>
      <c r="BR85" s="996"/>
      <c r="BS85" s="996"/>
      <c r="BT85" s="997"/>
      <c r="BU85" s="998">
        <f>BU81+BU78+BU75+BU72+BU69+BU63</f>
        <v>0</v>
      </c>
      <c r="BV85" s="998"/>
      <c r="BW85" s="998"/>
      <c r="BX85" s="998"/>
      <c r="BY85" s="998"/>
      <c r="BZ85" s="998"/>
      <c r="CA85" s="998"/>
      <c r="CB85" s="998"/>
      <c r="CC85" s="998"/>
      <c r="CD85" s="998"/>
      <c r="CE85" s="998"/>
      <c r="CF85" s="998"/>
      <c r="CG85" s="998"/>
      <c r="CH85" s="998"/>
      <c r="CI85" s="998"/>
      <c r="CJ85" s="998"/>
      <c r="CK85" s="998"/>
      <c r="CL85" s="998"/>
      <c r="CM85" s="998"/>
      <c r="CN85" s="998"/>
      <c r="CO85" s="998"/>
      <c r="CP85" s="998"/>
      <c r="CQ85" s="998"/>
      <c r="CR85" s="998"/>
      <c r="CS85" s="998"/>
      <c r="CT85" s="998"/>
      <c r="CU85" s="998"/>
      <c r="CV85" s="998"/>
      <c r="CW85" s="998"/>
      <c r="CX85" s="998"/>
      <c r="CY85" s="998"/>
      <c r="CZ85" s="713">
        <f>SUM(CZ61:CZ81)</f>
        <v>9</v>
      </c>
    </row>
    <row r="86" spans="1:104" ht="20.100000000000001" customHeight="1">
      <c r="A86" s="724"/>
      <c r="B86" s="928"/>
      <c r="C86" s="714"/>
      <c r="D86" s="759"/>
      <c r="E86" s="757"/>
      <c r="F86" s="716"/>
      <c r="H86" s="1139"/>
      <c r="I86" s="991" t="s">
        <v>3325</v>
      </c>
      <c r="J86" s="991"/>
      <c r="K86" s="991"/>
      <c r="L86" s="991"/>
      <c r="M86" s="992">
        <f>M85+AQ85+BU85</f>
        <v>10409992</v>
      </c>
      <c r="N86" s="993"/>
      <c r="O86" s="993"/>
      <c r="P86" s="993"/>
      <c r="Q86" s="993"/>
      <c r="R86" s="993"/>
      <c r="S86" s="993"/>
      <c r="T86" s="993"/>
      <c r="U86" s="993"/>
      <c r="V86" s="993"/>
      <c r="W86" s="993"/>
      <c r="X86" s="993"/>
      <c r="Y86" s="993"/>
      <c r="Z86" s="993"/>
      <c r="AA86" s="993"/>
      <c r="AB86" s="993"/>
      <c r="AC86" s="993"/>
      <c r="AD86" s="993"/>
      <c r="AE86" s="993"/>
      <c r="AF86" s="993"/>
      <c r="AG86" s="993"/>
      <c r="AH86" s="993"/>
      <c r="AI86" s="993"/>
      <c r="AJ86" s="993"/>
      <c r="AK86" s="993"/>
      <c r="AL86" s="993"/>
      <c r="AM86" s="993"/>
      <c r="AN86" s="993"/>
      <c r="AO86" s="993"/>
      <c r="AP86" s="993"/>
      <c r="AQ86" s="993"/>
      <c r="AR86" s="993"/>
      <c r="AS86" s="993"/>
      <c r="AT86" s="993"/>
      <c r="AU86" s="993"/>
      <c r="AV86" s="993"/>
      <c r="AW86" s="993"/>
      <c r="AX86" s="993"/>
      <c r="AY86" s="993"/>
      <c r="AZ86" s="993"/>
      <c r="BA86" s="993"/>
      <c r="BB86" s="993"/>
      <c r="BC86" s="993"/>
      <c r="BD86" s="993"/>
      <c r="BE86" s="993"/>
      <c r="BF86" s="993"/>
      <c r="BG86" s="993"/>
      <c r="BH86" s="993"/>
      <c r="BI86" s="993"/>
      <c r="BJ86" s="993"/>
      <c r="BK86" s="993"/>
      <c r="BL86" s="993"/>
      <c r="BM86" s="993"/>
      <c r="BN86" s="993"/>
      <c r="BO86" s="993"/>
      <c r="BP86" s="993"/>
      <c r="BQ86" s="993"/>
      <c r="BR86" s="993"/>
      <c r="BS86" s="993"/>
      <c r="BT86" s="993"/>
      <c r="BU86" s="993"/>
      <c r="BV86" s="993"/>
      <c r="BW86" s="993"/>
      <c r="BX86" s="993"/>
      <c r="BY86" s="993"/>
      <c r="BZ86" s="993"/>
      <c r="CA86" s="993"/>
      <c r="CB86" s="993"/>
      <c r="CC86" s="993"/>
      <c r="CD86" s="993"/>
      <c r="CE86" s="993"/>
      <c r="CF86" s="993"/>
      <c r="CG86" s="993"/>
      <c r="CH86" s="993"/>
      <c r="CI86" s="993"/>
      <c r="CJ86" s="993"/>
      <c r="CK86" s="993"/>
      <c r="CL86" s="993"/>
      <c r="CM86" s="993"/>
      <c r="CN86" s="993"/>
      <c r="CO86" s="993"/>
      <c r="CP86" s="993"/>
      <c r="CQ86" s="993"/>
      <c r="CR86" s="993"/>
      <c r="CS86" s="993"/>
      <c r="CT86" s="993"/>
      <c r="CU86" s="993"/>
      <c r="CV86" s="993"/>
      <c r="CW86" s="993"/>
      <c r="CX86" s="993"/>
      <c r="CY86" s="993"/>
      <c r="CZ86" s="792"/>
    </row>
    <row r="87" spans="1:104" ht="19.899999999999999" customHeight="1" thickBot="1">
      <c r="A87" s="720" t="str">
        <f>EDIFICACION!A189</f>
        <v>V</v>
      </c>
      <c r="B87" s="1051" t="str">
        <f>EDIFICACION!B189</f>
        <v>MUROS Y PAÑETES</v>
      </c>
      <c r="C87" s="1052"/>
      <c r="D87" s="1052"/>
      <c r="E87" s="1052"/>
      <c r="F87" s="1052"/>
      <c r="G87" s="1052"/>
      <c r="H87" s="1139"/>
      <c r="I87" s="994"/>
      <c r="J87" s="994"/>
      <c r="K87" s="994"/>
      <c r="L87" s="994"/>
      <c r="M87" s="994"/>
      <c r="N87" s="994"/>
      <c r="O87" s="994"/>
      <c r="P87" s="994"/>
      <c r="Q87" s="994"/>
      <c r="R87" s="994"/>
      <c r="S87" s="994"/>
      <c r="T87" s="994"/>
      <c r="U87" s="994"/>
      <c r="V87" s="994"/>
      <c r="W87" s="994"/>
      <c r="X87" s="994"/>
      <c r="Y87" s="994"/>
      <c r="Z87" s="994"/>
      <c r="AA87" s="994"/>
      <c r="AB87" s="994"/>
      <c r="AC87" s="994"/>
      <c r="AD87" s="994"/>
      <c r="AE87" s="994"/>
      <c r="AF87" s="994"/>
      <c r="AG87" s="994"/>
      <c r="AH87" s="994"/>
      <c r="AI87" s="994"/>
      <c r="AJ87" s="994"/>
      <c r="AK87" s="994"/>
      <c r="AL87" s="994"/>
      <c r="AM87" s="994"/>
      <c r="AN87" s="994"/>
      <c r="AO87" s="994"/>
      <c r="AP87" s="994"/>
      <c r="AQ87" s="994"/>
      <c r="AR87" s="994"/>
      <c r="AS87" s="994"/>
      <c r="AT87" s="994"/>
      <c r="AU87" s="994"/>
      <c r="AV87" s="994"/>
      <c r="AW87" s="994"/>
      <c r="AX87" s="994"/>
      <c r="AY87" s="994"/>
      <c r="AZ87" s="994"/>
      <c r="BA87" s="994"/>
      <c r="BB87" s="994"/>
      <c r="BC87" s="994"/>
      <c r="BD87" s="994"/>
      <c r="BE87" s="994"/>
      <c r="BF87" s="994"/>
      <c r="BG87" s="994"/>
      <c r="BH87" s="994"/>
      <c r="BI87" s="994"/>
      <c r="BJ87" s="994"/>
      <c r="BK87" s="994"/>
      <c r="BL87" s="994"/>
      <c r="BM87" s="994"/>
      <c r="BN87" s="994"/>
      <c r="BO87" s="994"/>
      <c r="BP87" s="994"/>
      <c r="BQ87" s="994"/>
      <c r="BR87" s="994"/>
      <c r="BS87" s="994"/>
      <c r="BT87" s="994"/>
      <c r="BU87" s="994"/>
      <c r="BV87" s="994"/>
      <c r="BW87" s="994"/>
      <c r="BX87" s="994"/>
      <c r="BY87" s="994"/>
      <c r="BZ87" s="994"/>
      <c r="CA87" s="994"/>
      <c r="CB87" s="994"/>
      <c r="CC87" s="994"/>
      <c r="CD87" s="994"/>
      <c r="CE87" s="994"/>
      <c r="CF87" s="994"/>
      <c r="CG87" s="994"/>
      <c r="CH87" s="994"/>
      <c r="CI87" s="994"/>
      <c r="CJ87" s="994"/>
      <c r="CK87" s="994"/>
      <c r="CL87" s="994"/>
      <c r="CM87" s="994"/>
      <c r="CN87" s="994"/>
      <c r="CO87" s="994"/>
      <c r="CP87" s="994"/>
      <c r="CQ87" s="994"/>
      <c r="CR87" s="994"/>
      <c r="CS87" s="994"/>
      <c r="CT87" s="994"/>
      <c r="CU87" s="994"/>
      <c r="CV87" s="994"/>
      <c r="CW87" s="994"/>
      <c r="CX87" s="994"/>
      <c r="CY87" s="994"/>
      <c r="CZ87" s="994"/>
    </row>
    <row r="88" spans="1:104" ht="8.1" customHeight="1">
      <c r="A88" s="1017">
        <f>EDIFICACION!A190</f>
        <v>5.0999999999999996</v>
      </c>
      <c r="B88" s="1018" t="str">
        <f>EDIFICACION!B190</f>
        <v>PAÑETE IMPERMEABILIZADO EN MUROS 1:4</v>
      </c>
      <c r="C88" s="1016" t="str">
        <f>EDIFICACION!C190</f>
        <v>M2</v>
      </c>
      <c r="D88" s="1015">
        <f>(96.3*1.97)+(110.18*2)+(7.28*0.34*3)+(7.28*0.15)+(6.12*0.33*3)+(6.12*0.15)+(9.83*0.8*2)+(9.83*0.61*2)+(0.8*0.3*2)+(0.61*3.18*2)+(0.43*0.3)+(6.98*1.77*4)</f>
        <v>507.19300000000004</v>
      </c>
      <c r="E88" s="1014">
        <f>EDIFICACION!F190</f>
        <v>20431</v>
      </c>
      <c r="F88" s="1012">
        <f>E88*D88</f>
        <v>10362460.183</v>
      </c>
      <c r="G88" s="1013">
        <f>F88/F259</f>
        <v>3.1289977237809116E-2</v>
      </c>
      <c r="H88" s="1139"/>
      <c r="I88" s="982" t="s">
        <v>3371</v>
      </c>
      <c r="J88" s="985" t="s">
        <v>3369</v>
      </c>
      <c r="K88" s="985" t="s">
        <v>3372</v>
      </c>
      <c r="L88" s="806" t="s">
        <v>3318</v>
      </c>
      <c r="M88" s="988"/>
      <c r="N88" s="952"/>
      <c r="O88" s="952"/>
      <c r="P88" s="952"/>
      <c r="Q88" s="952"/>
      <c r="R88" s="952"/>
      <c r="S88" s="952"/>
      <c r="T88" s="952"/>
      <c r="U88" s="952"/>
      <c r="V88" s="952"/>
      <c r="W88" s="952"/>
      <c r="X88" s="952"/>
      <c r="Y88" s="952"/>
      <c r="Z88" s="952"/>
      <c r="AA88" s="1007"/>
      <c r="AB88" s="952"/>
      <c r="AC88" s="952"/>
      <c r="AD88" s="952"/>
      <c r="AE88" s="952"/>
      <c r="AF88" s="952"/>
      <c r="AG88" s="952"/>
      <c r="AH88" s="952"/>
      <c r="AI88" s="952"/>
      <c r="AJ88" s="952"/>
      <c r="AK88" s="952"/>
      <c r="AL88" s="952"/>
      <c r="AM88" s="952"/>
      <c r="AN88" s="952"/>
      <c r="AO88" s="951">
        <f>F88/CZ88*2</f>
        <v>2302768.9295555558</v>
      </c>
      <c r="AP88" s="951"/>
      <c r="AQ88" s="951"/>
      <c r="AR88" s="951"/>
      <c r="AS88" s="951"/>
      <c r="AT88" s="951"/>
      <c r="AU88" s="951"/>
      <c r="AV88" s="951">
        <f>F88/CZ88*7</f>
        <v>8059691.2534444453</v>
      </c>
      <c r="AW88" s="951"/>
      <c r="AX88" s="951"/>
      <c r="AY88" s="951"/>
      <c r="AZ88" s="951"/>
      <c r="BA88" s="951"/>
      <c r="BB88" s="951"/>
      <c r="BC88" s="952"/>
      <c r="BD88" s="952"/>
      <c r="BE88" s="952"/>
      <c r="BF88" s="952"/>
      <c r="BG88" s="952"/>
      <c r="BH88" s="952"/>
      <c r="BI88" s="952"/>
      <c r="BJ88" s="952"/>
      <c r="BK88" s="952"/>
      <c r="BL88" s="952"/>
      <c r="BM88" s="952"/>
      <c r="BN88" s="952"/>
      <c r="BO88" s="952"/>
      <c r="BP88" s="952"/>
      <c r="BQ88" s="952"/>
      <c r="BR88" s="952"/>
      <c r="BS88" s="952"/>
      <c r="BT88" s="952"/>
      <c r="BU88" s="952"/>
      <c r="BV88" s="952"/>
      <c r="BW88" s="952"/>
      <c r="BX88" s="952"/>
      <c r="BY88" s="952"/>
      <c r="BZ88" s="952"/>
      <c r="CA88" s="952"/>
      <c r="CB88" s="952"/>
      <c r="CC88" s="952"/>
      <c r="CD88" s="952"/>
      <c r="CE88" s="952"/>
      <c r="CF88" s="952"/>
      <c r="CG88" s="952"/>
      <c r="CH88" s="952"/>
      <c r="CI88" s="952"/>
      <c r="CJ88" s="952"/>
      <c r="CK88" s="952"/>
      <c r="CL88" s="952"/>
      <c r="CM88" s="952"/>
      <c r="CN88" s="952"/>
      <c r="CO88" s="952"/>
      <c r="CP88" s="952"/>
      <c r="CQ88" s="952"/>
      <c r="CR88" s="952"/>
      <c r="CS88" s="952"/>
      <c r="CT88" s="952"/>
      <c r="CU88" s="952"/>
      <c r="CV88" s="952"/>
      <c r="CW88" s="952"/>
      <c r="CX88" s="952"/>
      <c r="CY88" s="952"/>
      <c r="CZ88" s="953">
        <v>9</v>
      </c>
    </row>
    <row r="89" spans="1:104" ht="8.1" customHeight="1">
      <c r="A89" s="938"/>
      <c r="B89" s="940"/>
      <c r="C89" s="1008"/>
      <c r="D89" s="942"/>
      <c r="E89" s="944"/>
      <c r="F89" s="946"/>
      <c r="G89" s="948"/>
      <c r="H89" s="1139"/>
      <c r="I89" s="983"/>
      <c r="J89" s="986"/>
      <c r="K89" s="986"/>
      <c r="L89" s="807" t="s">
        <v>3319</v>
      </c>
      <c r="M89" s="811">
        <v>1</v>
      </c>
      <c r="N89" s="810">
        <v>2</v>
      </c>
      <c r="O89" s="810">
        <v>3</v>
      </c>
      <c r="P89" s="810">
        <v>4</v>
      </c>
      <c r="Q89" s="810">
        <v>5</v>
      </c>
      <c r="R89" s="810">
        <v>6</v>
      </c>
      <c r="S89" s="810">
        <v>7</v>
      </c>
      <c r="T89" s="810">
        <v>1</v>
      </c>
      <c r="U89" s="810">
        <v>2</v>
      </c>
      <c r="V89" s="810">
        <v>3</v>
      </c>
      <c r="W89" s="810">
        <v>4</v>
      </c>
      <c r="X89" s="810">
        <v>5</v>
      </c>
      <c r="Y89" s="810">
        <v>6</v>
      </c>
      <c r="Z89" s="810">
        <v>7</v>
      </c>
      <c r="AA89" s="810">
        <v>1</v>
      </c>
      <c r="AB89" s="810">
        <v>2</v>
      </c>
      <c r="AC89" s="810">
        <v>3</v>
      </c>
      <c r="AD89" s="810">
        <v>4</v>
      </c>
      <c r="AE89" s="810">
        <v>5</v>
      </c>
      <c r="AF89" s="810">
        <v>6</v>
      </c>
      <c r="AG89" s="810">
        <v>7</v>
      </c>
      <c r="AH89" s="810">
        <v>1</v>
      </c>
      <c r="AI89" s="810">
        <v>2</v>
      </c>
      <c r="AJ89" s="810">
        <v>3</v>
      </c>
      <c r="AK89" s="810">
        <v>4</v>
      </c>
      <c r="AL89" s="810">
        <v>5</v>
      </c>
      <c r="AM89" s="810">
        <v>6</v>
      </c>
      <c r="AN89" s="810">
        <v>7</v>
      </c>
      <c r="AO89" s="810">
        <v>1</v>
      </c>
      <c r="AP89" s="810">
        <v>2</v>
      </c>
      <c r="AQ89" s="810">
        <v>3</v>
      </c>
      <c r="AR89" s="810">
        <v>4</v>
      </c>
      <c r="AS89" s="810">
        <v>5</v>
      </c>
      <c r="AT89" s="812">
        <v>6</v>
      </c>
      <c r="AU89" s="812">
        <v>7</v>
      </c>
      <c r="AV89" s="812">
        <v>1</v>
      </c>
      <c r="AW89" s="812">
        <v>2</v>
      </c>
      <c r="AX89" s="812">
        <v>3</v>
      </c>
      <c r="AY89" s="812">
        <v>4</v>
      </c>
      <c r="AZ89" s="812">
        <v>5</v>
      </c>
      <c r="BA89" s="812">
        <v>6</v>
      </c>
      <c r="BB89" s="812">
        <v>7</v>
      </c>
      <c r="BC89" s="810">
        <v>1</v>
      </c>
      <c r="BD89" s="810">
        <v>2</v>
      </c>
      <c r="BE89" s="810">
        <v>3</v>
      </c>
      <c r="BF89" s="810">
        <v>4</v>
      </c>
      <c r="BG89" s="810">
        <v>5</v>
      </c>
      <c r="BH89" s="810">
        <v>6</v>
      </c>
      <c r="BI89" s="810">
        <v>7</v>
      </c>
      <c r="BJ89" s="810">
        <v>1</v>
      </c>
      <c r="BK89" s="810">
        <v>2</v>
      </c>
      <c r="BL89" s="810">
        <v>3</v>
      </c>
      <c r="BM89" s="810">
        <v>4</v>
      </c>
      <c r="BN89" s="810">
        <v>5</v>
      </c>
      <c r="BO89" s="810">
        <v>6</v>
      </c>
      <c r="BP89" s="810">
        <v>7</v>
      </c>
      <c r="BQ89" s="810">
        <v>1</v>
      </c>
      <c r="BR89" s="810">
        <v>2</v>
      </c>
      <c r="BS89" s="810">
        <v>3</v>
      </c>
      <c r="BT89" s="810">
        <v>4</v>
      </c>
      <c r="BU89" s="810">
        <v>5</v>
      </c>
      <c r="BV89" s="810">
        <v>6</v>
      </c>
      <c r="BW89" s="810">
        <v>7</v>
      </c>
      <c r="BX89" s="810">
        <v>1</v>
      </c>
      <c r="BY89" s="810">
        <v>2</v>
      </c>
      <c r="BZ89" s="810">
        <v>3</v>
      </c>
      <c r="CA89" s="810">
        <v>4</v>
      </c>
      <c r="CB89" s="810">
        <v>5</v>
      </c>
      <c r="CC89" s="810">
        <v>6</v>
      </c>
      <c r="CD89" s="810">
        <v>7</v>
      </c>
      <c r="CE89" s="810">
        <v>1</v>
      </c>
      <c r="CF89" s="810">
        <v>2</v>
      </c>
      <c r="CG89" s="810">
        <v>3</v>
      </c>
      <c r="CH89" s="810">
        <v>4</v>
      </c>
      <c r="CI89" s="810">
        <v>5</v>
      </c>
      <c r="CJ89" s="810">
        <v>6</v>
      </c>
      <c r="CK89" s="810">
        <v>7</v>
      </c>
      <c r="CL89" s="810">
        <v>1</v>
      </c>
      <c r="CM89" s="810">
        <v>2</v>
      </c>
      <c r="CN89" s="810">
        <v>3</v>
      </c>
      <c r="CO89" s="810">
        <v>4</v>
      </c>
      <c r="CP89" s="810">
        <v>5</v>
      </c>
      <c r="CQ89" s="810">
        <v>6</v>
      </c>
      <c r="CR89" s="810">
        <v>7</v>
      </c>
      <c r="CS89" s="810">
        <v>1</v>
      </c>
      <c r="CT89" s="810">
        <v>2</v>
      </c>
      <c r="CU89" s="810">
        <v>3</v>
      </c>
      <c r="CV89" s="810">
        <v>4</v>
      </c>
      <c r="CW89" s="810">
        <v>5</v>
      </c>
      <c r="CX89" s="781">
        <v>6</v>
      </c>
      <c r="CY89" s="781">
        <v>7</v>
      </c>
      <c r="CZ89" s="954"/>
    </row>
    <row r="90" spans="1:104" ht="8.1" customHeight="1" thickBot="1">
      <c r="A90" s="938"/>
      <c r="B90" s="940"/>
      <c r="C90" s="1008"/>
      <c r="D90" s="942"/>
      <c r="E90" s="944"/>
      <c r="F90" s="946"/>
      <c r="G90" s="948"/>
      <c r="H90" s="1139"/>
      <c r="I90" s="984"/>
      <c r="J90" s="987"/>
      <c r="K90" s="987"/>
      <c r="L90" s="808" t="s">
        <v>3320</v>
      </c>
      <c r="M90" s="955"/>
      <c r="N90" s="956"/>
      <c r="O90" s="956"/>
      <c r="P90" s="956"/>
      <c r="Q90" s="956"/>
      <c r="R90" s="956"/>
      <c r="S90" s="956"/>
      <c r="T90" s="956"/>
      <c r="U90" s="956"/>
      <c r="V90" s="956"/>
      <c r="W90" s="956"/>
      <c r="X90" s="956"/>
      <c r="Y90" s="956"/>
      <c r="Z90" s="956"/>
      <c r="AA90" s="956"/>
      <c r="AB90" s="956"/>
      <c r="AC90" s="956"/>
      <c r="AD90" s="956"/>
      <c r="AE90" s="956"/>
      <c r="AF90" s="956"/>
      <c r="AG90" s="956"/>
      <c r="AH90" s="956"/>
      <c r="AI90" s="956"/>
      <c r="AJ90" s="956"/>
      <c r="AK90" s="956"/>
      <c r="AL90" s="956"/>
      <c r="AM90" s="956"/>
      <c r="AN90" s="956"/>
      <c r="AO90" s="956"/>
      <c r="AP90" s="956"/>
      <c r="AQ90" s="956">
        <f>AO88+AV88+BC88+BJ88</f>
        <v>10362460.183000002</v>
      </c>
      <c r="AR90" s="956"/>
      <c r="AS90" s="956"/>
      <c r="AT90" s="956"/>
      <c r="AU90" s="956"/>
      <c r="AV90" s="956"/>
      <c r="AW90" s="956"/>
      <c r="AX90" s="956"/>
      <c r="AY90" s="956"/>
      <c r="AZ90" s="956"/>
      <c r="BA90" s="956"/>
      <c r="BB90" s="956"/>
      <c r="BC90" s="956"/>
      <c r="BD90" s="956"/>
      <c r="BE90" s="956"/>
      <c r="BF90" s="956"/>
      <c r="BG90" s="956"/>
      <c r="BH90" s="956"/>
      <c r="BI90" s="956"/>
      <c r="BJ90" s="956"/>
      <c r="BK90" s="956"/>
      <c r="BL90" s="956"/>
      <c r="BM90" s="956"/>
      <c r="BN90" s="956"/>
      <c r="BO90" s="956"/>
      <c r="BP90" s="956"/>
      <c r="BQ90" s="956"/>
      <c r="BR90" s="956"/>
      <c r="BS90" s="956"/>
      <c r="BT90" s="956"/>
      <c r="BU90" s="956"/>
      <c r="BV90" s="956"/>
      <c r="BW90" s="956"/>
      <c r="BX90" s="956"/>
      <c r="BY90" s="956"/>
      <c r="BZ90" s="956"/>
      <c r="CA90" s="956"/>
      <c r="CB90" s="956"/>
      <c r="CC90" s="956"/>
      <c r="CD90" s="956"/>
      <c r="CE90" s="956"/>
      <c r="CF90" s="956"/>
      <c r="CG90" s="956"/>
      <c r="CH90" s="956"/>
      <c r="CI90" s="956"/>
      <c r="CJ90" s="956"/>
      <c r="CK90" s="956"/>
      <c r="CL90" s="956"/>
      <c r="CM90" s="956"/>
      <c r="CN90" s="956"/>
      <c r="CO90" s="956"/>
      <c r="CP90" s="956"/>
      <c r="CQ90" s="956"/>
      <c r="CR90" s="956"/>
      <c r="CS90" s="956"/>
      <c r="CT90" s="956"/>
      <c r="CU90" s="956"/>
      <c r="CV90" s="956"/>
      <c r="CW90" s="956"/>
      <c r="CX90" s="956"/>
      <c r="CY90" s="956"/>
      <c r="CZ90" s="954"/>
    </row>
    <row r="91" spans="1:104" ht="10.5" customHeight="1">
      <c r="A91" s="1306">
        <f>EDIFICACION!A214</f>
        <v>5.4</v>
      </c>
      <c r="B91" s="1307" t="str">
        <f>EDIFICACION!B214</f>
        <v>MURO  SENCILLO 0.15, H=15 LADRILLO RUSTICO 6X11X24CM INCLUYE MORTERO 1:4</v>
      </c>
      <c r="C91" s="1310" t="str">
        <f>EDIFICACION!C214</f>
        <v>Ml</v>
      </c>
      <c r="D91" s="1311">
        <v>16</v>
      </c>
      <c r="E91" s="944">
        <f>EDIFICACION!F214</f>
        <v>16437</v>
      </c>
      <c r="F91" s="946">
        <f t="shared" si="2"/>
        <v>262992</v>
      </c>
      <c r="G91" s="948">
        <f>F91/F259</f>
        <v>7.9411776242343461E-4</v>
      </c>
      <c r="H91" s="1139"/>
      <c r="I91" s="982" t="s">
        <v>3339</v>
      </c>
      <c r="J91" s="985" t="s">
        <v>3373</v>
      </c>
      <c r="K91" s="985" t="s">
        <v>3369</v>
      </c>
      <c r="L91" s="806" t="s">
        <v>3318</v>
      </c>
      <c r="M91" s="1005"/>
      <c r="N91" s="952"/>
      <c r="O91" s="952"/>
      <c r="P91" s="952"/>
      <c r="Q91" s="952"/>
      <c r="R91" s="952"/>
      <c r="S91" s="952"/>
      <c r="T91" s="952"/>
      <c r="U91" s="952"/>
      <c r="V91" s="952"/>
      <c r="W91" s="952"/>
      <c r="X91" s="952"/>
      <c r="Y91" s="952"/>
      <c r="Z91" s="952"/>
      <c r="AA91" s="952"/>
      <c r="AB91" s="952"/>
      <c r="AC91" s="952"/>
      <c r="AD91" s="952"/>
      <c r="AE91" s="952"/>
      <c r="AF91" s="952"/>
      <c r="AG91" s="952"/>
      <c r="AH91" s="952"/>
      <c r="AI91" s="952"/>
      <c r="AJ91" s="952"/>
      <c r="AK91" s="952"/>
      <c r="AL91" s="952"/>
      <c r="AM91" s="952"/>
      <c r="AN91" s="952"/>
      <c r="AO91" s="951">
        <f>F91/CZ91*1</f>
        <v>262992</v>
      </c>
      <c r="AP91" s="951"/>
      <c r="AQ91" s="951"/>
      <c r="AR91" s="951"/>
      <c r="AS91" s="951"/>
      <c r="AT91" s="951"/>
      <c r="AU91" s="951"/>
      <c r="AV91" s="952"/>
      <c r="AW91" s="952"/>
      <c r="AX91" s="952"/>
      <c r="AY91" s="952"/>
      <c r="AZ91" s="952"/>
      <c r="BA91" s="952"/>
      <c r="BB91" s="952"/>
      <c r="BC91" s="952"/>
      <c r="BD91" s="952"/>
      <c r="BE91" s="952"/>
      <c r="BF91" s="952"/>
      <c r="BG91" s="952"/>
      <c r="BH91" s="952"/>
      <c r="BI91" s="952"/>
      <c r="BJ91" s="952"/>
      <c r="BK91" s="952"/>
      <c r="BL91" s="952"/>
      <c r="BM91" s="952"/>
      <c r="BN91" s="952"/>
      <c r="BO91" s="952"/>
      <c r="BP91" s="952"/>
      <c r="BQ91" s="952"/>
      <c r="BR91" s="952"/>
      <c r="BS91" s="952"/>
      <c r="BT91" s="952"/>
      <c r="BU91" s="952"/>
      <c r="BV91" s="952"/>
      <c r="BW91" s="952"/>
      <c r="BX91" s="952"/>
      <c r="BY91" s="952"/>
      <c r="BZ91" s="952"/>
      <c r="CA91" s="952"/>
      <c r="CB91" s="952"/>
      <c r="CC91" s="952"/>
      <c r="CD91" s="952"/>
      <c r="CE91" s="952"/>
      <c r="CF91" s="952"/>
      <c r="CG91" s="952"/>
      <c r="CH91" s="952"/>
      <c r="CI91" s="952"/>
      <c r="CJ91" s="952"/>
      <c r="CK91" s="952"/>
      <c r="CL91" s="952"/>
      <c r="CM91" s="952"/>
      <c r="CN91" s="952"/>
      <c r="CO91" s="952"/>
      <c r="CP91" s="952"/>
      <c r="CQ91" s="952"/>
      <c r="CR91" s="952"/>
      <c r="CS91" s="952"/>
      <c r="CT91" s="952"/>
      <c r="CU91" s="952"/>
      <c r="CV91" s="952"/>
      <c r="CW91" s="952"/>
      <c r="CX91" s="952"/>
      <c r="CY91" s="952"/>
      <c r="CZ91" s="953">
        <v>1</v>
      </c>
    </row>
    <row r="92" spans="1:104" ht="10.5" customHeight="1">
      <c r="A92" s="1306"/>
      <c r="B92" s="1307"/>
      <c r="C92" s="1310"/>
      <c r="D92" s="1311"/>
      <c r="E92" s="944"/>
      <c r="F92" s="946"/>
      <c r="G92" s="948"/>
      <c r="H92" s="1139"/>
      <c r="I92" s="983"/>
      <c r="J92" s="986"/>
      <c r="K92" s="986"/>
      <c r="L92" s="807" t="s">
        <v>3319</v>
      </c>
      <c r="M92" s="811">
        <v>1</v>
      </c>
      <c r="N92" s="810">
        <v>2</v>
      </c>
      <c r="O92" s="810">
        <v>3</v>
      </c>
      <c r="P92" s="810">
        <v>4</v>
      </c>
      <c r="Q92" s="810">
        <v>5</v>
      </c>
      <c r="R92" s="810">
        <v>6</v>
      </c>
      <c r="S92" s="810">
        <v>7</v>
      </c>
      <c r="T92" s="810">
        <v>1</v>
      </c>
      <c r="U92" s="810">
        <v>2</v>
      </c>
      <c r="V92" s="810">
        <v>3</v>
      </c>
      <c r="W92" s="810">
        <v>4</v>
      </c>
      <c r="X92" s="810">
        <v>5</v>
      </c>
      <c r="Y92" s="810">
        <v>6</v>
      </c>
      <c r="Z92" s="810">
        <v>7</v>
      </c>
      <c r="AA92" s="810">
        <v>1</v>
      </c>
      <c r="AB92" s="810">
        <v>2</v>
      </c>
      <c r="AC92" s="810">
        <v>3</v>
      </c>
      <c r="AD92" s="810">
        <v>4</v>
      </c>
      <c r="AE92" s="810">
        <v>5</v>
      </c>
      <c r="AF92" s="810">
        <v>6</v>
      </c>
      <c r="AG92" s="810">
        <v>7</v>
      </c>
      <c r="AH92" s="810">
        <v>1</v>
      </c>
      <c r="AI92" s="810">
        <v>2</v>
      </c>
      <c r="AJ92" s="810">
        <v>3</v>
      </c>
      <c r="AK92" s="810">
        <v>4</v>
      </c>
      <c r="AL92" s="810">
        <v>5</v>
      </c>
      <c r="AM92" s="810">
        <v>6</v>
      </c>
      <c r="AN92" s="810">
        <v>7</v>
      </c>
      <c r="AO92" s="810">
        <v>1</v>
      </c>
      <c r="AP92" s="810">
        <v>2</v>
      </c>
      <c r="AQ92" s="810">
        <v>3</v>
      </c>
      <c r="AR92" s="810">
        <v>4</v>
      </c>
      <c r="AS92" s="812">
        <v>5</v>
      </c>
      <c r="AT92" s="810">
        <v>6</v>
      </c>
      <c r="AU92" s="810">
        <v>7</v>
      </c>
      <c r="AV92" s="810">
        <v>1</v>
      </c>
      <c r="AW92" s="810">
        <v>2</v>
      </c>
      <c r="AX92" s="810">
        <v>3</v>
      </c>
      <c r="AY92" s="810">
        <v>4</v>
      </c>
      <c r="AZ92" s="810">
        <v>5</v>
      </c>
      <c r="BA92" s="810">
        <v>6</v>
      </c>
      <c r="BB92" s="810">
        <v>7</v>
      </c>
      <c r="BC92" s="810">
        <v>1</v>
      </c>
      <c r="BD92" s="810">
        <v>2</v>
      </c>
      <c r="BE92" s="810">
        <v>3</v>
      </c>
      <c r="BF92" s="810">
        <v>4</v>
      </c>
      <c r="BG92" s="810">
        <v>5</v>
      </c>
      <c r="BH92" s="810">
        <v>6</v>
      </c>
      <c r="BI92" s="810">
        <v>7</v>
      </c>
      <c r="BJ92" s="810">
        <v>1</v>
      </c>
      <c r="BK92" s="810">
        <v>2</v>
      </c>
      <c r="BL92" s="810">
        <v>3</v>
      </c>
      <c r="BM92" s="810">
        <v>4</v>
      </c>
      <c r="BN92" s="810">
        <v>5</v>
      </c>
      <c r="BO92" s="810">
        <v>6</v>
      </c>
      <c r="BP92" s="810">
        <v>7</v>
      </c>
      <c r="BQ92" s="810">
        <v>1</v>
      </c>
      <c r="BR92" s="810">
        <v>2</v>
      </c>
      <c r="BS92" s="810">
        <v>3</v>
      </c>
      <c r="BT92" s="810">
        <v>4</v>
      </c>
      <c r="BU92" s="810">
        <v>5</v>
      </c>
      <c r="BV92" s="810">
        <v>6</v>
      </c>
      <c r="BW92" s="810">
        <v>7</v>
      </c>
      <c r="BX92" s="810">
        <v>1</v>
      </c>
      <c r="BY92" s="810">
        <v>2</v>
      </c>
      <c r="BZ92" s="810">
        <v>3</v>
      </c>
      <c r="CA92" s="810">
        <v>4</v>
      </c>
      <c r="CB92" s="810">
        <v>5</v>
      </c>
      <c r="CC92" s="810">
        <v>6</v>
      </c>
      <c r="CD92" s="810">
        <v>7</v>
      </c>
      <c r="CE92" s="810">
        <v>1</v>
      </c>
      <c r="CF92" s="810">
        <v>2</v>
      </c>
      <c r="CG92" s="810">
        <v>3</v>
      </c>
      <c r="CH92" s="810">
        <v>4</v>
      </c>
      <c r="CI92" s="810">
        <v>5</v>
      </c>
      <c r="CJ92" s="810">
        <v>6</v>
      </c>
      <c r="CK92" s="810">
        <v>7</v>
      </c>
      <c r="CL92" s="810">
        <v>1</v>
      </c>
      <c r="CM92" s="810">
        <v>2</v>
      </c>
      <c r="CN92" s="810">
        <v>3</v>
      </c>
      <c r="CO92" s="810">
        <v>4</v>
      </c>
      <c r="CP92" s="810">
        <v>5</v>
      </c>
      <c r="CQ92" s="810">
        <v>6</v>
      </c>
      <c r="CR92" s="810">
        <v>7</v>
      </c>
      <c r="CS92" s="810">
        <v>1</v>
      </c>
      <c r="CT92" s="810">
        <v>2</v>
      </c>
      <c r="CU92" s="810">
        <v>3</v>
      </c>
      <c r="CV92" s="810">
        <v>4</v>
      </c>
      <c r="CW92" s="810">
        <v>5</v>
      </c>
      <c r="CX92" s="781">
        <v>6</v>
      </c>
      <c r="CY92" s="781">
        <v>7</v>
      </c>
      <c r="CZ92" s="954"/>
    </row>
    <row r="93" spans="1:104" ht="10.5" customHeight="1" thickBot="1">
      <c r="A93" s="1306"/>
      <c r="B93" s="1307"/>
      <c r="C93" s="1310"/>
      <c r="D93" s="1311"/>
      <c r="E93" s="944"/>
      <c r="F93" s="946"/>
      <c r="G93" s="948"/>
      <c r="H93" s="1139"/>
      <c r="I93" s="984"/>
      <c r="J93" s="987"/>
      <c r="K93" s="987"/>
      <c r="L93" s="808" t="s">
        <v>3320</v>
      </c>
      <c r="M93" s="955"/>
      <c r="N93" s="956"/>
      <c r="O93" s="956"/>
      <c r="P93" s="956"/>
      <c r="Q93" s="956"/>
      <c r="R93" s="956"/>
      <c r="S93" s="956"/>
      <c r="T93" s="956"/>
      <c r="U93" s="956"/>
      <c r="V93" s="956"/>
      <c r="W93" s="956"/>
      <c r="X93" s="956"/>
      <c r="Y93" s="956"/>
      <c r="Z93" s="956"/>
      <c r="AA93" s="956"/>
      <c r="AB93" s="956"/>
      <c r="AC93" s="956"/>
      <c r="AD93" s="956"/>
      <c r="AE93" s="956"/>
      <c r="AF93" s="956"/>
      <c r="AG93" s="956"/>
      <c r="AH93" s="956"/>
      <c r="AI93" s="956"/>
      <c r="AJ93" s="956"/>
      <c r="AK93" s="956"/>
      <c r="AL93" s="956"/>
      <c r="AM93" s="956"/>
      <c r="AN93" s="956"/>
      <c r="AO93" s="956"/>
      <c r="AP93" s="956"/>
      <c r="AQ93" s="956">
        <f>AO91+AV91+BC91+BJ91</f>
        <v>262992</v>
      </c>
      <c r="AR93" s="956"/>
      <c r="AS93" s="956"/>
      <c r="AT93" s="956"/>
      <c r="AU93" s="956"/>
      <c r="AV93" s="956"/>
      <c r="AW93" s="956"/>
      <c r="AX93" s="956"/>
      <c r="AY93" s="956"/>
      <c r="AZ93" s="956"/>
      <c r="BA93" s="956"/>
      <c r="BB93" s="956"/>
      <c r="BC93" s="956"/>
      <c r="BD93" s="956"/>
      <c r="BE93" s="956"/>
      <c r="BF93" s="956"/>
      <c r="BG93" s="956"/>
      <c r="BH93" s="956"/>
      <c r="BI93" s="956"/>
      <c r="BJ93" s="956"/>
      <c r="BK93" s="956"/>
      <c r="BL93" s="956"/>
      <c r="BM93" s="956"/>
      <c r="BN93" s="956"/>
      <c r="BO93" s="956"/>
      <c r="BP93" s="956"/>
      <c r="BQ93" s="956"/>
      <c r="BR93" s="956"/>
      <c r="BS93" s="956"/>
      <c r="BT93" s="956"/>
      <c r="BU93" s="956"/>
      <c r="BV93" s="956"/>
      <c r="BW93" s="956"/>
      <c r="BX93" s="956"/>
      <c r="BY93" s="956"/>
      <c r="BZ93" s="956"/>
      <c r="CA93" s="956"/>
      <c r="CB93" s="956"/>
      <c r="CC93" s="956"/>
      <c r="CD93" s="956"/>
      <c r="CE93" s="956"/>
      <c r="CF93" s="956"/>
      <c r="CG93" s="956"/>
      <c r="CH93" s="956"/>
      <c r="CI93" s="956"/>
      <c r="CJ93" s="956"/>
      <c r="CK93" s="956"/>
      <c r="CL93" s="956"/>
      <c r="CM93" s="956"/>
      <c r="CN93" s="956"/>
      <c r="CO93" s="956"/>
      <c r="CP93" s="956"/>
      <c r="CQ93" s="956"/>
      <c r="CR93" s="956"/>
      <c r="CS93" s="956"/>
      <c r="CT93" s="956"/>
      <c r="CU93" s="956"/>
      <c r="CV93" s="956"/>
      <c r="CW93" s="956"/>
      <c r="CX93" s="956"/>
      <c r="CY93" s="956"/>
      <c r="CZ93" s="954"/>
    </row>
    <row r="94" spans="1:104" ht="8.1" customHeight="1">
      <c r="A94" s="938">
        <f>EDIFICACION!A223</f>
        <v>5.5</v>
      </c>
      <c r="B94" s="1110" t="str">
        <f>EDIFICACION!B223</f>
        <v>MURO PARA SOPORTE DE PLACA DE CONCRETO PARA LAVAAMOS</v>
      </c>
      <c r="C94" s="1008" t="str">
        <f>EDIFICACION!C223</f>
        <v>UN</v>
      </c>
      <c r="D94" s="942">
        <v>9</v>
      </c>
      <c r="E94" s="944">
        <f>EDIFICACION!F223</f>
        <v>41503</v>
      </c>
      <c r="F94" s="946">
        <f t="shared" si="2"/>
        <v>373527</v>
      </c>
      <c r="G94" s="948">
        <f>F94/F259</f>
        <v>1.1278838346593747E-3</v>
      </c>
      <c r="H94" s="1139"/>
      <c r="I94" s="982" t="s">
        <v>3339</v>
      </c>
      <c r="J94" s="985" t="s">
        <v>3373</v>
      </c>
      <c r="K94" s="985" t="s">
        <v>3369</v>
      </c>
      <c r="L94" s="806" t="s">
        <v>3318</v>
      </c>
      <c r="M94" s="1005"/>
      <c r="N94" s="952"/>
      <c r="O94" s="952"/>
      <c r="P94" s="952"/>
      <c r="Q94" s="952"/>
      <c r="R94" s="952"/>
      <c r="S94" s="952"/>
      <c r="T94" s="952"/>
      <c r="U94" s="952"/>
      <c r="V94" s="952"/>
      <c r="W94" s="952"/>
      <c r="X94" s="952"/>
      <c r="Y94" s="952"/>
      <c r="Z94" s="952"/>
      <c r="AA94" s="952"/>
      <c r="AB94" s="952"/>
      <c r="AC94" s="952"/>
      <c r="AD94" s="952"/>
      <c r="AE94" s="952"/>
      <c r="AF94" s="952"/>
      <c r="AG94" s="952"/>
      <c r="AH94" s="952"/>
      <c r="AI94" s="952"/>
      <c r="AJ94" s="952"/>
      <c r="AK94" s="952"/>
      <c r="AL94" s="952"/>
      <c r="AM94" s="952"/>
      <c r="AN94" s="952"/>
      <c r="AO94" s="951">
        <f>F94/CZ94*1</f>
        <v>373527</v>
      </c>
      <c r="AP94" s="951"/>
      <c r="AQ94" s="951"/>
      <c r="AR94" s="951"/>
      <c r="AS94" s="951"/>
      <c r="AT94" s="951"/>
      <c r="AU94" s="951"/>
      <c r="AV94" s="952"/>
      <c r="AW94" s="952"/>
      <c r="AX94" s="952"/>
      <c r="AY94" s="952"/>
      <c r="AZ94" s="952"/>
      <c r="BA94" s="952"/>
      <c r="BB94" s="952"/>
      <c r="BC94" s="952"/>
      <c r="BD94" s="952"/>
      <c r="BE94" s="952"/>
      <c r="BF94" s="952"/>
      <c r="BG94" s="952"/>
      <c r="BH94" s="952"/>
      <c r="BI94" s="952"/>
      <c r="BJ94" s="952"/>
      <c r="BK94" s="952"/>
      <c r="BL94" s="952"/>
      <c r="BM94" s="952"/>
      <c r="BN94" s="952"/>
      <c r="BO94" s="952"/>
      <c r="BP94" s="952"/>
      <c r="BQ94" s="952"/>
      <c r="BR94" s="952"/>
      <c r="BS94" s="952"/>
      <c r="BT94" s="952"/>
      <c r="BU94" s="952"/>
      <c r="BV94" s="952"/>
      <c r="BW94" s="952"/>
      <c r="BX94" s="952"/>
      <c r="BY94" s="952"/>
      <c r="BZ94" s="952"/>
      <c r="CA94" s="952"/>
      <c r="CB94" s="952"/>
      <c r="CC94" s="952"/>
      <c r="CD94" s="952"/>
      <c r="CE94" s="952"/>
      <c r="CF94" s="952"/>
      <c r="CG94" s="952"/>
      <c r="CH94" s="952"/>
      <c r="CI94" s="952"/>
      <c r="CJ94" s="952"/>
      <c r="CK94" s="952"/>
      <c r="CL94" s="952"/>
      <c r="CM94" s="952"/>
      <c r="CN94" s="952"/>
      <c r="CO94" s="952"/>
      <c r="CP94" s="952"/>
      <c r="CQ94" s="952"/>
      <c r="CR94" s="952"/>
      <c r="CS94" s="952"/>
      <c r="CT94" s="952"/>
      <c r="CU94" s="952"/>
      <c r="CV94" s="952"/>
      <c r="CW94" s="952"/>
      <c r="CX94" s="952"/>
      <c r="CY94" s="952"/>
      <c r="CZ94" s="953">
        <v>1</v>
      </c>
    </row>
    <row r="95" spans="1:104" ht="8.1" customHeight="1">
      <c r="A95" s="938"/>
      <c r="B95" s="1110"/>
      <c r="C95" s="1008"/>
      <c r="D95" s="942"/>
      <c r="E95" s="944"/>
      <c r="F95" s="946"/>
      <c r="G95" s="948"/>
      <c r="H95" s="1139"/>
      <c r="I95" s="983"/>
      <c r="J95" s="986"/>
      <c r="K95" s="986"/>
      <c r="L95" s="807" t="s">
        <v>3319</v>
      </c>
      <c r="M95" s="811">
        <v>1</v>
      </c>
      <c r="N95" s="810">
        <v>2</v>
      </c>
      <c r="O95" s="810">
        <v>3</v>
      </c>
      <c r="P95" s="810">
        <v>4</v>
      </c>
      <c r="Q95" s="810">
        <v>5</v>
      </c>
      <c r="R95" s="810">
        <v>6</v>
      </c>
      <c r="S95" s="810">
        <v>7</v>
      </c>
      <c r="T95" s="810">
        <v>1</v>
      </c>
      <c r="U95" s="810">
        <v>2</v>
      </c>
      <c r="V95" s="810">
        <v>3</v>
      </c>
      <c r="W95" s="810">
        <v>4</v>
      </c>
      <c r="X95" s="810">
        <v>5</v>
      </c>
      <c r="Y95" s="810">
        <v>6</v>
      </c>
      <c r="Z95" s="810">
        <v>7</v>
      </c>
      <c r="AA95" s="810">
        <v>1</v>
      </c>
      <c r="AB95" s="810">
        <v>2</v>
      </c>
      <c r="AC95" s="810">
        <v>3</v>
      </c>
      <c r="AD95" s="810">
        <v>4</v>
      </c>
      <c r="AE95" s="810">
        <v>5</v>
      </c>
      <c r="AF95" s="810">
        <v>6</v>
      </c>
      <c r="AG95" s="810">
        <v>7</v>
      </c>
      <c r="AH95" s="810">
        <v>1</v>
      </c>
      <c r="AI95" s="810">
        <v>2</v>
      </c>
      <c r="AJ95" s="810">
        <v>3</v>
      </c>
      <c r="AK95" s="810">
        <v>4</v>
      </c>
      <c r="AL95" s="810">
        <v>5</v>
      </c>
      <c r="AM95" s="810">
        <v>6</v>
      </c>
      <c r="AN95" s="810">
        <v>7</v>
      </c>
      <c r="AO95" s="810">
        <v>1</v>
      </c>
      <c r="AP95" s="810">
        <v>2</v>
      </c>
      <c r="AQ95" s="810">
        <v>3</v>
      </c>
      <c r="AR95" s="810">
        <v>4</v>
      </c>
      <c r="AS95" s="812">
        <v>5</v>
      </c>
      <c r="AT95" s="810">
        <v>6</v>
      </c>
      <c r="AU95" s="810">
        <v>7</v>
      </c>
      <c r="AV95" s="810">
        <v>1</v>
      </c>
      <c r="AW95" s="810">
        <v>2</v>
      </c>
      <c r="AX95" s="810">
        <v>3</v>
      </c>
      <c r="AY95" s="810">
        <v>4</v>
      </c>
      <c r="AZ95" s="810">
        <v>5</v>
      </c>
      <c r="BA95" s="810">
        <v>6</v>
      </c>
      <c r="BB95" s="810">
        <v>7</v>
      </c>
      <c r="BC95" s="810">
        <v>1</v>
      </c>
      <c r="BD95" s="810">
        <v>2</v>
      </c>
      <c r="BE95" s="810">
        <v>3</v>
      </c>
      <c r="BF95" s="810">
        <v>4</v>
      </c>
      <c r="BG95" s="810">
        <v>5</v>
      </c>
      <c r="BH95" s="810">
        <v>6</v>
      </c>
      <c r="BI95" s="810">
        <v>7</v>
      </c>
      <c r="BJ95" s="810">
        <v>1</v>
      </c>
      <c r="BK95" s="810">
        <v>2</v>
      </c>
      <c r="BL95" s="810">
        <v>3</v>
      </c>
      <c r="BM95" s="810">
        <v>4</v>
      </c>
      <c r="BN95" s="810">
        <v>5</v>
      </c>
      <c r="BO95" s="810">
        <v>6</v>
      </c>
      <c r="BP95" s="810">
        <v>7</v>
      </c>
      <c r="BQ95" s="810">
        <v>1</v>
      </c>
      <c r="BR95" s="810">
        <v>2</v>
      </c>
      <c r="BS95" s="810">
        <v>3</v>
      </c>
      <c r="BT95" s="810">
        <v>4</v>
      </c>
      <c r="BU95" s="810">
        <v>5</v>
      </c>
      <c r="BV95" s="810">
        <v>6</v>
      </c>
      <c r="BW95" s="810">
        <v>7</v>
      </c>
      <c r="BX95" s="810">
        <v>1</v>
      </c>
      <c r="BY95" s="810">
        <v>2</v>
      </c>
      <c r="BZ95" s="810">
        <v>3</v>
      </c>
      <c r="CA95" s="810">
        <v>4</v>
      </c>
      <c r="CB95" s="810">
        <v>5</v>
      </c>
      <c r="CC95" s="810">
        <v>6</v>
      </c>
      <c r="CD95" s="810">
        <v>7</v>
      </c>
      <c r="CE95" s="810">
        <v>1</v>
      </c>
      <c r="CF95" s="810">
        <v>2</v>
      </c>
      <c r="CG95" s="810">
        <v>3</v>
      </c>
      <c r="CH95" s="810">
        <v>4</v>
      </c>
      <c r="CI95" s="810">
        <v>5</v>
      </c>
      <c r="CJ95" s="810">
        <v>6</v>
      </c>
      <c r="CK95" s="810">
        <v>7</v>
      </c>
      <c r="CL95" s="810">
        <v>1</v>
      </c>
      <c r="CM95" s="810">
        <v>2</v>
      </c>
      <c r="CN95" s="810">
        <v>3</v>
      </c>
      <c r="CO95" s="810">
        <v>4</v>
      </c>
      <c r="CP95" s="810">
        <v>5</v>
      </c>
      <c r="CQ95" s="810">
        <v>6</v>
      </c>
      <c r="CR95" s="810">
        <v>7</v>
      </c>
      <c r="CS95" s="810">
        <v>1</v>
      </c>
      <c r="CT95" s="810">
        <v>2</v>
      </c>
      <c r="CU95" s="810">
        <v>3</v>
      </c>
      <c r="CV95" s="810">
        <v>4</v>
      </c>
      <c r="CW95" s="810">
        <v>5</v>
      </c>
      <c r="CX95" s="781">
        <v>6</v>
      </c>
      <c r="CY95" s="781">
        <v>7</v>
      </c>
      <c r="CZ95" s="954"/>
    </row>
    <row r="96" spans="1:104" ht="8.1" customHeight="1" thickBot="1">
      <c r="A96" s="939"/>
      <c r="B96" s="1111"/>
      <c r="C96" s="1112"/>
      <c r="D96" s="943"/>
      <c r="E96" s="945"/>
      <c r="F96" s="947"/>
      <c r="G96" s="949"/>
      <c r="H96" s="1139"/>
      <c r="I96" s="984"/>
      <c r="J96" s="987"/>
      <c r="K96" s="987"/>
      <c r="L96" s="808" t="s">
        <v>3320</v>
      </c>
      <c r="M96" s="955"/>
      <c r="N96" s="956"/>
      <c r="O96" s="956"/>
      <c r="P96" s="956"/>
      <c r="Q96" s="956"/>
      <c r="R96" s="956"/>
      <c r="S96" s="956"/>
      <c r="T96" s="956"/>
      <c r="U96" s="956"/>
      <c r="V96" s="956"/>
      <c r="W96" s="956"/>
      <c r="X96" s="956"/>
      <c r="Y96" s="956"/>
      <c r="Z96" s="956"/>
      <c r="AA96" s="956"/>
      <c r="AB96" s="956"/>
      <c r="AC96" s="956"/>
      <c r="AD96" s="956"/>
      <c r="AE96" s="956"/>
      <c r="AF96" s="956"/>
      <c r="AG96" s="956"/>
      <c r="AH96" s="956"/>
      <c r="AI96" s="956"/>
      <c r="AJ96" s="956"/>
      <c r="AK96" s="956"/>
      <c r="AL96" s="956"/>
      <c r="AM96" s="956"/>
      <c r="AN96" s="956"/>
      <c r="AO96" s="956"/>
      <c r="AP96" s="956"/>
      <c r="AQ96" s="956">
        <f>AO94+AV94+BC94+BJ94</f>
        <v>373527</v>
      </c>
      <c r="AR96" s="956"/>
      <c r="AS96" s="956"/>
      <c r="AT96" s="956"/>
      <c r="AU96" s="956"/>
      <c r="AV96" s="956"/>
      <c r="AW96" s="956"/>
      <c r="AX96" s="956"/>
      <c r="AY96" s="956"/>
      <c r="AZ96" s="956"/>
      <c r="BA96" s="956"/>
      <c r="BB96" s="956"/>
      <c r="BC96" s="956"/>
      <c r="BD96" s="956"/>
      <c r="BE96" s="956"/>
      <c r="BF96" s="956"/>
      <c r="BG96" s="956"/>
      <c r="BH96" s="956"/>
      <c r="BI96" s="956"/>
      <c r="BJ96" s="956"/>
      <c r="BK96" s="956"/>
      <c r="BL96" s="956"/>
      <c r="BM96" s="956"/>
      <c r="BN96" s="956"/>
      <c r="BO96" s="956"/>
      <c r="BP96" s="956"/>
      <c r="BQ96" s="956"/>
      <c r="BR96" s="956"/>
      <c r="BS96" s="956"/>
      <c r="BT96" s="956"/>
      <c r="BU96" s="956"/>
      <c r="BV96" s="956"/>
      <c r="BW96" s="956"/>
      <c r="BX96" s="956"/>
      <c r="BY96" s="956"/>
      <c r="BZ96" s="956"/>
      <c r="CA96" s="956"/>
      <c r="CB96" s="956"/>
      <c r="CC96" s="956"/>
      <c r="CD96" s="956"/>
      <c r="CE96" s="956"/>
      <c r="CF96" s="956"/>
      <c r="CG96" s="956"/>
      <c r="CH96" s="956"/>
      <c r="CI96" s="956"/>
      <c r="CJ96" s="956"/>
      <c r="CK96" s="956"/>
      <c r="CL96" s="956"/>
      <c r="CM96" s="956"/>
      <c r="CN96" s="956"/>
      <c r="CO96" s="956"/>
      <c r="CP96" s="956"/>
      <c r="CQ96" s="956"/>
      <c r="CR96" s="956"/>
      <c r="CS96" s="956"/>
      <c r="CT96" s="956"/>
      <c r="CU96" s="956"/>
      <c r="CV96" s="956"/>
      <c r="CW96" s="956"/>
      <c r="CX96" s="956"/>
      <c r="CY96" s="956"/>
      <c r="CZ96" s="954"/>
    </row>
    <row r="97" spans="1:104" ht="19.899999999999999" customHeight="1">
      <c r="A97" s="724"/>
      <c r="B97" s="928"/>
      <c r="C97" s="714"/>
      <c r="D97" s="759"/>
      <c r="E97" s="771" t="s">
        <v>3245</v>
      </c>
      <c r="F97" s="769">
        <f>SUM(F88:F96)</f>
        <v>10998979.183</v>
      </c>
      <c r="G97" s="776">
        <f>F97/F259</f>
        <v>3.3211978834891923E-2</v>
      </c>
      <c r="H97" s="1139"/>
      <c r="I97" s="995" t="s">
        <v>3336</v>
      </c>
      <c r="J97" s="995"/>
      <c r="K97" s="995"/>
      <c r="L97" s="995"/>
      <c r="M97" s="996">
        <f>M90+M96+M93</f>
        <v>0</v>
      </c>
      <c r="N97" s="996"/>
      <c r="O97" s="996"/>
      <c r="P97" s="996"/>
      <c r="Q97" s="996"/>
      <c r="R97" s="996"/>
      <c r="S97" s="996"/>
      <c r="T97" s="996"/>
      <c r="U97" s="996"/>
      <c r="V97" s="996"/>
      <c r="W97" s="996"/>
      <c r="X97" s="996"/>
      <c r="Y97" s="996"/>
      <c r="Z97" s="996"/>
      <c r="AA97" s="996"/>
      <c r="AB97" s="996"/>
      <c r="AC97" s="996"/>
      <c r="AD97" s="996"/>
      <c r="AE97" s="996"/>
      <c r="AF97" s="996"/>
      <c r="AG97" s="996"/>
      <c r="AH97" s="996"/>
      <c r="AI97" s="996"/>
      <c r="AJ97" s="996"/>
      <c r="AK97" s="996"/>
      <c r="AL97" s="996"/>
      <c r="AM97" s="996"/>
      <c r="AN97" s="996"/>
      <c r="AO97" s="996"/>
      <c r="AP97" s="997"/>
      <c r="AQ97" s="996">
        <f>AQ90+AQ96+AQ93</f>
        <v>10998979.183000002</v>
      </c>
      <c r="AR97" s="996"/>
      <c r="AS97" s="996"/>
      <c r="AT97" s="996"/>
      <c r="AU97" s="996"/>
      <c r="AV97" s="996"/>
      <c r="AW97" s="996"/>
      <c r="AX97" s="996"/>
      <c r="AY97" s="996"/>
      <c r="AZ97" s="996"/>
      <c r="BA97" s="996"/>
      <c r="BB97" s="996"/>
      <c r="BC97" s="996"/>
      <c r="BD97" s="996"/>
      <c r="BE97" s="996"/>
      <c r="BF97" s="996"/>
      <c r="BG97" s="996"/>
      <c r="BH97" s="996"/>
      <c r="BI97" s="996"/>
      <c r="BJ97" s="996"/>
      <c r="BK97" s="996"/>
      <c r="BL97" s="996"/>
      <c r="BM97" s="996"/>
      <c r="BN97" s="996"/>
      <c r="BO97" s="996"/>
      <c r="BP97" s="996"/>
      <c r="BQ97" s="996"/>
      <c r="BR97" s="996"/>
      <c r="BS97" s="996"/>
      <c r="BT97" s="997"/>
      <c r="BU97" s="998">
        <f>BU90+BU96+BU93</f>
        <v>0</v>
      </c>
      <c r="BV97" s="998"/>
      <c r="BW97" s="998"/>
      <c r="BX97" s="998"/>
      <c r="BY97" s="998"/>
      <c r="BZ97" s="998"/>
      <c r="CA97" s="998"/>
      <c r="CB97" s="998"/>
      <c r="CC97" s="998"/>
      <c r="CD97" s="998"/>
      <c r="CE97" s="998"/>
      <c r="CF97" s="998"/>
      <c r="CG97" s="998"/>
      <c r="CH97" s="998"/>
      <c r="CI97" s="998"/>
      <c r="CJ97" s="998"/>
      <c r="CK97" s="998"/>
      <c r="CL97" s="998"/>
      <c r="CM97" s="998"/>
      <c r="CN97" s="998"/>
      <c r="CO97" s="998"/>
      <c r="CP97" s="998"/>
      <c r="CQ97" s="998"/>
      <c r="CR97" s="998"/>
      <c r="CS97" s="998"/>
      <c r="CT97" s="998"/>
      <c r="CU97" s="998"/>
      <c r="CV97" s="998"/>
      <c r="CW97" s="998"/>
      <c r="CX97" s="998"/>
      <c r="CY97" s="998"/>
      <c r="CZ97" s="713">
        <f>SUM(CZ91:CZ96)</f>
        <v>2</v>
      </c>
    </row>
    <row r="98" spans="1:104" ht="19.899999999999999" customHeight="1">
      <c r="A98" s="724"/>
      <c r="B98" s="928"/>
      <c r="C98" s="714"/>
      <c r="D98" s="759"/>
      <c r="E98" s="757"/>
      <c r="F98" s="716"/>
      <c r="H98" s="1139"/>
      <c r="I98" s="991" t="s">
        <v>3325</v>
      </c>
      <c r="J98" s="991"/>
      <c r="K98" s="991"/>
      <c r="L98" s="991"/>
      <c r="M98" s="992">
        <f>M97+AQ97+BU97</f>
        <v>10998979.183000002</v>
      </c>
      <c r="N98" s="993"/>
      <c r="O98" s="993"/>
      <c r="P98" s="993"/>
      <c r="Q98" s="993"/>
      <c r="R98" s="993"/>
      <c r="S98" s="993"/>
      <c r="T98" s="993"/>
      <c r="U98" s="993"/>
      <c r="V98" s="993"/>
      <c r="W98" s="993"/>
      <c r="X98" s="993"/>
      <c r="Y98" s="993"/>
      <c r="Z98" s="993"/>
      <c r="AA98" s="993"/>
      <c r="AB98" s="993"/>
      <c r="AC98" s="993"/>
      <c r="AD98" s="993"/>
      <c r="AE98" s="993"/>
      <c r="AF98" s="993"/>
      <c r="AG98" s="993"/>
      <c r="AH98" s="993"/>
      <c r="AI98" s="993"/>
      <c r="AJ98" s="993"/>
      <c r="AK98" s="993"/>
      <c r="AL98" s="993"/>
      <c r="AM98" s="993"/>
      <c r="AN98" s="993"/>
      <c r="AO98" s="993"/>
      <c r="AP98" s="993"/>
      <c r="AQ98" s="993"/>
      <c r="AR98" s="993"/>
      <c r="AS98" s="993"/>
      <c r="AT98" s="993"/>
      <c r="AU98" s="993"/>
      <c r="AV98" s="993"/>
      <c r="AW98" s="993"/>
      <c r="AX98" s="993"/>
      <c r="AY98" s="993"/>
      <c r="AZ98" s="993"/>
      <c r="BA98" s="993"/>
      <c r="BB98" s="993"/>
      <c r="BC98" s="993"/>
      <c r="BD98" s="993"/>
      <c r="BE98" s="993"/>
      <c r="BF98" s="993"/>
      <c r="BG98" s="993"/>
      <c r="BH98" s="993"/>
      <c r="BI98" s="993"/>
      <c r="BJ98" s="993"/>
      <c r="BK98" s="993"/>
      <c r="BL98" s="993"/>
      <c r="BM98" s="993"/>
      <c r="BN98" s="993"/>
      <c r="BO98" s="993"/>
      <c r="BP98" s="993"/>
      <c r="BQ98" s="993"/>
      <c r="BR98" s="993"/>
      <c r="BS98" s="993"/>
      <c r="BT98" s="993"/>
      <c r="BU98" s="993"/>
      <c r="BV98" s="993"/>
      <c r="BW98" s="993"/>
      <c r="BX98" s="993"/>
      <c r="BY98" s="993"/>
      <c r="BZ98" s="993"/>
      <c r="CA98" s="993"/>
      <c r="CB98" s="993"/>
      <c r="CC98" s="993"/>
      <c r="CD98" s="993"/>
      <c r="CE98" s="993"/>
      <c r="CF98" s="993"/>
      <c r="CG98" s="993"/>
      <c r="CH98" s="993"/>
      <c r="CI98" s="993"/>
      <c r="CJ98" s="993"/>
      <c r="CK98" s="993"/>
      <c r="CL98" s="993"/>
      <c r="CM98" s="993"/>
      <c r="CN98" s="993"/>
      <c r="CO98" s="993"/>
      <c r="CP98" s="993"/>
      <c r="CQ98" s="993"/>
      <c r="CR98" s="993"/>
      <c r="CS98" s="993"/>
      <c r="CT98" s="993"/>
      <c r="CU98" s="993"/>
      <c r="CV98" s="993"/>
      <c r="CW98" s="993"/>
      <c r="CX98" s="993"/>
      <c r="CY98" s="993"/>
      <c r="CZ98" s="792"/>
    </row>
    <row r="99" spans="1:104" ht="19.899999999999999" customHeight="1" thickBot="1">
      <c r="A99" s="764" t="str">
        <f>EDIFICACION!A240</f>
        <v>VI</v>
      </c>
      <c r="B99" s="1049" t="str">
        <f>EDIFICACION!B240</f>
        <v>ESTRUCTURAS</v>
      </c>
      <c r="C99" s="1050"/>
      <c r="D99" s="1050"/>
      <c r="E99" s="1050"/>
      <c r="F99" s="1050"/>
      <c r="G99" s="1050"/>
      <c r="H99" s="1139"/>
      <c r="I99" s="994"/>
      <c r="J99" s="994"/>
      <c r="K99" s="994"/>
      <c r="L99" s="994"/>
      <c r="M99" s="994"/>
      <c r="N99" s="994"/>
      <c r="O99" s="994"/>
      <c r="P99" s="994"/>
      <c r="Q99" s="994"/>
      <c r="R99" s="994"/>
      <c r="S99" s="994"/>
      <c r="T99" s="994"/>
      <c r="U99" s="994"/>
      <c r="V99" s="994"/>
      <c r="W99" s="994"/>
      <c r="X99" s="994"/>
      <c r="Y99" s="994"/>
      <c r="Z99" s="994"/>
      <c r="AA99" s="994"/>
      <c r="AB99" s="994"/>
      <c r="AC99" s="994"/>
      <c r="AD99" s="994"/>
      <c r="AE99" s="994"/>
      <c r="AF99" s="994"/>
      <c r="AG99" s="994"/>
      <c r="AH99" s="994"/>
      <c r="AI99" s="994"/>
      <c r="AJ99" s="994"/>
      <c r="AK99" s="994"/>
      <c r="AL99" s="994"/>
      <c r="AM99" s="994"/>
      <c r="AN99" s="994"/>
      <c r="AO99" s="994"/>
      <c r="AP99" s="994"/>
      <c r="AQ99" s="994"/>
      <c r="AR99" s="994"/>
      <c r="AS99" s="994"/>
      <c r="AT99" s="994"/>
      <c r="AU99" s="994"/>
      <c r="AV99" s="994"/>
      <c r="AW99" s="994"/>
      <c r="AX99" s="994"/>
      <c r="AY99" s="994"/>
      <c r="AZ99" s="994"/>
      <c r="BA99" s="994"/>
      <c r="BB99" s="994"/>
      <c r="BC99" s="994"/>
      <c r="BD99" s="994"/>
      <c r="BE99" s="994"/>
      <c r="BF99" s="994"/>
      <c r="BG99" s="994"/>
      <c r="BH99" s="994"/>
      <c r="BI99" s="994"/>
      <c r="BJ99" s="994"/>
      <c r="BK99" s="994"/>
      <c r="BL99" s="994"/>
      <c r="BM99" s="994"/>
      <c r="BN99" s="994"/>
      <c r="BO99" s="994"/>
      <c r="BP99" s="994"/>
      <c r="BQ99" s="994"/>
      <c r="BR99" s="994"/>
      <c r="BS99" s="994"/>
      <c r="BT99" s="994"/>
      <c r="BU99" s="994"/>
      <c r="BV99" s="994"/>
      <c r="BW99" s="994"/>
      <c r="BX99" s="994"/>
      <c r="BY99" s="994"/>
      <c r="BZ99" s="994"/>
      <c r="CA99" s="994"/>
      <c r="CB99" s="994"/>
      <c r="CC99" s="994"/>
      <c r="CD99" s="994"/>
      <c r="CE99" s="994"/>
      <c r="CF99" s="994"/>
      <c r="CG99" s="994"/>
      <c r="CH99" s="994"/>
      <c r="CI99" s="994"/>
      <c r="CJ99" s="994"/>
      <c r="CK99" s="994"/>
      <c r="CL99" s="994"/>
      <c r="CM99" s="994"/>
      <c r="CN99" s="994"/>
      <c r="CO99" s="994"/>
      <c r="CP99" s="994"/>
      <c r="CQ99" s="994"/>
      <c r="CR99" s="994"/>
      <c r="CS99" s="994"/>
      <c r="CT99" s="994"/>
      <c r="CU99" s="994"/>
      <c r="CV99" s="994"/>
      <c r="CW99" s="994"/>
      <c r="CX99" s="994"/>
      <c r="CY99" s="994"/>
      <c r="CZ99" s="994"/>
    </row>
    <row r="100" spans="1:104" ht="13.5" customHeight="1">
      <c r="A100" s="1017">
        <f>EDIFICACION!A241</f>
        <v>6.1</v>
      </c>
      <c r="B100" s="1018" t="str">
        <f>EDIFICACION!B241</f>
        <v>ESTRUCTURA EN CONCRETO REFORZADO PARA SOPORTE DE TANQUE 4.30 X 2.00 X 8.00H SEGÚN DISEÑO.</v>
      </c>
      <c r="C100" s="1017" t="str">
        <f>EDIFICACION!C241</f>
        <v>UN</v>
      </c>
      <c r="D100" s="1015">
        <v>1</v>
      </c>
      <c r="E100" s="1014">
        <f>EDIFICACION!F241</f>
        <v>10263964</v>
      </c>
      <c r="F100" s="1012">
        <f>E100*D100</f>
        <v>10263964</v>
      </c>
      <c r="G100" s="1013">
        <f>F100/F259</f>
        <v>3.0992562987751285E-2</v>
      </c>
      <c r="H100" s="1139"/>
      <c r="I100" s="982" t="s">
        <v>3374</v>
      </c>
      <c r="J100" s="985" t="s">
        <v>3362</v>
      </c>
      <c r="K100" s="985" t="s">
        <v>3364</v>
      </c>
      <c r="L100" s="806" t="s">
        <v>3318</v>
      </c>
      <c r="M100" s="988"/>
      <c r="N100" s="952"/>
      <c r="O100" s="952"/>
      <c r="P100" s="952"/>
      <c r="Q100" s="952"/>
      <c r="R100" s="952"/>
      <c r="S100" s="952"/>
      <c r="T100" s="952"/>
      <c r="U100" s="952"/>
      <c r="V100" s="952"/>
      <c r="W100" s="952"/>
      <c r="X100" s="952"/>
      <c r="Y100" s="952"/>
      <c r="Z100" s="952"/>
      <c r="AA100" s="1007"/>
      <c r="AB100" s="952"/>
      <c r="AC100" s="952"/>
      <c r="AD100" s="952"/>
      <c r="AE100" s="952"/>
      <c r="AF100" s="952"/>
      <c r="AG100" s="952"/>
      <c r="AH100" s="951">
        <f>F100/CZ100*3</f>
        <v>10263964</v>
      </c>
      <c r="AI100" s="951"/>
      <c r="AJ100" s="951"/>
      <c r="AK100" s="951"/>
      <c r="AL100" s="951"/>
      <c r="AM100" s="951"/>
      <c r="AN100" s="951"/>
      <c r="AO100" s="952"/>
      <c r="AP100" s="952"/>
      <c r="AQ100" s="952"/>
      <c r="AR100" s="952"/>
      <c r="AS100" s="952"/>
      <c r="AT100" s="952"/>
      <c r="AU100" s="952"/>
      <c r="AV100" s="952"/>
      <c r="AW100" s="952"/>
      <c r="AX100" s="952"/>
      <c r="AY100" s="952"/>
      <c r="AZ100" s="952"/>
      <c r="BA100" s="952"/>
      <c r="BB100" s="952"/>
      <c r="BC100" s="952"/>
      <c r="BD100" s="952"/>
      <c r="BE100" s="952"/>
      <c r="BF100" s="952"/>
      <c r="BG100" s="952"/>
      <c r="BH100" s="952"/>
      <c r="BI100" s="952"/>
      <c r="BJ100" s="952"/>
      <c r="BK100" s="952"/>
      <c r="BL100" s="952"/>
      <c r="BM100" s="952"/>
      <c r="BN100" s="952"/>
      <c r="BO100" s="952"/>
      <c r="BP100" s="952"/>
      <c r="BQ100" s="952"/>
      <c r="BR100" s="952"/>
      <c r="BS100" s="952"/>
      <c r="BT100" s="952"/>
      <c r="BU100" s="952"/>
      <c r="BV100" s="952"/>
      <c r="BW100" s="952"/>
      <c r="BX100" s="952"/>
      <c r="BY100" s="952"/>
      <c r="BZ100" s="952"/>
      <c r="CA100" s="952"/>
      <c r="CB100" s="952"/>
      <c r="CC100" s="952"/>
      <c r="CD100" s="952"/>
      <c r="CE100" s="952"/>
      <c r="CF100" s="952"/>
      <c r="CG100" s="952"/>
      <c r="CH100" s="952"/>
      <c r="CI100" s="952"/>
      <c r="CJ100" s="952"/>
      <c r="CK100" s="952"/>
      <c r="CL100" s="952"/>
      <c r="CM100" s="952"/>
      <c r="CN100" s="952"/>
      <c r="CO100" s="952"/>
      <c r="CP100" s="952"/>
      <c r="CQ100" s="952"/>
      <c r="CR100" s="952"/>
      <c r="CS100" s="952"/>
      <c r="CT100" s="952"/>
      <c r="CU100" s="952"/>
      <c r="CV100" s="952"/>
      <c r="CW100" s="952"/>
      <c r="CX100" s="952"/>
      <c r="CY100" s="952"/>
      <c r="CZ100" s="953">
        <v>3</v>
      </c>
    </row>
    <row r="101" spans="1:104" ht="13.5" customHeight="1">
      <c r="A101" s="938"/>
      <c r="B101" s="940"/>
      <c r="C101" s="938"/>
      <c r="D101" s="942"/>
      <c r="E101" s="944"/>
      <c r="F101" s="946"/>
      <c r="G101" s="948"/>
      <c r="H101" s="1139"/>
      <c r="I101" s="983"/>
      <c r="J101" s="986"/>
      <c r="K101" s="986"/>
      <c r="L101" s="807" t="s">
        <v>3319</v>
      </c>
      <c r="M101" s="811">
        <v>1</v>
      </c>
      <c r="N101" s="810">
        <v>2</v>
      </c>
      <c r="O101" s="810">
        <v>3</v>
      </c>
      <c r="P101" s="810">
        <v>4</v>
      </c>
      <c r="Q101" s="810">
        <v>5</v>
      </c>
      <c r="R101" s="810">
        <v>6</v>
      </c>
      <c r="S101" s="810">
        <v>7</v>
      </c>
      <c r="T101" s="810">
        <v>1</v>
      </c>
      <c r="U101" s="810">
        <v>2</v>
      </c>
      <c r="V101" s="810">
        <v>3</v>
      </c>
      <c r="W101" s="810">
        <v>4</v>
      </c>
      <c r="X101" s="810">
        <v>5</v>
      </c>
      <c r="Y101" s="810">
        <v>6</v>
      </c>
      <c r="Z101" s="810">
        <v>7</v>
      </c>
      <c r="AA101" s="810">
        <v>1</v>
      </c>
      <c r="AB101" s="810">
        <v>2</v>
      </c>
      <c r="AC101" s="810">
        <v>3</v>
      </c>
      <c r="AD101" s="810">
        <v>4</v>
      </c>
      <c r="AE101" s="810">
        <v>5</v>
      </c>
      <c r="AF101" s="810">
        <v>6</v>
      </c>
      <c r="AG101" s="810">
        <v>7</v>
      </c>
      <c r="AH101" s="810">
        <v>1</v>
      </c>
      <c r="AI101" s="810">
        <v>2</v>
      </c>
      <c r="AJ101" s="810">
        <v>3</v>
      </c>
      <c r="AK101" s="810">
        <v>4</v>
      </c>
      <c r="AL101" s="812">
        <v>5</v>
      </c>
      <c r="AM101" s="812">
        <v>6</v>
      </c>
      <c r="AN101" s="812">
        <v>7</v>
      </c>
      <c r="AO101" s="810">
        <v>1</v>
      </c>
      <c r="AP101" s="810">
        <v>2</v>
      </c>
      <c r="AQ101" s="810">
        <v>3</v>
      </c>
      <c r="AR101" s="810">
        <v>4</v>
      </c>
      <c r="AS101" s="810">
        <v>5</v>
      </c>
      <c r="AT101" s="810">
        <v>6</v>
      </c>
      <c r="AU101" s="810">
        <v>7</v>
      </c>
      <c r="AV101" s="810">
        <v>1</v>
      </c>
      <c r="AW101" s="810">
        <v>2</v>
      </c>
      <c r="AX101" s="810">
        <v>3</v>
      </c>
      <c r="AY101" s="810">
        <v>4</v>
      </c>
      <c r="AZ101" s="810">
        <v>5</v>
      </c>
      <c r="BA101" s="810">
        <v>6</v>
      </c>
      <c r="BB101" s="810">
        <v>7</v>
      </c>
      <c r="BC101" s="810">
        <v>1</v>
      </c>
      <c r="BD101" s="810">
        <v>2</v>
      </c>
      <c r="BE101" s="810">
        <v>3</v>
      </c>
      <c r="BF101" s="810">
        <v>4</v>
      </c>
      <c r="BG101" s="810">
        <v>5</v>
      </c>
      <c r="BH101" s="810">
        <v>6</v>
      </c>
      <c r="BI101" s="810">
        <v>7</v>
      </c>
      <c r="BJ101" s="810">
        <v>1</v>
      </c>
      <c r="BK101" s="810">
        <v>2</v>
      </c>
      <c r="BL101" s="810">
        <v>3</v>
      </c>
      <c r="BM101" s="810">
        <v>4</v>
      </c>
      <c r="BN101" s="810">
        <v>5</v>
      </c>
      <c r="BO101" s="810">
        <v>6</v>
      </c>
      <c r="BP101" s="810">
        <v>7</v>
      </c>
      <c r="BQ101" s="810">
        <v>1</v>
      </c>
      <c r="BR101" s="810">
        <v>2</v>
      </c>
      <c r="BS101" s="810">
        <v>3</v>
      </c>
      <c r="BT101" s="810">
        <v>4</v>
      </c>
      <c r="BU101" s="810">
        <v>5</v>
      </c>
      <c r="BV101" s="810">
        <v>6</v>
      </c>
      <c r="BW101" s="810">
        <v>7</v>
      </c>
      <c r="BX101" s="810">
        <v>1</v>
      </c>
      <c r="BY101" s="810">
        <v>2</v>
      </c>
      <c r="BZ101" s="810">
        <v>3</v>
      </c>
      <c r="CA101" s="810">
        <v>4</v>
      </c>
      <c r="CB101" s="810">
        <v>5</v>
      </c>
      <c r="CC101" s="810">
        <v>6</v>
      </c>
      <c r="CD101" s="810">
        <v>7</v>
      </c>
      <c r="CE101" s="810">
        <v>1</v>
      </c>
      <c r="CF101" s="810">
        <v>2</v>
      </c>
      <c r="CG101" s="810">
        <v>3</v>
      </c>
      <c r="CH101" s="810">
        <v>4</v>
      </c>
      <c r="CI101" s="810">
        <v>5</v>
      </c>
      <c r="CJ101" s="810">
        <v>6</v>
      </c>
      <c r="CK101" s="810">
        <v>7</v>
      </c>
      <c r="CL101" s="810">
        <v>1</v>
      </c>
      <c r="CM101" s="810">
        <v>2</v>
      </c>
      <c r="CN101" s="810">
        <v>3</v>
      </c>
      <c r="CO101" s="810">
        <v>4</v>
      </c>
      <c r="CP101" s="810">
        <v>5</v>
      </c>
      <c r="CQ101" s="810">
        <v>6</v>
      </c>
      <c r="CR101" s="810">
        <v>7</v>
      </c>
      <c r="CS101" s="810">
        <v>1</v>
      </c>
      <c r="CT101" s="810">
        <v>2</v>
      </c>
      <c r="CU101" s="810">
        <v>3</v>
      </c>
      <c r="CV101" s="810">
        <v>4</v>
      </c>
      <c r="CW101" s="810">
        <v>5</v>
      </c>
      <c r="CX101" s="781">
        <v>6</v>
      </c>
      <c r="CY101" s="781">
        <v>7</v>
      </c>
      <c r="CZ101" s="954"/>
    </row>
    <row r="102" spans="1:104" ht="13.5" customHeight="1" thickBot="1">
      <c r="A102" s="938"/>
      <c r="B102" s="940"/>
      <c r="C102" s="938"/>
      <c r="D102" s="942"/>
      <c r="E102" s="944"/>
      <c r="F102" s="946"/>
      <c r="G102" s="948"/>
      <c r="H102" s="1139"/>
      <c r="I102" s="984"/>
      <c r="J102" s="987"/>
      <c r="K102" s="987"/>
      <c r="L102" s="808" t="s">
        <v>3320</v>
      </c>
      <c r="M102" s="955">
        <f>AH100+AA100+T100+M100</f>
        <v>10263964</v>
      </c>
      <c r="N102" s="956"/>
      <c r="O102" s="956"/>
      <c r="P102" s="956"/>
      <c r="Q102" s="956"/>
      <c r="R102" s="956"/>
      <c r="S102" s="956"/>
      <c r="T102" s="956"/>
      <c r="U102" s="956"/>
      <c r="V102" s="956"/>
      <c r="W102" s="956"/>
      <c r="X102" s="956"/>
      <c r="Y102" s="956"/>
      <c r="Z102" s="956"/>
      <c r="AA102" s="956"/>
      <c r="AB102" s="956"/>
      <c r="AC102" s="956"/>
      <c r="AD102" s="956"/>
      <c r="AE102" s="956"/>
      <c r="AF102" s="956"/>
      <c r="AG102" s="956"/>
      <c r="AH102" s="956"/>
      <c r="AI102" s="956"/>
      <c r="AJ102" s="956"/>
      <c r="AK102" s="956"/>
      <c r="AL102" s="956"/>
      <c r="AM102" s="956"/>
      <c r="AN102" s="956"/>
      <c r="AO102" s="956"/>
      <c r="AP102" s="956"/>
      <c r="AQ102" s="956">
        <f>AO100+AV100+BC100+BJ100</f>
        <v>0</v>
      </c>
      <c r="AR102" s="956"/>
      <c r="AS102" s="956"/>
      <c r="AT102" s="956"/>
      <c r="AU102" s="956"/>
      <c r="AV102" s="956"/>
      <c r="AW102" s="956"/>
      <c r="AX102" s="956"/>
      <c r="AY102" s="956"/>
      <c r="AZ102" s="956"/>
      <c r="BA102" s="956"/>
      <c r="BB102" s="956"/>
      <c r="BC102" s="956"/>
      <c r="BD102" s="956"/>
      <c r="BE102" s="956"/>
      <c r="BF102" s="956"/>
      <c r="BG102" s="956"/>
      <c r="BH102" s="956"/>
      <c r="BI102" s="956"/>
      <c r="BJ102" s="956"/>
      <c r="BK102" s="956"/>
      <c r="BL102" s="956"/>
      <c r="BM102" s="956"/>
      <c r="BN102" s="956"/>
      <c r="BO102" s="956"/>
      <c r="BP102" s="956"/>
      <c r="BQ102" s="956"/>
      <c r="BR102" s="956"/>
      <c r="BS102" s="956"/>
      <c r="BT102" s="956"/>
      <c r="BU102" s="956"/>
      <c r="BV102" s="956"/>
      <c r="BW102" s="956"/>
      <c r="BX102" s="956"/>
      <c r="BY102" s="956"/>
      <c r="BZ102" s="956"/>
      <c r="CA102" s="956"/>
      <c r="CB102" s="956"/>
      <c r="CC102" s="956"/>
      <c r="CD102" s="956"/>
      <c r="CE102" s="956"/>
      <c r="CF102" s="956"/>
      <c r="CG102" s="956"/>
      <c r="CH102" s="956"/>
      <c r="CI102" s="956"/>
      <c r="CJ102" s="956"/>
      <c r="CK102" s="956"/>
      <c r="CL102" s="956"/>
      <c r="CM102" s="956"/>
      <c r="CN102" s="956"/>
      <c r="CO102" s="956"/>
      <c r="CP102" s="956"/>
      <c r="CQ102" s="956"/>
      <c r="CR102" s="956"/>
      <c r="CS102" s="956"/>
      <c r="CT102" s="956"/>
      <c r="CU102" s="956"/>
      <c r="CV102" s="956"/>
      <c r="CW102" s="956"/>
      <c r="CX102" s="956"/>
      <c r="CY102" s="956"/>
      <c r="CZ102" s="954"/>
    </row>
    <row r="103" spans="1:104" ht="11.25" customHeight="1">
      <c r="A103" s="938">
        <f>EDIFICACION!A251</f>
        <v>6.2</v>
      </c>
      <c r="B103" s="940" t="str">
        <f>EDIFICACION!B251</f>
        <v>PLACA MACIZA EN MESONES  H/.07 X .60 DE ANCHO, INCLUYE MORTERO NIVELACION</v>
      </c>
      <c r="C103" s="1008" t="str">
        <f>EDIFICACION!C251</f>
        <v>ML</v>
      </c>
      <c r="D103" s="942">
        <f>3.06*3</f>
        <v>9.18</v>
      </c>
      <c r="E103" s="944">
        <f>EDIFICACION!F251</f>
        <v>88777</v>
      </c>
      <c r="F103" s="946">
        <f t="shared" ref="F103:F106" si="4">E103*D103</f>
        <v>814972.86</v>
      </c>
      <c r="G103" s="948">
        <f>F103/F259</f>
        <v>2.4608521324566033E-3</v>
      </c>
      <c r="H103" s="1139"/>
      <c r="I103" s="982" t="s">
        <v>3339</v>
      </c>
      <c r="J103" s="985" t="s">
        <v>3368</v>
      </c>
      <c r="K103" s="985" t="s">
        <v>3373</v>
      </c>
      <c r="L103" s="806" t="s">
        <v>3318</v>
      </c>
      <c r="M103" s="1005"/>
      <c r="N103" s="952"/>
      <c r="O103" s="952"/>
      <c r="P103" s="952"/>
      <c r="Q103" s="952"/>
      <c r="R103" s="952"/>
      <c r="S103" s="952"/>
      <c r="T103" s="952"/>
      <c r="U103" s="952"/>
      <c r="V103" s="952"/>
      <c r="W103" s="952"/>
      <c r="X103" s="952"/>
      <c r="Y103" s="952"/>
      <c r="Z103" s="952"/>
      <c r="AA103" s="952"/>
      <c r="AB103" s="952"/>
      <c r="AC103" s="952"/>
      <c r="AD103" s="952"/>
      <c r="AE103" s="952"/>
      <c r="AF103" s="952"/>
      <c r="AG103" s="952"/>
      <c r="AH103" s="952"/>
      <c r="AI103" s="952"/>
      <c r="AJ103" s="952"/>
      <c r="AK103" s="952"/>
      <c r="AL103" s="952"/>
      <c r="AM103" s="952"/>
      <c r="AN103" s="952"/>
      <c r="AO103" s="951">
        <f>F103/CZ103*1</f>
        <v>814972.86</v>
      </c>
      <c r="AP103" s="951"/>
      <c r="AQ103" s="951"/>
      <c r="AR103" s="951"/>
      <c r="AS103" s="951"/>
      <c r="AT103" s="951"/>
      <c r="AU103" s="951"/>
      <c r="AV103" s="952"/>
      <c r="AW103" s="952"/>
      <c r="AX103" s="952"/>
      <c r="AY103" s="952"/>
      <c r="AZ103" s="952"/>
      <c r="BA103" s="952"/>
      <c r="BB103" s="952"/>
      <c r="BC103" s="952"/>
      <c r="BD103" s="952"/>
      <c r="BE103" s="952"/>
      <c r="BF103" s="952"/>
      <c r="BG103" s="952"/>
      <c r="BH103" s="952"/>
      <c r="BI103" s="952"/>
      <c r="BJ103" s="952"/>
      <c r="BK103" s="952"/>
      <c r="BL103" s="952"/>
      <c r="BM103" s="952"/>
      <c r="BN103" s="952"/>
      <c r="BO103" s="952"/>
      <c r="BP103" s="952"/>
      <c r="BQ103" s="952"/>
      <c r="BR103" s="952"/>
      <c r="BS103" s="952"/>
      <c r="BT103" s="952"/>
      <c r="BU103" s="952"/>
      <c r="BV103" s="952"/>
      <c r="BW103" s="952"/>
      <c r="BX103" s="952"/>
      <c r="BY103" s="952"/>
      <c r="BZ103" s="952"/>
      <c r="CA103" s="952"/>
      <c r="CB103" s="952"/>
      <c r="CC103" s="952"/>
      <c r="CD103" s="952"/>
      <c r="CE103" s="952"/>
      <c r="CF103" s="952"/>
      <c r="CG103" s="952"/>
      <c r="CH103" s="952"/>
      <c r="CI103" s="952"/>
      <c r="CJ103" s="952"/>
      <c r="CK103" s="952"/>
      <c r="CL103" s="952"/>
      <c r="CM103" s="952"/>
      <c r="CN103" s="952"/>
      <c r="CO103" s="952"/>
      <c r="CP103" s="952"/>
      <c r="CQ103" s="952"/>
      <c r="CR103" s="952"/>
      <c r="CS103" s="952"/>
      <c r="CT103" s="952"/>
      <c r="CU103" s="952"/>
      <c r="CV103" s="952"/>
      <c r="CW103" s="952"/>
      <c r="CX103" s="952"/>
      <c r="CY103" s="952"/>
      <c r="CZ103" s="953">
        <v>1</v>
      </c>
    </row>
    <row r="104" spans="1:104" ht="11.25" customHeight="1">
      <c r="A104" s="938"/>
      <c r="B104" s="940"/>
      <c r="C104" s="1008"/>
      <c r="D104" s="942"/>
      <c r="E104" s="944"/>
      <c r="F104" s="946"/>
      <c r="G104" s="948"/>
      <c r="H104" s="1139"/>
      <c r="I104" s="983"/>
      <c r="J104" s="986"/>
      <c r="K104" s="986"/>
      <c r="L104" s="807" t="s">
        <v>3319</v>
      </c>
      <c r="M104" s="811">
        <v>1</v>
      </c>
      <c r="N104" s="810">
        <v>2</v>
      </c>
      <c r="O104" s="810">
        <v>3</v>
      </c>
      <c r="P104" s="810">
        <v>4</v>
      </c>
      <c r="Q104" s="810">
        <v>5</v>
      </c>
      <c r="R104" s="810">
        <v>6</v>
      </c>
      <c r="S104" s="810">
        <v>7</v>
      </c>
      <c r="T104" s="810">
        <v>1</v>
      </c>
      <c r="U104" s="810">
        <v>2</v>
      </c>
      <c r="V104" s="810">
        <v>3</v>
      </c>
      <c r="W104" s="810">
        <v>4</v>
      </c>
      <c r="X104" s="810">
        <v>5</v>
      </c>
      <c r="Y104" s="810">
        <v>6</v>
      </c>
      <c r="Z104" s="810">
        <v>7</v>
      </c>
      <c r="AA104" s="810">
        <v>1</v>
      </c>
      <c r="AB104" s="810">
        <v>2</v>
      </c>
      <c r="AC104" s="810">
        <v>3</v>
      </c>
      <c r="AD104" s="810">
        <v>4</v>
      </c>
      <c r="AE104" s="810">
        <v>5</v>
      </c>
      <c r="AF104" s="810">
        <v>6</v>
      </c>
      <c r="AG104" s="810">
        <v>7</v>
      </c>
      <c r="AH104" s="810">
        <v>1</v>
      </c>
      <c r="AI104" s="810">
        <v>2</v>
      </c>
      <c r="AJ104" s="810">
        <v>3</v>
      </c>
      <c r="AK104" s="810">
        <v>4</v>
      </c>
      <c r="AL104" s="810">
        <v>5</v>
      </c>
      <c r="AM104" s="810">
        <v>6</v>
      </c>
      <c r="AN104" s="810">
        <v>7</v>
      </c>
      <c r="AO104" s="810">
        <v>1</v>
      </c>
      <c r="AP104" s="810">
        <v>2</v>
      </c>
      <c r="AQ104" s="810">
        <v>3</v>
      </c>
      <c r="AR104" s="810">
        <v>4</v>
      </c>
      <c r="AS104" s="812">
        <v>5</v>
      </c>
      <c r="AT104" s="810">
        <v>6</v>
      </c>
      <c r="AU104" s="810">
        <v>7</v>
      </c>
      <c r="AV104" s="810">
        <v>1</v>
      </c>
      <c r="AW104" s="810">
        <v>2</v>
      </c>
      <c r="AX104" s="810">
        <v>3</v>
      </c>
      <c r="AY104" s="810">
        <v>4</v>
      </c>
      <c r="AZ104" s="810">
        <v>5</v>
      </c>
      <c r="BA104" s="810">
        <v>6</v>
      </c>
      <c r="BB104" s="810">
        <v>7</v>
      </c>
      <c r="BC104" s="810">
        <v>1</v>
      </c>
      <c r="BD104" s="810">
        <v>2</v>
      </c>
      <c r="BE104" s="810">
        <v>3</v>
      </c>
      <c r="BF104" s="810">
        <v>4</v>
      </c>
      <c r="BG104" s="810">
        <v>5</v>
      </c>
      <c r="BH104" s="810">
        <v>6</v>
      </c>
      <c r="BI104" s="810">
        <v>7</v>
      </c>
      <c r="BJ104" s="810">
        <v>1</v>
      </c>
      <c r="BK104" s="810">
        <v>2</v>
      </c>
      <c r="BL104" s="810">
        <v>3</v>
      </c>
      <c r="BM104" s="810">
        <v>4</v>
      </c>
      <c r="BN104" s="810">
        <v>5</v>
      </c>
      <c r="BO104" s="810">
        <v>6</v>
      </c>
      <c r="BP104" s="810">
        <v>7</v>
      </c>
      <c r="BQ104" s="810">
        <v>1</v>
      </c>
      <c r="BR104" s="810">
        <v>2</v>
      </c>
      <c r="BS104" s="810">
        <v>3</v>
      </c>
      <c r="BT104" s="810">
        <v>4</v>
      </c>
      <c r="BU104" s="810">
        <v>5</v>
      </c>
      <c r="BV104" s="810">
        <v>6</v>
      </c>
      <c r="BW104" s="810">
        <v>7</v>
      </c>
      <c r="BX104" s="810">
        <v>1</v>
      </c>
      <c r="BY104" s="810">
        <v>2</v>
      </c>
      <c r="BZ104" s="810">
        <v>3</v>
      </c>
      <c r="CA104" s="810">
        <v>4</v>
      </c>
      <c r="CB104" s="810">
        <v>5</v>
      </c>
      <c r="CC104" s="810">
        <v>6</v>
      </c>
      <c r="CD104" s="810">
        <v>7</v>
      </c>
      <c r="CE104" s="810">
        <v>1</v>
      </c>
      <c r="CF104" s="810">
        <v>2</v>
      </c>
      <c r="CG104" s="810">
        <v>3</v>
      </c>
      <c r="CH104" s="810">
        <v>4</v>
      </c>
      <c r="CI104" s="810">
        <v>5</v>
      </c>
      <c r="CJ104" s="810">
        <v>6</v>
      </c>
      <c r="CK104" s="810">
        <v>7</v>
      </c>
      <c r="CL104" s="810">
        <v>1</v>
      </c>
      <c r="CM104" s="810">
        <v>2</v>
      </c>
      <c r="CN104" s="810">
        <v>3</v>
      </c>
      <c r="CO104" s="810">
        <v>4</v>
      </c>
      <c r="CP104" s="810">
        <v>5</v>
      </c>
      <c r="CQ104" s="810">
        <v>6</v>
      </c>
      <c r="CR104" s="810">
        <v>7</v>
      </c>
      <c r="CS104" s="810">
        <v>1</v>
      </c>
      <c r="CT104" s="810">
        <v>2</v>
      </c>
      <c r="CU104" s="810">
        <v>3</v>
      </c>
      <c r="CV104" s="810">
        <v>4</v>
      </c>
      <c r="CW104" s="810">
        <v>5</v>
      </c>
      <c r="CX104" s="781">
        <v>6</v>
      </c>
      <c r="CY104" s="781">
        <v>7</v>
      </c>
      <c r="CZ104" s="954"/>
    </row>
    <row r="105" spans="1:104" ht="11.25" customHeight="1" thickBot="1">
      <c r="A105" s="938"/>
      <c r="B105" s="940"/>
      <c r="C105" s="1008"/>
      <c r="D105" s="942"/>
      <c r="E105" s="944"/>
      <c r="F105" s="946"/>
      <c r="G105" s="948"/>
      <c r="H105" s="1139"/>
      <c r="I105" s="984"/>
      <c r="J105" s="987"/>
      <c r="K105" s="987"/>
      <c r="L105" s="808" t="s">
        <v>3320</v>
      </c>
      <c r="M105" s="955">
        <f>M103+T103+AA103+AH103</f>
        <v>0</v>
      </c>
      <c r="N105" s="956"/>
      <c r="O105" s="956"/>
      <c r="P105" s="956"/>
      <c r="Q105" s="956"/>
      <c r="R105" s="956"/>
      <c r="S105" s="956"/>
      <c r="T105" s="956"/>
      <c r="U105" s="956"/>
      <c r="V105" s="956"/>
      <c r="W105" s="956"/>
      <c r="X105" s="956"/>
      <c r="Y105" s="956"/>
      <c r="Z105" s="956"/>
      <c r="AA105" s="956"/>
      <c r="AB105" s="956"/>
      <c r="AC105" s="956"/>
      <c r="AD105" s="956"/>
      <c r="AE105" s="956"/>
      <c r="AF105" s="956"/>
      <c r="AG105" s="956"/>
      <c r="AH105" s="956"/>
      <c r="AI105" s="956"/>
      <c r="AJ105" s="956"/>
      <c r="AK105" s="956"/>
      <c r="AL105" s="956"/>
      <c r="AM105" s="956"/>
      <c r="AN105" s="956"/>
      <c r="AO105" s="956"/>
      <c r="AP105" s="956"/>
      <c r="AQ105" s="956">
        <f>AO103+AV103+BC103+BJ103</f>
        <v>814972.86</v>
      </c>
      <c r="AR105" s="956"/>
      <c r="AS105" s="956"/>
      <c r="AT105" s="956"/>
      <c r="AU105" s="956"/>
      <c r="AV105" s="956"/>
      <c r="AW105" s="956"/>
      <c r="AX105" s="956"/>
      <c r="AY105" s="956"/>
      <c r="AZ105" s="956"/>
      <c r="BA105" s="956"/>
      <c r="BB105" s="956"/>
      <c r="BC105" s="956"/>
      <c r="BD105" s="956"/>
      <c r="BE105" s="956"/>
      <c r="BF105" s="956"/>
      <c r="BG105" s="956"/>
      <c r="BH105" s="956"/>
      <c r="BI105" s="956"/>
      <c r="BJ105" s="956"/>
      <c r="BK105" s="956"/>
      <c r="BL105" s="956"/>
      <c r="BM105" s="956"/>
      <c r="BN105" s="956"/>
      <c r="BO105" s="956"/>
      <c r="BP105" s="956"/>
      <c r="BQ105" s="956"/>
      <c r="BR105" s="956"/>
      <c r="BS105" s="956"/>
      <c r="BT105" s="956"/>
      <c r="BU105" s="956"/>
      <c r="BV105" s="956"/>
      <c r="BW105" s="956"/>
      <c r="BX105" s="956"/>
      <c r="BY105" s="956"/>
      <c r="BZ105" s="956"/>
      <c r="CA105" s="956"/>
      <c r="CB105" s="956"/>
      <c r="CC105" s="956"/>
      <c r="CD105" s="956"/>
      <c r="CE105" s="956"/>
      <c r="CF105" s="956"/>
      <c r="CG105" s="956"/>
      <c r="CH105" s="956"/>
      <c r="CI105" s="956"/>
      <c r="CJ105" s="956"/>
      <c r="CK105" s="956"/>
      <c r="CL105" s="956"/>
      <c r="CM105" s="956"/>
      <c r="CN105" s="956"/>
      <c r="CO105" s="956"/>
      <c r="CP105" s="956"/>
      <c r="CQ105" s="956"/>
      <c r="CR105" s="956"/>
      <c r="CS105" s="956"/>
      <c r="CT105" s="956"/>
      <c r="CU105" s="956"/>
      <c r="CV105" s="956"/>
      <c r="CW105" s="956"/>
      <c r="CX105" s="956"/>
      <c r="CY105" s="956"/>
      <c r="CZ105" s="954"/>
    </row>
    <row r="106" spans="1:104" ht="8.1" customHeight="1">
      <c r="A106" s="938">
        <f>EDIFICACION!A261</f>
        <v>6.3</v>
      </c>
      <c r="B106" s="940" t="str">
        <f>EDIFICACION!B261</f>
        <v>ACERO DE REFUERZO PDR DE 60.000 PSI</v>
      </c>
      <c r="C106" s="1008" t="str">
        <f>EDIFICACION!C261</f>
        <v>KG</v>
      </c>
      <c r="D106" s="942">
        <f>(66*0.56)+(3.3*4*0.992*2*3)+(3/0.2*0.88*0.992*2*3)+(0.5*8*2*3)+(3.09*6*0.992*3)+(2.79/0.1*1.08*0.56*3)</f>
        <v>323.88959999999997</v>
      </c>
      <c r="E106" s="944">
        <f>EDIFICACION!F261</f>
        <v>7437</v>
      </c>
      <c r="F106" s="946">
        <f t="shared" si="4"/>
        <v>2408766.9551999997</v>
      </c>
      <c r="G106" s="948">
        <f>F106/F259</f>
        <v>7.273394721751739E-3</v>
      </c>
      <c r="H106" s="1139"/>
      <c r="I106" s="982" t="s">
        <v>3375</v>
      </c>
      <c r="J106" s="985" t="s">
        <v>3360</v>
      </c>
      <c r="K106" s="985" t="s">
        <v>3364</v>
      </c>
      <c r="L106" s="806" t="s">
        <v>3318</v>
      </c>
      <c r="M106" s="1005"/>
      <c r="N106" s="952"/>
      <c r="O106" s="952"/>
      <c r="P106" s="952"/>
      <c r="Q106" s="952"/>
      <c r="R106" s="952"/>
      <c r="S106" s="952"/>
      <c r="T106" s="952"/>
      <c r="U106" s="952"/>
      <c r="V106" s="952"/>
      <c r="W106" s="952"/>
      <c r="X106" s="952"/>
      <c r="Y106" s="952"/>
      <c r="Z106" s="952"/>
      <c r="AA106" s="952"/>
      <c r="AB106" s="952"/>
      <c r="AC106" s="952"/>
      <c r="AD106" s="952"/>
      <c r="AE106" s="952"/>
      <c r="AF106" s="952"/>
      <c r="AG106" s="952"/>
      <c r="AH106" s="951">
        <f>F106/CZ106*5</f>
        <v>2408766.9551999997</v>
      </c>
      <c r="AI106" s="951"/>
      <c r="AJ106" s="951"/>
      <c r="AK106" s="951"/>
      <c r="AL106" s="951"/>
      <c r="AM106" s="951"/>
      <c r="AN106" s="951"/>
      <c r="AO106" s="952"/>
      <c r="AP106" s="952"/>
      <c r="AQ106" s="952"/>
      <c r="AR106" s="952"/>
      <c r="AS106" s="952"/>
      <c r="AT106" s="952"/>
      <c r="AU106" s="952"/>
      <c r="AV106" s="952"/>
      <c r="AW106" s="952"/>
      <c r="AX106" s="952"/>
      <c r="AY106" s="952"/>
      <c r="AZ106" s="952"/>
      <c r="BA106" s="952"/>
      <c r="BB106" s="952"/>
      <c r="BC106" s="952"/>
      <c r="BD106" s="952"/>
      <c r="BE106" s="952"/>
      <c r="BF106" s="952"/>
      <c r="BG106" s="952"/>
      <c r="BH106" s="952"/>
      <c r="BI106" s="952"/>
      <c r="BJ106" s="952"/>
      <c r="BK106" s="952"/>
      <c r="BL106" s="952"/>
      <c r="BM106" s="952"/>
      <c r="BN106" s="952"/>
      <c r="BO106" s="952"/>
      <c r="BP106" s="952"/>
      <c r="BQ106" s="952"/>
      <c r="BR106" s="952"/>
      <c r="BS106" s="952"/>
      <c r="BT106" s="952"/>
      <c r="BU106" s="952"/>
      <c r="BV106" s="952"/>
      <c r="BW106" s="952"/>
      <c r="BX106" s="952"/>
      <c r="BY106" s="952"/>
      <c r="BZ106" s="952"/>
      <c r="CA106" s="952"/>
      <c r="CB106" s="952"/>
      <c r="CC106" s="952"/>
      <c r="CD106" s="952"/>
      <c r="CE106" s="952"/>
      <c r="CF106" s="952"/>
      <c r="CG106" s="952"/>
      <c r="CH106" s="952"/>
      <c r="CI106" s="952"/>
      <c r="CJ106" s="952"/>
      <c r="CK106" s="952"/>
      <c r="CL106" s="952"/>
      <c r="CM106" s="952"/>
      <c r="CN106" s="952"/>
      <c r="CO106" s="952"/>
      <c r="CP106" s="952"/>
      <c r="CQ106" s="952"/>
      <c r="CR106" s="952"/>
      <c r="CS106" s="952"/>
      <c r="CT106" s="952"/>
      <c r="CU106" s="952"/>
      <c r="CV106" s="952"/>
      <c r="CW106" s="952"/>
      <c r="CX106" s="952"/>
      <c r="CY106" s="952"/>
      <c r="CZ106" s="953">
        <v>5</v>
      </c>
    </row>
    <row r="107" spans="1:104" ht="8.1" customHeight="1">
      <c r="A107" s="938"/>
      <c r="B107" s="940"/>
      <c r="C107" s="1008"/>
      <c r="D107" s="942"/>
      <c r="E107" s="944"/>
      <c r="F107" s="946"/>
      <c r="G107" s="948"/>
      <c r="H107" s="1139"/>
      <c r="I107" s="983"/>
      <c r="J107" s="986"/>
      <c r="K107" s="986"/>
      <c r="L107" s="807" t="s">
        <v>3319</v>
      </c>
      <c r="M107" s="811">
        <v>1</v>
      </c>
      <c r="N107" s="810">
        <v>2</v>
      </c>
      <c r="O107" s="810">
        <v>3</v>
      </c>
      <c r="P107" s="810">
        <v>4</v>
      </c>
      <c r="Q107" s="810">
        <v>5</v>
      </c>
      <c r="R107" s="810">
        <v>6</v>
      </c>
      <c r="S107" s="810">
        <v>7</v>
      </c>
      <c r="T107" s="810">
        <v>1</v>
      </c>
      <c r="U107" s="810">
        <v>2</v>
      </c>
      <c r="V107" s="810">
        <v>3</v>
      </c>
      <c r="W107" s="810">
        <v>4</v>
      </c>
      <c r="X107" s="810">
        <v>5</v>
      </c>
      <c r="Y107" s="810">
        <v>6</v>
      </c>
      <c r="Z107" s="810">
        <v>7</v>
      </c>
      <c r="AA107" s="810">
        <v>1</v>
      </c>
      <c r="AB107" s="810">
        <v>2</v>
      </c>
      <c r="AC107" s="810">
        <v>3</v>
      </c>
      <c r="AD107" s="810">
        <v>4</v>
      </c>
      <c r="AE107" s="810">
        <v>5</v>
      </c>
      <c r="AF107" s="810">
        <v>6</v>
      </c>
      <c r="AG107" s="810">
        <v>7</v>
      </c>
      <c r="AH107" s="810">
        <v>1</v>
      </c>
      <c r="AI107" s="810">
        <v>2</v>
      </c>
      <c r="AJ107" s="812">
        <v>3</v>
      </c>
      <c r="AK107" s="812">
        <v>4</v>
      </c>
      <c r="AL107" s="812">
        <v>5</v>
      </c>
      <c r="AM107" s="812">
        <v>6</v>
      </c>
      <c r="AN107" s="812">
        <v>7</v>
      </c>
      <c r="AO107" s="810">
        <v>1</v>
      </c>
      <c r="AP107" s="810">
        <v>2</v>
      </c>
      <c r="AQ107" s="810">
        <v>3</v>
      </c>
      <c r="AR107" s="810">
        <v>4</v>
      </c>
      <c r="AS107" s="810">
        <v>5</v>
      </c>
      <c r="AT107" s="810">
        <v>6</v>
      </c>
      <c r="AU107" s="810">
        <v>7</v>
      </c>
      <c r="AV107" s="810">
        <v>1</v>
      </c>
      <c r="AW107" s="810">
        <v>2</v>
      </c>
      <c r="AX107" s="810">
        <v>3</v>
      </c>
      <c r="AY107" s="810">
        <v>4</v>
      </c>
      <c r="AZ107" s="810">
        <v>5</v>
      </c>
      <c r="BA107" s="810">
        <v>6</v>
      </c>
      <c r="BB107" s="810">
        <v>7</v>
      </c>
      <c r="BC107" s="810">
        <v>1</v>
      </c>
      <c r="BD107" s="810">
        <v>2</v>
      </c>
      <c r="BE107" s="810">
        <v>3</v>
      </c>
      <c r="BF107" s="810">
        <v>4</v>
      </c>
      <c r="BG107" s="810">
        <v>5</v>
      </c>
      <c r="BH107" s="810">
        <v>6</v>
      </c>
      <c r="BI107" s="810">
        <v>7</v>
      </c>
      <c r="BJ107" s="810">
        <v>1</v>
      </c>
      <c r="BK107" s="810">
        <v>2</v>
      </c>
      <c r="BL107" s="810">
        <v>3</v>
      </c>
      <c r="BM107" s="810">
        <v>4</v>
      </c>
      <c r="BN107" s="810">
        <v>5</v>
      </c>
      <c r="BO107" s="810">
        <v>6</v>
      </c>
      <c r="BP107" s="810">
        <v>7</v>
      </c>
      <c r="BQ107" s="810">
        <v>1</v>
      </c>
      <c r="BR107" s="810">
        <v>2</v>
      </c>
      <c r="BS107" s="810">
        <v>3</v>
      </c>
      <c r="BT107" s="810">
        <v>4</v>
      </c>
      <c r="BU107" s="810">
        <v>5</v>
      </c>
      <c r="BV107" s="810">
        <v>6</v>
      </c>
      <c r="BW107" s="810">
        <v>7</v>
      </c>
      <c r="BX107" s="810">
        <v>1</v>
      </c>
      <c r="BY107" s="810">
        <v>2</v>
      </c>
      <c r="BZ107" s="810">
        <v>3</v>
      </c>
      <c r="CA107" s="810">
        <v>4</v>
      </c>
      <c r="CB107" s="810">
        <v>5</v>
      </c>
      <c r="CC107" s="810">
        <v>6</v>
      </c>
      <c r="CD107" s="810">
        <v>7</v>
      </c>
      <c r="CE107" s="810">
        <v>1</v>
      </c>
      <c r="CF107" s="810">
        <v>2</v>
      </c>
      <c r="CG107" s="810">
        <v>3</v>
      </c>
      <c r="CH107" s="810">
        <v>4</v>
      </c>
      <c r="CI107" s="810">
        <v>5</v>
      </c>
      <c r="CJ107" s="810">
        <v>6</v>
      </c>
      <c r="CK107" s="810">
        <v>7</v>
      </c>
      <c r="CL107" s="810">
        <v>1</v>
      </c>
      <c r="CM107" s="810">
        <v>2</v>
      </c>
      <c r="CN107" s="810">
        <v>3</v>
      </c>
      <c r="CO107" s="810">
        <v>4</v>
      </c>
      <c r="CP107" s="810">
        <v>5</v>
      </c>
      <c r="CQ107" s="810">
        <v>6</v>
      </c>
      <c r="CR107" s="810">
        <v>7</v>
      </c>
      <c r="CS107" s="810">
        <v>1</v>
      </c>
      <c r="CT107" s="810">
        <v>2</v>
      </c>
      <c r="CU107" s="810">
        <v>3</v>
      </c>
      <c r="CV107" s="810">
        <v>4</v>
      </c>
      <c r="CW107" s="810">
        <v>5</v>
      </c>
      <c r="CX107" s="781">
        <v>6</v>
      </c>
      <c r="CY107" s="781">
        <v>7</v>
      </c>
      <c r="CZ107" s="954"/>
    </row>
    <row r="108" spans="1:104" ht="8.1" customHeight="1" thickBot="1">
      <c r="A108" s="938"/>
      <c r="B108" s="940"/>
      <c r="C108" s="1008"/>
      <c r="D108" s="942"/>
      <c r="E108" s="944"/>
      <c r="F108" s="946"/>
      <c r="G108" s="948"/>
      <c r="H108" s="1139"/>
      <c r="I108" s="984"/>
      <c r="J108" s="987"/>
      <c r="K108" s="987"/>
      <c r="L108" s="808" t="s">
        <v>3320</v>
      </c>
      <c r="M108" s="955">
        <f>AH106+AA106+T106+M106</f>
        <v>2408766.9551999997</v>
      </c>
      <c r="N108" s="956"/>
      <c r="O108" s="956"/>
      <c r="P108" s="956"/>
      <c r="Q108" s="956"/>
      <c r="R108" s="956"/>
      <c r="S108" s="956"/>
      <c r="T108" s="956"/>
      <c r="U108" s="956"/>
      <c r="V108" s="956"/>
      <c r="W108" s="956"/>
      <c r="X108" s="956"/>
      <c r="Y108" s="956"/>
      <c r="Z108" s="956"/>
      <c r="AA108" s="956"/>
      <c r="AB108" s="956"/>
      <c r="AC108" s="956"/>
      <c r="AD108" s="956"/>
      <c r="AE108" s="956"/>
      <c r="AF108" s="956"/>
      <c r="AG108" s="956"/>
      <c r="AH108" s="956"/>
      <c r="AI108" s="956"/>
      <c r="AJ108" s="956"/>
      <c r="AK108" s="956"/>
      <c r="AL108" s="956"/>
      <c r="AM108" s="956"/>
      <c r="AN108" s="956"/>
      <c r="AO108" s="956"/>
      <c r="AP108" s="956"/>
      <c r="AQ108" s="956"/>
      <c r="AR108" s="956"/>
      <c r="AS108" s="956"/>
      <c r="AT108" s="956"/>
      <c r="AU108" s="956"/>
      <c r="AV108" s="956"/>
      <c r="AW108" s="956"/>
      <c r="AX108" s="956"/>
      <c r="AY108" s="956"/>
      <c r="AZ108" s="956"/>
      <c r="BA108" s="956"/>
      <c r="BB108" s="956"/>
      <c r="BC108" s="956"/>
      <c r="BD108" s="956"/>
      <c r="BE108" s="956"/>
      <c r="BF108" s="956"/>
      <c r="BG108" s="956"/>
      <c r="BH108" s="956"/>
      <c r="BI108" s="956"/>
      <c r="BJ108" s="956"/>
      <c r="BK108" s="956"/>
      <c r="BL108" s="956"/>
      <c r="BM108" s="956"/>
      <c r="BN108" s="956"/>
      <c r="BO108" s="956"/>
      <c r="BP108" s="956"/>
      <c r="BQ108" s="956"/>
      <c r="BR108" s="956"/>
      <c r="BS108" s="956"/>
      <c r="BT108" s="956"/>
      <c r="BU108" s="956"/>
      <c r="BV108" s="956"/>
      <c r="BW108" s="956"/>
      <c r="BX108" s="956"/>
      <c r="BY108" s="956"/>
      <c r="BZ108" s="956"/>
      <c r="CA108" s="956"/>
      <c r="CB108" s="956"/>
      <c r="CC108" s="956"/>
      <c r="CD108" s="956"/>
      <c r="CE108" s="956"/>
      <c r="CF108" s="956"/>
      <c r="CG108" s="956"/>
      <c r="CH108" s="956"/>
      <c r="CI108" s="956"/>
      <c r="CJ108" s="956"/>
      <c r="CK108" s="956"/>
      <c r="CL108" s="956"/>
      <c r="CM108" s="956"/>
      <c r="CN108" s="956"/>
      <c r="CO108" s="956"/>
      <c r="CP108" s="956"/>
      <c r="CQ108" s="956"/>
      <c r="CR108" s="956"/>
      <c r="CS108" s="956"/>
      <c r="CT108" s="956"/>
      <c r="CU108" s="956"/>
      <c r="CV108" s="956"/>
      <c r="CW108" s="956"/>
      <c r="CX108" s="956"/>
      <c r="CY108" s="956"/>
      <c r="CZ108" s="954"/>
    </row>
    <row r="109" spans="1:104" ht="8.1" customHeight="1">
      <c r="A109" s="938">
        <f>EDIFICACION!A270</f>
        <v>6.4</v>
      </c>
      <c r="B109" s="950" t="str">
        <f>EDIFICACION!B270</f>
        <v>COLUMNAS EN CONCRETO 3.000 PSI.</v>
      </c>
      <c r="C109" s="938" t="str">
        <f>EDIFICACION!C270</f>
        <v>M3</v>
      </c>
      <c r="D109" s="942">
        <f>0.2*0.3*3*2*3</f>
        <v>1.08</v>
      </c>
      <c r="E109" s="944">
        <f>EDIFICACION!F270</f>
        <v>1168863</v>
      </c>
      <c r="F109" s="946">
        <f t="shared" ref="F109" si="5">E109*D109</f>
        <v>1262372.04</v>
      </c>
      <c r="G109" s="948">
        <f>F109/F259</f>
        <v>3.8117967837451579E-3</v>
      </c>
      <c r="H109" s="1139"/>
      <c r="I109" s="982" t="s">
        <v>3380</v>
      </c>
      <c r="J109" s="985" t="s">
        <v>3345</v>
      </c>
      <c r="K109" s="985" t="s">
        <v>3359</v>
      </c>
      <c r="L109" s="806" t="s">
        <v>3318</v>
      </c>
      <c r="M109" s="988"/>
      <c r="N109" s="952"/>
      <c r="O109" s="952"/>
      <c r="P109" s="952"/>
      <c r="Q109" s="952"/>
      <c r="R109" s="952"/>
      <c r="S109" s="952"/>
      <c r="T109" s="952"/>
      <c r="U109" s="952"/>
      <c r="V109" s="952"/>
      <c r="W109" s="952"/>
      <c r="X109" s="952"/>
      <c r="Y109" s="952"/>
      <c r="Z109" s="952"/>
      <c r="AA109" s="1000">
        <f>F109/CZ109*1</f>
        <v>420790.68</v>
      </c>
      <c r="AB109" s="1001"/>
      <c r="AC109" s="1001"/>
      <c r="AD109" s="1001"/>
      <c r="AE109" s="1001"/>
      <c r="AF109" s="1001"/>
      <c r="AG109" s="1001"/>
      <c r="AH109" s="1006">
        <f>F109/CZ109*2</f>
        <v>841581.36</v>
      </c>
      <c r="AI109" s="951"/>
      <c r="AJ109" s="951"/>
      <c r="AK109" s="951"/>
      <c r="AL109" s="951"/>
      <c r="AM109" s="951"/>
      <c r="AN109" s="951"/>
      <c r="AO109" s="952"/>
      <c r="AP109" s="952"/>
      <c r="AQ109" s="952"/>
      <c r="AR109" s="952"/>
      <c r="AS109" s="952"/>
      <c r="AT109" s="952"/>
      <c r="AU109" s="952"/>
      <c r="AV109" s="952"/>
      <c r="AW109" s="952"/>
      <c r="AX109" s="952"/>
      <c r="AY109" s="952"/>
      <c r="AZ109" s="952"/>
      <c r="BA109" s="952"/>
      <c r="BB109" s="952"/>
      <c r="BC109" s="952"/>
      <c r="BD109" s="952"/>
      <c r="BE109" s="952"/>
      <c r="BF109" s="952"/>
      <c r="BG109" s="952"/>
      <c r="BH109" s="952"/>
      <c r="BI109" s="952"/>
      <c r="BJ109" s="952"/>
      <c r="BK109" s="952"/>
      <c r="BL109" s="952"/>
      <c r="BM109" s="952"/>
      <c r="BN109" s="952"/>
      <c r="BO109" s="952"/>
      <c r="BP109" s="952"/>
      <c r="BQ109" s="952"/>
      <c r="BR109" s="952"/>
      <c r="BS109" s="952"/>
      <c r="BT109" s="952"/>
      <c r="BU109" s="952"/>
      <c r="BV109" s="952"/>
      <c r="BW109" s="952"/>
      <c r="BX109" s="952"/>
      <c r="BY109" s="952"/>
      <c r="BZ109" s="952"/>
      <c r="CA109" s="952"/>
      <c r="CB109" s="952"/>
      <c r="CC109" s="952"/>
      <c r="CD109" s="952"/>
      <c r="CE109" s="952"/>
      <c r="CF109" s="952"/>
      <c r="CG109" s="952"/>
      <c r="CH109" s="952"/>
      <c r="CI109" s="952"/>
      <c r="CJ109" s="952"/>
      <c r="CK109" s="952"/>
      <c r="CL109" s="952"/>
      <c r="CM109" s="952"/>
      <c r="CN109" s="952"/>
      <c r="CO109" s="952"/>
      <c r="CP109" s="952"/>
      <c r="CQ109" s="952"/>
      <c r="CR109" s="952"/>
      <c r="CS109" s="952"/>
      <c r="CT109" s="952"/>
      <c r="CU109" s="952"/>
      <c r="CV109" s="952"/>
      <c r="CW109" s="952"/>
      <c r="CX109" s="952"/>
      <c r="CY109" s="952"/>
      <c r="CZ109" s="953">
        <v>3</v>
      </c>
    </row>
    <row r="110" spans="1:104" ht="8.1" customHeight="1">
      <c r="A110" s="938"/>
      <c r="B110" s="950"/>
      <c r="C110" s="938"/>
      <c r="D110" s="942"/>
      <c r="E110" s="944"/>
      <c r="F110" s="946"/>
      <c r="G110" s="948"/>
      <c r="H110" s="1139"/>
      <c r="I110" s="983"/>
      <c r="J110" s="986"/>
      <c r="K110" s="986"/>
      <c r="L110" s="807" t="s">
        <v>3319</v>
      </c>
      <c r="M110" s="811">
        <v>1</v>
      </c>
      <c r="N110" s="810">
        <v>2</v>
      </c>
      <c r="O110" s="810">
        <v>3</v>
      </c>
      <c r="P110" s="810">
        <v>4</v>
      </c>
      <c r="Q110" s="810">
        <v>5</v>
      </c>
      <c r="R110" s="810">
        <v>6</v>
      </c>
      <c r="S110" s="810">
        <v>7</v>
      </c>
      <c r="T110" s="810">
        <v>1</v>
      </c>
      <c r="U110" s="810">
        <v>2</v>
      </c>
      <c r="V110" s="810">
        <v>3</v>
      </c>
      <c r="W110" s="810">
        <v>4</v>
      </c>
      <c r="X110" s="810">
        <v>5</v>
      </c>
      <c r="Y110" s="810">
        <v>6</v>
      </c>
      <c r="Z110" s="810">
        <v>7</v>
      </c>
      <c r="AA110" s="810">
        <v>1</v>
      </c>
      <c r="AB110" s="810">
        <v>2</v>
      </c>
      <c r="AC110" s="810">
        <v>3</v>
      </c>
      <c r="AD110" s="810">
        <v>4</v>
      </c>
      <c r="AE110" s="810">
        <v>5</v>
      </c>
      <c r="AF110" s="810">
        <v>6</v>
      </c>
      <c r="AG110" s="812">
        <v>7</v>
      </c>
      <c r="AH110" s="812">
        <v>1</v>
      </c>
      <c r="AI110" s="812">
        <v>2</v>
      </c>
      <c r="AJ110" s="810">
        <v>3</v>
      </c>
      <c r="AK110" s="810">
        <v>4</v>
      </c>
      <c r="AL110" s="816">
        <v>5</v>
      </c>
      <c r="AM110" s="816">
        <v>6</v>
      </c>
      <c r="AN110" s="816">
        <v>7</v>
      </c>
      <c r="AO110" s="810">
        <v>1</v>
      </c>
      <c r="AP110" s="810">
        <v>2</v>
      </c>
      <c r="AQ110" s="810">
        <v>3</v>
      </c>
      <c r="AR110" s="810">
        <v>4</v>
      </c>
      <c r="AS110" s="810">
        <v>5</v>
      </c>
      <c r="AT110" s="810">
        <v>6</v>
      </c>
      <c r="AU110" s="810">
        <v>7</v>
      </c>
      <c r="AV110" s="810">
        <v>1</v>
      </c>
      <c r="AW110" s="810">
        <v>2</v>
      </c>
      <c r="AX110" s="810">
        <v>3</v>
      </c>
      <c r="AY110" s="810">
        <v>4</v>
      </c>
      <c r="AZ110" s="810">
        <v>5</v>
      </c>
      <c r="BA110" s="810">
        <v>6</v>
      </c>
      <c r="BB110" s="810">
        <v>7</v>
      </c>
      <c r="BC110" s="810">
        <v>1</v>
      </c>
      <c r="BD110" s="810">
        <v>2</v>
      </c>
      <c r="BE110" s="810">
        <v>3</v>
      </c>
      <c r="BF110" s="810">
        <v>4</v>
      </c>
      <c r="BG110" s="810">
        <v>5</v>
      </c>
      <c r="BH110" s="810">
        <v>6</v>
      </c>
      <c r="BI110" s="810">
        <v>7</v>
      </c>
      <c r="BJ110" s="810">
        <v>1</v>
      </c>
      <c r="BK110" s="810">
        <v>2</v>
      </c>
      <c r="BL110" s="810">
        <v>3</v>
      </c>
      <c r="BM110" s="810">
        <v>4</v>
      </c>
      <c r="BN110" s="810">
        <v>5</v>
      </c>
      <c r="BO110" s="810">
        <v>6</v>
      </c>
      <c r="BP110" s="810">
        <v>7</v>
      </c>
      <c r="BQ110" s="810">
        <v>1</v>
      </c>
      <c r="BR110" s="810">
        <v>2</v>
      </c>
      <c r="BS110" s="810">
        <v>3</v>
      </c>
      <c r="BT110" s="810">
        <v>4</v>
      </c>
      <c r="BU110" s="810">
        <v>5</v>
      </c>
      <c r="BV110" s="810">
        <v>6</v>
      </c>
      <c r="BW110" s="810">
        <v>7</v>
      </c>
      <c r="BX110" s="810">
        <v>1</v>
      </c>
      <c r="BY110" s="810">
        <v>2</v>
      </c>
      <c r="BZ110" s="810">
        <v>3</v>
      </c>
      <c r="CA110" s="810">
        <v>4</v>
      </c>
      <c r="CB110" s="810">
        <v>5</v>
      </c>
      <c r="CC110" s="810">
        <v>6</v>
      </c>
      <c r="CD110" s="810">
        <v>7</v>
      </c>
      <c r="CE110" s="810">
        <v>1</v>
      </c>
      <c r="CF110" s="810">
        <v>2</v>
      </c>
      <c r="CG110" s="810">
        <v>3</v>
      </c>
      <c r="CH110" s="810">
        <v>4</v>
      </c>
      <c r="CI110" s="810">
        <v>5</v>
      </c>
      <c r="CJ110" s="810">
        <v>6</v>
      </c>
      <c r="CK110" s="810">
        <v>7</v>
      </c>
      <c r="CL110" s="810">
        <v>1</v>
      </c>
      <c r="CM110" s="810">
        <v>2</v>
      </c>
      <c r="CN110" s="810">
        <v>3</v>
      </c>
      <c r="CO110" s="810">
        <v>4</v>
      </c>
      <c r="CP110" s="810">
        <v>5</v>
      </c>
      <c r="CQ110" s="810">
        <v>6</v>
      </c>
      <c r="CR110" s="810">
        <v>7</v>
      </c>
      <c r="CS110" s="810">
        <v>1</v>
      </c>
      <c r="CT110" s="810">
        <v>2</v>
      </c>
      <c r="CU110" s="810">
        <v>3</v>
      </c>
      <c r="CV110" s="810">
        <v>4</v>
      </c>
      <c r="CW110" s="810">
        <v>5</v>
      </c>
      <c r="CX110" s="781">
        <v>6</v>
      </c>
      <c r="CY110" s="781">
        <v>7</v>
      </c>
      <c r="CZ110" s="954"/>
    </row>
    <row r="111" spans="1:104" ht="7.5" customHeight="1" thickBot="1">
      <c r="A111" s="938"/>
      <c r="B111" s="950"/>
      <c r="C111" s="938"/>
      <c r="D111" s="942"/>
      <c r="E111" s="944"/>
      <c r="F111" s="946"/>
      <c r="G111" s="948"/>
      <c r="H111" s="1139"/>
      <c r="I111" s="984"/>
      <c r="J111" s="987"/>
      <c r="K111" s="987"/>
      <c r="L111" s="808" t="s">
        <v>3320</v>
      </c>
      <c r="M111" s="955">
        <f>AA109+AH109</f>
        <v>1262372.04</v>
      </c>
      <c r="N111" s="956"/>
      <c r="O111" s="956"/>
      <c r="P111" s="956"/>
      <c r="Q111" s="956"/>
      <c r="R111" s="956"/>
      <c r="S111" s="956"/>
      <c r="T111" s="956"/>
      <c r="U111" s="956"/>
      <c r="V111" s="956"/>
      <c r="W111" s="956"/>
      <c r="X111" s="956"/>
      <c r="Y111" s="956"/>
      <c r="Z111" s="956"/>
      <c r="AA111" s="956"/>
      <c r="AB111" s="956"/>
      <c r="AC111" s="956"/>
      <c r="AD111" s="956"/>
      <c r="AE111" s="956"/>
      <c r="AF111" s="956"/>
      <c r="AG111" s="956"/>
      <c r="AH111" s="956"/>
      <c r="AI111" s="956"/>
      <c r="AJ111" s="956"/>
      <c r="AK111" s="956"/>
      <c r="AL111" s="956"/>
      <c r="AM111" s="956"/>
      <c r="AN111" s="956"/>
      <c r="AO111" s="956"/>
      <c r="AP111" s="956"/>
      <c r="AQ111" s="956"/>
      <c r="AR111" s="956"/>
      <c r="AS111" s="956"/>
      <c r="AT111" s="956"/>
      <c r="AU111" s="956"/>
      <c r="AV111" s="956"/>
      <c r="AW111" s="956"/>
      <c r="AX111" s="956"/>
      <c r="AY111" s="956"/>
      <c r="AZ111" s="956"/>
      <c r="BA111" s="956"/>
      <c r="BB111" s="956"/>
      <c r="BC111" s="956"/>
      <c r="BD111" s="956"/>
      <c r="BE111" s="956"/>
      <c r="BF111" s="956"/>
      <c r="BG111" s="956"/>
      <c r="BH111" s="956"/>
      <c r="BI111" s="956"/>
      <c r="BJ111" s="956"/>
      <c r="BK111" s="956"/>
      <c r="BL111" s="956"/>
      <c r="BM111" s="956"/>
      <c r="BN111" s="956"/>
      <c r="BO111" s="956"/>
      <c r="BP111" s="956"/>
      <c r="BQ111" s="956"/>
      <c r="BR111" s="956"/>
      <c r="BS111" s="956"/>
      <c r="BT111" s="956"/>
      <c r="BU111" s="956"/>
      <c r="BV111" s="956"/>
      <c r="BW111" s="956"/>
      <c r="BX111" s="956"/>
      <c r="BY111" s="956"/>
      <c r="BZ111" s="956"/>
      <c r="CA111" s="956"/>
      <c r="CB111" s="956"/>
      <c r="CC111" s="956"/>
      <c r="CD111" s="956"/>
      <c r="CE111" s="956"/>
      <c r="CF111" s="956"/>
      <c r="CG111" s="956"/>
      <c r="CH111" s="956"/>
      <c r="CI111" s="956"/>
      <c r="CJ111" s="956"/>
      <c r="CK111" s="956"/>
      <c r="CL111" s="956"/>
      <c r="CM111" s="956"/>
      <c r="CN111" s="956"/>
      <c r="CO111" s="956"/>
      <c r="CP111" s="956"/>
      <c r="CQ111" s="956"/>
      <c r="CR111" s="956"/>
      <c r="CS111" s="956"/>
      <c r="CT111" s="956"/>
      <c r="CU111" s="956"/>
      <c r="CV111" s="956"/>
      <c r="CW111" s="956"/>
      <c r="CX111" s="956"/>
      <c r="CY111" s="956"/>
      <c r="CZ111" s="954"/>
    </row>
    <row r="112" spans="1:104" ht="7.5" customHeight="1">
      <c r="A112" s="938">
        <f>EDIFICACION!A280</f>
        <v>6.5</v>
      </c>
      <c r="B112" s="950" t="str">
        <f>EDIFICACION!B280</f>
        <v>VIGA AEREA EN CONCRETO 3.000 PSI.</v>
      </c>
      <c r="C112" s="938" t="str">
        <f>EDIFICACION!C280</f>
        <v>M3</v>
      </c>
      <c r="D112" s="942">
        <f>3.06*0.3*0.3*3</f>
        <v>0.82619999999999993</v>
      </c>
      <c r="E112" s="944">
        <f>EDIFICACION!F280</f>
        <v>1175428</v>
      </c>
      <c r="F112" s="946">
        <f t="shared" ref="F112" si="6">E112*D112</f>
        <v>971138.61359999992</v>
      </c>
      <c r="G112" s="948">
        <f>F112/F259</f>
        <v>2.9324025933679674E-3</v>
      </c>
      <c r="H112" s="1139"/>
      <c r="I112" s="982" t="s">
        <v>3380</v>
      </c>
      <c r="J112" s="985" t="s">
        <v>3360</v>
      </c>
      <c r="K112" s="985" t="s">
        <v>3362</v>
      </c>
      <c r="L112" s="806" t="s">
        <v>3318</v>
      </c>
      <c r="M112" s="988"/>
      <c r="N112" s="952"/>
      <c r="O112" s="952"/>
      <c r="P112" s="952"/>
      <c r="Q112" s="952"/>
      <c r="R112" s="952"/>
      <c r="S112" s="952"/>
      <c r="T112" s="952"/>
      <c r="U112" s="952"/>
      <c r="V112" s="952"/>
      <c r="W112" s="952"/>
      <c r="X112" s="952"/>
      <c r="Y112" s="952"/>
      <c r="Z112" s="952"/>
      <c r="AA112" s="1000"/>
      <c r="AB112" s="1001"/>
      <c r="AC112" s="1001"/>
      <c r="AD112" s="1001"/>
      <c r="AE112" s="1001"/>
      <c r="AF112" s="1001"/>
      <c r="AG112" s="1001"/>
      <c r="AH112" s="951">
        <f>F112/CZ112*3</f>
        <v>971138.61360000004</v>
      </c>
      <c r="AI112" s="951"/>
      <c r="AJ112" s="951"/>
      <c r="AK112" s="951"/>
      <c r="AL112" s="951"/>
      <c r="AM112" s="951"/>
      <c r="AN112" s="951"/>
      <c r="AO112" s="952"/>
      <c r="AP112" s="952"/>
      <c r="AQ112" s="952"/>
      <c r="AR112" s="952"/>
      <c r="AS112" s="952"/>
      <c r="AT112" s="952"/>
      <c r="AU112" s="952"/>
      <c r="AV112" s="952"/>
      <c r="AW112" s="952"/>
      <c r="AX112" s="952"/>
      <c r="AY112" s="952"/>
      <c r="AZ112" s="952"/>
      <c r="BA112" s="952"/>
      <c r="BB112" s="952"/>
      <c r="BC112" s="952"/>
      <c r="BD112" s="952"/>
      <c r="BE112" s="952"/>
      <c r="BF112" s="952"/>
      <c r="BG112" s="952"/>
      <c r="BH112" s="952"/>
      <c r="BI112" s="952"/>
      <c r="BJ112" s="952"/>
      <c r="BK112" s="952"/>
      <c r="BL112" s="952"/>
      <c r="BM112" s="952"/>
      <c r="BN112" s="952"/>
      <c r="BO112" s="952"/>
      <c r="BP112" s="952"/>
      <c r="BQ112" s="952"/>
      <c r="BR112" s="952"/>
      <c r="BS112" s="952"/>
      <c r="BT112" s="952"/>
      <c r="BU112" s="952"/>
      <c r="BV112" s="952"/>
      <c r="BW112" s="952"/>
      <c r="BX112" s="952"/>
      <c r="BY112" s="952"/>
      <c r="BZ112" s="952"/>
      <c r="CA112" s="952"/>
      <c r="CB112" s="952"/>
      <c r="CC112" s="952"/>
      <c r="CD112" s="952"/>
      <c r="CE112" s="952"/>
      <c r="CF112" s="952"/>
      <c r="CG112" s="952"/>
      <c r="CH112" s="952"/>
      <c r="CI112" s="952"/>
      <c r="CJ112" s="952"/>
      <c r="CK112" s="952"/>
      <c r="CL112" s="952"/>
      <c r="CM112" s="952"/>
      <c r="CN112" s="952"/>
      <c r="CO112" s="952"/>
      <c r="CP112" s="952"/>
      <c r="CQ112" s="952"/>
      <c r="CR112" s="952"/>
      <c r="CS112" s="952"/>
      <c r="CT112" s="952"/>
      <c r="CU112" s="952"/>
      <c r="CV112" s="952"/>
      <c r="CW112" s="952"/>
      <c r="CX112" s="952"/>
      <c r="CY112" s="952"/>
      <c r="CZ112" s="953">
        <v>3</v>
      </c>
    </row>
    <row r="113" spans="1:104" ht="7.5" customHeight="1">
      <c r="A113" s="938"/>
      <c r="B113" s="950"/>
      <c r="C113" s="938"/>
      <c r="D113" s="942"/>
      <c r="E113" s="944"/>
      <c r="F113" s="946"/>
      <c r="G113" s="948"/>
      <c r="H113" s="1139"/>
      <c r="I113" s="983"/>
      <c r="J113" s="986"/>
      <c r="K113" s="986"/>
      <c r="L113" s="807" t="s">
        <v>3319</v>
      </c>
      <c r="M113" s="811">
        <v>1</v>
      </c>
      <c r="N113" s="810">
        <v>2</v>
      </c>
      <c r="O113" s="810">
        <v>3</v>
      </c>
      <c r="P113" s="810">
        <v>4</v>
      </c>
      <c r="Q113" s="810">
        <v>5</v>
      </c>
      <c r="R113" s="810">
        <v>6</v>
      </c>
      <c r="S113" s="810">
        <v>7</v>
      </c>
      <c r="T113" s="810">
        <v>1</v>
      </c>
      <c r="U113" s="810">
        <v>2</v>
      </c>
      <c r="V113" s="810">
        <v>3</v>
      </c>
      <c r="W113" s="810">
        <v>4</v>
      </c>
      <c r="X113" s="810">
        <v>5</v>
      </c>
      <c r="Y113" s="810">
        <v>6</v>
      </c>
      <c r="Z113" s="810">
        <v>7</v>
      </c>
      <c r="AA113" s="810">
        <v>1</v>
      </c>
      <c r="AB113" s="810">
        <v>2</v>
      </c>
      <c r="AC113" s="810">
        <v>3</v>
      </c>
      <c r="AD113" s="810">
        <v>4</v>
      </c>
      <c r="AE113" s="810">
        <v>5</v>
      </c>
      <c r="AF113" s="810">
        <v>6</v>
      </c>
      <c r="AG113" s="816">
        <v>7</v>
      </c>
      <c r="AH113" s="816">
        <v>1</v>
      </c>
      <c r="AI113" s="816">
        <v>2</v>
      </c>
      <c r="AJ113" s="812">
        <v>3</v>
      </c>
      <c r="AK113" s="812">
        <v>4</v>
      </c>
      <c r="AL113" s="812">
        <v>5</v>
      </c>
      <c r="AM113" s="816">
        <v>6</v>
      </c>
      <c r="AN113" s="816">
        <v>7</v>
      </c>
      <c r="AO113" s="810">
        <v>1</v>
      </c>
      <c r="AP113" s="810">
        <v>2</v>
      </c>
      <c r="AQ113" s="810">
        <v>3</v>
      </c>
      <c r="AR113" s="810">
        <v>4</v>
      </c>
      <c r="AS113" s="810">
        <v>5</v>
      </c>
      <c r="AT113" s="810">
        <v>6</v>
      </c>
      <c r="AU113" s="810">
        <v>7</v>
      </c>
      <c r="AV113" s="810">
        <v>1</v>
      </c>
      <c r="AW113" s="810">
        <v>2</v>
      </c>
      <c r="AX113" s="810">
        <v>3</v>
      </c>
      <c r="AY113" s="810">
        <v>4</v>
      </c>
      <c r="AZ113" s="810">
        <v>5</v>
      </c>
      <c r="BA113" s="810">
        <v>6</v>
      </c>
      <c r="BB113" s="810">
        <v>7</v>
      </c>
      <c r="BC113" s="810">
        <v>1</v>
      </c>
      <c r="BD113" s="810">
        <v>2</v>
      </c>
      <c r="BE113" s="810">
        <v>3</v>
      </c>
      <c r="BF113" s="810">
        <v>4</v>
      </c>
      <c r="BG113" s="810">
        <v>5</v>
      </c>
      <c r="BH113" s="810">
        <v>6</v>
      </c>
      <c r="BI113" s="810">
        <v>7</v>
      </c>
      <c r="BJ113" s="810">
        <v>1</v>
      </c>
      <c r="BK113" s="810">
        <v>2</v>
      </c>
      <c r="BL113" s="810">
        <v>3</v>
      </c>
      <c r="BM113" s="810">
        <v>4</v>
      </c>
      <c r="BN113" s="810">
        <v>5</v>
      </c>
      <c r="BO113" s="810">
        <v>6</v>
      </c>
      <c r="BP113" s="810">
        <v>7</v>
      </c>
      <c r="BQ113" s="810">
        <v>1</v>
      </c>
      <c r="BR113" s="810">
        <v>2</v>
      </c>
      <c r="BS113" s="810">
        <v>3</v>
      </c>
      <c r="BT113" s="810">
        <v>4</v>
      </c>
      <c r="BU113" s="810">
        <v>5</v>
      </c>
      <c r="BV113" s="810">
        <v>6</v>
      </c>
      <c r="BW113" s="810">
        <v>7</v>
      </c>
      <c r="BX113" s="810">
        <v>1</v>
      </c>
      <c r="BY113" s="810">
        <v>2</v>
      </c>
      <c r="BZ113" s="810">
        <v>3</v>
      </c>
      <c r="CA113" s="810">
        <v>4</v>
      </c>
      <c r="CB113" s="810">
        <v>5</v>
      </c>
      <c r="CC113" s="810">
        <v>6</v>
      </c>
      <c r="CD113" s="810">
        <v>7</v>
      </c>
      <c r="CE113" s="810">
        <v>1</v>
      </c>
      <c r="CF113" s="810">
        <v>2</v>
      </c>
      <c r="CG113" s="810">
        <v>3</v>
      </c>
      <c r="CH113" s="810">
        <v>4</v>
      </c>
      <c r="CI113" s="810">
        <v>5</v>
      </c>
      <c r="CJ113" s="810">
        <v>6</v>
      </c>
      <c r="CK113" s="810">
        <v>7</v>
      </c>
      <c r="CL113" s="810">
        <v>1</v>
      </c>
      <c r="CM113" s="810">
        <v>2</v>
      </c>
      <c r="CN113" s="810">
        <v>3</v>
      </c>
      <c r="CO113" s="810">
        <v>4</v>
      </c>
      <c r="CP113" s="810">
        <v>5</v>
      </c>
      <c r="CQ113" s="810">
        <v>6</v>
      </c>
      <c r="CR113" s="810">
        <v>7</v>
      </c>
      <c r="CS113" s="810">
        <v>1</v>
      </c>
      <c r="CT113" s="810">
        <v>2</v>
      </c>
      <c r="CU113" s="810">
        <v>3</v>
      </c>
      <c r="CV113" s="810">
        <v>4</v>
      </c>
      <c r="CW113" s="810">
        <v>5</v>
      </c>
      <c r="CX113" s="781">
        <v>6</v>
      </c>
      <c r="CY113" s="781">
        <v>7</v>
      </c>
      <c r="CZ113" s="954"/>
    </row>
    <row r="114" spans="1:104" ht="7.5" customHeight="1" thickBot="1">
      <c r="A114" s="939"/>
      <c r="B114" s="981"/>
      <c r="C114" s="939"/>
      <c r="D114" s="943"/>
      <c r="E114" s="945"/>
      <c r="F114" s="947"/>
      <c r="G114" s="949"/>
      <c r="H114" s="1139"/>
      <c r="I114" s="984"/>
      <c r="J114" s="987"/>
      <c r="K114" s="987"/>
      <c r="L114" s="808" t="s">
        <v>3320</v>
      </c>
      <c r="M114" s="955">
        <f>AH112+AA112+T112+M112</f>
        <v>971138.61360000004</v>
      </c>
      <c r="N114" s="956"/>
      <c r="O114" s="956"/>
      <c r="P114" s="956"/>
      <c r="Q114" s="956"/>
      <c r="R114" s="956"/>
      <c r="S114" s="956"/>
      <c r="T114" s="956"/>
      <c r="U114" s="956"/>
      <c r="V114" s="956"/>
      <c r="W114" s="956"/>
      <c r="X114" s="956"/>
      <c r="Y114" s="956"/>
      <c r="Z114" s="956"/>
      <c r="AA114" s="956"/>
      <c r="AB114" s="956"/>
      <c r="AC114" s="956"/>
      <c r="AD114" s="956"/>
      <c r="AE114" s="956"/>
      <c r="AF114" s="956"/>
      <c r="AG114" s="956"/>
      <c r="AH114" s="956"/>
      <c r="AI114" s="956"/>
      <c r="AJ114" s="956"/>
      <c r="AK114" s="956"/>
      <c r="AL114" s="956"/>
      <c r="AM114" s="956"/>
      <c r="AN114" s="956"/>
      <c r="AO114" s="956"/>
      <c r="AP114" s="956"/>
      <c r="AQ114" s="956"/>
      <c r="AR114" s="956"/>
      <c r="AS114" s="956"/>
      <c r="AT114" s="956"/>
      <c r="AU114" s="956"/>
      <c r="AV114" s="956"/>
      <c r="AW114" s="956"/>
      <c r="AX114" s="956"/>
      <c r="AY114" s="956"/>
      <c r="AZ114" s="956"/>
      <c r="BA114" s="956"/>
      <c r="BB114" s="956"/>
      <c r="BC114" s="956"/>
      <c r="BD114" s="956"/>
      <c r="BE114" s="956"/>
      <c r="BF114" s="956"/>
      <c r="BG114" s="956"/>
      <c r="BH114" s="956"/>
      <c r="BI114" s="956"/>
      <c r="BJ114" s="956"/>
      <c r="BK114" s="956"/>
      <c r="BL114" s="956"/>
      <c r="BM114" s="956"/>
      <c r="BN114" s="956"/>
      <c r="BO114" s="956"/>
      <c r="BP114" s="956"/>
      <c r="BQ114" s="956"/>
      <c r="BR114" s="956"/>
      <c r="BS114" s="956"/>
      <c r="BT114" s="956"/>
      <c r="BU114" s="956"/>
      <c r="BV114" s="956"/>
      <c r="BW114" s="956"/>
      <c r="BX114" s="956"/>
      <c r="BY114" s="956"/>
      <c r="BZ114" s="956"/>
      <c r="CA114" s="956"/>
      <c r="CB114" s="956"/>
      <c r="CC114" s="956"/>
      <c r="CD114" s="956"/>
      <c r="CE114" s="956"/>
      <c r="CF114" s="956"/>
      <c r="CG114" s="956"/>
      <c r="CH114" s="956"/>
      <c r="CI114" s="956"/>
      <c r="CJ114" s="956"/>
      <c r="CK114" s="956"/>
      <c r="CL114" s="956"/>
      <c r="CM114" s="956"/>
      <c r="CN114" s="956"/>
      <c r="CO114" s="956"/>
      <c r="CP114" s="956"/>
      <c r="CQ114" s="956"/>
      <c r="CR114" s="956"/>
      <c r="CS114" s="956"/>
      <c r="CT114" s="956"/>
      <c r="CU114" s="956"/>
      <c r="CV114" s="956"/>
      <c r="CW114" s="956"/>
      <c r="CX114" s="956"/>
      <c r="CY114" s="956"/>
      <c r="CZ114" s="954"/>
    </row>
    <row r="115" spans="1:104" ht="19.899999999999999" customHeight="1">
      <c r="A115" s="724"/>
      <c r="B115" s="928"/>
      <c r="C115" s="714"/>
      <c r="D115" s="759"/>
      <c r="E115" s="771" t="s">
        <v>3245</v>
      </c>
      <c r="F115" s="769">
        <f>SUM(F100:F114)</f>
        <v>15721214.468800001</v>
      </c>
      <c r="G115" s="776">
        <f>F115/F259</f>
        <v>4.7471009219072755E-2</v>
      </c>
      <c r="H115" s="1139"/>
      <c r="I115" s="995" t="s">
        <v>3336</v>
      </c>
      <c r="J115" s="995"/>
      <c r="K115" s="995"/>
      <c r="L115" s="995"/>
      <c r="M115" s="996">
        <f>M102+M108+M105+M111+M114</f>
        <v>14906241.608800001</v>
      </c>
      <c r="N115" s="996"/>
      <c r="O115" s="996"/>
      <c r="P115" s="996"/>
      <c r="Q115" s="996"/>
      <c r="R115" s="996"/>
      <c r="S115" s="996"/>
      <c r="T115" s="996"/>
      <c r="U115" s="996"/>
      <c r="V115" s="996"/>
      <c r="W115" s="996"/>
      <c r="X115" s="996"/>
      <c r="Y115" s="996"/>
      <c r="Z115" s="996"/>
      <c r="AA115" s="996"/>
      <c r="AB115" s="996"/>
      <c r="AC115" s="996"/>
      <c r="AD115" s="996"/>
      <c r="AE115" s="996"/>
      <c r="AF115" s="996"/>
      <c r="AG115" s="996"/>
      <c r="AH115" s="996"/>
      <c r="AI115" s="996"/>
      <c r="AJ115" s="996"/>
      <c r="AK115" s="996"/>
      <c r="AL115" s="996"/>
      <c r="AM115" s="996"/>
      <c r="AN115" s="996"/>
      <c r="AO115" s="996"/>
      <c r="AP115" s="997"/>
      <c r="AQ115" s="996">
        <f>AQ102+AQ108+AQ105+AQ111+AQ114</f>
        <v>814972.86</v>
      </c>
      <c r="AR115" s="996"/>
      <c r="AS115" s="996"/>
      <c r="AT115" s="996"/>
      <c r="AU115" s="996"/>
      <c r="AV115" s="996"/>
      <c r="AW115" s="996"/>
      <c r="AX115" s="996"/>
      <c r="AY115" s="996"/>
      <c r="AZ115" s="996"/>
      <c r="BA115" s="996"/>
      <c r="BB115" s="996"/>
      <c r="BC115" s="996"/>
      <c r="BD115" s="996"/>
      <c r="BE115" s="996"/>
      <c r="BF115" s="996"/>
      <c r="BG115" s="996"/>
      <c r="BH115" s="996"/>
      <c r="BI115" s="996"/>
      <c r="BJ115" s="996"/>
      <c r="BK115" s="996"/>
      <c r="BL115" s="996"/>
      <c r="BM115" s="996"/>
      <c r="BN115" s="996"/>
      <c r="BO115" s="996"/>
      <c r="BP115" s="996"/>
      <c r="BQ115" s="996"/>
      <c r="BR115" s="996"/>
      <c r="BS115" s="996"/>
      <c r="BT115" s="997"/>
      <c r="BU115" s="998">
        <f>BU102+BU108+BU105+BU111+BU114</f>
        <v>0</v>
      </c>
      <c r="BV115" s="998"/>
      <c r="BW115" s="998"/>
      <c r="BX115" s="998"/>
      <c r="BY115" s="998"/>
      <c r="BZ115" s="998"/>
      <c r="CA115" s="998"/>
      <c r="CB115" s="998"/>
      <c r="CC115" s="998"/>
      <c r="CD115" s="998"/>
      <c r="CE115" s="998"/>
      <c r="CF115" s="998"/>
      <c r="CG115" s="998"/>
      <c r="CH115" s="998"/>
      <c r="CI115" s="998"/>
      <c r="CJ115" s="998"/>
      <c r="CK115" s="998"/>
      <c r="CL115" s="998"/>
      <c r="CM115" s="998"/>
      <c r="CN115" s="998"/>
      <c r="CO115" s="998"/>
      <c r="CP115" s="998"/>
      <c r="CQ115" s="998"/>
      <c r="CR115" s="998"/>
      <c r="CS115" s="998"/>
      <c r="CT115" s="998"/>
      <c r="CU115" s="998"/>
      <c r="CV115" s="998"/>
      <c r="CW115" s="998"/>
      <c r="CX115" s="998"/>
      <c r="CY115" s="998"/>
      <c r="CZ115" s="713">
        <f>SUM(CZ103:CZ114)</f>
        <v>12</v>
      </c>
    </row>
    <row r="116" spans="1:104" ht="19.899999999999999" customHeight="1">
      <c r="A116" s="724"/>
      <c r="B116" s="928"/>
      <c r="C116" s="714"/>
      <c r="D116" s="759"/>
      <c r="E116" s="757"/>
      <c r="F116" s="716"/>
      <c r="H116" s="1139"/>
      <c r="I116" s="991" t="s">
        <v>3325</v>
      </c>
      <c r="J116" s="991"/>
      <c r="K116" s="991"/>
      <c r="L116" s="991"/>
      <c r="M116" s="992">
        <f>M115+AQ115+BU115</f>
        <v>15721214.468800001</v>
      </c>
      <c r="N116" s="993"/>
      <c r="O116" s="993"/>
      <c r="P116" s="993"/>
      <c r="Q116" s="993"/>
      <c r="R116" s="993"/>
      <c r="S116" s="993"/>
      <c r="T116" s="993"/>
      <c r="U116" s="993"/>
      <c r="V116" s="993"/>
      <c r="W116" s="993"/>
      <c r="X116" s="993"/>
      <c r="Y116" s="993"/>
      <c r="Z116" s="993"/>
      <c r="AA116" s="993"/>
      <c r="AB116" s="993"/>
      <c r="AC116" s="993"/>
      <c r="AD116" s="993"/>
      <c r="AE116" s="993"/>
      <c r="AF116" s="993"/>
      <c r="AG116" s="993"/>
      <c r="AH116" s="993"/>
      <c r="AI116" s="993"/>
      <c r="AJ116" s="993"/>
      <c r="AK116" s="993"/>
      <c r="AL116" s="993"/>
      <c r="AM116" s="993"/>
      <c r="AN116" s="993"/>
      <c r="AO116" s="993"/>
      <c r="AP116" s="993"/>
      <c r="AQ116" s="993"/>
      <c r="AR116" s="993"/>
      <c r="AS116" s="993"/>
      <c r="AT116" s="993"/>
      <c r="AU116" s="993"/>
      <c r="AV116" s="993"/>
      <c r="AW116" s="993"/>
      <c r="AX116" s="993"/>
      <c r="AY116" s="993"/>
      <c r="AZ116" s="993"/>
      <c r="BA116" s="993"/>
      <c r="BB116" s="993"/>
      <c r="BC116" s="993"/>
      <c r="BD116" s="993"/>
      <c r="BE116" s="993"/>
      <c r="BF116" s="993"/>
      <c r="BG116" s="993"/>
      <c r="BH116" s="993"/>
      <c r="BI116" s="993"/>
      <c r="BJ116" s="993"/>
      <c r="BK116" s="993"/>
      <c r="BL116" s="993"/>
      <c r="BM116" s="993"/>
      <c r="BN116" s="993"/>
      <c r="BO116" s="993"/>
      <c r="BP116" s="993"/>
      <c r="BQ116" s="993"/>
      <c r="BR116" s="993"/>
      <c r="BS116" s="993"/>
      <c r="BT116" s="993"/>
      <c r="BU116" s="993"/>
      <c r="BV116" s="993"/>
      <c r="BW116" s="993"/>
      <c r="BX116" s="993"/>
      <c r="BY116" s="993"/>
      <c r="BZ116" s="993"/>
      <c r="CA116" s="993"/>
      <c r="CB116" s="993"/>
      <c r="CC116" s="993"/>
      <c r="CD116" s="993"/>
      <c r="CE116" s="993"/>
      <c r="CF116" s="993"/>
      <c r="CG116" s="993"/>
      <c r="CH116" s="993"/>
      <c r="CI116" s="993"/>
      <c r="CJ116" s="993"/>
      <c r="CK116" s="993"/>
      <c r="CL116" s="993"/>
      <c r="CM116" s="993"/>
      <c r="CN116" s="993"/>
      <c r="CO116" s="993"/>
      <c r="CP116" s="993"/>
      <c r="CQ116" s="993"/>
      <c r="CR116" s="993"/>
      <c r="CS116" s="993"/>
      <c r="CT116" s="993"/>
      <c r="CU116" s="993"/>
      <c r="CV116" s="993"/>
      <c r="CW116" s="993"/>
      <c r="CX116" s="993"/>
      <c r="CY116" s="993"/>
      <c r="CZ116" s="792"/>
    </row>
    <row r="117" spans="1:104" ht="19.899999999999999" customHeight="1" thickBot="1">
      <c r="A117" s="764" t="str">
        <f>EDIFICACION!A291</f>
        <v>VII</v>
      </c>
      <c r="B117" s="1049" t="str">
        <f>EDIFICACION!B291</f>
        <v>CIELO RASOS Y CUBIERTAS</v>
      </c>
      <c r="C117" s="1050"/>
      <c r="D117" s="1050"/>
      <c r="E117" s="1050"/>
      <c r="F117" s="1050"/>
      <c r="G117" s="1050"/>
      <c r="H117" s="1139"/>
      <c r="I117" s="994"/>
      <c r="J117" s="994"/>
      <c r="K117" s="994"/>
      <c r="L117" s="994"/>
      <c r="M117" s="994"/>
      <c r="N117" s="994"/>
      <c r="O117" s="994"/>
      <c r="P117" s="994"/>
      <c r="Q117" s="994"/>
      <c r="R117" s="994"/>
      <c r="S117" s="994"/>
      <c r="T117" s="994"/>
      <c r="U117" s="994"/>
      <c r="V117" s="994"/>
      <c r="W117" s="994"/>
      <c r="X117" s="994"/>
      <c r="Y117" s="994"/>
      <c r="Z117" s="994"/>
      <c r="AA117" s="994"/>
      <c r="AB117" s="994"/>
      <c r="AC117" s="994"/>
      <c r="AD117" s="994"/>
      <c r="AE117" s="994"/>
      <c r="AF117" s="994"/>
      <c r="AG117" s="994"/>
      <c r="AH117" s="994"/>
      <c r="AI117" s="994"/>
      <c r="AJ117" s="994"/>
      <c r="AK117" s="994"/>
      <c r="AL117" s="994"/>
      <c r="AM117" s="994"/>
      <c r="AN117" s="994"/>
      <c r="AO117" s="994"/>
      <c r="AP117" s="994"/>
      <c r="AQ117" s="994"/>
      <c r="AR117" s="994"/>
      <c r="AS117" s="994"/>
      <c r="AT117" s="994"/>
      <c r="AU117" s="994"/>
      <c r="AV117" s="994"/>
      <c r="AW117" s="994"/>
      <c r="AX117" s="994"/>
      <c r="AY117" s="994"/>
      <c r="AZ117" s="994"/>
      <c r="BA117" s="994"/>
      <c r="BB117" s="994"/>
      <c r="BC117" s="994"/>
      <c r="BD117" s="994"/>
      <c r="BE117" s="994"/>
      <c r="BF117" s="994"/>
      <c r="BG117" s="994"/>
      <c r="BH117" s="994"/>
      <c r="BI117" s="994"/>
      <c r="BJ117" s="994"/>
      <c r="BK117" s="994"/>
      <c r="BL117" s="994"/>
      <c r="BM117" s="994"/>
      <c r="BN117" s="994"/>
      <c r="BO117" s="994"/>
      <c r="BP117" s="994"/>
      <c r="BQ117" s="994"/>
      <c r="BR117" s="994"/>
      <c r="BS117" s="994"/>
      <c r="BT117" s="994"/>
      <c r="BU117" s="994"/>
      <c r="BV117" s="994"/>
      <c r="BW117" s="994"/>
      <c r="BX117" s="994"/>
      <c r="BY117" s="994"/>
      <c r="BZ117" s="994"/>
      <c r="CA117" s="994"/>
      <c r="CB117" s="994"/>
      <c r="CC117" s="994"/>
      <c r="CD117" s="994"/>
      <c r="CE117" s="994"/>
      <c r="CF117" s="994"/>
      <c r="CG117" s="994"/>
      <c r="CH117" s="994"/>
      <c r="CI117" s="994"/>
      <c r="CJ117" s="994"/>
      <c r="CK117" s="994"/>
      <c r="CL117" s="994"/>
      <c r="CM117" s="994"/>
      <c r="CN117" s="994"/>
      <c r="CO117" s="994"/>
      <c r="CP117" s="994"/>
      <c r="CQ117" s="994"/>
      <c r="CR117" s="994"/>
      <c r="CS117" s="994"/>
      <c r="CT117" s="994"/>
      <c r="CU117" s="994"/>
      <c r="CV117" s="994"/>
      <c r="CW117" s="994"/>
      <c r="CX117" s="994"/>
      <c r="CY117" s="994"/>
      <c r="CZ117" s="994"/>
    </row>
    <row r="118" spans="1:104" ht="15" customHeight="1">
      <c r="A118" s="1312">
        <f>EDIFICACION!A292</f>
        <v>7.1</v>
      </c>
      <c r="B118" s="1313" t="str">
        <f>EDIFICACION!B292</f>
        <v>CIELO RASO PLANO DRYWALL , INCLUYE ESTRUCTURA DE SOPORTE EN ALUMINIO-INSTALADO Y PINTADO</v>
      </c>
      <c r="C118" s="1314" t="str">
        <f>EDIFICACION!C292</f>
        <v>M2</v>
      </c>
      <c r="D118" s="1315">
        <f>15*3</f>
        <v>45</v>
      </c>
      <c r="E118" s="1014">
        <f>EDIFICACION!F292</f>
        <v>49396</v>
      </c>
      <c r="F118" s="1012">
        <f t="shared" ref="F118:F136" si="7">E118*D118</f>
        <v>2222820</v>
      </c>
      <c r="G118" s="1013">
        <f>F118/F259</f>
        <v>6.7119184031075429E-3</v>
      </c>
      <c r="H118" s="1139"/>
      <c r="I118" s="1009" t="s">
        <v>3376</v>
      </c>
      <c r="J118" s="985" t="s">
        <v>3381</v>
      </c>
      <c r="K118" s="985" t="s">
        <v>3382</v>
      </c>
      <c r="L118" s="806" t="s">
        <v>3318</v>
      </c>
      <c r="M118" s="988"/>
      <c r="N118" s="952"/>
      <c r="O118" s="952"/>
      <c r="P118" s="952"/>
      <c r="Q118" s="952"/>
      <c r="R118" s="952"/>
      <c r="S118" s="952"/>
      <c r="T118" s="952"/>
      <c r="U118" s="952"/>
      <c r="V118" s="952"/>
      <c r="W118" s="952"/>
      <c r="X118" s="952"/>
      <c r="Y118" s="952"/>
      <c r="Z118" s="952"/>
      <c r="AA118" s="1007"/>
      <c r="AB118" s="952"/>
      <c r="AC118" s="952"/>
      <c r="AD118" s="952"/>
      <c r="AE118" s="952"/>
      <c r="AF118" s="952"/>
      <c r="AG118" s="952"/>
      <c r="AH118" s="952"/>
      <c r="AI118" s="952"/>
      <c r="AJ118" s="952"/>
      <c r="AK118" s="952"/>
      <c r="AL118" s="952"/>
      <c r="AM118" s="952"/>
      <c r="AN118" s="952"/>
      <c r="AO118" s="952"/>
      <c r="AP118" s="952"/>
      <c r="AQ118" s="952"/>
      <c r="AR118" s="952"/>
      <c r="AS118" s="952"/>
      <c r="AT118" s="952"/>
      <c r="AU118" s="952"/>
      <c r="AV118" s="951">
        <f>F118/CZ118*3</f>
        <v>666846</v>
      </c>
      <c r="AW118" s="951"/>
      <c r="AX118" s="951"/>
      <c r="AY118" s="951"/>
      <c r="AZ118" s="951"/>
      <c r="BA118" s="951"/>
      <c r="BB118" s="951"/>
      <c r="BC118" s="951">
        <f>F118/CZ118*7</f>
        <v>1555974</v>
      </c>
      <c r="BD118" s="951"/>
      <c r="BE118" s="951"/>
      <c r="BF118" s="951"/>
      <c r="BG118" s="951"/>
      <c r="BH118" s="951"/>
      <c r="BI118" s="951"/>
      <c r="BJ118" s="952"/>
      <c r="BK118" s="952"/>
      <c r="BL118" s="952"/>
      <c r="BM118" s="952"/>
      <c r="BN118" s="952"/>
      <c r="BO118" s="952"/>
      <c r="BP118" s="952"/>
      <c r="BQ118" s="952"/>
      <c r="BR118" s="952"/>
      <c r="BS118" s="952"/>
      <c r="BT118" s="952"/>
      <c r="BU118" s="952"/>
      <c r="BV118" s="952"/>
      <c r="BW118" s="952"/>
      <c r="BX118" s="952"/>
      <c r="BY118" s="952"/>
      <c r="BZ118" s="952"/>
      <c r="CA118" s="952"/>
      <c r="CB118" s="952"/>
      <c r="CC118" s="952"/>
      <c r="CD118" s="952"/>
      <c r="CE118" s="952"/>
      <c r="CF118" s="952"/>
      <c r="CG118" s="952"/>
      <c r="CH118" s="952"/>
      <c r="CI118" s="952"/>
      <c r="CJ118" s="952"/>
      <c r="CK118" s="952"/>
      <c r="CL118" s="952"/>
      <c r="CM118" s="952"/>
      <c r="CN118" s="952"/>
      <c r="CO118" s="952"/>
      <c r="CP118" s="952"/>
      <c r="CQ118" s="952"/>
      <c r="CR118" s="952"/>
      <c r="CS118" s="952"/>
      <c r="CT118" s="952"/>
      <c r="CU118" s="952"/>
      <c r="CV118" s="952"/>
      <c r="CW118" s="952"/>
      <c r="CX118" s="952"/>
      <c r="CY118" s="952"/>
      <c r="CZ118" s="953">
        <v>10</v>
      </c>
    </row>
    <row r="119" spans="1:104" ht="15" customHeight="1">
      <c r="A119" s="1306"/>
      <c r="B119" s="1307"/>
      <c r="C119" s="1310"/>
      <c r="D119" s="1311"/>
      <c r="E119" s="944"/>
      <c r="F119" s="946"/>
      <c r="G119" s="948"/>
      <c r="H119" s="1139"/>
      <c r="I119" s="1010"/>
      <c r="J119" s="986"/>
      <c r="K119" s="986"/>
      <c r="L119" s="807" t="s">
        <v>3319</v>
      </c>
      <c r="M119" s="811">
        <v>1</v>
      </c>
      <c r="N119" s="810">
        <v>2</v>
      </c>
      <c r="O119" s="810">
        <v>3</v>
      </c>
      <c r="P119" s="810">
        <v>4</v>
      </c>
      <c r="Q119" s="810">
        <v>5</v>
      </c>
      <c r="R119" s="810">
        <v>6</v>
      </c>
      <c r="S119" s="810">
        <v>7</v>
      </c>
      <c r="T119" s="810">
        <v>1</v>
      </c>
      <c r="U119" s="810">
        <v>2</v>
      </c>
      <c r="V119" s="810">
        <v>3</v>
      </c>
      <c r="W119" s="810">
        <v>4</v>
      </c>
      <c r="X119" s="810">
        <v>5</v>
      </c>
      <c r="Y119" s="810">
        <v>6</v>
      </c>
      <c r="Z119" s="810">
        <v>7</v>
      </c>
      <c r="AA119" s="810">
        <v>1</v>
      </c>
      <c r="AB119" s="810">
        <v>2</v>
      </c>
      <c r="AC119" s="810">
        <v>3</v>
      </c>
      <c r="AD119" s="810">
        <v>4</v>
      </c>
      <c r="AE119" s="810">
        <v>5</v>
      </c>
      <c r="AF119" s="810">
        <v>6</v>
      </c>
      <c r="AG119" s="810">
        <v>7</v>
      </c>
      <c r="AH119" s="810">
        <v>1</v>
      </c>
      <c r="AI119" s="810">
        <v>2</v>
      </c>
      <c r="AJ119" s="810">
        <v>3</v>
      </c>
      <c r="AK119" s="810">
        <v>4</v>
      </c>
      <c r="AL119" s="810">
        <v>5</v>
      </c>
      <c r="AM119" s="810">
        <v>6</v>
      </c>
      <c r="AN119" s="810">
        <v>7</v>
      </c>
      <c r="AO119" s="810">
        <v>1</v>
      </c>
      <c r="AP119" s="810">
        <v>2</v>
      </c>
      <c r="AQ119" s="810">
        <v>3</v>
      </c>
      <c r="AR119" s="810">
        <v>4</v>
      </c>
      <c r="AS119" s="810">
        <v>5</v>
      </c>
      <c r="AT119" s="810">
        <v>6</v>
      </c>
      <c r="AU119" s="810">
        <v>7</v>
      </c>
      <c r="AV119" s="810">
        <v>1</v>
      </c>
      <c r="AW119" s="810">
        <v>2</v>
      </c>
      <c r="AX119" s="810">
        <v>3</v>
      </c>
      <c r="AY119" s="810">
        <v>4</v>
      </c>
      <c r="AZ119" s="812">
        <v>5</v>
      </c>
      <c r="BA119" s="812">
        <v>6</v>
      </c>
      <c r="BB119" s="812">
        <v>7</v>
      </c>
      <c r="BC119" s="812">
        <v>1</v>
      </c>
      <c r="BD119" s="812">
        <v>2</v>
      </c>
      <c r="BE119" s="812">
        <v>3</v>
      </c>
      <c r="BF119" s="812">
        <v>4</v>
      </c>
      <c r="BG119" s="812">
        <v>5</v>
      </c>
      <c r="BH119" s="812">
        <v>6</v>
      </c>
      <c r="BI119" s="812">
        <v>7</v>
      </c>
      <c r="BJ119" s="810">
        <v>1</v>
      </c>
      <c r="BK119" s="810">
        <v>2</v>
      </c>
      <c r="BL119" s="810">
        <v>3</v>
      </c>
      <c r="BM119" s="810">
        <v>4</v>
      </c>
      <c r="BN119" s="810">
        <v>5</v>
      </c>
      <c r="BO119" s="810">
        <v>6</v>
      </c>
      <c r="BP119" s="810">
        <v>7</v>
      </c>
      <c r="BQ119" s="810">
        <v>1</v>
      </c>
      <c r="BR119" s="810">
        <v>2</v>
      </c>
      <c r="BS119" s="810">
        <v>3</v>
      </c>
      <c r="BT119" s="810">
        <v>4</v>
      </c>
      <c r="BU119" s="810">
        <v>5</v>
      </c>
      <c r="BV119" s="810">
        <v>6</v>
      </c>
      <c r="BW119" s="810">
        <v>7</v>
      </c>
      <c r="BX119" s="810">
        <v>1</v>
      </c>
      <c r="BY119" s="810">
        <v>2</v>
      </c>
      <c r="BZ119" s="810">
        <v>3</v>
      </c>
      <c r="CA119" s="810">
        <v>4</v>
      </c>
      <c r="CB119" s="810">
        <v>5</v>
      </c>
      <c r="CC119" s="810">
        <v>6</v>
      </c>
      <c r="CD119" s="810">
        <v>7</v>
      </c>
      <c r="CE119" s="810">
        <v>1</v>
      </c>
      <c r="CF119" s="810">
        <v>2</v>
      </c>
      <c r="CG119" s="810">
        <v>3</v>
      </c>
      <c r="CH119" s="810">
        <v>4</v>
      </c>
      <c r="CI119" s="810">
        <v>5</v>
      </c>
      <c r="CJ119" s="810">
        <v>6</v>
      </c>
      <c r="CK119" s="810">
        <v>7</v>
      </c>
      <c r="CL119" s="810">
        <v>1</v>
      </c>
      <c r="CM119" s="810">
        <v>2</v>
      </c>
      <c r="CN119" s="810">
        <v>3</v>
      </c>
      <c r="CO119" s="810">
        <v>4</v>
      </c>
      <c r="CP119" s="810">
        <v>5</v>
      </c>
      <c r="CQ119" s="810">
        <v>6</v>
      </c>
      <c r="CR119" s="810">
        <v>7</v>
      </c>
      <c r="CS119" s="810">
        <v>1</v>
      </c>
      <c r="CT119" s="810">
        <v>2</v>
      </c>
      <c r="CU119" s="810">
        <v>3</v>
      </c>
      <c r="CV119" s="810">
        <v>4</v>
      </c>
      <c r="CW119" s="810">
        <v>5</v>
      </c>
      <c r="CX119" s="781">
        <v>6</v>
      </c>
      <c r="CY119" s="781">
        <v>7</v>
      </c>
      <c r="CZ119" s="954"/>
    </row>
    <row r="120" spans="1:104" ht="15" customHeight="1" thickBot="1">
      <c r="A120" s="1306"/>
      <c r="B120" s="1307"/>
      <c r="C120" s="1310"/>
      <c r="D120" s="1311"/>
      <c r="E120" s="944"/>
      <c r="F120" s="946"/>
      <c r="G120" s="948"/>
      <c r="H120" s="1139"/>
      <c r="I120" s="1011"/>
      <c r="J120" s="987"/>
      <c r="K120" s="987"/>
      <c r="L120" s="808" t="s">
        <v>3320</v>
      </c>
      <c r="M120" s="955"/>
      <c r="N120" s="956"/>
      <c r="O120" s="956"/>
      <c r="P120" s="956"/>
      <c r="Q120" s="956"/>
      <c r="R120" s="956"/>
      <c r="S120" s="956"/>
      <c r="T120" s="956"/>
      <c r="U120" s="956"/>
      <c r="V120" s="956"/>
      <c r="W120" s="956"/>
      <c r="X120" s="956"/>
      <c r="Y120" s="956"/>
      <c r="Z120" s="956"/>
      <c r="AA120" s="956"/>
      <c r="AB120" s="956"/>
      <c r="AC120" s="956"/>
      <c r="AD120" s="956"/>
      <c r="AE120" s="956"/>
      <c r="AF120" s="956"/>
      <c r="AG120" s="956"/>
      <c r="AH120" s="956"/>
      <c r="AI120" s="956"/>
      <c r="AJ120" s="956"/>
      <c r="AK120" s="956"/>
      <c r="AL120" s="956"/>
      <c r="AM120" s="956"/>
      <c r="AN120" s="956"/>
      <c r="AO120" s="956"/>
      <c r="AP120" s="956"/>
      <c r="AQ120" s="956">
        <f>AO118+AV118+BC118+BJ118</f>
        <v>2222820</v>
      </c>
      <c r="AR120" s="956"/>
      <c r="AS120" s="956"/>
      <c r="AT120" s="956"/>
      <c r="AU120" s="956"/>
      <c r="AV120" s="956"/>
      <c r="AW120" s="956"/>
      <c r="AX120" s="956"/>
      <c r="AY120" s="956"/>
      <c r="AZ120" s="956"/>
      <c r="BA120" s="956"/>
      <c r="BB120" s="956"/>
      <c r="BC120" s="956"/>
      <c r="BD120" s="956"/>
      <c r="BE120" s="956"/>
      <c r="BF120" s="956"/>
      <c r="BG120" s="956"/>
      <c r="BH120" s="956"/>
      <c r="BI120" s="956"/>
      <c r="BJ120" s="956"/>
      <c r="BK120" s="956"/>
      <c r="BL120" s="956"/>
      <c r="BM120" s="956"/>
      <c r="BN120" s="956"/>
      <c r="BO120" s="956"/>
      <c r="BP120" s="956"/>
      <c r="BQ120" s="956"/>
      <c r="BR120" s="956"/>
      <c r="BS120" s="956"/>
      <c r="BT120" s="956"/>
      <c r="BU120" s="956"/>
      <c r="BV120" s="956"/>
      <c r="BW120" s="956"/>
      <c r="BX120" s="956"/>
      <c r="BY120" s="956"/>
      <c r="BZ120" s="956"/>
      <c r="CA120" s="956"/>
      <c r="CB120" s="956"/>
      <c r="CC120" s="956"/>
      <c r="CD120" s="956"/>
      <c r="CE120" s="956"/>
      <c r="CF120" s="956"/>
      <c r="CG120" s="956"/>
      <c r="CH120" s="956"/>
      <c r="CI120" s="956"/>
      <c r="CJ120" s="956"/>
      <c r="CK120" s="956"/>
      <c r="CL120" s="956"/>
      <c r="CM120" s="956"/>
      <c r="CN120" s="956"/>
      <c r="CO120" s="956"/>
      <c r="CP120" s="956"/>
      <c r="CQ120" s="956"/>
      <c r="CR120" s="956"/>
      <c r="CS120" s="956"/>
      <c r="CT120" s="956"/>
      <c r="CU120" s="956"/>
      <c r="CV120" s="956"/>
      <c r="CW120" s="956"/>
      <c r="CX120" s="956"/>
      <c r="CY120" s="956"/>
      <c r="CZ120" s="954"/>
    </row>
    <row r="121" spans="1:104" ht="8.1" customHeight="1">
      <c r="A121" s="938">
        <f>EDIFICACION!A310</f>
        <v>7.2</v>
      </c>
      <c r="B121" s="940" t="str">
        <f>EDIFICACION!B310</f>
        <v>CUBIERTA EN LAMINA ONDULADA FIBRO CEMENTO # 6</v>
      </c>
      <c r="C121" s="938" t="str">
        <f>EDIFICACION!C310</f>
        <v>M2</v>
      </c>
      <c r="D121" s="942">
        <v>60</v>
      </c>
      <c r="E121" s="944">
        <f>EDIFICACION!F310</f>
        <v>38171</v>
      </c>
      <c r="F121" s="946">
        <f t="shared" si="7"/>
        <v>2290260</v>
      </c>
      <c r="G121" s="948">
        <f>F121/F259</f>
        <v>6.9155569240429192E-3</v>
      </c>
      <c r="H121" s="1139"/>
      <c r="I121" s="922"/>
      <c r="J121" s="907"/>
      <c r="K121" s="907"/>
      <c r="L121" s="923"/>
      <c r="M121" s="924"/>
      <c r="N121" s="924"/>
      <c r="O121" s="924"/>
      <c r="P121" s="924"/>
      <c r="Q121" s="924"/>
      <c r="R121" s="924"/>
      <c r="S121" s="924"/>
      <c r="T121" s="924"/>
      <c r="U121" s="924"/>
      <c r="V121" s="924"/>
      <c r="W121" s="924"/>
      <c r="X121" s="924"/>
      <c r="Y121" s="924"/>
      <c r="Z121" s="924"/>
      <c r="AA121" s="924"/>
      <c r="AB121" s="924"/>
      <c r="AC121" s="924"/>
      <c r="AD121" s="924"/>
      <c r="AE121" s="924"/>
      <c r="AF121" s="924"/>
      <c r="AG121" s="924"/>
      <c r="AH121" s="924"/>
      <c r="AI121" s="924"/>
      <c r="AJ121" s="924"/>
      <c r="AK121" s="924"/>
      <c r="AL121" s="924"/>
      <c r="AM121" s="924"/>
      <c r="AN121" s="924"/>
      <c r="AO121" s="924"/>
      <c r="AP121" s="925"/>
      <c r="AQ121" s="924"/>
      <c r="AR121" s="924"/>
      <c r="AS121" s="924"/>
      <c r="AT121" s="924"/>
      <c r="AU121" s="924"/>
      <c r="AV121" s="924"/>
      <c r="AW121" s="924"/>
      <c r="AX121" s="924"/>
      <c r="AY121" s="924"/>
      <c r="AZ121" s="924"/>
      <c r="BA121" s="924"/>
      <c r="BB121" s="924"/>
      <c r="BC121" s="924"/>
      <c r="BD121" s="924"/>
      <c r="BE121" s="924"/>
      <c r="BF121" s="924"/>
      <c r="BG121" s="924"/>
      <c r="BH121" s="924"/>
      <c r="BI121" s="924"/>
      <c r="BJ121" s="924"/>
      <c r="BK121" s="924"/>
      <c r="BL121" s="924"/>
      <c r="BM121" s="924"/>
      <c r="BN121" s="924"/>
      <c r="BO121" s="924"/>
      <c r="BP121" s="924"/>
      <c r="BQ121" s="924"/>
      <c r="BR121" s="924"/>
      <c r="BS121" s="924"/>
      <c r="BT121" s="925"/>
      <c r="BU121" s="926"/>
      <c r="BV121" s="926"/>
      <c r="BW121" s="926"/>
      <c r="BX121" s="926"/>
      <c r="BY121" s="926"/>
      <c r="BZ121" s="926"/>
      <c r="CA121" s="926"/>
      <c r="CB121" s="926"/>
      <c r="CC121" s="926"/>
      <c r="CD121" s="926"/>
      <c r="CE121" s="926"/>
      <c r="CF121" s="926"/>
      <c r="CG121" s="926"/>
      <c r="CH121" s="926"/>
      <c r="CI121" s="926"/>
      <c r="CJ121" s="926"/>
      <c r="CK121" s="926"/>
      <c r="CL121" s="926"/>
      <c r="CM121" s="926"/>
      <c r="CN121" s="926"/>
      <c r="CO121" s="926"/>
      <c r="CP121" s="926"/>
      <c r="CQ121" s="926"/>
      <c r="CR121" s="926"/>
      <c r="CS121" s="926"/>
      <c r="CT121" s="926"/>
      <c r="CU121" s="926"/>
      <c r="CV121" s="926"/>
      <c r="CW121" s="926"/>
      <c r="CX121" s="926"/>
      <c r="CY121" s="926"/>
      <c r="CZ121" s="896"/>
    </row>
    <row r="122" spans="1:104" ht="8.1" customHeight="1">
      <c r="A122" s="938"/>
      <c r="B122" s="940"/>
      <c r="C122" s="938"/>
      <c r="D122" s="942"/>
      <c r="E122" s="944"/>
      <c r="F122" s="946"/>
      <c r="G122" s="948"/>
      <c r="H122" s="1139"/>
      <c r="I122" s="922"/>
      <c r="J122" s="907"/>
      <c r="K122" s="907"/>
      <c r="L122" s="923"/>
      <c r="M122" s="924"/>
      <c r="N122" s="924"/>
      <c r="O122" s="924"/>
      <c r="P122" s="924"/>
      <c r="Q122" s="924"/>
      <c r="R122" s="924"/>
      <c r="S122" s="924"/>
      <c r="T122" s="924"/>
      <c r="U122" s="924"/>
      <c r="V122" s="924"/>
      <c r="W122" s="924"/>
      <c r="X122" s="924"/>
      <c r="Y122" s="924"/>
      <c r="Z122" s="924"/>
      <c r="AA122" s="924"/>
      <c r="AB122" s="924"/>
      <c r="AC122" s="924"/>
      <c r="AD122" s="924"/>
      <c r="AE122" s="924"/>
      <c r="AF122" s="924"/>
      <c r="AG122" s="924"/>
      <c r="AH122" s="924"/>
      <c r="AI122" s="924"/>
      <c r="AJ122" s="924"/>
      <c r="AK122" s="924"/>
      <c r="AL122" s="924"/>
      <c r="AM122" s="924"/>
      <c r="AN122" s="924"/>
      <c r="AO122" s="924"/>
      <c r="AP122" s="925"/>
      <c r="AQ122" s="924"/>
      <c r="AR122" s="924"/>
      <c r="AS122" s="924"/>
      <c r="AT122" s="924"/>
      <c r="AU122" s="924"/>
      <c r="AV122" s="924"/>
      <c r="AW122" s="924"/>
      <c r="AX122" s="924"/>
      <c r="AY122" s="924"/>
      <c r="AZ122" s="924"/>
      <c r="BA122" s="924"/>
      <c r="BB122" s="924"/>
      <c r="BC122" s="924"/>
      <c r="BD122" s="924"/>
      <c r="BE122" s="924"/>
      <c r="BF122" s="924"/>
      <c r="BG122" s="924"/>
      <c r="BH122" s="924"/>
      <c r="BI122" s="924"/>
      <c r="BJ122" s="924"/>
      <c r="BK122" s="924"/>
      <c r="BL122" s="924"/>
      <c r="BM122" s="924"/>
      <c r="BN122" s="924"/>
      <c r="BO122" s="924"/>
      <c r="BP122" s="924"/>
      <c r="BQ122" s="924"/>
      <c r="BR122" s="924"/>
      <c r="BS122" s="924"/>
      <c r="BT122" s="925"/>
      <c r="BU122" s="926"/>
      <c r="BV122" s="926"/>
      <c r="BW122" s="926"/>
      <c r="BX122" s="926"/>
      <c r="BY122" s="926"/>
      <c r="BZ122" s="926"/>
      <c r="CA122" s="926"/>
      <c r="CB122" s="926"/>
      <c r="CC122" s="926"/>
      <c r="CD122" s="926"/>
      <c r="CE122" s="926"/>
      <c r="CF122" s="926"/>
      <c r="CG122" s="926"/>
      <c r="CH122" s="926"/>
      <c r="CI122" s="926"/>
      <c r="CJ122" s="926"/>
      <c r="CK122" s="926"/>
      <c r="CL122" s="926"/>
      <c r="CM122" s="926"/>
      <c r="CN122" s="926"/>
      <c r="CO122" s="926"/>
      <c r="CP122" s="926"/>
      <c r="CQ122" s="926"/>
      <c r="CR122" s="926"/>
      <c r="CS122" s="926"/>
      <c r="CT122" s="926"/>
      <c r="CU122" s="926"/>
      <c r="CV122" s="926"/>
      <c r="CW122" s="926"/>
      <c r="CX122" s="926"/>
      <c r="CY122" s="926"/>
      <c r="CZ122" s="896"/>
    </row>
    <row r="123" spans="1:104" ht="8.1" customHeight="1">
      <c r="A123" s="938"/>
      <c r="B123" s="940"/>
      <c r="C123" s="938"/>
      <c r="D123" s="942"/>
      <c r="E123" s="944"/>
      <c r="F123" s="946"/>
      <c r="G123" s="948"/>
      <c r="H123" s="1139"/>
      <c r="I123" s="922"/>
      <c r="J123" s="907"/>
      <c r="K123" s="907"/>
      <c r="L123" s="923"/>
      <c r="M123" s="924"/>
      <c r="N123" s="924"/>
      <c r="O123" s="924"/>
      <c r="P123" s="924"/>
      <c r="Q123" s="924"/>
      <c r="R123" s="924"/>
      <c r="S123" s="924"/>
      <c r="T123" s="924"/>
      <c r="U123" s="924"/>
      <c r="V123" s="924"/>
      <c r="W123" s="924"/>
      <c r="X123" s="924"/>
      <c r="Y123" s="924"/>
      <c r="Z123" s="924"/>
      <c r="AA123" s="924"/>
      <c r="AB123" s="924"/>
      <c r="AC123" s="924"/>
      <c r="AD123" s="924"/>
      <c r="AE123" s="924"/>
      <c r="AF123" s="924"/>
      <c r="AG123" s="924"/>
      <c r="AH123" s="924"/>
      <c r="AI123" s="924"/>
      <c r="AJ123" s="924"/>
      <c r="AK123" s="924"/>
      <c r="AL123" s="924"/>
      <c r="AM123" s="924"/>
      <c r="AN123" s="924"/>
      <c r="AO123" s="924"/>
      <c r="AP123" s="925"/>
      <c r="AQ123" s="924"/>
      <c r="AR123" s="924"/>
      <c r="AS123" s="924"/>
      <c r="AT123" s="924"/>
      <c r="AU123" s="924"/>
      <c r="AV123" s="924"/>
      <c r="AW123" s="924"/>
      <c r="AX123" s="924"/>
      <c r="AY123" s="924"/>
      <c r="AZ123" s="924"/>
      <c r="BA123" s="924"/>
      <c r="BB123" s="924"/>
      <c r="BC123" s="924"/>
      <c r="BD123" s="924"/>
      <c r="BE123" s="924"/>
      <c r="BF123" s="924"/>
      <c r="BG123" s="924"/>
      <c r="BH123" s="924"/>
      <c r="BI123" s="924"/>
      <c r="BJ123" s="924"/>
      <c r="BK123" s="924"/>
      <c r="BL123" s="924"/>
      <c r="BM123" s="924"/>
      <c r="BN123" s="924"/>
      <c r="BO123" s="924"/>
      <c r="BP123" s="924"/>
      <c r="BQ123" s="924"/>
      <c r="BR123" s="924"/>
      <c r="BS123" s="924"/>
      <c r="BT123" s="925"/>
      <c r="BU123" s="926"/>
      <c r="BV123" s="926"/>
      <c r="BW123" s="926"/>
      <c r="BX123" s="926"/>
      <c r="BY123" s="926"/>
      <c r="BZ123" s="926"/>
      <c r="CA123" s="926"/>
      <c r="CB123" s="926"/>
      <c r="CC123" s="926"/>
      <c r="CD123" s="926"/>
      <c r="CE123" s="926"/>
      <c r="CF123" s="926"/>
      <c r="CG123" s="926"/>
      <c r="CH123" s="926"/>
      <c r="CI123" s="926"/>
      <c r="CJ123" s="926"/>
      <c r="CK123" s="926"/>
      <c r="CL123" s="926"/>
      <c r="CM123" s="926"/>
      <c r="CN123" s="926"/>
      <c r="CO123" s="926"/>
      <c r="CP123" s="926"/>
      <c r="CQ123" s="926"/>
      <c r="CR123" s="926"/>
      <c r="CS123" s="926"/>
      <c r="CT123" s="926"/>
      <c r="CU123" s="926"/>
      <c r="CV123" s="926"/>
      <c r="CW123" s="926"/>
      <c r="CX123" s="926"/>
      <c r="CY123" s="926"/>
      <c r="CZ123" s="896"/>
    </row>
    <row r="124" spans="1:104" ht="13.5" customHeight="1">
      <c r="A124" s="938">
        <f>EDIFICACION!A320</f>
        <v>7.3</v>
      </c>
      <c r="B124" s="940" t="str">
        <f>EDIFICACION!B320</f>
        <v>IMPERMEABILIZACION DE PLACA EN MANTO EDIL 3 MM STANDAR INCL. IMPRIMANTE Y PINTURA BITUMINOSA</v>
      </c>
      <c r="C124" s="938" t="str">
        <f>EDIFICACION!C320</f>
        <v>M2</v>
      </c>
      <c r="D124" s="942">
        <v>50</v>
      </c>
      <c r="E124" s="944">
        <f>EDIFICACION!F320</f>
        <v>42040</v>
      </c>
      <c r="F124" s="946">
        <f t="shared" si="7"/>
        <v>2102000</v>
      </c>
      <c r="G124" s="948">
        <f>F124/F259</f>
        <v>6.3470962486085495E-3</v>
      </c>
      <c r="H124" s="1139"/>
      <c r="I124" s="922"/>
      <c r="J124" s="907"/>
      <c r="K124" s="907"/>
      <c r="L124" s="923"/>
      <c r="M124" s="924"/>
      <c r="N124" s="924"/>
      <c r="O124" s="924"/>
      <c r="P124" s="924"/>
      <c r="Q124" s="924"/>
      <c r="R124" s="924"/>
      <c r="S124" s="924"/>
      <c r="T124" s="924"/>
      <c r="U124" s="924"/>
      <c r="V124" s="924"/>
      <c r="W124" s="924"/>
      <c r="X124" s="924"/>
      <c r="Y124" s="924"/>
      <c r="Z124" s="924"/>
      <c r="AA124" s="924"/>
      <c r="AB124" s="924"/>
      <c r="AC124" s="924"/>
      <c r="AD124" s="924"/>
      <c r="AE124" s="924"/>
      <c r="AF124" s="924"/>
      <c r="AG124" s="924"/>
      <c r="AH124" s="924"/>
      <c r="AI124" s="924"/>
      <c r="AJ124" s="924"/>
      <c r="AK124" s="924"/>
      <c r="AL124" s="924"/>
      <c r="AM124" s="924"/>
      <c r="AN124" s="924"/>
      <c r="AO124" s="924"/>
      <c r="AP124" s="925"/>
      <c r="AQ124" s="924"/>
      <c r="AR124" s="924"/>
      <c r="AS124" s="924"/>
      <c r="AT124" s="924"/>
      <c r="AU124" s="924"/>
      <c r="AV124" s="924"/>
      <c r="AW124" s="924"/>
      <c r="AX124" s="924"/>
      <c r="AY124" s="924"/>
      <c r="AZ124" s="924"/>
      <c r="BA124" s="924"/>
      <c r="BB124" s="924"/>
      <c r="BC124" s="924"/>
      <c r="BD124" s="924"/>
      <c r="BE124" s="924"/>
      <c r="BF124" s="924"/>
      <c r="BG124" s="924"/>
      <c r="BH124" s="924"/>
      <c r="BI124" s="924"/>
      <c r="BJ124" s="924"/>
      <c r="BK124" s="924"/>
      <c r="BL124" s="924"/>
      <c r="BM124" s="924"/>
      <c r="BN124" s="924"/>
      <c r="BO124" s="924"/>
      <c r="BP124" s="924"/>
      <c r="BQ124" s="924"/>
      <c r="BR124" s="924"/>
      <c r="BS124" s="924"/>
      <c r="BT124" s="925"/>
      <c r="BU124" s="926"/>
      <c r="BV124" s="926"/>
      <c r="BW124" s="926"/>
      <c r="BX124" s="926"/>
      <c r="BY124" s="926"/>
      <c r="BZ124" s="926"/>
      <c r="CA124" s="926"/>
      <c r="CB124" s="926"/>
      <c r="CC124" s="926"/>
      <c r="CD124" s="926"/>
      <c r="CE124" s="926"/>
      <c r="CF124" s="926"/>
      <c r="CG124" s="926"/>
      <c r="CH124" s="926"/>
      <c r="CI124" s="926"/>
      <c r="CJ124" s="926"/>
      <c r="CK124" s="926"/>
      <c r="CL124" s="926"/>
      <c r="CM124" s="926"/>
      <c r="CN124" s="926"/>
      <c r="CO124" s="926"/>
      <c r="CP124" s="926"/>
      <c r="CQ124" s="926"/>
      <c r="CR124" s="926"/>
      <c r="CS124" s="926"/>
      <c r="CT124" s="926"/>
      <c r="CU124" s="926"/>
      <c r="CV124" s="926"/>
      <c r="CW124" s="926"/>
      <c r="CX124" s="926"/>
      <c r="CY124" s="926"/>
      <c r="CZ124" s="896"/>
    </row>
    <row r="125" spans="1:104" ht="13.5" customHeight="1">
      <c r="A125" s="938"/>
      <c r="B125" s="940"/>
      <c r="C125" s="938"/>
      <c r="D125" s="942"/>
      <c r="E125" s="944"/>
      <c r="F125" s="946"/>
      <c r="G125" s="948"/>
      <c r="H125" s="1139"/>
      <c r="I125" s="922"/>
      <c r="J125" s="907"/>
      <c r="K125" s="907"/>
      <c r="L125" s="923"/>
      <c r="M125" s="924"/>
      <c r="N125" s="924"/>
      <c r="O125" s="924"/>
      <c r="P125" s="924"/>
      <c r="Q125" s="924"/>
      <c r="R125" s="924"/>
      <c r="S125" s="924"/>
      <c r="T125" s="924"/>
      <c r="U125" s="924"/>
      <c r="V125" s="924"/>
      <c r="W125" s="924"/>
      <c r="X125" s="924"/>
      <c r="Y125" s="924"/>
      <c r="Z125" s="924"/>
      <c r="AA125" s="924"/>
      <c r="AB125" s="924"/>
      <c r="AC125" s="924"/>
      <c r="AD125" s="924"/>
      <c r="AE125" s="924"/>
      <c r="AF125" s="924"/>
      <c r="AG125" s="924"/>
      <c r="AH125" s="924"/>
      <c r="AI125" s="924"/>
      <c r="AJ125" s="924"/>
      <c r="AK125" s="924"/>
      <c r="AL125" s="924"/>
      <c r="AM125" s="924"/>
      <c r="AN125" s="924"/>
      <c r="AO125" s="924"/>
      <c r="AP125" s="925"/>
      <c r="AQ125" s="924"/>
      <c r="AR125" s="924"/>
      <c r="AS125" s="924"/>
      <c r="AT125" s="924"/>
      <c r="AU125" s="924"/>
      <c r="AV125" s="924"/>
      <c r="AW125" s="924"/>
      <c r="AX125" s="924"/>
      <c r="AY125" s="924"/>
      <c r="AZ125" s="924"/>
      <c r="BA125" s="924"/>
      <c r="BB125" s="924"/>
      <c r="BC125" s="924"/>
      <c r="BD125" s="924"/>
      <c r="BE125" s="924"/>
      <c r="BF125" s="924"/>
      <c r="BG125" s="924"/>
      <c r="BH125" s="924"/>
      <c r="BI125" s="924"/>
      <c r="BJ125" s="924"/>
      <c r="BK125" s="924"/>
      <c r="BL125" s="924"/>
      <c r="BM125" s="924"/>
      <c r="BN125" s="924"/>
      <c r="BO125" s="924"/>
      <c r="BP125" s="924"/>
      <c r="BQ125" s="924"/>
      <c r="BR125" s="924"/>
      <c r="BS125" s="924"/>
      <c r="BT125" s="925"/>
      <c r="BU125" s="926"/>
      <c r="BV125" s="926"/>
      <c r="BW125" s="926"/>
      <c r="BX125" s="926"/>
      <c r="BY125" s="926"/>
      <c r="BZ125" s="926"/>
      <c r="CA125" s="926"/>
      <c r="CB125" s="926"/>
      <c r="CC125" s="926"/>
      <c r="CD125" s="926"/>
      <c r="CE125" s="926"/>
      <c r="CF125" s="926"/>
      <c r="CG125" s="926"/>
      <c r="CH125" s="926"/>
      <c r="CI125" s="926"/>
      <c r="CJ125" s="926"/>
      <c r="CK125" s="926"/>
      <c r="CL125" s="926"/>
      <c r="CM125" s="926"/>
      <c r="CN125" s="926"/>
      <c r="CO125" s="926"/>
      <c r="CP125" s="926"/>
      <c r="CQ125" s="926"/>
      <c r="CR125" s="926"/>
      <c r="CS125" s="926"/>
      <c r="CT125" s="926"/>
      <c r="CU125" s="926"/>
      <c r="CV125" s="926"/>
      <c r="CW125" s="926"/>
      <c r="CX125" s="926"/>
      <c r="CY125" s="926"/>
      <c r="CZ125" s="896"/>
    </row>
    <row r="126" spans="1:104" ht="13.5" customHeight="1">
      <c r="A126" s="939"/>
      <c r="B126" s="941"/>
      <c r="C126" s="939"/>
      <c r="D126" s="943"/>
      <c r="E126" s="945"/>
      <c r="F126" s="947"/>
      <c r="G126" s="949"/>
      <c r="H126" s="1139"/>
      <c r="I126" s="922"/>
      <c r="J126" s="907"/>
      <c r="K126" s="907"/>
      <c r="L126" s="923"/>
      <c r="M126" s="924"/>
      <c r="N126" s="924"/>
      <c r="O126" s="924"/>
      <c r="P126" s="924"/>
      <c r="Q126" s="924"/>
      <c r="R126" s="924"/>
      <c r="S126" s="924"/>
      <c r="T126" s="924"/>
      <c r="U126" s="924"/>
      <c r="V126" s="924"/>
      <c r="W126" s="924"/>
      <c r="X126" s="924"/>
      <c r="Y126" s="924"/>
      <c r="Z126" s="924"/>
      <c r="AA126" s="924"/>
      <c r="AB126" s="924"/>
      <c r="AC126" s="924"/>
      <c r="AD126" s="924"/>
      <c r="AE126" s="924"/>
      <c r="AF126" s="924"/>
      <c r="AG126" s="924"/>
      <c r="AH126" s="924"/>
      <c r="AI126" s="924"/>
      <c r="AJ126" s="924"/>
      <c r="AK126" s="924"/>
      <c r="AL126" s="924"/>
      <c r="AM126" s="924"/>
      <c r="AN126" s="924"/>
      <c r="AO126" s="924"/>
      <c r="AP126" s="925"/>
      <c r="AQ126" s="924"/>
      <c r="AR126" s="924"/>
      <c r="AS126" s="924"/>
      <c r="AT126" s="924"/>
      <c r="AU126" s="924"/>
      <c r="AV126" s="924"/>
      <c r="AW126" s="924"/>
      <c r="AX126" s="924"/>
      <c r="AY126" s="924"/>
      <c r="AZ126" s="924"/>
      <c r="BA126" s="924"/>
      <c r="BB126" s="924"/>
      <c r="BC126" s="924"/>
      <c r="BD126" s="924"/>
      <c r="BE126" s="924"/>
      <c r="BF126" s="924"/>
      <c r="BG126" s="924"/>
      <c r="BH126" s="924"/>
      <c r="BI126" s="924"/>
      <c r="BJ126" s="924"/>
      <c r="BK126" s="924"/>
      <c r="BL126" s="924"/>
      <c r="BM126" s="924"/>
      <c r="BN126" s="924"/>
      <c r="BO126" s="924"/>
      <c r="BP126" s="924"/>
      <c r="BQ126" s="924"/>
      <c r="BR126" s="924"/>
      <c r="BS126" s="924"/>
      <c r="BT126" s="925"/>
      <c r="BU126" s="926"/>
      <c r="BV126" s="926"/>
      <c r="BW126" s="926"/>
      <c r="BX126" s="926"/>
      <c r="BY126" s="926"/>
      <c r="BZ126" s="926"/>
      <c r="CA126" s="926"/>
      <c r="CB126" s="926"/>
      <c r="CC126" s="926"/>
      <c r="CD126" s="926"/>
      <c r="CE126" s="926"/>
      <c r="CF126" s="926"/>
      <c r="CG126" s="926"/>
      <c r="CH126" s="926"/>
      <c r="CI126" s="926"/>
      <c r="CJ126" s="926"/>
      <c r="CK126" s="926"/>
      <c r="CL126" s="926"/>
      <c r="CM126" s="926"/>
      <c r="CN126" s="926"/>
      <c r="CO126" s="926"/>
      <c r="CP126" s="926"/>
      <c r="CQ126" s="926"/>
      <c r="CR126" s="926"/>
      <c r="CS126" s="926"/>
      <c r="CT126" s="926"/>
      <c r="CU126" s="926"/>
      <c r="CV126" s="926"/>
      <c r="CW126" s="926"/>
      <c r="CX126" s="926"/>
      <c r="CY126" s="926"/>
      <c r="CZ126" s="896"/>
    </row>
    <row r="127" spans="1:104" ht="20.100000000000001" customHeight="1">
      <c r="A127" s="724"/>
      <c r="B127" s="928"/>
      <c r="C127" s="714"/>
      <c r="D127" s="759"/>
      <c r="E127" s="771" t="s">
        <v>3245</v>
      </c>
      <c r="F127" s="769">
        <f>SUM(F118:F126)</f>
        <v>6615080</v>
      </c>
      <c r="G127" s="776">
        <f>F127/F259</f>
        <v>1.9974571575759013E-2</v>
      </c>
      <c r="H127" s="1139"/>
      <c r="I127" s="995" t="s">
        <v>3336</v>
      </c>
      <c r="J127" s="995"/>
      <c r="K127" s="995"/>
      <c r="L127" s="995"/>
      <c r="M127" s="996">
        <f>M120</f>
        <v>0</v>
      </c>
      <c r="N127" s="996"/>
      <c r="O127" s="996"/>
      <c r="P127" s="996"/>
      <c r="Q127" s="996"/>
      <c r="R127" s="996"/>
      <c r="S127" s="996"/>
      <c r="T127" s="996"/>
      <c r="U127" s="996"/>
      <c r="V127" s="996"/>
      <c r="W127" s="996"/>
      <c r="X127" s="996"/>
      <c r="Y127" s="996"/>
      <c r="Z127" s="996"/>
      <c r="AA127" s="996"/>
      <c r="AB127" s="996"/>
      <c r="AC127" s="996"/>
      <c r="AD127" s="996"/>
      <c r="AE127" s="996"/>
      <c r="AF127" s="996"/>
      <c r="AG127" s="996"/>
      <c r="AH127" s="996"/>
      <c r="AI127" s="996"/>
      <c r="AJ127" s="996"/>
      <c r="AK127" s="996"/>
      <c r="AL127" s="996"/>
      <c r="AM127" s="996"/>
      <c r="AN127" s="996"/>
      <c r="AO127" s="996"/>
      <c r="AP127" s="997"/>
      <c r="AQ127" s="996">
        <f>AQ120</f>
        <v>2222820</v>
      </c>
      <c r="AR127" s="996"/>
      <c r="AS127" s="996"/>
      <c r="AT127" s="996"/>
      <c r="AU127" s="996"/>
      <c r="AV127" s="996"/>
      <c r="AW127" s="996"/>
      <c r="AX127" s="996"/>
      <c r="AY127" s="996"/>
      <c r="AZ127" s="996"/>
      <c r="BA127" s="996"/>
      <c r="BB127" s="996"/>
      <c r="BC127" s="996"/>
      <c r="BD127" s="996"/>
      <c r="BE127" s="996"/>
      <c r="BF127" s="996"/>
      <c r="BG127" s="996"/>
      <c r="BH127" s="996"/>
      <c r="BI127" s="996"/>
      <c r="BJ127" s="996"/>
      <c r="BK127" s="996"/>
      <c r="BL127" s="996"/>
      <c r="BM127" s="996"/>
      <c r="BN127" s="996"/>
      <c r="BO127" s="996"/>
      <c r="BP127" s="996"/>
      <c r="BQ127" s="996"/>
      <c r="BR127" s="996"/>
      <c r="BS127" s="996"/>
      <c r="BT127" s="997"/>
      <c r="BU127" s="998">
        <f>BU120</f>
        <v>0</v>
      </c>
      <c r="BV127" s="998"/>
      <c r="BW127" s="998"/>
      <c r="BX127" s="998"/>
      <c r="BY127" s="998"/>
      <c r="BZ127" s="998"/>
      <c r="CA127" s="998"/>
      <c r="CB127" s="998"/>
      <c r="CC127" s="998"/>
      <c r="CD127" s="998"/>
      <c r="CE127" s="998"/>
      <c r="CF127" s="998"/>
      <c r="CG127" s="998"/>
      <c r="CH127" s="998"/>
      <c r="CI127" s="998"/>
      <c r="CJ127" s="998"/>
      <c r="CK127" s="998"/>
      <c r="CL127" s="998"/>
      <c r="CM127" s="998"/>
      <c r="CN127" s="998"/>
      <c r="CO127" s="998"/>
      <c r="CP127" s="998"/>
      <c r="CQ127" s="998"/>
      <c r="CR127" s="998"/>
      <c r="CS127" s="998"/>
      <c r="CT127" s="998"/>
      <c r="CU127" s="998"/>
      <c r="CV127" s="998"/>
      <c r="CW127" s="998"/>
      <c r="CX127" s="998"/>
      <c r="CY127" s="998"/>
      <c r="CZ127" s="713">
        <f>SUM(CZ118:CZ120)</f>
        <v>10</v>
      </c>
    </row>
    <row r="128" spans="1:104" ht="20.100000000000001" customHeight="1">
      <c r="A128" s="724"/>
      <c r="B128" s="928"/>
      <c r="C128" s="714"/>
      <c r="D128" s="759"/>
      <c r="E128" s="757"/>
      <c r="F128" s="716"/>
      <c r="H128" s="1139"/>
      <c r="I128" s="991" t="s">
        <v>3325</v>
      </c>
      <c r="J128" s="991"/>
      <c r="K128" s="991"/>
      <c r="L128" s="991"/>
      <c r="M128" s="992">
        <f>M127+AQ127+BU127</f>
        <v>2222820</v>
      </c>
      <c r="N128" s="993"/>
      <c r="O128" s="993"/>
      <c r="P128" s="993"/>
      <c r="Q128" s="993"/>
      <c r="R128" s="993"/>
      <c r="S128" s="993"/>
      <c r="T128" s="993"/>
      <c r="U128" s="993"/>
      <c r="V128" s="993"/>
      <c r="W128" s="993"/>
      <c r="X128" s="993"/>
      <c r="Y128" s="993"/>
      <c r="Z128" s="993"/>
      <c r="AA128" s="993"/>
      <c r="AB128" s="993"/>
      <c r="AC128" s="993"/>
      <c r="AD128" s="993"/>
      <c r="AE128" s="993"/>
      <c r="AF128" s="993"/>
      <c r="AG128" s="993"/>
      <c r="AH128" s="993"/>
      <c r="AI128" s="993"/>
      <c r="AJ128" s="993"/>
      <c r="AK128" s="993"/>
      <c r="AL128" s="993"/>
      <c r="AM128" s="993"/>
      <c r="AN128" s="993"/>
      <c r="AO128" s="993"/>
      <c r="AP128" s="993"/>
      <c r="AQ128" s="993"/>
      <c r="AR128" s="993"/>
      <c r="AS128" s="993"/>
      <c r="AT128" s="993"/>
      <c r="AU128" s="993"/>
      <c r="AV128" s="993"/>
      <c r="AW128" s="993"/>
      <c r="AX128" s="993"/>
      <c r="AY128" s="993"/>
      <c r="AZ128" s="993"/>
      <c r="BA128" s="993"/>
      <c r="BB128" s="993"/>
      <c r="BC128" s="993"/>
      <c r="BD128" s="993"/>
      <c r="BE128" s="993"/>
      <c r="BF128" s="993"/>
      <c r="BG128" s="993"/>
      <c r="BH128" s="993"/>
      <c r="BI128" s="993"/>
      <c r="BJ128" s="993"/>
      <c r="BK128" s="993"/>
      <c r="BL128" s="993"/>
      <c r="BM128" s="993"/>
      <c r="BN128" s="993"/>
      <c r="BO128" s="993"/>
      <c r="BP128" s="993"/>
      <c r="BQ128" s="993"/>
      <c r="BR128" s="993"/>
      <c r="BS128" s="993"/>
      <c r="BT128" s="993"/>
      <c r="BU128" s="993"/>
      <c r="BV128" s="993"/>
      <c r="BW128" s="993"/>
      <c r="BX128" s="993"/>
      <c r="BY128" s="993"/>
      <c r="BZ128" s="993"/>
      <c r="CA128" s="993"/>
      <c r="CB128" s="993"/>
      <c r="CC128" s="993"/>
      <c r="CD128" s="993"/>
      <c r="CE128" s="993"/>
      <c r="CF128" s="993"/>
      <c r="CG128" s="993"/>
      <c r="CH128" s="993"/>
      <c r="CI128" s="993"/>
      <c r="CJ128" s="993"/>
      <c r="CK128" s="993"/>
      <c r="CL128" s="993"/>
      <c r="CM128" s="993"/>
      <c r="CN128" s="993"/>
      <c r="CO128" s="993"/>
      <c r="CP128" s="993"/>
      <c r="CQ128" s="993"/>
      <c r="CR128" s="993"/>
      <c r="CS128" s="993"/>
      <c r="CT128" s="993"/>
      <c r="CU128" s="993"/>
      <c r="CV128" s="993"/>
      <c r="CW128" s="993"/>
      <c r="CX128" s="993"/>
      <c r="CY128" s="993"/>
      <c r="CZ128" s="792"/>
    </row>
    <row r="129" spans="1:104" ht="16.5" customHeight="1" thickBot="1">
      <c r="A129" s="764" t="str">
        <f>EDIFICACION!A329</f>
        <v>VIII</v>
      </c>
      <c r="B129" s="1051" t="str">
        <f>EDIFICACION!B329</f>
        <v>ENCHAPES Y PISOS</v>
      </c>
      <c r="C129" s="1052"/>
      <c r="D129" s="1052"/>
      <c r="E129" s="1052"/>
      <c r="F129" s="1052"/>
      <c r="G129" s="1052"/>
      <c r="H129" s="1139"/>
      <c r="I129" s="994"/>
      <c r="J129" s="994"/>
      <c r="K129" s="994"/>
      <c r="L129" s="994"/>
      <c r="M129" s="994"/>
      <c r="N129" s="994"/>
      <c r="O129" s="994"/>
      <c r="P129" s="994"/>
      <c r="Q129" s="994"/>
      <c r="R129" s="994"/>
      <c r="S129" s="994"/>
      <c r="T129" s="994"/>
      <c r="U129" s="994"/>
      <c r="V129" s="994"/>
      <c r="W129" s="994"/>
      <c r="X129" s="994"/>
      <c r="Y129" s="994"/>
      <c r="Z129" s="994"/>
      <c r="AA129" s="994"/>
      <c r="AB129" s="994"/>
      <c r="AC129" s="994"/>
      <c r="AD129" s="994"/>
      <c r="AE129" s="994"/>
      <c r="AF129" s="994"/>
      <c r="AG129" s="994"/>
      <c r="AH129" s="994"/>
      <c r="AI129" s="994"/>
      <c r="AJ129" s="994"/>
      <c r="AK129" s="994"/>
      <c r="AL129" s="994"/>
      <c r="AM129" s="994"/>
      <c r="AN129" s="994"/>
      <c r="AO129" s="994"/>
      <c r="AP129" s="994"/>
      <c r="AQ129" s="994"/>
      <c r="AR129" s="994"/>
      <c r="AS129" s="994"/>
      <c r="AT129" s="994"/>
      <c r="AU129" s="994"/>
      <c r="AV129" s="994"/>
      <c r="AW129" s="994"/>
      <c r="AX129" s="994"/>
      <c r="AY129" s="994"/>
      <c r="AZ129" s="994"/>
      <c r="BA129" s="994"/>
      <c r="BB129" s="994"/>
      <c r="BC129" s="994"/>
      <c r="BD129" s="994"/>
      <c r="BE129" s="994"/>
      <c r="BF129" s="994"/>
      <c r="BG129" s="994"/>
      <c r="BH129" s="994"/>
      <c r="BI129" s="994"/>
      <c r="BJ129" s="994"/>
      <c r="BK129" s="994"/>
      <c r="BL129" s="994"/>
      <c r="BM129" s="994"/>
      <c r="BN129" s="994"/>
      <c r="BO129" s="994"/>
      <c r="BP129" s="994"/>
      <c r="BQ129" s="994"/>
      <c r="BR129" s="994"/>
      <c r="BS129" s="994"/>
      <c r="BT129" s="994"/>
      <c r="BU129" s="994"/>
      <c r="BV129" s="994"/>
      <c r="BW129" s="994"/>
      <c r="BX129" s="994"/>
      <c r="BY129" s="994"/>
      <c r="BZ129" s="994"/>
      <c r="CA129" s="994"/>
      <c r="CB129" s="994"/>
      <c r="CC129" s="994"/>
      <c r="CD129" s="994"/>
      <c r="CE129" s="994"/>
      <c r="CF129" s="994"/>
      <c r="CG129" s="994"/>
      <c r="CH129" s="994"/>
      <c r="CI129" s="994"/>
      <c r="CJ129" s="994"/>
      <c r="CK129" s="994"/>
      <c r="CL129" s="994"/>
      <c r="CM129" s="994"/>
      <c r="CN129" s="994"/>
      <c r="CO129" s="994"/>
      <c r="CP129" s="994"/>
      <c r="CQ129" s="994"/>
      <c r="CR129" s="994"/>
      <c r="CS129" s="994"/>
      <c r="CT129" s="994"/>
      <c r="CU129" s="994"/>
      <c r="CV129" s="994"/>
      <c r="CW129" s="994"/>
      <c r="CX129" s="994"/>
      <c r="CY129" s="994"/>
      <c r="CZ129" s="994"/>
    </row>
    <row r="130" spans="1:104" ht="10.5" customHeight="1">
      <c r="A130" s="1017">
        <f>EDIFICACION!A330</f>
        <v>8.1</v>
      </c>
      <c r="B130" s="1018" t="str">
        <f>EDIFICACION!B330</f>
        <v>PLANTILLA EN CONCRETO 3.000 PSI - ESP.  0.07 MT.</v>
      </c>
      <c r="C130" s="1016" t="str">
        <f>EDIFICACION!C330</f>
        <v>M2</v>
      </c>
      <c r="D130" s="1015">
        <f>19*3</f>
        <v>57</v>
      </c>
      <c r="E130" s="1014">
        <f>EDIFICACION!F330</f>
        <v>41960</v>
      </c>
      <c r="F130" s="1012">
        <f>E130*D130</f>
        <v>2391720</v>
      </c>
      <c r="G130" s="1057">
        <f>F130/F259</f>
        <v>7.2219205707526359E-3</v>
      </c>
      <c r="H130" s="1139"/>
      <c r="I130" s="1009" t="s">
        <v>3377</v>
      </c>
      <c r="J130" s="985" t="s">
        <v>3370</v>
      </c>
      <c r="K130" s="985" t="s">
        <v>3383</v>
      </c>
      <c r="L130" s="806" t="s">
        <v>3318</v>
      </c>
      <c r="M130" s="964"/>
      <c r="N130" s="965"/>
      <c r="O130" s="965"/>
      <c r="P130" s="965"/>
      <c r="Q130" s="965"/>
      <c r="R130" s="965"/>
      <c r="S130" s="965"/>
      <c r="T130" s="965"/>
      <c r="U130" s="965"/>
      <c r="V130" s="965"/>
      <c r="W130" s="965"/>
      <c r="X130" s="965"/>
      <c r="Y130" s="965"/>
      <c r="Z130" s="965"/>
      <c r="AA130" s="966"/>
      <c r="AB130" s="965"/>
      <c r="AC130" s="965"/>
      <c r="AD130" s="965"/>
      <c r="AE130" s="965"/>
      <c r="AF130" s="965"/>
      <c r="AG130" s="965"/>
      <c r="AH130" s="965"/>
      <c r="AI130" s="965"/>
      <c r="AJ130" s="965"/>
      <c r="AK130" s="965"/>
      <c r="AL130" s="965"/>
      <c r="AM130" s="965"/>
      <c r="AN130" s="965"/>
      <c r="AO130" s="1019">
        <f>F130/CZ130*1</f>
        <v>478344</v>
      </c>
      <c r="AP130" s="1019"/>
      <c r="AQ130" s="1019"/>
      <c r="AR130" s="1019"/>
      <c r="AS130" s="1019"/>
      <c r="AT130" s="1019"/>
      <c r="AU130" s="1019"/>
      <c r="AV130" s="1019">
        <f>F130/CZ130*4</f>
        <v>1913376</v>
      </c>
      <c r="AW130" s="1019"/>
      <c r="AX130" s="1019"/>
      <c r="AY130" s="1019"/>
      <c r="AZ130" s="1019"/>
      <c r="BA130" s="1019"/>
      <c r="BB130" s="1019"/>
      <c r="BC130" s="965"/>
      <c r="BD130" s="965"/>
      <c r="BE130" s="965"/>
      <c r="BF130" s="965"/>
      <c r="BG130" s="965"/>
      <c r="BH130" s="965"/>
      <c r="BI130" s="965"/>
      <c r="BJ130" s="965"/>
      <c r="BK130" s="965"/>
      <c r="BL130" s="965"/>
      <c r="BM130" s="965"/>
      <c r="BN130" s="965"/>
      <c r="BO130" s="965"/>
      <c r="BP130" s="965"/>
      <c r="BQ130" s="965"/>
      <c r="BR130" s="965"/>
      <c r="BS130" s="965"/>
      <c r="BT130" s="965"/>
      <c r="BU130" s="965"/>
      <c r="BV130" s="965"/>
      <c r="BW130" s="965"/>
      <c r="BX130" s="965"/>
      <c r="BY130" s="965"/>
      <c r="BZ130" s="965"/>
      <c r="CA130" s="965"/>
      <c r="CB130" s="965"/>
      <c r="CC130" s="965"/>
      <c r="CD130" s="965"/>
      <c r="CE130" s="965"/>
      <c r="CF130" s="965"/>
      <c r="CG130" s="965"/>
      <c r="CH130" s="965"/>
      <c r="CI130" s="965"/>
      <c r="CJ130" s="965"/>
      <c r="CK130" s="965"/>
      <c r="CL130" s="965"/>
      <c r="CM130" s="965"/>
      <c r="CN130" s="965"/>
      <c r="CO130" s="965"/>
      <c r="CP130" s="965"/>
      <c r="CQ130" s="965"/>
      <c r="CR130" s="965"/>
      <c r="CS130" s="965"/>
      <c r="CT130" s="965"/>
      <c r="CU130" s="965"/>
      <c r="CV130" s="965"/>
      <c r="CW130" s="965"/>
      <c r="CX130" s="965"/>
      <c r="CY130" s="965"/>
      <c r="CZ130" s="953">
        <v>5</v>
      </c>
    </row>
    <row r="131" spans="1:104" ht="8.1" customHeight="1">
      <c r="A131" s="938"/>
      <c r="B131" s="940"/>
      <c r="C131" s="1008"/>
      <c r="D131" s="942"/>
      <c r="E131" s="944"/>
      <c r="F131" s="946"/>
      <c r="G131" s="989"/>
      <c r="H131" s="1139"/>
      <c r="I131" s="1010"/>
      <c r="J131" s="986"/>
      <c r="K131" s="986"/>
      <c r="L131" s="807" t="s">
        <v>3319</v>
      </c>
      <c r="M131" s="811">
        <v>1</v>
      </c>
      <c r="N131" s="810">
        <v>2</v>
      </c>
      <c r="O131" s="810">
        <v>3</v>
      </c>
      <c r="P131" s="810">
        <v>4</v>
      </c>
      <c r="Q131" s="810">
        <v>5</v>
      </c>
      <c r="R131" s="810">
        <v>6</v>
      </c>
      <c r="S131" s="810">
        <v>7</v>
      </c>
      <c r="T131" s="810">
        <v>1</v>
      </c>
      <c r="U131" s="810">
        <v>2</v>
      </c>
      <c r="V131" s="810">
        <v>3</v>
      </c>
      <c r="W131" s="810">
        <v>4</v>
      </c>
      <c r="X131" s="810">
        <v>5</v>
      </c>
      <c r="Y131" s="810">
        <v>6</v>
      </c>
      <c r="Z131" s="810">
        <v>7</v>
      </c>
      <c r="AA131" s="810">
        <v>1</v>
      </c>
      <c r="AB131" s="810">
        <v>2</v>
      </c>
      <c r="AC131" s="810">
        <v>3</v>
      </c>
      <c r="AD131" s="810">
        <v>4</v>
      </c>
      <c r="AE131" s="810">
        <v>5</v>
      </c>
      <c r="AF131" s="810">
        <v>6</v>
      </c>
      <c r="AG131" s="810">
        <v>7</v>
      </c>
      <c r="AH131" s="810">
        <v>1</v>
      </c>
      <c r="AI131" s="810">
        <v>2</v>
      </c>
      <c r="AJ131" s="810">
        <v>3</v>
      </c>
      <c r="AK131" s="810">
        <v>4</v>
      </c>
      <c r="AL131" s="810">
        <v>5</v>
      </c>
      <c r="AM131" s="810">
        <v>6</v>
      </c>
      <c r="AN131" s="810">
        <v>7</v>
      </c>
      <c r="AO131" s="810">
        <v>1</v>
      </c>
      <c r="AP131" s="810">
        <v>2</v>
      </c>
      <c r="AQ131" s="810">
        <v>3</v>
      </c>
      <c r="AR131" s="810">
        <v>4</v>
      </c>
      <c r="AS131" s="810">
        <v>5</v>
      </c>
      <c r="AT131" s="810">
        <v>6</v>
      </c>
      <c r="AU131" s="812">
        <v>7</v>
      </c>
      <c r="AV131" s="812">
        <v>1</v>
      </c>
      <c r="AW131" s="812">
        <v>2</v>
      </c>
      <c r="AX131" s="812">
        <v>3</v>
      </c>
      <c r="AY131" s="812">
        <v>4</v>
      </c>
      <c r="AZ131" s="810">
        <v>5</v>
      </c>
      <c r="BA131" s="810">
        <v>6</v>
      </c>
      <c r="BB131" s="810">
        <v>7</v>
      </c>
      <c r="BC131" s="810">
        <v>1</v>
      </c>
      <c r="BD131" s="810">
        <v>2</v>
      </c>
      <c r="BE131" s="810">
        <v>3</v>
      </c>
      <c r="BF131" s="810">
        <v>4</v>
      </c>
      <c r="BG131" s="810">
        <v>5</v>
      </c>
      <c r="BH131" s="810">
        <v>6</v>
      </c>
      <c r="BI131" s="810">
        <v>7</v>
      </c>
      <c r="BJ131" s="810">
        <v>1</v>
      </c>
      <c r="BK131" s="810">
        <v>2</v>
      </c>
      <c r="BL131" s="810">
        <v>3</v>
      </c>
      <c r="BM131" s="810">
        <v>4</v>
      </c>
      <c r="BN131" s="810">
        <v>5</v>
      </c>
      <c r="BO131" s="810">
        <v>6</v>
      </c>
      <c r="BP131" s="810">
        <v>7</v>
      </c>
      <c r="BQ131" s="810">
        <v>1</v>
      </c>
      <c r="BR131" s="810">
        <v>2</v>
      </c>
      <c r="BS131" s="810">
        <v>3</v>
      </c>
      <c r="BT131" s="810">
        <v>4</v>
      </c>
      <c r="BU131" s="810">
        <v>5</v>
      </c>
      <c r="BV131" s="810">
        <v>6</v>
      </c>
      <c r="BW131" s="810">
        <v>7</v>
      </c>
      <c r="BX131" s="810">
        <v>1</v>
      </c>
      <c r="BY131" s="810">
        <v>2</v>
      </c>
      <c r="BZ131" s="810">
        <v>3</v>
      </c>
      <c r="CA131" s="810">
        <v>4</v>
      </c>
      <c r="CB131" s="810">
        <v>5</v>
      </c>
      <c r="CC131" s="810">
        <v>6</v>
      </c>
      <c r="CD131" s="810">
        <v>7</v>
      </c>
      <c r="CE131" s="810">
        <v>1</v>
      </c>
      <c r="CF131" s="810">
        <v>2</v>
      </c>
      <c r="CG131" s="810">
        <v>3</v>
      </c>
      <c r="CH131" s="810">
        <v>4</v>
      </c>
      <c r="CI131" s="810">
        <v>5</v>
      </c>
      <c r="CJ131" s="810">
        <v>6</v>
      </c>
      <c r="CK131" s="810">
        <v>7</v>
      </c>
      <c r="CL131" s="810">
        <v>1</v>
      </c>
      <c r="CM131" s="810">
        <v>2</v>
      </c>
      <c r="CN131" s="810">
        <v>3</v>
      </c>
      <c r="CO131" s="810">
        <v>4</v>
      </c>
      <c r="CP131" s="810">
        <v>5</v>
      </c>
      <c r="CQ131" s="810">
        <v>6</v>
      </c>
      <c r="CR131" s="810">
        <v>7</v>
      </c>
      <c r="CS131" s="810">
        <v>1</v>
      </c>
      <c r="CT131" s="810">
        <v>2</v>
      </c>
      <c r="CU131" s="810">
        <v>3</v>
      </c>
      <c r="CV131" s="810">
        <v>4</v>
      </c>
      <c r="CW131" s="810">
        <v>5</v>
      </c>
      <c r="CX131" s="781">
        <v>6</v>
      </c>
      <c r="CY131" s="781">
        <v>7</v>
      </c>
      <c r="CZ131" s="954"/>
    </row>
    <row r="132" spans="1:104" ht="8.1" customHeight="1" thickBot="1">
      <c r="A132" s="938"/>
      <c r="B132" s="940"/>
      <c r="C132" s="1008"/>
      <c r="D132" s="942"/>
      <c r="E132" s="944"/>
      <c r="F132" s="946"/>
      <c r="G132" s="989"/>
      <c r="H132" s="1139"/>
      <c r="I132" s="1011"/>
      <c r="J132" s="987"/>
      <c r="K132" s="987"/>
      <c r="L132" s="808" t="s">
        <v>3320</v>
      </c>
      <c r="M132" s="955"/>
      <c r="N132" s="956"/>
      <c r="O132" s="956"/>
      <c r="P132" s="956"/>
      <c r="Q132" s="956"/>
      <c r="R132" s="956"/>
      <c r="S132" s="956"/>
      <c r="T132" s="956"/>
      <c r="U132" s="956"/>
      <c r="V132" s="956"/>
      <c r="W132" s="956"/>
      <c r="X132" s="956"/>
      <c r="Y132" s="956"/>
      <c r="Z132" s="956"/>
      <c r="AA132" s="956"/>
      <c r="AB132" s="956"/>
      <c r="AC132" s="956"/>
      <c r="AD132" s="956"/>
      <c r="AE132" s="956"/>
      <c r="AF132" s="956"/>
      <c r="AG132" s="956"/>
      <c r="AH132" s="956"/>
      <c r="AI132" s="956"/>
      <c r="AJ132" s="956"/>
      <c r="AK132" s="956"/>
      <c r="AL132" s="956"/>
      <c r="AM132" s="956"/>
      <c r="AN132" s="956"/>
      <c r="AO132" s="956"/>
      <c r="AP132" s="956"/>
      <c r="AQ132" s="956">
        <f>AO130+AV130+BC130+BJ130</f>
        <v>2391720</v>
      </c>
      <c r="AR132" s="956"/>
      <c r="AS132" s="956"/>
      <c r="AT132" s="956"/>
      <c r="AU132" s="956"/>
      <c r="AV132" s="956"/>
      <c r="AW132" s="956"/>
      <c r="AX132" s="956"/>
      <c r="AY132" s="956"/>
      <c r="AZ132" s="956"/>
      <c r="BA132" s="956"/>
      <c r="BB132" s="956"/>
      <c r="BC132" s="956"/>
      <c r="BD132" s="956"/>
      <c r="BE132" s="956"/>
      <c r="BF132" s="956"/>
      <c r="BG132" s="956"/>
      <c r="BH132" s="956"/>
      <c r="BI132" s="956"/>
      <c r="BJ132" s="956"/>
      <c r="BK132" s="956"/>
      <c r="BL132" s="956"/>
      <c r="BM132" s="956"/>
      <c r="BN132" s="956"/>
      <c r="BO132" s="956"/>
      <c r="BP132" s="956"/>
      <c r="BQ132" s="956"/>
      <c r="BR132" s="956"/>
      <c r="BS132" s="956"/>
      <c r="BT132" s="956"/>
      <c r="BU132" s="956"/>
      <c r="BV132" s="956"/>
      <c r="BW132" s="956"/>
      <c r="BX132" s="956"/>
      <c r="BY132" s="956"/>
      <c r="BZ132" s="956"/>
      <c r="CA132" s="956"/>
      <c r="CB132" s="956"/>
      <c r="CC132" s="956"/>
      <c r="CD132" s="956"/>
      <c r="CE132" s="956"/>
      <c r="CF132" s="956"/>
      <c r="CG132" s="956"/>
      <c r="CH132" s="956"/>
      <c r="CI132" s="956"/>
      <c r="CJ132" s="956"/>
      <c r="CK132" s="956"/>
      <c r="CL132" s="956"/>
      <c r="CM132" s="956"/>
      <c r="CN132" s="956"/>
      <c r="CO132" s="956"/>
      <c r="CP132" s="956"/>
      <c r="CQ132" s="956"/>
      <c r="CR132" s="956"/>
      <c r="CS132" s="956"/>
      <c r="CT132" s="956"/>
      <c r="CU132" s="956"/>
      <c r="CV132" s="956"/>
      <c r="CW132" s="956"/>
      <c r="CX132" s="956"/>
      <c r="CY132" s="956"/>
      <c r="CZ132" s="954"/>
    </row>
    <row r="133" spans="1:104" ht="12.75" customHeight="1">
      <c r="A133" s="938">
        <f>EDIFICACION!A338</f>
        <v>8.1999999999999993</v>
      </c>
      <c r="B133" s="940" t="str">
        <f>EDIFICACION!B338</f>
        <v xml:space="preserve">ENCHAPE DE MURO EN  CERAMICA EGEO DE PRIMERA CALIDAD TIPO DE CORONA O SIMILAR SECCION 25X35  </v>
      </c>
      <c r="C133" s="1008" t="str">
        <f>EDIFICACION!C338</f>
        <v>M2</v>
      </c>
      <c r="D133" s="942">
        <f>19.92*1</f>
        <v>19.920000000000002</v>
      </c>
      <c r="E133" s="944">
        <f>EDIFICACION!F338</f>
        <v>50783</v>
      </c>
      <c r="F133" s="946">
        <f t="shared" si="7"/>
        <v>1011597.3600000001</v>
      </c>
      <c r="G133" s="989">
        <f>F133/F259</f>
        <v>3.0545698424159435E-3</v>
      </c>
      <c r="H133" s="1139"/>
      <c r="I133" s="1009" t="s">
        <v>3378</v>
      </c>
      <c r="J133" s="985" t="s">
        <v>3384</v>
      </c>
      <c r="K133" s="985" t="s">
        <v>3385</v>
      </c>
      <c r="L133" s="806" t="s">
        <v>3318</v>
      </c>
      <c r="M133" s="988"/>
      <c r="N133" s="952"/>
      <c r="O133" s="952"/>
      <c r="P133" s="952"/>
      <c r="Q133" s="952"/>
      <c r="R133" s="952"/>
      <c r="S133" s="952"/>
      <c r="T133" s="1007"/>
      <c r="U133" s="952"/>
      <c r="V133" s="952"/>
      <c r="W133" s="952"/>
      <c r="X133" s="952"/>
      <c r="Y133" s="952"/>
      <c r="Z133" s="952"/>
      <c r="AA133" s="1007"/>
      <c r="AB133" s="952"/>
      <c r="AC133" s="952"/>
      <c r="AD133" s="952"/>
      <c r="AE133" s="952"/>
      <c r="AF133" s="952"/>
      <c r="AG133" s="952"/>
      <c r="AH133" s="952"/>
      <c r="AI133" s="952"/>
      <c r="AJ133" s="952"/>
      <c r="AK133" s="952"/>
      <c r="AL133" s="952"/>
      <c r="AM133" s="952"/>
      <c r="AN133" s="952"/>
      <c r="AO133" s="952"/>
      <c r="AP133" s="952"/>
      <c r="AQ133" s="952"/>
      <c r="AR133" s="952"/>
      <c r="AS133" s="952"/>
      <c r="AT133" s="952"/>
      <c r="AU133" s="952"/>
      <c r="AV133" s="952"/>
      <c r="AW133" s="952"/>
      <c r="AX133" s="952"/>
      <c r="AY133" s="952"/>
      <c r="AZ133" s="952"/>
      <c r="BA133" s="952"/>
      <c r="BB133" s="952"/>
      <c r="BC133" s="1007"/>
      <c r="BD133" s="952"/>
      <c r="BE133" s="952"/>
      <c r="BF133" s="952"/>
      <c r="BG133" s="952"/>
      <c r="BH133" s="952"/>
      <c r="BI133" s="952"/>
      <c r="BJ133" s="1006">
        <f>F133/CZ133*BM134</f>
        <v>809277.88800000004</v>
      </c>
      <c r="BK133" s="1001"/>
      <c r="BL133" s="1001"/>
      <c r="BM133" s="1001"/>
      <c r="BN133" s="1001"/>
      <c r="BO133" s="1001"/>
      <c r="BP133" s="1001"/>
      <c r="BQ133" s="1006">
        <f>F133/CZ133*BQ134</f>
        <v>202319.47200000001</v>
      </c>
      <c r="BR133" s="1001"/>
      <c r="BS133" s="1001"/>
      <c r="BT133" s="1001"/>
      <c r="BU133" s="1001"/>
      <c r="BV133" s="1001"/>
      <c r="BW133" s="1001"/>
      <c r="BX133" s="952"/>
      <c r="BY133" s="952"/>
      <c r="BZ133" s="952"/>
      <c r="CA133" s="952"/>
      <c r="CB133" s="952"/>
      <c r="CC133" s="952"/>
      <c r="CD133" s="952"/>
      <c r="CE133" s="952"/>
      <c r="CF133" s="952"/>
      <c r="CG133" s="952"/>
      <c r="CH133" s="952"/>
      <c r="CI133" s="952"/>
      <c r="CJ133" s="952"/>
      <c r="CK133" s="952"/>
      <c r="CL133" s="952"/>
      <c r="CM133" s="952"/>
      <c r="CN133" s="952"/>
      <c r="CO133" s="952"/>
      <c r="CP133" s="952"/>
      <c r="CQ133" s="952"/>
      <c r="CR133" s="952"/>
      <c r="CS133" s="952"/>
      <c r="CT133" s="952"/>
      <c r="CU133" s="952"/>
      <c r="CV133" s="952"/>
      <c r="CW133" s="952"/>
      <c r="CX133" s="952"/>
      <c r="CY133" s="952"/>
      <c r="CZ133" s="953">
        <v>5</v>
      </c>
    </row>
    <row r="134" spans="1:104" ht="12.75" customHeight="1">
      <c r="A134" s="938"/>
      <c r="B134" s="940"/>
      <c r="C134" s="1008"/>
      <c r="D134" s="942"/>
      <c r="E134" s="944"/>
      <c r="F134" s="946"/>
      <c r="G134" s="989"/>
      <c r="H134" s="1139"/>
      <c r="I134" s="1010"/>
      <c r="J134" s="986"/>
      <c r="K134" s="986"/>
      <c r="L134" s="807" t="s">
        <v>3319</v>
      </c>
      <c r="M134" s="811">
        <v>1</v>
      </c>
      <c r="N134" s="810">
        <v>2</v>
      </c>
      <c r="O134" s="810">
        <v>3</v>
      </c>
      <c r="P134" s="810">
        <v>4</v>
      </c>
      <c r="Q134" s="810">
        <v>5</v>
      </c>
      <c r="R134" s="810">
        <v>6</v>
      </c>
      <c r="S134" s="810">
        <v>7</v>
      </c>
      <c r="T134" s="810">
        <v>1</v>
      </c>
      <c r="U134" s="810">
        <v>2</v>
      </c>
      <c r="V134" s="810">
        <v>3</v>
      </c>
      <c r="W134" s="810">
        <v>4</v>
      </c>
      <c r="X134" s="810">
        <v>5</v>
      </c>
      <c r="Y134" s="810">
        <v>6</v>
      </c>
      <c r="Z134" s="810">
        <v>7</v>
      </c>
      <c r="AA134" s="810">
        <v>1</v>
      </c>
      <c r="AB134" s="810">
        <v>2</v>
      </c>
      <c r="AC134" s="810">
        <v>3</v>
      </c>
      <c r="AD134" s="810">
        <v>4</v>
      </c>
      <c r="AE134" s="810">
        <v>5</v>
      </c>
      <c r="AF134" s="810">
        <v>6</v>
      </c>
      <c r="AG134" s="810">
        <v>7</v>
      </c>
      <c r="AH134" s="810">
        <v>1</v>
      </c>
      <c r="AI134" s="810">
        <v>2</v>
      </c>
      <c r="AJ134" s="810">
        <v>3</v>
      </c>
      <c r="AK134" s="810">
        <v>4</v>
      </c>
      <c r="AL134" s="810">
        <v>5</v>
      </c>
      <c r="AM134" s="810">
        <v>6</v>
      </c>
      <c r="AN134" s="810">
        <v>7</v>
      </c>
      <c r="AO134" s="810">
        <v>1</v>
      </c>
      <c r="AP134" s="810">
        <v>2</v>
      </c>
      <c r="AQ134" s="810">
        <v>3</v>
      </c>
      <c r="AR134" s="810">
        <v>4</v>
      </c>
      <c r="AS134" s="810">
        <v>5</v>
      </c>
      <c r="AT134" s="810">
        <v>6</v>
      </c>
      <c r="AU134" s="810">
        <v>7</v>
      </c>
      <c r="AV134" s="810">
        <v>1</v>
      </c>
      <c r="AW134" s="810">
        <v>2</v>
      </c>
      <c r="AX134" s="810">
        <v>3</v>
      </c>
      <c r="AY134" s="810">
        <v>4</v>
      </c>
      <c r="AZ134" s="810">
        <v>5</v>
      </c>
      <c r="BA134" s="810">
        <v>6</v>
      </c>
      <c r="BB134" s="810">
        <v>7</v>
      </c>
      <c r="BC134" s="810">
        <v>1</v>
      </c>
      <c r="BD134" s="810">
        <v>2</v>
      </c>
      <c r="BE134" s="810">
        <v>3</v>
      </c>
      <c r="BF134" s="810">
        <v>4</v>
      </c>
      <c r="BG134" s="810">
        <v>5</v>
      </c>
      <c r="BH134" s="810">
        <v>6</v>
      </c>
      <c r="BI134" s="810">
        <v>7</v>
      </c>
      <c r="BJ134" s="810">
        <v>1</v>
      </c>
      <c r="BK134" s="810">
        <v>2</v>
      </c>
      <c r="BL134" s="810">
        <v>3</v>
      </c>
      <c r="BM134" s="812">
        <v>4</v>
      </c>
      <c r="BN134" s="812">
        <v>5</v>
      </c>
      <c r="BO134" s="812">
        <v>6</v>
      </c>
      <c r="BP134" s="812">
        <v>7</v>
      </c>
      <c r="BQ134" s="812">
        <v>1</v>
      </c>
      <c r="BR134" s="816">
        <v>2</v>
      </c>
      <c r="BS134" s="816">
        <v>3</v>
      </c>
      <c r="BT134" s="810">
        <v>4</v>
      </c>
      <c r="BU134" s="810">
        <v>5</v>
      </c>
      <c r="BV134" s="810">
        <v>6</v>
      </c>
      <c r="BW134" s="810">
        <v>7</v>
      </c>
      <c r="BX134" s="810">
        <v>1</v>
      </c>
      <c r="BY134" s="810">
        <v>2</v>
      </c>
      <c r="BZ134" s="810">
        <v>3</v>
      </c>
      <c r="CA134" s="810">
        <v>4</v>
      </c>
      <c r="CB134" s="810">
        <v>5</v>
      </c>
      <c r="CC134" s="810">
        <v>6</v>
      </c>
      <c r="CD134" s="810">
        <v>7</v>
      </c>
      <c r="CE134" s="810">
        <v>1</v>
      </c>
      <c r="CF134" s="810">
        <v>2</v>
      </c>
      <c r="CG134" s="810">
        <v>3</v>
      </c>
      <c r="CH134" s="810">
        <v>4</v>
      </c>
      <c r="CI134" s="810">
        <v>5</v>
      </c>
      <c r="CJ134" s="810">
        <v>6</v>
      </c>
      <c r="CK134" s="810">
        <v>7</v>
      </c>
      <c r="CL134" s="810">
        <v>1</v>
      </c>
      <c r="CM134" s="810">
        <v>2</v>
      </c>
      <c r="CN134" s="810">
        <v>3</v>
      </c>
      <c r="CO134" s="810">
        <v>4</v>
      </c>
      <c r="CP134" s="810">
        <v>5</v>
      </c>
      <c r="CQ134" s="810">
        <v>6</v>
      </c>
      <c r="CR134" s="810">
        <v>7</v>
      </c>
      <c r="CS134" s="810">
        <v>1</v>
      </c>
      <c r="CT134" s="810">
        <v>2</v>
      </c>
      <c r="CU134" s="810">
        <v>3</v>
      </c>
      <c r="CV134" s="810">
        <v>4</v>
      </c>
      <c r="CW134" s="810">
        <v>5</v>
      </c>
      <c r="CX134" s="781">
        <v>6</v>
      </c>
      <c r="CY134" s="781">
        <v>7</v>
      </c>
      <c r="CZ134" s="954"/>
    </row>
    <row r="135" spans="1:104" ht="12.75" customHeight="1" thickBot="1">
      <c r="A135" s="938"/>
      <c r="B135" s="940"/>
      <c r="C135" s="1008"/>
      <c r="D135" s="942"/>
      <c r="E135" s="944"/>
      <c r="F135" s="946"/>
      <c r="G135" s="989"/>
      <c r="H135" s="1139"/>
      <c r="I135" s="1011"/>
      <c r="J135" s="987"/>
      <c r="K135" s="987"/>
      <c r="L135" s="808" t="s">
        <v>3320</v>
      </c>
      <c r="M135" s="955"/>
      <c r="N135" s="956"/>
      <c r="O135" s="956"/>
      <c r="P135" s="956"/>
      <c r="Q135" s="956"/>
      <c r="R135" s="956"/>
      <c r="S135" s="956"/>
      <c r="T135" s="956"/>
      <c r="U135" s="956"/>
      <c r="V135" s="956"/>
      <c r="W135" s="956"/>
      <c r="X135" s="956"/>
      <c r="Y135" s="956"/>
      <c r="Z135" s="956"/>
      <c r="AA135" s="956"/>
      <c r="AB135" s="956"/>
      <c r="AC135" s="956"/>
      <c r="AD135" s="956"/>
      <c r="AE135" s="956"/>
      <c r="AF135" s="956"/>
      <c r="AG135" s="956"/>
      <c r="AH135" s="956"/>
      <c r="AI135" s="956"/>
      <c r="AJ135" s="956"/>
      <c r="AK135" s="956"/>
      <c r="AL135" s="956"/>
      <c r="AM135" s="956"/>
      <c r="AN135" s="956"/>
      <c r="AO135" s="956"/>
      <c r="AP135" s="956"/>
      <c r="AQ135" s="956">
        <f>AO133+AV133+BC133+BJ133</f>
        <v>809277.88800000004</v>
      </c>
      <c r="AR135" s="956"/>
      <c r="AS135" s="956"/>
      <c r="AT135" s="956"/>
      <c r="AU135" s="956"/>
      <c r="AV135" s="956"/>
      <c r="AW135" s="956"/>
      <c r="AX135" s="956"/>
      <c r="AY135" s="956"/>
      <c r="AZ135" s="956"/>
      <c r="BA135" s="956"/>
      <c r="BB135" s="956"/>
      <c r="BC135" s="956"/>
      <c r="BD135" s="956"/>
      <c r="BE135" s="956"/>
      <c r="BF135" s="956"/>
      <c r="BG135" s="956"/>
      <c r="BH135" s="956"/>
      <c r="BI135" s="956"/>
      <c r="BJ135" s="956"/>
      <c r="BK135" s="956"/>
      <c r="BL135" s="956"/>
      <c r="BM135" s="956"/>
      <c r="BN135" s="956"/>
      <c r="BO135" s="956"/>
      <c r="BP135" s="956"/>
      <c r="BQ135" s="956"/>
      <c r="BR135" s="956"/>
      <c r="BS135" s="956"/>
      <c r="BT135" s="956"/>
      <c r="BU135" s="956">
        <f>BQ133+BX133+CE133+CL133+CS133</f>
        <v>202319.47200000001</v>
      </c>
      <c r="BV135" s="956"/>
      <c r="BW135" s="956"/>
      <c r="BX135" s="956"/>
      <c r="BY135" s="956"/>
      <c r="BZ135" s="956"/>
      <c r="CA135" s="956"/>
      <c r="CB135" s="956"/>
      <c r="CC135" s="956"/>
      <c r="CD135" s="956"/>
      <c r="CE135" s="956"/>
      <c r="CF135" s="956"/>
      <c r="CG135" s="956"/>
      <c r="CH135" s="956"/>
      <c r="CI135" s="956"/>
      <c r="CJ135" s="956"/>
      <c r="CK135" s="956"/>
      <c r="CL135" s="956"/>
      <c r="CM135" s="956"/>
      <c r="CN135" s="956"/>
      <c r="CO135" s="956"/>
      <c r="CP135" s="956"/>
      <c r="CQ135" s="956"/>
      <c r="CR135" s="956"/>
      <c r="CS135" s="956"/>
      <c r="CT135" s="956"/>
      <c r="CU135" s="956"/>
      <c r="CV135" s="956"/>
      <c r="CW135" s="956"/>
      <c r="CX135" s="956"/>
      <c r="CY135" s="956"/>
      <c r="CZ135" s="954"/>
    </row>
    <row r="136" spans="1:104" ht="12.75" customHeight="1">
      <c r="A136" s="938">
        <f>EDIFICACION!A347</f>
        <v>8.3000000000000007</v>
      </c>
      <c r="B136" s="940" t="str">
        <f>EDIFICACION!B347</f>
        <v>PISO  EN CERAMICA DUROPISO .30X.30 DE PRIMERA CALIDAD, ALTO TRAFICO TIPO CORONA O SIMILAR.</v>
      </c>
      <c r="C136" s="1008" t="str">
        <f>EDIFICACION!C347</f>
        <v>M2</v>
      </c>
      <c r="D136" s="942">
        <f>D130</f>
        <v>57</v>
      </c>
      <c r="E136" s="944">
        <f>EDIFICACION!F347</f>
        <v>62887</v>
      </c>
      <c r="F136" s="946">
        <f t="shared" si="7"/>
        <v>3584559</v>
      </c>
      <c r="G136" s="989">
        <f>F136/F259</f>
        <v>1.0823758792490968E-2</v>
      </c>
      <c r="H136" s="1139"/>
      <c r="I136" s="1009" t="s">
        <v>3379</v>
      </c>
      <c r="J136" s="985" t="s">
        <v>3386</v>
      </c>
      <c r="K136" s="985" t="s">
        <v>3388</v>
      </c>
      <c r="L136" s="806" t="s">
        <v>3318</v>
      </c>
      <c r="M136" s="988"/>
      <c r="N136" s="952"/>
      <c r="O136" s="952"/>
      <c r="P136" s="952"/>
      <c r="Q136" s="952"/>
      <c r="R136" s="952"/>
      <c r="S136" s="952"/>
      <c r="T136" s="952"/>
      <c r="U136" s="952"/>
      <c r="V136" s="952"/>
      <c r="W136" s="952"/>
      <c r="X136" s="952"/>
      <c r="Y136" s="952"/>
      <c r="Z136" s="952"/>
      <c r="AA136" s="1007"/>
      <c r="AB136" s="952"/>
      <c r="AC136" s="952"/>
      <c r="AD136" s="952"/>
      <c r="AE136" s="952"/>
      <c r="AF136" s="952"/>
      <c r="AG136" s="952"/>
      <c r="AH136" s="952"/>
      <c r="AI136" s="952"/>
      <c r="AJ136" s="952"/>
      <c r="AK136" s="952"/>
      <c r="AL136" s="952"/>
      <c r="AM136" s="952"/>
      <c r="AN136" s="952"/>
      <c r="AO136" s="952"/>
      <c r="AP136" s="952"/>
      <c r="AQ136" s="952"/>
      <c r="AR136" s="952"/>
      <c r="AS136" s="952"/>
      <c r="AT136" s="952"/>
      <c r="AU136" s="952"/>
      <c r="AV136" s="952"/>
      <c r="AW136" s="952"/>
      <c r="AX136" s="952"/>
      <c r="AY136" s="952"/>
      <c r="AZ136" s="952"/>
      <c r="BA136" s="952"/>
      <c r="BB136" s="952"/>
      <c r="BC136" s="952"/>
      <c r="BD136" s="952"/>
      <c r="BE136" s="952"/>
      <c r="BF136" s="952"/>
      <c r="BG136" s="952"/>
      <c r="BH136" s="952"/>
      <c r="BI136" s="952"/>
      <c r="BJ136" s="952"/>
      <c r="BK136" s="952"/>
      <c r="BL136" s="952"/>
      <c r="BM136" s="952"/>
      <c r="BN136" s="952"/>
      <c r="BO136" s="952"/>
      <c r="BP136" s="952"/>
      <c r="BQ136" s="1001"/>
      <c r="BR136" s="1001"/>
      <c r="BS136" s="1001"/>
      <c r="BT136" s="1001"/>
      <c r="BU136" s="1001"/>
      <c r="BV136" s="1001"/>
      <c r="BW136" s="1001"/>
      <c r="BX136" s="1006">
        <f>F136/CZ136*CC137</f>
        <v>3584559</v>
      </c>
      <c r="BY136" s="1001"/>
      <c r="BZ136" s="1001"/>
      <c r="CA136" s="1001"/>
      <c r="CB136" s="1001"/>
      <c r="CC136" s="1001"/>
      <c r="CD136" s="1001"/>
      <c r="CE136" s="952"/>
      <c r="CF136" s="952"/>
      <c r="CG136" s="952"/>
      <c r="CH136" s="952"/>
      <c r="CI136" s="952"/>
      <c r="CJ136" s="952"/>
      <c r="CK136" s="952"/>
      <c r="CL136" s="952"/>
      <c r="CM136" s="952"/>
      <c r="CN136" s="952"/>
      <c r="CO136" s="952"/>
      <c r="CP136" s="952"/>
      <c r="CQ136" s="952"/>
      <c r="CR136" s="952"/>
      <c r="CS136" s="952"/>
      <c r="CT136" s="952"/>
      <c r="CU136" s="952"/>
      <c r="CV136" s="952"/>
      <c r="CW136" s="952"/>
      <c r="CX136" s="952"/>
      <c r="CY136" s="952"/>
      <c r="CZ136" s="953">
        <v>6</v>
      </c>
    </row>
    <row r="137" spans="1:104" ht="6.75" customHeight="1">
      <c r="A137" s="938"/>
      <c r="B137" s="940"/>
      <c r="C137" s="1008"/>
      <c r="D137" s="942"/>
      <c r="E137" s="944"/>
      <c r="F137" s="946"/>
      <c r="G137" s="989"/>
      <c r="H137" s="1139"/>
      <c r="I137" s="1010"/>
      <c r="J137" s="986"/>
      <c r="K137" s="986"/>
      <c r="L137" s="807" t="s">
        <v>3319</v>
      </c>
      <c r="M137" s="811">
        <v>1</v>
      </c>
      <c r="N137" s="810">
        <v>2</v>
      </c>
      <c r="O137" s="810">
        <v>3</v>
      </c>
      <c r="P137" s="810">
        <v>4</v>
      </c>
      <c r="Q137" s="810">
        <v>5</v>
      </c>
      <c r="R137" s="810">
        <v>6</v>
      </c>
      <c r="S137" s="810">
        <v>7</v>
      </c>
      <c r="T137" s="810">
        <v>1</v>
      </c>
      <c r="U137" s="810">
        <v>2</v>
      </c>
      <c r="V137" s="810">
        <v>3</v>
      </c>
      <c r="W137" s="810">
        <v>4</v>
      </c>
      <c r="X137" s="810">
        <v>5</v>
      </c>
      <c r="Y137" s="810">
        <v>6</v>
      </c>
      <c r="Z137" s="810">
        <v>7</v>
      </c>
      <c r="AA137" s="810">
        <v>1</v>
      </c>
      <c r="AB137" s="810">
        <v>2</v>
      </c>
      <c r="AC137" s="810">
        <v>3</v>
      </c>
      <c r="AD137" s="810">
        <v>4</v>
      </c>
      <c r="AE137" s="810">
        <v>5</v>
      </c>
      <c r="AF137" s="810">
        <v>6</v>
      </c>
      <c r="AG137" s="810">
        <v>7</v>
      </c>
      <c r="AH137" s="810">
        <v>1</v>
      </c>
      <c r="AI137" s="810">
        <v>2</v>
      </c>
      <c r="AJ137" s="810">
        <v>3</v>
      </c>
      <c r="AK137" s="810">
        <v>4</v>
      </c>
      <c r="AL137" s="810">
        <v>5</v>
      </c>
      <c r="AM137" s="810">
        <v>6</v>
      </c>
      <c r="AN137" s="810">
        <v>7</v>
      </c>
      <c r="AO137" s="810">
        <v>1</v>
      </c>
      <c r="AP137" s="810">
        <v>2</v>
      </c>
      <c r="AQ137" s="810">
        <v>3</v>
      </c>
      <c r="AR137" s="810">
        <v>4</v>
      </c>
      <c r="AS137" s="810">
        <v>5</v>
      </c>
      <c r="AT137" s="810">
        <v>6</v>
      </c>
      <c r="AU137" s="810">
        <v>7</v>
      </c>
      <c r="AV137" s="810">
        <v>1</v>
      </c>
      <c r="AW137" s="810">
        <v>2</v>
      </c>
      <c r="AX137" s="810">
        <v>3</v>
      </c>
      <c r="AY137" s="810">
        <v>4</v>
      </c>
      <c r="AZ137" s="810">
        <v>5</v>
      </c>
      <c r="BA137" s="810">
        <v>6</v>
      </c>
      <c r="BB137" s="810">
        <v>7</v>
      </c>
      <c r="BC137" s="810">
        <v>1</v>
      </c>
      <c r="BD137" s="810">
        <v>2</v>
      </c>
      <c r="BE137" s="810">
        <v>3</v>
      </c>
      <c r="BF137" s="810">
        <v>4</v>
      </c>
      <c r="BG137" s="810">
        <v>5</v>
      </c>
      <c r="BH137" s="810">
        <v>6</v>
      </c>
      <c r="BI137" s="810">
        <v>7</v>
      </c>
      <c r="BJ137" s="810">
        <v>1</v>
      </c>
      <c r="BK137" s="810">
        <v>2</v>
      </c>
      <c r="BL137" s="810">
        <v>3</v>
      </c>
      <c r="BM137" s="810">
        <v>4</v>
      </c>
      <c r="BN137" s="810">
        <v>5</v>
      </c>
      <c r="BO137" s="810">
        <v>6</v>
      </c>
      <c r="BP137" s="810">
        <v>7</v>
      </c>
      <c r="BQ137" s="810">
        <v>1</v>
      </c>
      <c r="BR137" s="810">
        <v>2</v>
      </c>
      <c r="BS137" s="810">
        <v>3</v>
      </c>
      <c r="BT137" s="810">
        <v>4</v>
      </c>
      <c r="BU137" s="810">
        <v>5</v>
      </c>
      <c r="BV137" s="810">
        <v>6</v>
      </c>
      <c r="BW137" s="810">
        <v>7</v>
      </c>
      <c r="BX137" s="810">
        <v>1</v>
      </c>
      <c r="BY137" s="812">
        <v>2</v>
      </c>
      <c r="BZ137" s="812">
        <v>3</v>
      </c>
      <c r="CA137" s="812">
        <v>4</v>
      </c>
      <c r="CB137" s="812">
        <v>5</v>
      </c>
      <c r="CC137" s="812">
        <v>6</v>
      </c>
      <c r="CD137" s="812">
        <v>7</v>
      </c>
      <c r="CE137" s="810">
        <v>1</v>
      </c>
      <c r="CF137" s="810">
        <v>2</v>
      </c>
      <c r="CG137" s="810">
        <v>3</v>
      </c>
      <c r="CH137" s="810">
        <v>4</v>
      </c>
      <c r="CI137" s="810">
        <v>5</v>
      </c>
      <c r="CJ137" s="810">
        <v>6</v>
      </c>
      <c r="CK137" s="810">
        <v>7</v>
      </c>
      <c r="CL137" s="810">
        <v>1</v>
      </c>
      <c r="CM137" s="810">
        <v>2</v>
      </c>
      <c r="CN137" s="810">
        <v>3</v>
      </c>
      <c r="CO137" s="810">
        <v>4</v>
      </c>
      <c r="CP137" s="810">
        <v>5</v>
      </c>
      <c r="CQ137" s="810">
        <v>6</v>
      </c>
      <c r="CR137" s="810">
        <v>7</v>
      </c>
      <c r="CS137" s="810">
        <v>1</v>
      </c>
      <c r="CT137" s="810">
        <v>2</v>
      </c>
      <c r="CU137" s="810">
        <v>3</v>
      </c>
      <c r="CV137" s="810">
        <v>4</v>
      </c>
      <c r="CW137" s="810">
        <v>5</v>
      </c>
      <c r="CX137" s="781">
        <v>6</v>
      </c>
      <c r="CY137" s="781">
        <v>7</v>
      </c>
      <c r="CZ137" s="954"/>
    </row>
    <row r="138" spans="1:104" ht="12.75" customHeight="1" thickBot="1">
      <c r="A138" s="938"/>
      <c r="B138" s="940"/>
      <c r="C138" s="1008"/>
      <c r="D138" s="942"/>
      <c r="E138" s="944"/>
      <c r="F138" s="946"/>
      <c r="G138" s="989"/>
      <c r="H138" s="1139"/>
      <c r="I138" s="1011"/>
      <c r="J138" s="987"/>
      <c r="K138" s="987"/>
      <c r="L138" s="808" t="s">
        <v>3320</v>
      </c>
      <c r="M138" s="955"/>
      <c r="N138" s="956"/>
      <c r="O138" s="956"/>
      <c r="P138" s="956"/>
      <c r="Q138" s="956"/>
      <c r="R138" s="956"/>
      <c r="S138" s="956"/>
      <c r="T138" s="956"/>
      <c r="U138" s="956"/>
      <c r="V138" s="956"/>
      <c r="W138" s="956"/>
      <c r="X138" s="956"/>
      <c r="Y138" s="956"/>
      <c r="Z138" s="956"/>
      <c r="AA138" s="956"/>
      <c r="AB138" s="956"/>
      <c r="AC138" s="956"/>
      <c r="AD138" s="956"/>
      <c r="AE138" s="956"/>
      <c r="AF138" s="956"/>
      <c r="AG138" s="956"/>
      <c r="AH138" s="956"/>
      <c r="AI138" s="956"/>
      <c r="AJ138" s="956"/>
      <c r="AK138" s="956"/>
      <c r="AL138" s="956"/>
      <c r="AM138" s="956"/>
      <c r="AN138" s="956"/>
      <c r="AO138" s="956"/>
      <c r="AP138" s="956"/>
      <c r="AQ138" s="956"/>
      <c r="AR138" s="956"/>
      <c r="AS138" s="956"/>
      <c r="AT138" s="956"/>
      <c r="AU138" s="956"/>
      <c r="AV138" s="956"/>
      <c r="AW138" s="956"/>
      <c r="AX138" s="956"/>
      <c r="AY138" s="956"/>
      <c r="AZ138" s="956"/>
      <c r="BA138" s="956"/>
      <c r="BB138" s="956"/>
      <c r="BC138" s="956"/>
      <c r="BD138" s="956"/>
      <c r="BE138" s="956"/>
      <c r="BF138" s="956"/>
      <c r="BG138" s="956"/>
      <c r="BH138" s="956"/>
      <c r="BI138" s="956"/>
      <c r="BJ138" s="956"/>
      <c r="BK138" s="956"/>
      <c r="BL138" s="956"/>
      <c r="BM138" s="956"/>
      <c r="BN138" s="956"/>
      <c r="BO138" s="956"/>
      <c r="BP138" s="956"/>
      <c r="BQ138" s="956"/>
      <c r="BR138" s="956"/>
      <c r="BS138" s="956"/>
      <c r="BT138" s="956"/>
      <c r="BU138" s="956">
        <f>BQ136+BX136+CE136+CL136+CS136</f>
        <v>3584559</v>
      </c>
      <c r="BV138" s="956"/>
      <c r="BW138" s="956"/>
      <c r="BX138" s="956"/>
      <c r="BY138" s="956"/>
      <c r="BZ138" s="956"/>
      <c r="CA138" s="956"/>
      <c r="CB138" s="956"/>
      <c r="CC138" s="956"/>
      <c r="CD138" s="956"/>
      <c r="CE138" s="956"/>
      <c r="CF138" s="956"/>
      <c r="CG138" s="956"/>
      <c r="CH138" s="956"/>
      <c r="CI138" s="956"/>
      <c r="CJ138" s="956"/>
      <c r="CK138" s="956"/>
      <c r="CL138" s="956"/>
      <c r="CM138" s="956"/>
      <c r="CN138" s="956"/>
      <c r="CO138" s="956"/>
      <c r="CP138" s="956"/>
      <c r="CQ138" s="956"/>
      <c r="CR138" s="956"/>
      <c r="CS138" s="956"/>
      <c r="CT138" s="956"/>
      <c r="CU138" s="956"/>
      <c r="CV138" s="956"/>
      <c r="CW138" s="956"/>
      <c r="CX138" s="956"/>
      <c r="CY138" s="956"/>
      <c r="CZ138" s="954"/>
    </row>
    <row r="139" spans="1:104" ht="8.1" customHeight="1">
      <c r="A139" s="938">
        <f>EDIFICACION!A356</f>
        <v>8.4</v>
      </c>
      <c r="B139" s="940" t="str">
        <f>EDIFICACION!B356</f>
        <v>MORTERO DE NIVELACION 1:4 -ESP.  0.05 MT.</v>
      </c>
      <c r="C139" s="1008" t="str">
        <f>EDIFICACION!C356</f>
        <v>M2</v>
      </c>
      <c r="D139" s="942">
        <f>D136</f>
        <v>57</v>
      </c>
      <c r="E139" s="944">
        <f>EDIFICACION!F356</f>
        <v>30994</v>
      </c>
      <c r="F139" s="946">
        <f>E139*D139</f>
        <v>1766658</v>
      </c>
      <c r="G139" s="989">
        <f>F139/F259</f>
        <v>5.3345139697308667E-3</v>
      </c>
      <c r="H139" s="1139"/>
      <c r="I139" s="1009" t="s">
        <v>3380</v>
      </c>
      <c r="J139" s="985" t="s">
        <v>3389</v>
      </c>
      <c r="K139" s="985" t="s">
        <v>3390</v>
      </c>
      <c r="L139" s="806" t="s">
        <v>3318</v>
      </c>
      <c r="M139" s="1005"/>
      <c r="N139" s="952"/>
      <c r="O139" s="952"/>
      <c r="P139" s="952"/>
      <c r="Q139" s="952"/>
      <c r="R139" s="952"/>
      <c r="S139" s="952"/>
      <c r="T139" s="952"/>
      <c r="U139" s="952"/>
      <c r="V139" s="952"/>
      <c r="W139" s="952"/>
      <c r="X139" s="952"/>
      <c r="Y139" s="952"/>
      <c r="Z139" s="952"/>
      <c r="AA139" s="952"/>
      <c r="AB139" s="952"/>
      <c r="AC139" s="952"/>
      <c r="AD139" s="952"/>
      <c r="AE139" s="952"/>
      <c r="AF139" s="952"/>
      <c r="AG139" s="952"/>
      <c r="AH139" s="952"/>
      <c r="AI139" s="952"/>
      <c r="AJ139" s="952"/>
      <c r="AK139" s="952"/>
      <c r="AL139" s="952"/>
      <c r="AM139" s="952"/>
      <c r="AN139" s="952"/>
      <c r="AO139" s="952"/>
      <c r="AP139" s="952"/>
      <c r="AQ139" s="952"/>
      <c r="AR139" s="952"/>
      <c r="AS139" s="952"/>
      <c r="AT139" s="952"/>
      <c r="AU139" s="952"/>
      <c r="AV139" s="952"/>
      <c r="AW139" s="952"/>
      <c r="AX139" s="952"/>
      <c r="AY139" s="952"/>
      <c r="AZ139" s="952"/>
      <c r="BA139" s="952"/>
      <c r="BB139" s="952"/>
      <c r="BC139" s="952"/>
      <c r="BD139" s="952"/>
      <c r="BE139" s="952"/>
      <c r="BF139" s="952"/>
      <c r="BG139" s="952"/>
      <c r="BH139" s="952"/>
      <c r="BI139" s="952"/>
      <c r="BJ139" s="1006">
        <f>F139/CZ139*BL140</f>
        <v>1766658</v>
      </c>
      <c r="BK139" s="1001"/>
      <c r="BL139" s="1001"/>
      <c r="BM139" s="1001"/>
      <c r="BN139" s="1001"/>
      <c r="BO139" s="1001"/>
      <c r="BP139" s="1001"/>
      <c r="BQ139" s="952"/>
      <c r="BR139" s="952"/>
      <c r="BS139" s="952"/>
      <c r="BT139" s="952"/>
      <c r="BU139" s="952"/>
      <c r="BV139" s="952"/>
      <c r="BW139" s="952"/>
      <c r="BX139" s="952"/>
      <c r="BY139" s="952"/>
      <c r="BZ139" s="952"/>
      <c r="CA139" s="952"/>
      <c r="CB139" s="952"/>
      <c r="CC139" s="952"/>
      <c r="CD139" s="952"/>
      <c r="CE139" s="952"/>
      <c r="CF139" s="952"/>
      <c r="CG139" s="952"/>
      <c r="CH139" s="952"/>
      <c r="CI139" s="952"/>
      <c r="CJ139" s="952"/>
      <c r="CK139" s="952"/>
      <c r="CL139" s="952"/>
      <c r="CM139" s="952"/>
      <c r="CN139" s="952"/>
      <c r="CO139" s="952"/>
      <c r="CP139" s="952"/>
      <c r="CQ139" s="952"/>
      <c r="CR139" s="952"/>
      <c r="CS139" s="952"/>
      <c r="CT139" s="952"/>
      <c r="CU139" s="952"/>
      <c r="CV139" s="952"/>
      <c r="CW139" s="952"/>
      <c r="CX139" s="952"/>
      <c r="CY139" s="952"/>
      <c r="CZ139" s="953">
        <v>3</v>
      </c>
    </row>
    <row r="140" spans="1:104" ht="8.1" customHeight="1">
      <c r="A140" s="938"/>
      <c r="B140" s="940"/>
      <c r="C140" s="1008"/>
      <c r="D140" s="942"/>
      <c r="E140" s="944"/>
      <c r="F140" s="946"/>
      <c r="G140" s="989"/>
      <c r="H140" s="1139"/>
      <c r="I140" s="1010"/>
      <c r="J140" s="986"/>
      <c r="K140" s="986"/>
      <c r="L140" s="807" t="s">
        <v>3319</v>
      </c>
      <c r="M140" s="811">
        <v>1</v>
      </c>
      <c r="N140" s="810">
        <v>2</v>
      </c>
      <c r="O140" s="810">
        <v>3</v>
      </c>
      <c r="P140" s="810">
        <v>4</v>
      </c>
      <c r="Q140" s="810">
        <v>5</v>
      </c>
      <c r="R140" s="810">
        <v>6</v>
      </c>
      <c r="S140" s="810">
        <v>7</v>
      </c>
      <c r="T140" s="810">
        <v>1</v>
      </c>
      <c r="U140" s="810">
        <v>2</v>
      </c>
      <c r="V140" s="810">
        <v>3</v>
      </c>
      <c r="W140" s="810">
        <v>4</v>
      </c>
      <c r="X140" s="810">
        <v>5</v>
      </c>
      <c r="Y140" s="810">
        <v>6</v>
      </c>
      <c r="Z140" s="810">
        <v>7</v>
      </c>
      <c r="AA140" s="810">
        <v>1</v>
      </c>
      <c r="AB140" s="810">
        <v>2</v>
      </c>
      <c r="AC140" s="810">
        <v>3</v>
      </c>
      <c r="AD140" s="810">
        <v>4</v>
      </c>
      <c r="AE140" s="810">
        <v>5</v>
      </c>
      <c r="AF140" s="810">
        <v>6</v>
      </c>
      <c r="AG140" s="810">
        <v>7</v>
      </c>
      <c r="AH140" s="810">
        <v>1</v>
      </c>
      <c r="AI140" s="810">
        <v>2</v>
      </c>
      <c r="AJ140" s="810">
        <v>3</v>
      </c>
      <c r="AK140" s="810">
        <v>4</v>
      </c>
      <c r="AL140" s="810">
        <v>5</v>
      </c>
      <c r="AM140" s="810">
        <v>6</v>
      </c>
      <c r="AN140" s="810">
        <v>7</v>
      </c>
      <c r="AO140" s="810">
        <v>1</v>
      </c>
      <c r="AP140" s="810">
        <v>2</v>
      </c>
      <c r="AQ140" s="810">
        <v>3</v>
      </c>
      <c r="AR140" s="810">
        <v>4</v>
      </c>
      <c r="AS140" s="810">
        <v>5</v>
      </c>
      <c r="AT140" s="810">
        <v>6</v>
      </c>
      <c r="AU140" s="810">
        <v>7</v>
      </c>
      <c r="AV140" s="810">
        <v>1</v>
      </c>
      <c r="AW140" s="810">
        <v>2</v>
      </c>
      <c r="AX140" s="810">
        <v>3</v>
      </c>
      <c r="AY140" s="810">
        <v>4</v>
      </c>
      <c r="AZ140" s="810">
        <v>5</v>
      </c>
      <c r="BA140" s="810">
        <v>6</v>
      </c>
      <c r="BB140" s="810">
        <v>7</v>
      </c>
      <c r="BC140" s="810">
        <v>1</v>
      </c>
      <c r="BD140" s="810">
        <v>2</v>
      </c>
      <c r="BE140" s="810">
        <v>3</v>
      </c>
      <c r="BF140" s="810">
        <v>4</v>
      </c>
      <c r="BG140" s="810">
        <v>5</v>
      </c>
      <c r="BH140" s="810">
        <v>6</v>
      </c>
      <c r="BI140" s="810">
        <v>7</v>
      </c>
      <c r="BJ140" s="812">
        <v>1</v>
      </c>
      <c r="BK140" s="812">
        <v>2</v>
      </c>
      <c r="BL140" s="812">
        <v>3</v>
      </c>
      <c r="BM140" s="810">
        <v>4</v>
      </c>
      <c r="BN140" s="810">
        <v>5</v>
      </c>
      <c r="BO140" s="810">
        <v>6</v>
      </c>
      <c r="BP140" s="810">
        <v>7</v>
      </c>
      <c r="BQ140" s="810">
        <v>1</v>
      </c>
      <c r="BR140" s="810">
        <v>2</v>
      </c>
      <c r="BS140" s="810">
        <v>3</v>
      </c>
      <c r="BT140" s="810">
        <v>4</v>
      </c>
      <c r="BU140" s="810">
        <v>5</v>
      </c>
      <c r="BV140" s="810">
        <v>6</v>
      </c>
      <c r="BW140" s="810">
        <v>7</v>
      </c>
      <c r="BX140" s="810">
        <v>1</v>
      </c>
      <c r="BY140" s="810">
        <v>2</v>
      </c>
      <c r="BZ140" s="810">
        <v>3</v>
      </c>
      <c r="CA140" s="810">
        <v>4</v>
      </c>
      <c r="CB140" s="810">
        <v>5</v>
      </c>
      <c r="CC140" s="810">
        <v>6</v>
      </c>
      <c r="CD140" s="810">
        <v>7</v>
      </c>
      <c r="CE140" s="810">
        <v>1</v>
      </c>
      <c r="CF140" s="810">
        <v>2</v>
      </c>
      <c r="CG140" s="810">
        <v>3</v>
      </c>
      <c r="CH140" s="810">
        <v>4</v>
      </c>
      <c r="CI140" s="810">
        <v>5</v>
      </c>
      <c r="CJ140" s="810">
        <v>6</v>
      </c>
      <c r="CK140" s="810">
        <v>7</v>
      </c>
      <c r="CL140" s="810">
        <v>1</v>
      </c>
      <c r="CM140" s="810">
        <v>2</v>
      </c>
      <c r="CN140" s="810">
        <v>3</v>
      </c>
      <c r="CO140" s="810">
        <v>4</v>
      </c>
      <c r="CP140" s="810">
        <v>5</v>
      </c>
      <c r="CQ140" s="810">
        <v>6</v>
      </c>
      <c r="CR140" s="810">
        <v>7</v>
      </c>
      <c r="CS140" s="810">
        <v>1</v>
      </c>
      <c r="CT140" s="810">
        <v>2</v>
      </c>
      <c r="CU140" s="810">
        <v>3</v>
      </c>
      <c r="CV140" s="810">
        <v>4</v>
      </c>
      <c r="CW140" s="810">
        <v>5</v>
      </c>
      <c r="CX140" s="781">
        <v>6</v>
      </c>
      <c r="CY140" s="781">
        <v>7</v>
      </c>
      <c r="CZ140" s="954"/>
    </row>
    <row r="141" spans="1:104" ht="7.5" customHeight="1" thickBot="1">
      <c r="A141" s="938"/>
      <c r="B141" s="940"/>
      <c r="C141" s="1008"/>
      <c r="D141" s="942"/>
      <c r="E141" s="944"/>
      <c r="F141" s="946"/>
      <c r="G141" s="989"/>
      <c r="H141" s="1139"/>
      <c r="I141" s="1011"/>
      <c r="J141" s="987"/>
      <c r="K141" s="987"/>
      <c r="L141" s="808" t="s">
        <v>3320</v>
      </c>
      <c r="M141" s="955"/>
      <c r="N141" s="956"/>
      <c r="O141" s="956"/>
      <c r="P141" s="956"/>
      <c r="Q141" s="956"/>
      <c r="R141" s="956"/>
      <c r="S141" s="956"/>
      <c r="T141" s="956"/>
      <c r="U141" s="956"/>
      <c r="V141" s="956"/>
      <c r="W141" s="956"/>
      <c r="X141" s="956"/>
      <c r="Y141" s="956"/>
      <c r="Z141" s="956"/>
      <c r="AA141" s="956"/>
      <c r="AB141" s="956"/>
      <c r="AC141" s="956"/>
      <c r="AD141" s="956"/>
      <c r="AE141" s="956"/>
      <c r="AF141" s="956"/>
      <c r="AG141" s="956"/>
      <c r="AH141" s="956"/>
      <c r="AI141" s="956"/>
      <c r="AJ141" s="956"/>
      <c r="AK141" s="956"/>
      <c r="AL141" s="956"/>
      <c r="AM141" s="956"/>
      <c r="AN141" s="956"/>
      <c r="AO141" s="956"/>
      <c r="AP141" s="956"/>
      <c r="AQ141" s="956">
        <f>AO139+AV139+BC139+BJ139</f>
        <v>1766658</v>
      </c>
      <c r="AR141" s="956"/>
      <c r="AS141" s="956"/>
      <c r="AT141" s="956"/>
      <c r="AU141" s="956"/>
      <c r="AV141" s="956"/>
      <c r="AW141" s="956"/>
      <c r="AX141" s="956"/>
      <c r="AY141" s="956"/>
      <c r="AZ141" s="956"/>
      <c r="BA141" s="956"/>
      <c r="BB141" s="956"/>
      <c r="BC141" s="956"/>
      <c r="BD141" s="956"/>
      <c r="BE141" s="956"/>
      <c r="BF141" s="956"/>
      <c r="BG141" s="956"/>
      <c r="BH141" s="956"/>
      <c r="BI141" s="956"/>
      <c r="BJ141" s="956"/>
      <c r="BK141" s="956"/>
      <c r="BL141" s="956"/>
      <c r="BM141" s="956"/>
      <c r="BN141" s="956"/>
      <c r="BO141" s="956"/>
      <c r="BP141" s="956"/>
      <c r="BQ141" s="956"/>
      <c r="BR141" s="956"/>
      <c r="BS141" s="956"/>
      <c r="BT141" s="956"/>
      <c r="BU141" s="956"/>
      <c r="BV141" s="956"/>
      <c r="BW141" s="956"/>
      <c r="BX141" s="956"/>
      <c r="BY141" s="956"/>
      <c r="BZ141" s="956"/>
      <c r="CA141" s="956"/>
      <c r="CB141" s="956"/>
      <c r="CC141" s="956"/>
      <c r="CD141" s="956"/>
      <c r="CE141" s="956"/>
      <c r="CF141" s="956"/>
      <c r="CG141" s="956"/>
      <c r="CH141" s="956"/>
      <c r="CI141" s="956"/>
      <c r="CJ141" s="956"/>
      <c r="CK141" s="956"/>
      <c r="CL141" s="956"/>
      <c r="CM141" s="956"/>
      <c r="CN141" s="956"/>
      <c r="CO141" s="956"/>
      <c r="CP141" s="956"/>
      <c r="CQ141" s="956"/>
      <c r="CR141" s="956"/>
      <c r="CS141" s="956"/>
      <c r="CT141" s="956"/>
      <c r="CU141" s="956"/>
      <c r="CV141" s="956"/>
      <c r="CW141" s="956"/>
      <c r="CX141" s="956"/>
      <c r="CY141" s="956"/>
      <c r="CZ141" s="954"/>
    </row>
    <row r="142" spans="1:104" ht="12.75" customHeight="1">
      <c r="A142" s="938">
        <f>EDIFICACION!A363</f>
        <v>8.5</v>
      </c>
      <c r="B142" s="940" t="str">
        <f>EDIFICACION!B363</f>
        <v>CERAMICA MACEDONIA EN MUROS DE PRIMERA CALIDAD, TIPO CORONA O SIMILAR, INCLUYE PIRLAN DE ALUMINIO</v>
      </c>
      <c r="C142" s="1008" t="str">
        <f>EDIFICACION!C363</f>
        <v>M2</v>
      </c>
      <c r="D142" s="942">
        <f>D133</f>
        <v>19.920000000000002</v>
      </c>
      <c r="E142" s="944">
        <f>EDIFICACION!F363</f>
        <v>58691</v>
      </c>
      <c r="F142" s="946">
        <f>E142*D142</f>
        <v>1169124.7200000002</v>
      </c>
      <c r="G142" s="989">
        <f>F142/F259</f>
        <v>3.5302317433242255E-3</v>
      </c>
      <c r="H142" s="1139"/>
      <c r="I142" s="1009" t="s">
        <v>3377</v>
      </c>
      <c r="J142" s="985" t="s">
        <v>3391</v>
      </c>
      <c r="K142" s="985" t="s">
        <v>3392</v>
      </c>
      <c r="L142" s="806" t="s">
        <v>3318</v>
      </c>
      <c r="M142" s="1005"/>
      <c r="N142" s="952"/>
      <c r="O142" s="952"/>
      <c r="P142" s="952"/>
      <c r="Q142" s="952"/>
      <c r="R142" s="952"/>
      <c r="S142" s="952"/>
      <c r="T142" s="952"/>
      <c r="U142" s="952"/>
      <c r="V142" s="952"/>
      <c r="W142" s="952"/>
      <c r="X142" s="952"/>
      <c r="Y142" s="952"/>
      <c r="Z142" s="952"/>
      <c r="AA142" s="952"/>
      <c r="AB142" s="952"/>
      <c r="AC142" s="952"/>
      <c r="AD142" s="952"/>
      <c r="AE142" s="952"/>
      <c r="AF142" s="952"/>
      <c r="AG142" s="952"/>
      <c r="AH142" s="952"/>
      <c r="AI142" s="952"/>
      <c r="AJ142" s="952"/>
      <c r="AK142" s="952"/>
      <c r="AL142" s="952"/>
      <c r="AM142" s="952"/>
      <c r="AN142" s="952"/>
      <c r="AO142" s="952"/>
      <c r="AP142" s="952"/>
      <c r="AQ142" s="952"/>
      <c r="AR142" s="952"/>
      <c r="AS142" s="952"/>
      <c r="AT142" s="952"/>
      <c r="AU142" s="952"/>
      <c r="AV142" s="952"/>
      <c r="AW142" s="952"/>
      <c r="AX142" s="952"/>
      <c r="AY142" s="952"/>
      <c r="AZ142" s="952"/>
      <c r="BA142" s="952"/>
      <c r="BB142" s="952"/>
      <c r="BC142" s="952"/>
      <c r="BD142" s="952"/>
      <c r="BE142" s="952"/>
      <c r="BF142" s="952"/>
      <c r="BG142" s="952"/>
      <c r="BH142" s="952"/>
      <c r="BI142" s="952"/>
      <c r="BJ142" s="952"/>
      <c r="BK142" s="952"/>
      <c r="BL142" s="952"/>
      <c r="BM142" s="952"/>
      <c r="BN142" s="952"/>
      <c r="BO142" s="952"/>
      <c r="BP142" s="952"/>
      <c r="BQ142" s="1006">
        <f>F142/CZ142*BU143</f>
        <v>1169124.7200000002</v>
      </c>
      <c r="BR142" s="1001"/>
      <c r="BS142" s="1001"/>
      <c r="BT142" s="1001"/>
      <c r="BU142" s="1001"/>
      <c r="BV142" s="1001"/>
      <c r="BW142" s="1001"/>
      <c r="BX142" s="952"/>
      <c r="BY142" s="952"/>
      <c r="BZ142" s="952"/>
      <c r="CA142" s="952"/>
      <c r="CB142" s="952"/>
      <c r="CC142" s="952"/>
      <c r="CD142" s="952"/>
      <c r="CE142" s="952"/>
      <c r="CF142" s="952"/>
      <c r="CG142" s="952"/>
      <c r="CH142" s="952"/>
      <c r="CI142" s="952"/>
      <c r="CJ142" s="952"/>
      <c r="CK142" s="952"/>
      <c r="CL142" s="952"/>
      <c r="CM142" s="952"/>
      <c r="CN142" s="952"/>
      <c r="CO142" s="952"/>
      <c r="CP142" s="952"/>
      <c r="CQ142" s="952"/>
      <c r="CR142" s="952"/>
      <c r="CS142" s="952"/>
      <c r="CT142" s="952"/>
      <c r="CU142" s="952"/>
      <c r="CV142" s="952"/>
      <c r="CW142" s="952"/>
      <c r="CX142" s="952"/>
      <c r="CY142" s="952"/>
      <c r="CZ142" s="953">
        <v>5</v>
      </c>
    </row>
    <row r="143" spans="1:104" ht="12.75" customHeight="1">
      <c r="A143" s="938"/>
      <c r="B143" s="940"/>
      <c r="C143" s="1008"/>
      <c r="D143" s="942"/>
      <c r="E143" s="944"/>
      <c r="F143" s="946"/>
      <c r="G143" s="989"/>
      <c r="H143" s="1139"/>
      <c r="I143" s="1010"/>
      <c r="J143" s="986"/>
      <c r="K143" s="986"/>
      <c r="L143" s="807" t="s">
        <v>3319</v>
      </c>
      <c r="M143" s="811">
        <v>1</v>
      </c>
      <c r="N143" s="810">
        <v>2</v>
      </c>
      <c r="O143" s="810">
        <v>3</v>
      </c>
      <c r="P143" s="810">
        <v>4</v>
      </c>
      <c r="Q143" s="810">
        <v>5</v>
      </c>
      <c r="R143" s="810">
        <v>6</v>
      </c>
      <c r="S143" s="810">
        <v>7</v>
      </c>
      <c r="T143" s="810">
        <v>1</v>
      </c>
      <c r="U143" s="810">
        <v>2</v>
      </c>
      <c r="V143" s="810">
        <v>3</v>
      </c>
      <c r="W143" s="810">
        <v>4</v>
      </c>
      <c r="X143" s="810">
        <v>5</v>
      </c>
      <c r="Y143" s="810">
        <v>6</v>
      </c>
      <c r="Z143" s="810">
        <v>7</v>
      </c>
      <c r="AA143" s="810">
        <v>1</v>
      </c>
      <c r="AB143" s="810">
        <v>2</v>
      </c>
      <c r="AC143" s="810">
        <v>3</v>
      </c>
      <c r="AD143" s="810">
        <v>4</v>
      </c>
      <c r="AE143" s="810">
        <v>5</v>
      </c>
      <c r="AF143" s="810">
        <v>6</v>
      </c>
      <c r="AG143" s="810">
        <v>7</v>
      </c>
      <c r="AH143" s="810">
        <v>1</v>
      </c>
      <c r="AI143" s="810">
        <v>2</v>
      </c>
      <c r="AJ143" s="810">
        <v>3</v>
      </c>
      <c r="AK143" s="810">
        <v>4</v>
      </c>
      <c r="AL143" s="810">
        <v>5</v>
      </c>
      <c r="AM143" s="810">
        <v>6</v>
      </c>
      <c r="AN143" s="810">
        <v>7</v>
      </c>
      <c r="AO143" s="810">
        <v>1</v>
      </c>
      <c r="AP143" s="810">
        <v>2</v>
      </c>
      <c r="AQ143" s="810">
        <v>3</v>
      </c>
      <c r="AR143" s="810">
        <v>4</v>
      </c>
      <c r="AS143" s="810">
        <v>5</v>
      </c>
      <c r="AT143" s="810">
        <v>6</v>
      </c>
      <c r="AU143" s="810">
        <v>7</v>
      </c>
      <c r="AV143" s="810">
        <v>1</v>
      </c>
      <c r="AW143" s="810">
        <v>2</v>
      </c>
      <c r="AX143" s="810">
        <v>3</v>
      </c>
      <c r="AY143" s="810">
        <v>4</v>
      </c>
      <c r="AZ143" s="810">
        <v>5</v>
      </c>
      <c r="BA143" s="810">
        <v>6</v>
      </c>
      <c r="BB143" s="810">
        <v>7</v>
      </c>
      <c r="BC143" s="810">
        <v>1</v>
      </c>
      <c r="BD143" s="810">
        <v>2</v>
      </c>
      <c r="BE143" s="810">
        <v>3</v>
      </c>
      <c r="BF143" s="810">
        <v>4</v>
      </c>
      <c r="BG143" s="810">
        <v>5</v>
      </c>
      <c r="BH143" s="810">
        <v>6</v>
      </c>
      <c r="BI143" s="810">
        <v>7</v>
      </c>
      <c r="BJ143" s="810">
        <v>1</v>
      </c>
      <c r="BK143" s="810">
        <v>2</v>
      </c>
      <c r="BL143" s="810">
        <v>3</v>
      </c>
      <c r="BM143" s="810">
        <v>4</v>
      </c>
      <c r="BN143" s="810">
        <v>5</v>
      </c>
      <c r="BO143" s="810">
        <v>6</v>
      </c>
      <c r="BP143" s="810">
        <v>7</v>
      </c>
      <c r="BQ143" s="810">
        <v>1</v>
      </c>
      <c r="BR143" s="812">
        <v>2</v>
      </c>
      <c r="BS143" s="812">
        <v>3</v>
      </c>
      <c r="BT143" s="812">
        <v>4</v>
      </c>
      <c r="BU143" s="812">
        <v>5</v>
      </c>
      <c r="BV143" s="812">
        <v>6</v>
      </c>
      <c r="BW143" s="810">
        <v>7</v>
      </c>
      <c r="BX143" s="810">
        <v>1</v>
      </c>
      <c r="BY143" s="810">
        <v>2</v>
      </c>
      <c r="BZ143" s="810">
        <v>3</v>
      </c>
      <c r="CA143" s="810">
        <v>4</v>
      </c>
      <c r="CB143" s="810">
        <v>5</v>
      </c>
      <c r="CC143" s="810">
        <v>6</v>
      </c>
      <c r="CD143" s="810">
        <v>7</v>
      </c>
      <c r="CE143" s="810">
        <v>1</v>
      </c>
      <c r="CF143" s="810">
        <v>2</v>
      </c>
      <c r="CG143" s="810">
        <v>3</v>
      </c>
      <c r="CH143" s="810">
        <v>4</v>
      </c>
      <c r="CI143" s="810">
        <v>5</v>
      </c>
      <c r="CJ143" s="810">
        <v>6</v>
      </c>
      <c r="CK143" s="810">
        <v>7</v>
      </c>
      <c r="CL143" s="810">
        <v>1</v>
      </c>
      <c r="CM143" s="810">
        <v>2</v>
      </c>
      <c r="CN143" s="810">
        <v>3</v>
      </c>
      <c r="CO143" s="810">
        <v>4</v>
      </c>
      <c r="CP143" s="810">
        <v>5</v>
      </c>
      <c r="CQ143" s="810">
        <v>6</v>
      </c>
      <c r="CR143" s="810">
        <v>7</v>
      </c>
      <c r="CS143" s="810">
        <v>1</v>
      </c>
      <c r="CT143" s="810">
        <v>2</v>
      </c>
      <c r="CU143" s="810">
        <v>3</v>
      </c>
      <c r="CV143" s="810">
        <v>4</v>
      </c>
      <c r="CW143" s="810">
        <v>5</v>
      </c>
      <c r="CX143" s="781">
        <v>6</v>
      </c>
      <c r="CY143" s="781">
        <v>7</v>
      </c>
      <c r="CZ143" s="954"/>
    </row>
    <row r="144" spans="1:104" ht="12.75" customHeight="1" thickBot="1">
      <c r="A144" s="938"/>
      <c r="B144" s="940"/>
      <c r="C144" s="1008"/>
      <c r="D144" s="942"/>
      <c r="E144" s="944"/>
      <c r="F144" s="946"/>
      <c r="G144" s="989"/>
      <c r="H144" s="1139"/>
      <c r="I144" s="1011"/>
      <c r="J144" s="987"/>
      <c r="K144" s="987"/>
      <c r="L144" s="808" t="s">
        <v>3320</v>
      </c>
      <c r="M144" s="955"/>
      <c r="N144" s="956"/>
      <c r="O144" s="956"/>
      <c r="P144" s="956"/>
      <c r="Q144" s="956"/>
      <c r="R144" s="956"/>
      <c r="S144" s="956"/>
      <c r="T144" s="956"/>
      <c r="U144" s="956"/>
      <c r="V144" s="956"/>
      <c r="W144" s="956"/>
      <c r="X144" s="956"/>
      <c r="Y144" s="956"/>
      <c r="Z144" s="956"/>
      <c r="AA144" s="956"/>
      <c r="AB144" s="956"/>
      <c r="AC144" s="956"/>
      <c r="AD144" s="956"/>
      <c r="AE144" s="956"/>
      <c r="AF144" s="956"/>
      <c r="AG144" s="956"/>
      <c r="AH144" s="956"/>
      <c r="AI144" s="956"/>
      <c r="AJ144" s="956"/>
      <c r="AK144" s="956"/>
      <c r="AL144" s="956"/>
      <c r="AM144" s="956"/>
      <c r="AN144" s="956"/>
      <c r="AO144" s="956"/>
      <c r="AP144" s="956"/>
      <c r="AQ144" s="956">
        <f>AO142+AV142+BC142+BJ142</f>
        <v>0</v>
      </c>
      <c r="AR144" s="956"/>
      <c r="AS144" s="956"/>
      <c r="AT144" s="956"/>
      <c r="AU144" s="956"/>
      <c r="AV144" s="956"/>
      <c r="AW144" s="956"/>
      <c r="AX144" s="956"/>
      <c r="AY144" s="956"/>
      <c r="AZ144" s="956"/>
      <c r="BA144" s="956"/>
      <c r="BB144" s="956"/>
      <c r="BC144" s="956"/>
      <c r="BD144" s="956"/>
      <c r="BE144" s="956"/>
      <c r="BF144" s="956"/>
      <c r="BG144" s="956"/>
      <c r="BH144" s="956"/>
      <c r="BI144" s="956"/>
      <c r="BJ144" s="956"/>
      <c r="BK144" s="956"/>
      <c r="BL144" s="956"/>
      <c r="BM144" s="956"/>
      <c r="BN144" s="956"/>
      <c r="BO144" s="956"/>
      <c r="BP144" s="956"/>
      <c r="BQ144" s="956"/>
      <c r="BR144" s="956"/>
      <c r="BS144" s="956"/>
      <c r="BT144" s="956"/>
      <c r="BU144" s="956">
        <f>BQ142+BX142+CE142+CL142+CS142</f>
        <v>1169124.7200000002</v>
      </c>
      <c r="BV144" s="956"/>
      <c r="BW144" s="956"/>
      <c r="BX144" s="956"/>
      <c r="BY144" s="956"/>
      <c r="BZ144" s="956"/>
      <c r="CA144" s="956"/>
      <c r="CB144" s="956"/>
      <c r="CC144" s="956"/>
      <c r="CD144" s="956"/>
      <c r="CE144" s="956"/>
      <c r="CF144" s="956"/>
      <c r="CG144" s="956"/>
      <c r="CH144" s="956"/>
      <c r="CI144" s="956"/>
      <c r="CJ144" s="956"/>
      <c r="CK144" s="956"/>
      <c r="CL144" s="956"/>
      <c r="CM144" s="956"/>
      <c r="CN144" s="956"/>
      <c r="CO144" s="956"/>
      <c r="CP144" s="956"/>
      <c r="CQ144" s="956"/>
      <c r="CR144" s="956"/>
      <c r="CS144" s="956"/>
      <c r="CT144" s="956"/>
      <c r="CU144" s="956"/>
      <c r="CV144" s="956"/>
      <c r="CW144" s="956"/>
      <c r="CX144" s="956"/>
      <c r="CY144" s="956"/>
      <c r="CZ144" s="954"/>
    </row>
    <row r="145" spans="1:259" ht="12.75" customHeight="1">
      <c r="A145" s="938">
        <f>EDIFICACION!A373</f>
        <v>8.6</v>
      </c>
      <c r="B145" s="940" t="str">
        <f>EDIFICACION!B373</f>
        <v>PORCELANATO DE 1.20X0.60X12CM0 EN MESONES POR DOS CARAS DE PRIMERA CALIDAD, TIPO CORONA O SIMILAR, INCLUYE ESQUINERO</v>
      </c>
      <c r="C145" s="1008" t="str">
        <f>EDIFICACION!C373</f>
        <v>ML</v>
      </c>
      <c r="D145" s="942">
        <f>3.06*3</f>
        <v>9.18</v>
      </c>
      <c r="E145" s="944">
        <f>EDIFICACION!F373</f>
        <v>64539</v>
      </c>
      <c r="F145" s="946">
        <f t="shared" ref="F145:F226" si="8">E145*D145</f>
        <v>592468.02</v>
      </c>
      <c r="G145" s="989">
        <f>F145/F259</f>
        <v>1.7889874153960681E-3</v>
      </c>
      <c r="H145" s="1139"/>
      <c r="I145" s="1009" t="s">
        <v>3340</v>
      </c>
      <c r="J145" s="985" t="s">
        <v>3393</v>
      </c>
      <c r="K145" s="985" t="s">
        <v>3394</v>
      </c>
      <c r="L145" s="806" t="s">
        <v>3318</v>
      </c>
      <c r="M145" s="1005"/>
      <c r="N145" s="952"/>
      <c r="O145" s="952"/>
      <c r="P145" s="952"/>
      <c r="Q145" s="952"/>
      <c r="R145" s="952"/>
      <c r="S145" s="952"/>
      <c r="T145" s="952"/>
      <c r="U145" s="952"/>
      <c r="V145" s="952"/>
      <c r="W145" s="952"/>
      <c r="X145" s="952"/>
      <c r="Y145" s="952"/>
      <c r="Z145" s="952"/>
      <c r="AA145" s="952"/>
      <c r="AB145" s="952"/>
      <c r="AC145" s="952"/>
      <c r="AD145" s="952"/>
      <c r="AE145" s="952"/>
      <c r="AF145" s="952"/>
      <c r="AG145" s="952"/>
      <c r="AH145" s="952"/>
      <c r="AI145" s="952"/>
      <c r="AJ145" s="952"/>
      <c r="AK145" s="952"/>
      <c r="AL145" s="952"/>
      <c r="AM145" s="952"/>
      <c r="AN145" s="952"/>
      <c r="AO145" s="952"/>
      <c r="AP145" s="952"/>
      <c r="AQ145" s="952"/>
      <c r="AR145" s="952"/>
      <c r="AS145" s="952"/>
      <c r="AT145" s="952"/>
      <c r="AU145" s="952"/>
      <c r="AV145" s="952"/>
      <c r="AW145" s="952"/>
      <c r="AX145" s="952"/>
      <c r="AY145" s="952"/>
      <c r="AZ145" s="952"/>
      <c r="BA145" s="952"/>
      <c r="BB145" s="952"/>
      <c r="BC145" s="952"/>
      <c r="BD145" s="952"/>
      <c r="BE145" s="952"/>
      <c r="BF145" s="952"/>
      <c r="BG145" s="952"/>
      <c r="BH145" s="952"/>
      <c r="BI145" s="952"/>
      <c r="BJ145" s="1007"/>
      <c r="BK145" s="952"/>
      <c r="BL145" s="952"/>
      <c r="BM145" s="952"/>
      <c r="BN145" s="952"/>
      <c r="BO145" s="952"/>
      <c r="BP145" s="952"/>
      <c r="BQ145" s="1006">
        <f>F145/CZ145*1</f>
        <v>296234.01</v>
      </c>
      <c r="BR145" s="1001"/>
      <c r="BS145" s="1001"/>
      <c r="BT145" s="1001"/>
      <c r="BU145" s="1001"/>
      <c r="BV145" s="1001"/>
      <c r="BW145" s="1001"/>
      <c r="BX145" s="951">
        <f>F145/CZ145*1</f>
        <v>296234.01</v>
      </c>
      <c r="BY145" s="951"/>
      <c r="BZ145" s="951"/>
      <c r="CA145" s="951"/>
      <c r="CB145" s="951"/>
      <c r="CC145" s="951"/>
      <c r="CD145" s="951"/>
      <c r="CE145" s="952"/>
      <c r="CF145" s="952"/>
      <c r="CG145" s="952"/>
      <c r="CH145" s="952"/>
      <c r="CI145" s="952"/>
      <c r="CJ145" s="952"/>
      <c r="CK145" s="952"/>
      <c r="CL145" s="952"/>
      <c r="CM145" s="952"/>
      <c r="CN145" s="952"/>
      <c r="CO145" s="952"/>
      <c r="CP145" s="952"/>
      <c r="CQ145" s="952"/>
      <c r="CR145" s="952"/>
      <c r="CS145" s="952"/>
      <c r="CT145" s="952"/>
      <c r="CU145" s="952"/>
      <c r="CV145" s="952"/>
      <c r="CW145" s="952"/>
      <c r="CX145" s="952"/>
      <c r="CY145" s="952"/>
      <c r="CZ145" s="953">
        <v>2</v>
      </c>
    </row>
    <row r="146" spans="1:259" ht="12.75" customHeight="1">
      <c r="A146" s="938"/>
      <c r="B146" s="940"/>
      <c r="C146" s="1008"/>
      <c r="D146" s="942"/>
      <c r="E146" s="944"/>
      <c r="F146" s="946"/>
      <c r="G146" s="989"/>
      <c r="H146" s="1139"/>
      <c r="I146" s="1010"/>
      <c r="J146" s="986"/>
      <c r="K146" s="986"/>
      <c r="L146" s="807" t="s">
        <v>3319</v>
      </c>
      <c r="M146" s="811">
        <v>1</v>
      </c>
      <c r="N146" s="810">
        <v>2</v>
      </c>
      <c r="O146" s="810">
        <v>3</v>
      </c>
      <c r="P146" s="810">
        <v>4</v>
      </c>
      <c r="Q146" s="810">
        <v>5</v>
      </c>
      <c r="R146" s="810">
        <v>6</v>
      </c>
      <c r="S146" s="810">
        <v>7</v>
      </c>
      <c r="T146" s="810">
        <v>1</v>
      </c>
      <c r="U146" s="810">
        <v>2</v>
      </c>
      <c r="V146" s="810">
        <v>3</v>
      </c>
      <c r="W146" s="810">
        <v>4</v>
      </c>
      <c r="X146" s="810">
        <v>5</v>
      </c>
      <c r="Y146" s="810">
        <v>6</v>
      </c>
      <c r="Z146" s="810">
        <v>7</v>
      </c>
      <c r="AA146" s="810">
        <v>1</v>
      </c>
      <c r="AB146" s="810">
        <v>2</v>
      </c>
      <c r="AC146" s="810">
        <v>3</v>
      </c>
      <c r="AD146" s="810">
        <v>4</v>
      </c>
      <c r="AE146" s="810">
        <v>5</v>
      </c>
      <c r="AF146" s="810">
        <v>6</v>
      </c>
      <c r="AG146" s="810">
        <v>7</v>
      </c>
      <c r="AH146" s="810">
        <v>1</v>
      </c>
      <c r="AI146" s="810">
        <v>2</v>
      </c>
      <c r="AJ146" s="810">
        <v>3</v>
      </c>
      <c r="AK146" s="810">
        <v>4</v>
      </c>
      <c r="AL146" s="810">
        <v>5</v>
      </c>
      <c r="AM146" s="810">
        <v>6</v>
      </c>
      <c r="AN146" s="810">
        <v>7</v>
      </c>
      <c r="AO146" s="810">
        <v>1</v>
      </c>
      <c r="AP146" s="810">
        <v>2</v>
      </c>
      <c r="AQ146" s="810">
        <v>3</v>
      </c>
      <c r="AR146" s="810">
        <v>4</v>
      </c>
      <c r="AS146" s="810">
        <v>5</v>
      </c>
      <c r="AT146" s="810">
        <v>6</v>
      </c>
      <c r="AU146" s="810">
        <v>7</v>
      </c>
      <c r="AV146" s="810">
        <v>1</v>
      </c>
      <c r="AW146" s="810">
        <v>2</v>
      </c>
      <c r="AX146" s="810">
        <v>3</v>
      </c>
      <c r="AY146" s="810">
        <v>4</v>
      </c>
      <c r="AZ146" s="810">
        <v>5</v>
      </c>
      <c r="BA146" s="810">
        <v>6</v>
      </c>
      <c r="BB146" s="810">
        <v>7</v>
      </c>
      <c r="BC146" s="810">
        <v>1</v>
      </c>
      <c r="BD146" s="810">
        <v>2</v>
      </c>
      <c r="BE146" s="810">
        <v>3</v>
      </c>
      <c r="BF146" s="810">
        <v>4</v>
      </c>
      <c r="BG146" s="810">
        <v>5</v>
      </c>
      <c r="BH146" s="810">
        <v>6</v>
      </c>
      <c r="BI146" s="810">
        <v>7</v>
      </c>
      <c r="BJ146" s="810">
        <v>1</v>
      </c>
      <c r="BK146" s="810">
        <v>2</v>
      </c>
      <c r="BL146" s="810">
        <v>3</v>
      </c>
      <c r="BM146" s="810">
        <v>4</v>
      </c>
      <c r="BN146" s="810">
        <v>5</v>
      </c>
      <c r="BO146" s="810">
        <v>6</v>
      </c>
      <c r="BP146" s="810">
        <v>7</v>
      </c>
      <c r="BQ146" s="810">
        <v>1</v>
      </c>
      <c r="BR146" s="810">
        <v>2</v>
      </c>
      <c r="BS146" s="810">
        <v>3</v>
      </c>
      <c r="BT146" s="810">
        <v>4</v>
      </c>
      <c r="BU146" s="810">
        <v>5</v>
      </c>
      <c r="BV146" s="810">
        <v>6</v>
      </c>
      <c r="BW146" s="812">
        <v>7</v>
      </c>
      <c r="BX146" s="812">
        <v>1</v>
      </c>
      <c r="BY146" s="810">
        <v>2</v>
      </c>
      <c r="BZ146" s="810">
        <v>3</v>
      </c>
      <c r="CA146" s="810">
        <v>4</v>
      </c>
      <c r="CB146" s="810">
        <v>5</v>
      </c>
      <c r="CC146" s="810">
        <v>6</v>
      </c>
      <c r="CD146" s="810">
        <v>7</v>
      </c>
      <c r="CE146" s="810">
        <v>1</v>
      </c>
      <c r="CF146" s="810">
        <v>2</v>
      </c>
      <c r="CG146" s="810">
        <v>3</v>
      </c>
      <c r="CH146" s="810">
        <v>4</v>
      </c>
      <c r="CI146" s="810">
        <v>5</v>
      </c>
      <c r="CJ146" s="810">
        <v>6</v>
      </c>
      <c r="CK146" s="810">
        <v>7</v>
      </c>
      <c r="CL146" s="810">
        <v>1</v>
      </c>
      <c r="CM146" s="810">
        <v>2</v>
      </c>
      <c r="CN146" s="810">
        <v>3</v>
      </c>
      <c r="CO146" s="810">
        <v>4</v>
      </c>
      <c r="CP146" s="810">
        <v>5</v>
      </c>
      <c r="CQ146" s="810">
        <v>6</v>
      </c>
      <c r="CR146" s="810">
        <v>7</v>
      </c>
      <c r="CS146" s="810">
        <v>1</v>
      </c>
      <c r="CT146" s="810">
        <v>2</v>
      </c>
      <c r="CU146" s="810">
        <v>3</v>
      </c>
      <c r="CV146" s="810">
        <v>4</v>
      </c>
      <c r="CW146" s="810">
        <v>5</v>
      </c>
      <c r="CX146" s="781">
        <v>6</v>
      </c>
      <c r="CY146" s="781">
        <v>7</v>
      </c>
      <c r="CZ146" s="954"/>
    </row>
    <row r="147" spans="1:259" ht="18" customHeight="1" thickBot="1">
      <c r="A147" s="938"/>
      <c r="B147" s="940"/>
      <c r="C147" s="1008"/>
      <c r="D147" s="942"/>
      <c r="E147" s="944"/>
      <c r="F147" s="946"/>
      <c r="G147" s="989"/>
      <c r="H147" s="1139"/>
      <c r="I147" s="1011"/>
      <c r="J147" s="987"/>
      <c r="K147" s="987"/>
      <c r="L147" s="808" t="s">
        <v>3320</v>
      </c>
      <c r="M147" s="955"/>
      <c r="N147" s="956"/>
      <c r="O147" s="956"/>
      <c r="P147" s="956"/>
      <c r="Q147" s="956"/>
      <c r="R147" s="956"/>
      <c r="S147" s="956"/>
      <c r="T147" s="956"/>
      <c r="U147" s="956"/>
      <c r="V147" s="956"/>
      <c r="W147" s="956"/>
      <c r="X147" s="956"/>
      <c r="Y147" s="956"/>
      <c r="Z147" s="956"/>
      <c r="AA147" s="956"/>
      <c r="AB147" s="956"/>
      <c r="AC147" s="956"/>
      <c r="AD147" s="956"/>
      <c r="AE147" s="956"/>
      <c r="AF147" s="956"/>
      <c r="AG147" s="956"/>
      <c r="AH147" s="956"/>
      <c r="AI147" s="956"/>
      <c r="AJ147" s="956"/>
      <c r="AK147" s="956"/>
      <c r="AL147" s="956"/>
      <c r="AM147" s="956"/>
      <c r="AN147" s="956"/>
      <c r="AO147" s="956"/>
      <c r="AP147" s="956"/>
      <c r="AQ147" s="956"/>
      <c r="AR147" s="956"/>
      <c r="AS147" s="956"/>
      <c r="AT147" s="956"/>
      <c r="AU147" s="956"/>
      <c r="AV147" s="956"/>
      <c r="AW147" s="956"/>
      <c r="AX147" s="956"/>
      <c r="AY147" s="956"/>
      <c r="AZ147" s="956"/>
      <c r="BA147" s="956"/>
      <c r="BB147" s="956"/>
      <c r="BC147" s="956"/>
      <c r="BD147" s="956"/>
      <c r="BE147" s="956"/>
      <c r="BF147" s="956"/>
      <c r="BG147" s="956"/>
      <c r="BH147" s="956"/>
      <c r="BI147" s="956"/>
      <c r="BJ147" s="956"/>
      <c r="BK147" s="956"/>
      <c r="BL147" s="956"/>
      <c r="BM147" s="956"/>
      <c r="BN147" s="956"/>
      <c r="BO147" s="956"/>
      <c r="BP147" s="956"/>
      <c r="BQ147" s="956"/>
      <c r="BR147" s="956"/>
      <c r="BS147" s="956"/>
      <c r="BT147" s="956"/>
      <c r="BU147" s="956">
        <f>BQ145+BX145+CE145+CL145+CS145</f>
        <v>592468.02</v>
      </c>
      <c r="BV147" s="956"/>
      <c r="BW147" s="956"/>
      <c r="BX147" s="956"/>
      <c r="BY147" s="956"/>
      <c r="BZ147" s="956"/>
      <c r="CA147" s="956"/>
      <c r="CB147" s="956"/>
      <c r="CC147" s="956"/>
      <c r="CD147" s="956"/>
      <c r="CE147" s="956"/>
      <c r="CF147" s="956"/>
      <c r="CG147" s="956"/>
      <c r="CH147" s="956"/>
      <c r="CI147" s="956"/>
      <c r="CJ147" s="956"/>
      <c r="CK147" s="956"/>
      <c r="CL147" s="956"/>
      <c r="CM147" s="956"/>
      <c r="CN147" s="956"/>
      <c r="CO147" s="956"/>
      <c r="CP147" s="956"/>
      <c r="CQ147" s="956"/>
      <c r="CR147" s="956"/>
      <c r="CS147" s="956"/>
      <c r="CT147" s="956"/>
      <c r="CU147" s="956"/>
      <c r="CV147" s="956"/>
      <c r="CW147" s="956"/>
      <c r="CX147" s="956"/>
      <c r="CY147" s="956"/>
      <c r="CZ147" s="954"/>
    </row>
    <row r="148" spans="1:259" ht="8.1" customHeight="1">
      <c r="A148" s="938">
        <f>EDIFICACION!A383</f>
        <v>8.6999999999999993</v>
      </c>
      <c r="B148" s="940" t="str">
        <f>EDIFICACION!B383</f>
        <v>ENCHAPE  DE MUROS DE MENOS DE 50 CMS EN CERAMICA DE 20X35 DE PRIMERA CALIDAD, TIPO CORONA O SIMILAR.</v>
      </c>
      <c r="C148" s="1008" t="str">
        <f>EDIFICACION!C383</f>
        <v>ML</v>
      </c>
      <c r="D148" s="942">
        <f>12*3</f>
        <v>36</v>
      </c>
      <c r="E148" s="944">
        <f>EDIFICACION!F383</f>
        <v>27876</v>
      </c>
      <c r="F148" s="946">
        <f t="shared" si="8"/>
        <v>1003536</v>
      </c>
      <c r="G148" s="989">
        <f>F148/F259</f>
        <v>3.030228154587835E-3</v>
      </c>
      <c r="H148" s="1139"/>
      <c r="I148" s="1009" t="s">
        <v>3380</v>
      </c>
      <c r="J148" s="985" t="s">
        <v>3395</v>
      </c>
      <c r="K148" s="985" t="s">
        <v>3393</v>
      </c>
      <c r="L148" s="806" t="s">
        <v>3318</v>
      </c>
      <c r="M148" s="988"/>
      <c r="N148" s="952"/>
      <c r="O148" s="952"/>
      <c r="P148" s="952"/>
      <c r="Q148" s="952"/>
      <c r="R148" s="952"/>
      <c r="S148" s="952"/>
      <c r="T148" s="952"/>
      <c r="U148" s="952"/>
      <c r="V148" s="952"/>
      <c r="W148" s="952"/>
      <c r="X148" s="952"/>
      <c r="Y148" s="952"/>
      <c r="Z148" s="952"/>
      <c r="AA148" s="1007"/>
      <c r="AB148" s="952"/>
      <c r="AC148" s="952"/>
      <c r="AD148" s="952"/>
      <c r="AE148" s="952"/>
      <c r="AF148" s="952"/>
      <c r="AG148" s="952"/>
      <c r="AH148" s="952"/>
      <c r="AI148" s="952"/>
      <c r="AJ148" s="952"/>
      <c r="AK148" s="952"/>
      <c r="AL148" s="952"/>
      <c r="AM148" s="952"/>
      <c r="AN148" s="952"/>
      <c r="AO148" s="952"/>
      <c r="AP148" s="952"/>
      <c r="AQ148" s="952"/>
      <c r="AR148" s="952"/>
      <c r="AS148" s="952"/>
      <c r="AT148" s="952"/>
      <c r="AU148" s="952"/>
      <c r="AV148" s="952"/>
      <c r="AW148" s="952"/>
      <c r="AX148" s="952"/>
      <c r="AY148" s="952"/>
      <c r="AZ148" s="952"/>
      <c r="BA148" s="952"/>
      <c r="BB148" s="952"/>
      <c r="BC148" s="952"/>
      <c r="BD148" s="952"/>
      <c r="BE148" s="952"/>
      <c r="BF148" s="952"/>
      <c r="BG148" s="952"/>
      <c r="BH148" s="952"/>
      <c r="BI148" s="952"/>
      <c r="BJ148" s="952"/>
      <c r="BK148" s="952"/>
      <c r="BL148" s="952"/>
      <c r="BM148" s="952"/>
      <c r="BN148" s="952"/>
      <c r="BO148" s="952"/>
      <c r="BP148" s="952"/>
      <c r="BQ148" s="1006">
        <f>F148/CZ148*3</f>
        <v>1003536</v>
      </c>
      <c r="BR148" s="1001"/>
      <c r="BS148" s="1001"/>
      <c r="BT148" s="1001"/>
      <c r="BU148" s="1001"/>
      <c r="BV148" s="1001"/>
      <c r="BW148" s="1001"/>
      <c r="BX148" s="952"/>
      <c r="BY148" s="952"/>
      <c r="BZ148" s="952"/>
      <c r="CA148" s="952"/>
      <c r="CB148" s="952"/>
      <c r="CC148" s="952"/>
      <c r="CD148" s="952"/>
      <c r="CE148" s="952"/>
      <c r="CF148" s="952"/>
      <c r="CG148" s="952"/>
      <c r="CH148" s="952"/>
      <c r="CI148" s="952"/>
      <c r="CJ148" s="952"/>
      <c r="CK148" s="952"/>
      <c r="CL148" s="952"/>
      <c r="CM148" s="952"/>
      <c r="CN148" s="952"/>
      <c r="CO148" s="952"/>
      <c r="CP148" s="952"/>
      <c r="CQ148" s="952"/>
      <c r="CR148" s="952"/>
      <c r="CS148" s="952"/>
      <c r="CT148" s="952"/>
      <c r="CU148" s="952"/>
      <c r="CV148" s="952"/>
      <c r="CW148" s="952"/>
      <c r="CX148" s="952"/>
      <c r="CY148" s="952"/>
      <c r="CZ148" s="953">
        <v>3</v>
      </c>
      <c r="DA148" s="14"/>
      <c r="DB148" s="31"/>
      <c r="DC148" s="34"/>
      <c r="DD148" s="17"/>
      <c r="DE148" s="14"/>
      <c r="DF148" s="31"/>
      <c r="DG148" s="34"/>
      <c r="DH148" s="17"/>
      <c r="DI148" s="14"/>
      <c r="DJ148" s="31"/>
      <c r="DK148" s="34"/>
      <c r="DL148" s="17"/>
      <c r="DM148" s="14"/>
      <c r="DN148" s="31"/>
      <c r="DO148" s="34"/>
      <c r="DP148" s="17"/>
      <c r="DQ148" s="14"/>
      <c r="DR148" s="31"/>
      <c r="DS148" s="34"/>
      <c r="DT148" s="17"/>
      <c r="DU148" s="14"/>
      <c r="DV148" s="31"/>
      <c r="DW148" s="34"/>
      <c r="DX148" s="17"/>
      <c r="DY148" s="14"/>
      <c r="DZ148" s="31"/>
      <c r="EA148" s="34"/>
      <c r="EB148" s="17"/>
      <c r="EC148" s="14"/>
      <c r="ED148" s="31"/>
      <c r="EE148" s="34"/>
      <c r="EF148" s="17"/>
      <c r="EG148" s="14"/>
      <c r="EH148" s="31"/>
      <c r="EI148" s="34"/>
      <c r="EJ148" s="17"/>
      <c r="EK148" s="14"/>
      <c r="EL148" s="31"/>
      <c r="EM148" s="34"/>
      <c r="EN148" s="17"/>
      <c r="EO148" s="14"/>
      <c r="EP148" s="31"/>
      <c r="EQ148" s="34"/>
      <c r="ER148" s="17"/>
      <c r="ES148" s="14"/>
      <c r="ET148" s="31"/>
      <c r="EU148" s="34"/>
      <c r="EV148" s="17"/>
      <c r="EW148" s="14"/>
      <c r="EX148" s="31"/>
      <c r="EY148" s="34"/>
      <c r="EZ148" s="17"/>
      <c r="FA148" s="14"/>
      <c r="FB148" s="31"/>
      <c r="FC148" s="34"/>
      <c r="FD148" s="17"/>
      <c r="FE148" s="14"/>
      <c r="FF148" s="31"/>
      <c r="FG148" s="34"/>
      <c r="FH148" s="17"/>
      <c r="FI148" s="14"/>
      <c r="FJ148" s="31"/>
      <c r="FK148" s="34"/>
      <c r="FL148" s="17"/>
      <c r="FM148" s="14"/>
      <c r="FN148" s="31"/>
      <c r="FO148" s="34"/>
      <c r="FP148" s="17"/>
      <c r="FQ148" s="14"/>
      <c r="FR148" s="31"/>
      <c r="FS148" s="34"/>
      <c r="FT148" s="17"/>
      <c r="FU148" s="14"/>
      <c r="FV148" s="31"/>
      <c r="FW148" s="34"/>
      <c r="FX148" s="17"/>
      <c r="FY148" s="14"/>
      <c r="FZ148" s="31"/>
      <c r="GA148" s="34"/>
      <c r="GB148" s="17"/>
      <c r="GC148" s="14"/>
      <c r="GD148" s="31"/>
      <c r="GE148" s="34"/>
      <c r="GF148" s="17"/>
      <c r="GG148" s="14"/>
      <c r="GH148" s="31"/>
      <c r="GI148" s="34"/>
      <c r="GJ148" s="17"/>
      <c r="GK148" s="14"/>
      <c r="GL148" s="31"/>
      <c r="GM148" s="34"/>
      <c r="GN148" s="17"/>
      <c r="GO148" s="14"/>
      <c r="GP148" s="31"/>
      <c r="GQ148" s="34"/>
      <c r="GR148" s="17"/>
      <c r="GS148" s="14"/>
      <c r="GT148" s="31"/>
      <c r="GU148" s="34"/>
      <c r="GV148" s="17"/>
      <c r="GW148" s="14"/>
      <c r="GX148" s="31"/>
      <c r="GY148" s="34"/>
      <c r="GZ148" s="17"/>
      <c r="HA148" s="14"/>
      <c r="HB148" s="31"/>
      <c r="HC148" s="34"/>
      <c r="HD148" s="17"/>
      <c r="HE148" s="14"/>
      <c r="HF148" s="31"/>
      <c r="HG148" s="34"/>
      <c r="HH148" s="17"/>
      <c r="HI148" s="14"/>
      <c r="HJ148" s="31"/>
      <c r="HK148" s="34"/>
      <c r="HL148" s="17"/>
      <c r="HM148" s="14"/>
      <c r="HN148" s="31"/>
      <c r="HO148" s="34"/>
      <c r="HP148" s="17"/>
      <c r="HQ148" s="14"/>
      <c r="HR148" s="31"/>
      <c r="HS148" s="34"/>
      <c r="HT148" s="17"/>
      <c r="HU148" s="14"/>
      <c r="HV148" s="31"/>
      <c r="HW148" s="34"/>
      <c r="HX148" s="17"/>
      <c r="HY148" s="14"/>
      <c r="HZ148" s="31"/>
      <c r="IA148" s="34"/>
      <c r="IB148" s="17"/>
      <c r="IC148" s="14"/>
      <c r="ID148" s="31"/>
      <c r="IE148" s="34"/>
      <c r="IF148" s="17"/>
      <c r="IG148" s="14"/>
      <c r="IH148" s="31"/>
      <c r="II148" s="34"/>
      <c r="IJ148" s="17"/>
      <c r="IK148" s="14"/>
      <c r="IL148" s="31"/>
      <c r="IM148" s="34"/>
      <c r="IN148" s="17"/>
      <c r="IO148" s="14"/>
      <c r="IP148" s="31"/>
      <c r="IQ148" s="34"/>
      <c r="IR148" s="17"/>
      <c r="IS148" s="14"/>
      <c r="IT148" s="31"/>
      <c r="IU148" s="34"/>
      <c r="IV148" s="17"/>
      <c r="IW148" s="14"/>
      <c r="IX148" s="31"/>
      <c r="IY148" s="34"/>
    </row>
    <row r="149" spans="1:259" ht="18" customHeight="1">
      <c r="A149" s="938"/>
      <c r="B149" s="940"/>
      <c r="C149" s="1008"/>
      <c r="D149" s="942"/>
      <c r="E149" s="944"/>
      <c r="F149" s="946"/>
      <c r="G149" s="989"/>
      <c r="H149" s="1139"/>
      <c r="I149" s="1010"/>
      <c r="J149" s="986"/>
      <c r="K149" s="986"/>
      <c r="L149" s="807" t="s">
        <v>3319</v>
      </c>
      <c r="M149" s="811">
        <v>1</v>
      </c>
      <c r="N149" s="810">
        <v>2</v>
      </c>
      <c r="O149" s="810">
        <v>3</v>
      </c>
      <c r="P149" s="810">
        <v>4</v>
      </c>
      <c r="Q149" s="810">
        <v>5</v>
      </c>
      <c r="R149" s="810">
        <v>6</v>
      </c>
      <c r="S149" s="810">
        <v>7</v>
      </c>
      <c r="T149" s="810">
        <v>1</v>
      </c>
      <c r="U149" s="810">
        <v>2</v>
      </c>
      <c r="V149" s="810">
        <v>3</v>
      </c>
      <c r="W149" s="810">
        <v>4</v>
      </c>
      <c r="X149" s="810">
        <v>5</v>
      </c>
      <c r="Y149" s="810">
        <v>6</v>
      </c>
      <c r="Z149" s="810">
        <v>7</v>
      </c>
      <c r="AA149" s="810">
        <v>1</v>
      </c>
      <c r="AB149" s="810">
        <v>2</v>
      </c>
      <c r="AC149" s="810">
        <v>3</v>
      </c>
      <c r="AD149" s="810">
        <v>4</v>
      </c>
      <c r="AE149" s="810">
        <v>5</v>
      </c>
      <c r="AF149" s="810">
        <v>6</v>
      </c>
      <c r="AG149" s="810">
        <v>7</v>
      </c>
      <c r="AH149" s="810">
        <v>1</v>
      </c>
      <c r="AI149" s="810">
        <v>2</v>
      </c>
      <c r="AJ149" s="810">
        <v>3</v>
      </c>
      <c r="AK149" s="810">
        <v>4</v>
      </c>
      <c r="AL149" s="810">
        <v>5</v>
      </c>
      <c r="AM149" s="810">
        <v>6</v>
      </c>
      <c r="AN149" s="810">
        <v>7</v>
      </c>
      <c r="AO149" s="810">
        <v>1</v>
      </c>
      <c r="AP149" s="810">
        <v>2</v>
      </c>
      <c r="AQ149" s="810">
        <v>3</v>
      </c>
      <c r="AR149" s="810">
        <v>4</v>
      </c>
      <c r="AS149" s="810">
        <v>5</v>
      </c>
      <c r="AT149" s="810">
        <v>6</v>
      </c>
      <c r="AU149" s="810">
        <v>7</v>
      </c>
      <c r="AV149" s="810">
        <v>1</v>
      </c>
      <c r="AW149" s="810">
        <v>2</v>
      </c>
      <c r="AX149" s="810">
        <v>3</v>
      </c>
      <c r="AY149" s="810">
        <v>4</v>
      </c>
      <c r="AZ149" s="810">
        <v>5</v>
      </c>
      <c r="BA149" s="810">
        <v>6</v>
      </c>
      <c r="BB149" s="810">
        <v>7</v>
      </c>
      <c r="BC149" s="810">
        <v>1</v>
      </c>
      <c r="BD149" s="810">
        <v>2</v>
      </c>
      <c r="BE149" s="810">
        <v>3</v>
      </c>
      <c r="BF149" s="810">
        <v>4</v>
      </c>
      <c r="BG149" s="810">
        <v>5</v>
      </c>
      <c r="BH149" s="810">
        <v>6</v>
      </c>
      <c r="BI149" s="810">
        <v>7</v>
      </c>
      <c r="BJ149" s="810">
        <v>1</v>
      </c>
      <c r="BK149" s="810">
        <v>2</v>
      </c>
      <c r="BL149" s="810">
        <v>3</v>
      </c>
      <c r="BM149" s="810">
        <v>4</v>
      </c>
      <c r="BN149" s="810">
        <v>5</v>
      </c>
      <c r="BO149" s="810">
        <v>6</v>
      </c>
      <c r="BP149" s="810">
        <v>7</v>
      </c>
      <c r="BQ149" s="810">
        <v>1</v>
      </c>
      <c r="BR149" s="810">
        <v>2</v>
      </c>
      <c r="BS149" s="810">
        <v>3</v>
      </c>
      <c r="BT149" s="810">
        <v>4</v>
      </c>
      <c r="BU149" s="812">
        <v>5</v>
      </c>
      <c r="BV149" s="812">
        <v>6</v>
      </c>
      <c r="BW149" s="812">
        <v>7</v>
      </c>
      <c r="BX149" s="810">
        <v>1</v>
      </c>
      <c r="BY149" s="810">
        <v>2</v>
      </c>
      <c r="BZ149" s="810">
        <v>3</v>
      </c>
      <c r="CA149" s="810">
        <v>4</v>
      </c>
      <c r="CB149" s="810">
        <v>5</v>
      </c>
      <c r="CC149" s="810">
        <v>6</v>
      </c>
      <c r="CD149" s="810">
        <v>7</v>
      </c>
      <c r="CE149" s="810">
        <v>1</v>
      </c>
      <c r="CF149" s="810">
        <v>2</v>
      </c>
      <c r="CG149" s="810">
        <v>3</v>
      </c>
      <c r="CH149" s="810">
        <v>4</v>
      </c>
      <c r="CI149" s="810">
        <v>5</v>
      </c>
      <c r="CJ149" s="810">
        <v>6</v>
      </c>
      <c r="CK149" s="810">
        <v>7</v>
      </c>
      <c r="CL149" s="810">
        <v>1</v>
      </c>
      <c r="CM149" s="810">
        <v>2</v>
      </c>
      <c r="CN149" s="810">
        <v>3</v>
      </c>
      <c r="CO149" s="810">
        <v>4</v>
      </c>
      <c r="CP149" s="810">
        <v>5</v>
      </c>
      <c r="CQ149" s="810">
        <v>6</v>
      </c>
      <c r="CR149" s="810">
        <v>7</v>
      </c>
      <c r="CS149" s="810">
        <v>1</v>
      </c>
      <c r="CT149" s="810">
        <v>2</v>
      </c>
      <c r="CU149" s="810">
        <v>3</v>
      </c>
      <c r="CV149" s="810">
        <v>4</v>
      </c>
      <c r="CW149" s="810">
        <v>5</v>
      </c>
      <c r="CX149" s="781">
        <v>6</v>
      </c>
      <c r="CY149" s="781">
        <v>7</v>
      </c>
      <c r="CZ149" s="954"/>
      <c r="DA149" s="14"/>
      <c r="DB149" s="748"/>
      <c r="DC149" s="34"/>
      <c r="DD149" s="17"/>
      <c r="DE149" s="14"/>
      <c r="DF149" s="748"/>
      <c r="DG149" s="34"/>
      <c r="DH149" s="17"/>
      <c r="DI149" s="14"/>
      <c r="DJ149" s="748"/>
      <c r="DK149" s="34"/>
      <c r="DL149" s="17"/>
      <c r="DM149" s="14"/>
      <c r="DN149" s="748"/>
      <c r="DO149" s="34"/>
      <c r="DP149" s="17"/>
      <c r="DQ149" s="14"/>
      <c r="DR149" s="748"/>
      <c r="DS149" s="34"/>
      <c r="DT149" s="17"/>
      <c r="DU149" s="14"/>
      <c r="DV149" s="748"/>
      <c r="DW149" s="34"/>
      <c r="DX149" s="17"/>
      <c r="DY149" s="14"/>
      <c r="DZ149" s="748"/>
      <c r="EA149" s="34"/>
      <c r="EB149" s="17"/>
      <c r="EC149" s="14"/>
      <c r="ED149" s="748"/>
      <c r="EE149" s="34"/>
      <c r="EF149" s="17"/>
      <c r="EG149" s="14"/>
      <c r="EH149" s="748"/>
      <c r="EI149" s="34"/>
      <c r="EJ149" s="17"/>
      <c r="EK149" s="14"/>
      <c r="EL149" s="748"/>
      <c r="EM149" s="34"/>
      <c r="EN149" s="17"/>
      <c r="EO149" s="14"/>
      <c r="EP149" s="748"/>
      <c r="EQ149" s="34"/>
      <c r="ER149" s="17"/>
      <c r="ES149" s="14"/>
      <c r="ET149" s="748"/>
      <c r="EU149" s="34"/>
      <c r="EV149" s="17"/>
      <c r="EW149" s="14"/>
      <c r="EX149" s="748"/>
      <c r="EY149" s="34"/>
      <c r="EZ149" s="17"/>
      <c r="FA149" s="14"/>
      <c r="FB149" s="748"/>
      <c r="FC149" s="34"/>
      <c r="FD149" s="17"/>
      <c r="FE149" s="14"/>
      <c r="FF149" s="748"/>
      <c r="FG149" s="34"/>
      <c r="FH149" s="17"/>
      <c r="FI149" s="14"/>
      <c r="FJ149" s="748"/>
      <c r="FK149" s="34"/>
      <c r="FL149" s="17"/>
      <c r="FM149" s="14"/>
      <c r="FN149" s="748"/>
      <c r="FO149" s="34"/>
      <c r="FP149" s="17"/>
      <c r="FQ149" s="14"/>
      <c r="FR149" s="748"/>
      <c r="FS149" s="34"/>
      <c r="FT149" s="17"/>
      <c r="FU149" s="14"/>
      <c r="FV149" s="748"/>
      <c r="FW149" s="34"/>
      <c r="FX149" s="17"/>
      <c r="FY149" s="14"/>
      <c r="FZ149" s="748"/>
      <c r="GA149" s="34"/>
      <c r="GB149" s="17"/>
      <c r="GC149" s="14"/>
      <c r="GD149" s="748"/>
      <c r="GE149" s="34"/>
      <c r="GF149" s="17"/>
      <c r="GG149" s="14"/>
      <c r="GH149" s="748"/>
      <c r="GI149" s="34"/>
      <c r="GJ149" s="17"/>
      <c r="GK149" s="14"/>
      <c r="GL149" s="748"/>
      <c r="GM149" s="34"/>
      <c r="GN149" s="17"/>
      <c r="GO149" s="14"/>
      <c r="GP149" s="748"/>
      <c r="GQ149" s="34"/>
      <c r="GR149" s="17"/>
      <c r="GS149" s="14"/>
      <c r="GT149" s="748"/>
      <c r="GU149" s="34"/>
      <c r="GV149" s="17"/>
      <c r="GW149" s="14"/>
      <c r="GX149" s="748"/>
      <c r="GY149" s="34"/>
      <c r="GZ149" s="17"/>
      <c r="HA149" s="14"/>
      <c r="HB149" s="748"/>
      <c r="HC149" s="34"/>
      <c r="HD149" s="17"/>
      <c r="HE149" s="14"/>
      <c r="HF149" s="748"/>
      <c r="HG149" s="34"/>
      <c r="HH149" s="17"/>
      <c r="HI149" s="14"/>
      <c r="HJ149" s="748"/>
      <c r="HK149" s="34"/>
      <c r="HL149" s="17"/>
      <c r="HM149" s="14"/>
      <c r="HN149" s="748"/>
      <c r="HO149" s="34"/>
      <c r="HP149" s="17"/>
      <c r="HQ149" s="14"/>
      <c r="HR149" s="748"/>
      <c r="HS149" s="34"/>
      <c r="HT149" s="17"/>
      <c r="HU149" s="14"/>
      <c r="HV149" s="748"/>
      <c r="HW149" s="34"/>
      <c r="HX149" s="17"/>
      <c r="HY149" s="14"/>
      <c r="HZ149" s="748"/>
      <c r="IA149" s="34"/>
      <c r="IB149" s="17"/>
      <c r="IC149" s="14"/>
      <c r="ID149" s="748"/>
      <c r="IE149" s="34"/>
      <c r="IF149" s="17"/>
      <c r="IG149" s="14"/>
      <c r="IH149" s="748"/>
      <c r="II149" s="34"/>
      <c r="IJ149" s="17"/>
      <c r="IK149" s="14"/>
      <c r="IL149" s="748"/>
      <c r="IM149" s="34"/>
      <c r="IN149" s="17"/>
      <c r="IO149" s="14"/>
      <c r="IP149" s="748"/>
      <c r="IQ149" s="34"/>
      <c r="IR149" s="17"/>
      <c r="IS149" s="14"/>
      <c r="IT149" s="748"/>
      <c r="IU149" s="34"/>
      <c r="IV149" s="17"/>
      <c r="IW149" s="14"/>
      <c r="IX149" s="748"/>
      <c r="IY149" s="34"/>
    </row>
    <row r="150" spans="1:259" ht="16.5" customHeight="1" thickBot="1">
      <c r="A150" s="939"/>
      <c r="B150" s="941"/>
      <c r="C150" s="1112"/>
      <c r="D150" s="943"/>
      <c r="E150" s="945"/>
      <c r="F150" s="947"/>
      <c r="G150" s="1002"/>
      <c r="H150" s="1139"/>
      <c r="I150" s="1011"/>
      <c r="J150" s="987"/>
      <c r="K150" s="987"/>
      <c r="L150" s="808" t="s">
        <v>3320</v>
      </c>
      <c r="M150" s="955"/>
      <c r="N150" s="956"/>
      <c r="O150" s="956"/>
      <c r="P150" s="956"/>
      <c r="Q150" s="956"/>
      <c r="R150" s="956"/>
      <c r="S150" s="956"/>
      <c r="T150" s="956"/>
      <c r="U150" s="956"/>
      <c r="V150" s="956"/>
      <c r="W150" s="956"/>
      <c r="X150" s="956"/>
      <c r="Y150" s="956"/>
      <c r="Z150" s="956"/>
      <c r="AA150" s="956"/>
      <c r="AB150" s="956"/>
      <c r="AC150" s="956"/>
      <c r="AD150" s="956"/>
      <c r="AE150" s="956"/>
      <c r="AF150" s="956"/>
      <c r="AG150" s="956"/>
      <c r="AH150" s="956"/>
      <c r="AI150" s="956"/>
      <c r="AJ150" s="956"/>
      <c r="AK150" s="956"/>
      <c r="AL150" s="956"/>
      <c r="AM150" s="956"/>
      <c r="AN150" s="956"/>
      <c r="AO150" s="956"/>
      <c r="AP150" s="956"/>
      <c r="AQ150" s="956"/>
      <c r="AR150" s="956"/>
      <c r="AS150" s="956"/>
      <c r="AT150" s="956"/>
      <c r="AU150" s="956"/>
      <c r="AV150" s="956"/>
      <c r="AW150" s="956"/>
      <c r="AX150" s="956"/>
      <c r="AY150" s="956"/>
      <c r="AZ150" s="956"/>
      <c r="BA150" s="956"/>
      <c r="BB150" s="956"/>
      <c r="BC150" s="956"/>
      <c r="BD150" s="956"/>
      <c r="BE150" s="956"/>
      <c r="BF150" s="956"/>
      <c r="BG150" s="956"/>
      <c r="BH150" s="956"/>
      <c r="BI150" s="956"/>
      <c r="BJ150" s="956"/>
      <c r="BK150" s="956"/>
      <c r="BL150" s="956"/>
      <c r="BM150" s="956"/>
      <c r="BN150" s="956"/>
      <c r="BO150" s="956"/>
      <c r="BP150" s="956"/>
      <c r="BQ150" s="956"/>
      <c r="BR150" s="956"/>
      <c r="BS150" s="956"/>
      <c r="BT150" s="956"/>
      <c r="BU150" s="956">
        <f>BQ148+BX148+CE148+CL148+CS148</f>
        <v>1003536</v>
      </c>
      <c r="BV150" s="956"/>
      <c r="BW150" s="956"/>
      <c r="BX150" s="956"/>
      <c r="BY150" s="956"/>
      <c r="BZ150" s="956"/>
      <c r="CA150" s="956"/>
      <c r="CB150" s="956"/>
      <c r="CC150" s="956"/>
      <c r="CD150" s="956"/>
      <c r="CE150" s="956"/>
      <c r="CF150" s="956"/>
      <c r="CG150" s="956"/>
      <c r="CH150" s="956"/>
      <c r="CI150" s="956"/>
      <c r="CJ150" s="956"/>
      <c r="CK150" s="956"/>
      <c r="CL150" s="956"/>
      <c r="CM150" s="956"/>
      <c r="CN150" s="956"/>
      <c r="CO150" s="956"/>
      <c r="CP150" s="956"/>
      <c r="CQ150" s="956"/>
      <c r="CR150" s="956"/>
      <c r="CS150" s="956"/>
      <c r="CT150" s="956"/>
      <c r="CU150" s="956"/>
      <c r="CV150" s="956"/>
      <c r="CW150" s="956"/>
      <c r="CX150" s="956"/>
      <c r="CY150" s="956"/>
      <c r="CZ150" s="954"/>
      <c r="DA150" s="14"/>
      <c r="DB150" s="748"/>
      <c r="DC150" s="34"/>
      <c r="DD150" s="17"/>
      <c r="DE150" s="14"/>
      <c r="DF150" s="748"/>
      <c r="DG150" s="34"/>
      <c r="DH150" s="17"/>
      <c r="DI150" s="14"/>
      <c r="DJ150" s="748"/>
      <c r="DK150" s="34"/>
      <c r="DL150" s="17"/>
      <c r="DM150" s="14"/>
      <c r="DN150" s="748"/>
      <c r="DO150" s="34"/>
      <c r="DP150" s="17"/>
      <c r="DQ150" s="14"/>
      <c r="DR150" s="748"/>
      <c r="DS150" s="34"/>
      <c r="DT150" s="17"/>
      <c r="DU150" s="14"/>
      <c r="DV150" s="748"/>
      <c r="DW150" s="34"/>
      <c r="DX150" s="17"/>
      <c r="DY150" s="14"/>
      <c r="DZ150" s="748"/>
      <c r="EA150" s="34"/>
      <c r="EB150" s="17"/>
      <c r="EC150" s="14"/>
      <c r="ED150" s="748"/>
      <c r="EE150" s="34"/>
      <c r="EF150" s="17"/>
      <c r="EG150" s="14"/>
      <c r="EH150" s="748"/>
      <c r="EI150" s="34"/>
      <c r="EJ150" s="17"/>
      <c r="EK150" s="14"/>
      <c r="EL150" s="748"/>
      <c r="EM150" s="34"/>
      <c r="EN150" s="17"/>
      <c r="EO150" s="14"/>
      <c r="EP150" s="748"/>
      <c r="EQ150" s="34"/>
      <c r="ER150" s="17"/>
      <c r="ES150" s="14"/>
      <c r="ET150" s="748"/>
      <c r="EU150" s="34"/>
      <c r="EV150" s="17"/>
      <c r="EW150" s="14"/>
      <c r="EX150" s="748"/>
      <c r="EY150" s="34"/>
      <c r="EZ150" s="17"/>
      <c r="FA150" s="14"/>
      <c r="FB150" s="748"/>
      <c r="FC150" s="34"/>
      <c r="FD150" s="17"/>
      <c r="FE150" s="14"/>
      <c r="FF150" s="748"/>
      <c r="FG150" s="34"/>
      <c r="FH150" s="17"/>
      <c r="FI150" s="14"/>
      <c r="FJ150" s="748"/>
      <c r="FK150" s="34"/>
      <c r="FL150" s="17"/>
      <c r="FM150" s="14"/>
      <c r="FN150" s="748"/>
      <c r="FO150" s="34"/>
      <c r="FP150" s="17"/>
      <c r="FQ150" s="14"/>
      <c r="FR150" s="748"/>
      <c r="FS150" s="34"/>
      <c r="FT150" s="17"/>
      <c r="FU150" s="14"/>
      <c r="FV150" s="748"/>
      <c r="FW150" s="34"/>
      <c r="FX150" s="17"/>
      <c r="FY150" s="14"/>
      <c r="FZ150" s="748"/>
      <c r="GA150" s="34"/>
      <c r="GB150" s="17"/>
      <c r="GC150" s="14"/>
      <c r="GD150" s="748"/>
      <c r="GE150" s="34"/>
      <c r="GF150" s="17"/>
      <c r="GG150" s="14"/>
      <c r="GH150" s="748"/>
      <c r="GI150" s="34"/>
      <c r="GJ150" s="17"/>
      <c r="GK150" s="14"/>
      <c r="GL150" s="748"/>
      <c r="GM150" s="34"/>
      <c r="GN150" s="17"/>
      <c r="GO150" s="14"/>
      <c r="GP150" s="748"/>
      <c r="GQ150" s="34"/>
      <c r="GR150" s="17"/>
      <c r="GS150" s="14"/>
      <c r="GT150" s="748"/>
      <c r="GU150" s="34"/>
      <c r="GV150" s="17"/>
      <c r="GW150" s="14"/>
      <c r="GX150" s="748"/>
      <c r="GY150" s="34"/>
      <c r="GZ150" s="17"/>
      <c r="HA150" s="14"/>
      <c r="HB150" s="748"/>
      <c r="HC150" s="34"/>
      <c r="HD150" s="17"/>
      <c r="HE150" s="14"/>
      <c r="HF150" s="748"/>
      <c r="HG150" s="34"/>
      <c r="HH150" s="17"/>
      <c r="HI150" s="14"/>
      <c r="HJ150" s="748"/>
      <c r="HK150" s="34"/>
      <c r="HL150" s="17"/>
      <c r="HM150" s="14"/>
      <c r="HN150" s="748"/>
      <c r="HO150" s="34"/>
      <c r="HP150" s="17"/>
      <c r="HQ150" s="14"/>
      <c r="HR150" s="748"/>
      <c r="HS150" s="34"/>
      <c r="HT150" s="17"/>
      <c r="HU150" s="14"/>
      <c r="HV150" s="748"/>
      <c r="HW150" s="34"/>
      <c r="HX150" s="17"/>
      <c r="HY150" s="14"/>
      <c r="HZ150" s="748"/>
      <c r="IA150" s="34"/>
      <c r="IB150" s="17"/>
      <c r="IC150" s="14"/>
      <c r="ID150" s="748"/>
      <c r="IE150" s="34"/>
      <c r="IF150" s="17"/>
      <c r="IG150" s="14"/>
      <c r="IH150" s="748"/>
      <c r="II150" s="34"/>
      <c r="IJ150" s="17"/>
      <c r="IK150" s="14"/>
      <c r="IL150" s="748"/>
      <c r="IM150" s="34"/>
      <c r="IN150" s="17"/>
      <c r="IO150" s="14"/>
      <c r="IP150" s="748"/>
      <c r="IQ150" s="34"/>
      <c r="IR150" s="17"/>
      <c r="IS150" s="14"/>
      <c r="IT150" s="748"/>
      <c r="IU150" s="34"/>
      <c r="IV150" s="17"/>
      <c r="IW150" s="14"/>
      <c r="IX150" s="748"/>
      <c r="IY150" s="34"/>
    </row>
    <row r="151" spans="1:259" ht="19.899999999999999" customHeight="1">
      <c r="A151" s="724"/>
      <c r="B151" s="928"/>
      <c r="C151" s="714"/>
      <c r="D151" s="759"/>
      <c r="E151" s="770" t="s">
        <v>3245</v>
      </c>
      <c r="F151" s="768">
        <f>SUM(F130:F150)</f>
        <v>11519663.1</v>
      </c>
      <c r="G151" s="777">
        <f>F151/F259</f>
        <v>3.4784210488698543E-2</v>
      </c>
      <c r="H151" s="1139"/>
      <c r="I151" s="995" t="s">
        <v>3336</v>
      </c>
      <c r="J151" s="995"/>
      <c r="K151" s="995"/>
      <c r="L151" s="995"/>
      <c r="M151" s="996">
        <f>M150+M147+M144+M141+M138+M135+M132</f>
        <v>0</v>
      </c>
      <c r="N151" s="996"/>
      <c r="O151" s="996"/>
      <c r="P151" s="996"/>
      <c r="Q151" s="996"/>
      <c r="R151" s="996"/>
      <c r="S151" s="996"/>
      <c r="T151" s="996"/>
      <c r="U151" s="996"/>
      <c r="V151" s="996"/>
      <c r="W151" s="996"/>
      <c r="X151" s="996"/>
      <c r="Y151" s="996"/>
      <c r="Z151" s="996"/>
      <c r="AA151" s="996"/>
      <c r="AB151" s="996"/>
      <c r="AC151" s="996"/>
      <c r="AD151" s="996"/>
      <c r="AE151" s="996"/>
      <c r="AF151" s="996"/>
      <c r="AG151" s="996"/>
      <c r="AH151" s="996"/>
      <c r="AI151" s="996"/>
      <c r="AJ151" s="996"/>
      <c r="AK151" s="996"/>
      <c r="AL151" s="996"/>
      <c r="AM151" s="996"/>
      <c r="AN151" s="996"/>
      <c r="AO151" s="996"/>
      <c r="AP151" s="997"/>
      <c r="AQ151" s="1020">
        <f>AQ150+AQ147+AQ144+AQ141+AQ138+AQ135+AQ132</f>
        <v>4967655.8880000003</v>
      </c>
      <c r="AR151" s="996"/>
      <c r="AS151" s="996"/>
      <c r="AT151" s="996"/>
      <c r="AU151" s="996"/>
      <c r="AV151" s="996"/>
      <c r="AW151" s="996"/>
      <c r="AX151" s="996"/>
      <c r="AY151" s="996"/>
      <c r="AZ151" s="996"/>
      <c r="BA151" s="996"/>
      <c r="BB151" s="996"/>
      <c r="BC151" s="996"/>
      <c r="BD151" s="996"/>
      <c r="BE151" s="996"/>
      <c r="BF151" s="996"/>
      <c r="BG151" s="996"/>
      <c r="BH151" s="996"/>
      <c r="BI151" s="996"/>
      <c r="BJ151" s="996"/>
      <c r="BK151" s="996"/>
      <c r="BL151" s="996"/>
      <c r="BM151" s="996"/>
      <c r="BN151" s="996"/>
      <c r="BO151" s="996"/>
      <c r="BP151" s="996"/>
      <c r="BQ151" s="996"/>
      <c r="BR151" s="996"/>
      <c r="BS151" s="996"/>
      <c r="BT151" s="997"/>
      <c r="BU151" s="998">
        <f>BU150+BU147+BU144+BU141+BU138+BU135+BU132</f>
        <v>6552007.2120000003</v>
      </c>
      <c r="BV151" s="998"/>
      <c r="BW151" s="998"/>
      <c r="BX151" s="998"/>
      <c r="BY151" s="998"/>
      <c r="BZ151" s="998"/>
      <c r="CA151" s="998"/>
      <c r="CB151" s="998"/>
      <c r="CC151" s="998"/>
      <c r="CD151" s="998"/>
      <c r="CE151" s="998"/>
      <c r="CF151" s="998"/>
      <c r="CG151" s="998"/>
      <c r="CH151" s="998"/>
      <c r="CI151" s="998"/>
      <c r="CJ151" s="998"/>
      <c r="CK151" s="998"/>
      <c r="CL151" s="998"/>
      <c r="CM151" s="998"/>
      <c r="CN151" s="998"/>
      <c r="CO151" s="998"/>
      <c r="CP151" s="998"/>
      <c r="CQ151" s="998"/>
      <c r="CR151" s="998"/>
      <c r="CS151" s="998"/>
      <c r="CT151" s="998"/>
      <c r="CU151" s="998"/>
      <c r="CV151" s="998"/>
      <c r="CW151" s="998"/>
      <c r="CX151" s="998"/>
      <c r="CY151" s="998"/>
      <c r="CZ151" s="713">
        <f>SUM(CZ130:CZ150)</f>
        <v>29</v>
      </c>
    </row>
    <row r="152" spans="1:259" ht="19.899999999999999" customHeight="1">
      <c r="A152" s="724"/>
      <c r="B152" s="928"/>
      <c r="C152" s="714"/>
      <c r="D152" s="759"/>
      <c r="E152" s="757"/>
      <c r="F152" s="716"/>
      <c r="H152" s="1139"/>
      <c r="I152" s="991" t="s">
        <v>3325</v>
      </c>
      <c r="J152" s="991"/>
      <c r="K152" s="991"/>
      <c r="L152" s="991"/>
      <c r="M152" s="992">
        <f>M151+AQ151+BU151</f>
        <v>11519663.100000001</v>
      </c>
      <c r="N152" s="993"/>
      <c r="O152" s="993"/>
      <c r="P152" s="993"/>
      <c r="Q152" s="993"/>
      <c r="R152" s="993"/>
      <c r="S152" s="993"/>
      <c r="T152" s="993"/>
      <c r="U152" s="993"/>
      <c r="V152" s="993"/>
      <c r="W152" s="993"/>
      <c r="X152" s="993"/>
      <c r="Y152" s="993"/>
      <c r="Z152" s="993"/>
      <c r="AA152" s="993"/>
      <c r="AB152" s="993"/>
      <c r="AC152" s="993"/>
      <c r="AD152" s="993"/>
      <c r="AE152" s="993"/>
      <c r="AF152" s="993"/>
      <c r="AG152" s="993"/>
      <c r="AH152" s="993"/>
      <c r="AI152" s="993"/>
      <c r="AJ152" s="993"/>
      <c r="AK152" s="993"/>
      <c r="AL152" s="993"/>
      <c r="AM152" s="993"/>
      <c r="AN152" s="993"/>
      <c r="AO152" s="993"/>
      <c r="AP152" s="993"/>
      <c r="AQ152" s="993"/>
      <c r="AR152" s="993"/>
      <c r="AS152" s="993"/>
      <c r="AT152" s="993"/>
      <c r="AU152" s="993"/>
      <c r="AV152" s="993"/>
      <c r="AW152" s="993"/>
      <c r="AX152" s="993"/>
      <c r="AY152" s="993"/>
      <c r="AZ152" s="993"/>
      <c r="BA152" s="993"/>
      <c r="BB152" s="993"/>
      <c r="BC152" s="993"/>
      <c r="BD152" s="993"/>
      <c r="BE152" s="993"/>
      <c r="BF152" s="993"/>
      <c r="BG152" s="993"/>
      <c r="BH152" s="993"/>
      <c r="BI152" s="993"/>
      <c r="BJ152" s="993"/>
      <c r="BK152" s="993"/>
      <c r="BL152" s="993"/>
      <c r="BM152" s="993"/>
      <c r="BN152" s="993"/>
      <c r="BO152" s="993"/>
      <c r="BP152" s="993"/>
      <c r="BQ152" s="993"/>
      <c r="BR152" s="993"/>
      <c r="BS152" s="993"/>
      <c r="BT152" s="993"/>
      <c r="BU152" s="993"/>
      <c r="BV152" s="993"/>
      <c r="BW152" s="993"/>
      <c r="BX152" s="993"/>
      <c r="BY152" s="993"/>
      <c r="BZ152" s="993"/>
      <c r="CA152" s="993"/>
      <c r="CB152" s="993"/>
      <c r="CC152" s="993"/>
      <c r="CD152" s="993"/>
      <c r="CE152" s="993"/>
      <c r="CF152" s="993"/>
      <c r="CG152" s="993"/>
      <c r="CH152" s="993"/>
      <c r="CI152" s="993"/>
      <c r="CJ152" s="993"/>
      <c r="CK152" s="993"/>
      <c r="CL152" s="993"/>
      <c r="CM152" s="993"/>
      <c r="CN152" s="993"/>
      <c r="CO152" s="993"/>
      <c r="CP152" s="993"/>
      <c r="CQ152" s="993"/>
      <c r="CR152" s="993"/>
      <c r="CS152" s="993"/>
      <c r="CT152" s="993"/>
      <c r="CU152" s="993"/>
      <c r="CV152" s="993"/>
      <c r="CW152" s="993"/>
      <c r="CX152" s="993"/>
      <c r="CY152" s="993"/>
      <c r="CZ152" s="792"/>
    </row>
    <row r="153" spans="1:259" ht="19.899999999999999" customHeight="1" thickBot="1">
      <c r="A153" s="764" t="str">
        <f>EDIFICACION!A392</f>
        <v>IX</v>
      </c>
      <c r="B153" s="1051" t="str">
        <f>EDIFICACION!B392</f>
        <v>INSTALACIONES HIDRAULICAS</v>
      </c>
      <c r="C153" s="1052"/>
      <c r="D153" s="1052"/>
      <c r="E153" s="1052"/>
      <c r="F153" s="1052"/>
      <c r="G153" s="1052"/>
      <c r="H153" s="1139"/>
      <c r="I153" s="994"/>
      <c r="J153" s="994"/>
      <c r="K153" s="994"/>
      <c r="L153" s="994"/>
      <c r="M153" s="994"/>
      <c r="N153" s="994"/>
      <c r="O153" s="994"/>
      <c r="P153" s="994"/>
      <c r="Q153" s="994"/>
      <c r="R153" s="994"/>
      <c r="S153" s="994"/>
      <c r="T153" s="994"/>
      <c r="U153" s="994"/>
      <c r="V153" s="994"/>
      <c r="W153" s="994"/>
      <c r="X153" s="994"/>
      <c r="Y153" s="994"/>
      <c r="Z153" s="994"/>
      <c r="AA153" s="994"/>
      <c r="AB153" s="994"/>
      <c r="AC153" s="994"/>
      <c r="AD153" s="994"/>
      <c r="AE153" s="994"/>
      <c r="AF153" s="994"/>
      <c r="AG153" s="994"/>
      <c r="AH153" s="994"/>
      <c r="AI153" s="994"/>
      <c r="AJ153" s="994"/>
      <c r="AK153" s="994"/>
      <c r="AL153" s="994"/>
      <c r="AM153" s="994"/>
      <c r="AN153" s="994"/>
      <c r="AO153" s="994"/>
      <c r="AP153" s="994"/>
      <c r="AQ153" s="994"/>
      <c r="AR153" s="994"/>
      <c r="AS153" s="994"/>
      <c r="AT153" s="994"/>
      <c r="AU153" s="994"/>
      <c r="AV153" s="994"/>
      <c r="AW153" s="994"/>
      <c r="AX153" s="994"/>
      <c r="AY153" s="994"/>
      <c r="AZ153" s="994"/>
      <c r="BA153" s="994"/>
      <c r="BB153" s="994"/>
      <c r="BC153" s="994"/>
      <c r="BD153" s="994"/>
      <c r="BE153" s="994"/>
      <c r="BF153" s="994"/>
      <c r="BG153" s="994"/>
      <c r="BH153" s="994"/>
      <c r="BI153" s="994"/>
      <c r="BJ153" s="994"/>
      <c r="BK153" s="994"/>
      <c r="BL153" s="994"/>
      <c r="BM153" s="994"/>
      <c r="BN153" s="994"/>
      <c r="BO153" s="994"/>
      <c r="BP153" s="994"/>
      <c r="BQ153" s="994"/>
      <c r="BR153" s="994"/>
      <c r="BS153" s="994"/>
      <c r="BT153" s="994"/>
      <c r="BU153" s="994"/>
      <c r="BV153" s="994"/>
      <c r="BW153" s="994"/>
      <c r="BX153" s="994"/>
      <c r="BY153" s="994"/>
      <c r="BZ153" s="994"/>
      <c r="CA153" s="994"/>
      <c r="CB153" s="994"/>
      <c r="CC153" s="994"/>
      <c r="CD153" s="994"/>
      <c r="CE153" s="994"/>
      <c r="CF153" s="994"/>
      <c r="CG153" s="994"/>
      <c r="CH153" s="994"/>
      <c r="CI153" s="994"/>
      <c r="CJ153" s="994"/>
      <c r="CK153" s="994"/>
      <c r="CL153" s="994"/>
      <c r="CM153" s="994"/>
      <c r="CN153" s="994"/>
      <c r="CO153" s="994"/>
      <c r="CP153" s="994"/>
      <c r="CQ153" s="994"/>
      <c r="CR153" s="994"/>
      <c r="CS153" s="994"/>
      <c r="CT153" s="994"/>
      <c r="CU153" s="994"/>
      <c r="CV153" s="994"/>
      <c r="CW153" s="994"/>
      <c r="CX153" s="994"/>
      <c r="CY153" s="994"/>
      <c r="CZ153" s="994"/>
    </row>
    <row r="154" spans="1:259" s="3" customFormat="1" ht="8.1" customHeight="1">
      <c r="A154" s="938">
        <f>EDIFICACION!A393</f>
        <v>9.1</v>
      </c>
      <c r="B154" s="940" t="str">
        <f>EDIFICACION!B393</f>
        <v>PUNTO HIDRAULICO PVC PRESION DE 1/2"</v>
      </c>
      <c r="C154" s="1008" t="str">
        <f>EDIFICACION!C393</f>
        <v>UN</v>
      </c>
      <c r="D154" s="942">
        <f>15*3</f>
        <v>45</v>
      </c>
      <c r="E154" s="944">
        <f>EDIFICACION!F393</f>
        <v>30173</v>
      </c>
      <c r="F154" s="946">
        <f t="shared" si="8"/>
        <v>1357785</v>
      </c>
      <c r="G154" s="989">
        <f>F154/F259</f>
        <v>4.0999010846417506E-3</v>
      </c>
      <c r="H154" s="1139"/>
      <c r="I154" s="1009" t="s">
        <v>3340</v>
      </c>
      <c r="J154" s="985" t="s">
        <v>3362</v>
      </c>
      <c r="K154" s="985" t="s">
        <v>3363</v>
      </c>
      <c r="L154" s="806" t="s">
        <v>3318</v>
      </c>
      <c r="M154" s="988"/>
      <c r="N154" s="952"/>
      <c r="O154" s="952"/>
      <c r="P154" s="952"/>
      <c r="Q154" s="952"/>
      <c r="R154" s="952"/>
      <c r="S154" s="952"/>
      <c r="T154" s="1007"/>
      <c r="U154" s="952"/>
      <c r="V154" s="952"/>
      <c r="W154" s="952"/>
      <c r="X154" s="952"/>
      <c r="Y154" s="952"/>
      <c r="Z154" s="952"/>
      <c r="AA154" s="1007"/>
      <c r="AB154" s="952"/>
      <c r="AC154" s="952"/>
      <c r="AD154" s="952"/>
      <c r="AE154" s="952"/>
      <c r="AF154" s="952"/>
      <c r="AG154" s="952"/>
      <c r="AH154" s="951">
        <f>F154/CZ154*CZ154</f>
        <v>1357785</v>
      </c>
      <c r="AI154" s="951"/>
      <c r="AJ154" s="951"/>
      <c r="AK154" s="951"/>
      <c r="AL154" s="951"/>
      <c r="AM154" s="951"/>
      <c r="AN154" s="951"/>
      <c r="AO154" s="952"/>
      <c r="AP154" s="952"/>
      <c r="AQ154" s="952"/>
      <c r="AR154" s="952"/>
      <c r="AS154" s="952"/>
      <c r="AT154" s="952"/>
      <c r="AU154" s="952"/>
      <c r="AV154" s="952"/>
      <c r="AW154" s="952"/>
      <c r="AX154" s="952"/>
      <c r="AY154" s="952"/>
      <c r="AZ154" s="952"/>
      <c r="BA154" s="952"/>
      <c r="BB154" s="952"/>
      <c r="BC154" s="952"/>
      <c r="BD154" s="952"/>
      <c r="BE154" s="952"/>
      <c r="BF154" s="952"/>
      <c r="BG154" s="952"/>
      <c r="BH154" s="952"/>
      <c r="BI154" s="952"/>
      <c r="BJ154" s="952"/>
      <c r="BK154" s="952"/>
      <c r="BL154" s="952"/>
      <c r="BM154" s="952"/>
      <c r="BN154" s="952"/>
      <c r="BO154" s="952"/>
      <c r="BP154" s="952"/>
      <c r="BQ154" s="952"/>
      <c r="BR154" s="952"/>
      <c r="BS154" s="952"/>
      <c r="BT154" s="952"/>
      <c r="BU154" s="952"/>
      <c r="BV154" s="952"/>
      <c r="BW154" s="952"/>
      <c r="BX154" s="952"/>
      <c r="BY154" s="952"/>
      <c r="BZ154" s="952"/>
      <c r="CA154" s="952"/>
      <c r="CB154" s="952"/>
      <c r="CC154" s="952"/>
      <c r="CD154" s="952"/>
      <c r="CE154" s="952"/>
      <c r="CF154" s="952"/>
      <c r="CG154" s="952"/>
      <c r="CH154" s="952"/>
      <c r="CI154" s="952"/>
      <c r="CJ154" s="952"/>
      <c r="CK154" s="952"/>
      <c r="CL154" s="952"/>
      <c r="CM154" s="952"/>
      <c r="CN154" s="952"/>
      <c r="CO154" s="952"/>
      <c r="CP154" s="952"/>
      <c r="CQ154" s="952"/>
      <c r="CR154" s="952"/>
      <c r="CS154" s="952"/>
      <c r="CT154" s="952"/>
      <c r="CU154" s="952"/>
      <c r="CV154" s="952"/>
      <c r="CW154" s="952"/>
      <c r="CX154" s="952"/>
      <c r="CY154" s="952"/>
      <c r="CZ154" s="953">
        <v>2</v>
      </c>
    </row>
    <row r="155" spans="1:259" s="3" customFormat="1" ht="8.1" customHeight="1">
      <c r="A155" s="938"/>
      <c r="B155" s="940"/>
      <c r="C155" s="1008"/>
      <c r="D155" s="942"/>
      <c r="E155" s="944"/>
      <c r="F155" s="946"/>
      <c r="G155" s="989"/>
      <c r="H155" s="1139"/>
      <c r="I155" s="1010"/>
      <c r="J155" s="986"/>
      <c r="K155" s="986"/>
      <c r="L155" s="807" t="s">
        <v>3319</v>
      </c>
      <c r="M155" s="811">
        <v>1</v>
      </c>
      <c r="N155" s="810">
        <v>2</v>
      </c>
      <c r="O155" s="810">
        <v>3</v>
      </c>
      <c r="P155" s="810">
        <v>4</v>
      </c>
      <c r="Q155" s="810">
        <v>5</v>
      </c>
      <c r="R155" s="810">
        <v>6</v>
      </c>
      <c r="S155" s="810">
        <v>7</v>
      </c>
      <c r="T155" s="810">
        <v>1</v>
      </c>
      <c r="U155" s="810">
        <v>2</v>
      </c>
      <c r="V155" s="810">
        <v>3</v>
      </c>
      <c r="W155" s="810">
        <v>4</v>
      </c>
      <c r="X155" s="810">
        <v>5</v>
      </c>
      <c r="Y155" s="810">
        <v>6</v>
      </c>
      <c r="Z155" s="810">
        <v>7</v>
      </c>
      <c r="AA155" s="810">
        <v>1</v>
      </c>
      <c r="AB155" s="810">
        <v>2</v>
      </c>
      <c r="AC155" s="810">
        <v>3</v>
      </c>
      <c r="AD155" s="810">
        <v>4</v>
      </c>
      <c r="AE155" s="810">
        <v>5</v>
      </c>
      <c r="AF155" s="810">
        <v>6</v>
      </c>
      <c r="AG155" s="810">
        <v>7</v>
      </c>
      <c r="AH155" s="810">
        <v>1</v>
      </c>
      <c r="AI155" s="810">
        <v>2</v>
      </c>
      <c r="AJ155" s="810">
        <v>3</v>
      </c>
      <c r="AK155" s="810">
        <v>4</v>
      </c>
      <c r="AL155" s="812">
        <v>5</v>
      </c>
      <c r="AM155" s="812">
        <v>6</v>
      </c>
      <c r="AN155" s="810">
        <v>7</v>
      </c>
      <c r="AO155" s="810">
        <v>1</v>
      </c>
      <c r="AP155" s="810">
        <v>2</v>
      </c>
      <c r="AQ155" s="810">
        <v>3</v>
      </c>
      <c r="AR155" s="810">
        <v>4</v>
      </c>
      <c r="AS155" s="810">
        <v>5</v>
      </c>
      <c r="AT155" s="810">
        <v>6</v>
      </c>
      <c r="AU155" s="810">
        <v>7</v>
      </c>
      <c r="AV155" s="810">
        <v>1</v>
      </c>
      <c r="AW155" s="810">
        <v>2</v>
      </c>
      <c r="AX155" s="810">
        <v>3</v>
      </c>
      <c r="AY155" s="810">
        <v>4</v>
      </c>
      <c r="AZ155" s="810">
        <v>5</v>
      </c>
      <c r="BA155" s="810">
        <v>6</v>
      </c>
      <c r="BB155" s="810">
        <v>7</v>
      </c>
      <c r="BC155" s="810">
        <v>1</v>
      </c>
      <c r="BD155" s="810">
        <v>2</v>
      </c>
      <c r="BE155" s="810">
        <v>3</v>
      </c>
      <c r="BF155" s="810">
        <v>4</v>
      </c>
      <c r="BG155" s="810">
        <v>5</v>
      </c>
      <c r="BH155" s="810">
        <v>6</v>
      </c>
      <c r="BI155" s="810">
        <v>7</v>
      </c>
      <c r="BJ155" s="810">
        <v>1</v>
      </c>
      <c r="BK155" s="810">
        <v>2</v>
      </c>
      <c r="BL155" s="810">
        <v>3</v>
      </c>
      <c r="BM155" s="810">
        <v>4</v>
      </c>
      <c r="BN155" s="810">
        <v>5</v>
      </c>
      <c r="BO155" s="810">
        <v>6</v>
      </c>
      <c r="BP155" s="810">
        <v>7</v>
      </c>
      <c r="BQ155" s="810">
        <v>1</v>
      </c>
      <c r="BR155" s="810">
        <v>2</v>
      </c>
      <c r="BS155" s="810">
        <v>3</v>
      </c>
      <c r="BT155" s="810">
        <v>4</v>
      </c>
      <c r="BU155" s="810">
        <v>5</v>
      </c>
      <c r="BV155" s="810">
        <v>6</v>
      </c>
      <c r="BW155" s="810">
        <v>7</v>
      </c>
      <c r="BX155" s="810">
        <v>1</v>
      </c>
      <c r="BY155" s="810">
        <v>2</v>
      </c>
      <c r="BZ155" s="810">
        <v>3</v>
      </c>
      <c r="CA155" s="810">
        <v>4</v>
      </c>
      <c r="CB155" s="810">
        <v>5</v>
      </c>
      <c r="CC155" s="810">
        <v>6</v>
      </c>
      <c r="CD155" s="810">
        <v>7</v>
      </c>
      <c r="CE155" s="810">
        <v>1</v>
      </c>
      <c r="CF155" s="810">
        <v>2</v>
      </c>
      <c r="CG155" s="810">
        <v>3</v>
      </c>
      <c r="CH155" s="810">
        <v>4</v>
      </c>
      <c r="CI155" s="810">
        <v>5</v>
      </c>
      <c r="CJ155" s="810">
        <v>6</v>
      </c>
      <c r="CK155" s="810">
        <v>7</v>
      </c>
      <c r="CL155" s="810">
        <v>1</v>
      </c>
      <c r="CM155" s="810">
        <v>2</v>
      </c>
      <c r="CN155" s="810">
        <v>3</v>
      </c>
      <c r="CO155" s="810">
        <v>4</v>
      </c>
      <c r="CP155" s="810">
        <v>5</v>
      </c>
      <c r="CQ155" s="810">
        <v>6</v>
      </c>
      <c r="CR155" s="810">
        <v>7</v>
      </c>
      <c r="CS155" s="810">
        <v>1</v>
      </c>
      <c r="CT155" s="810">
        <v>2</v>
      </c>
      <c r="CU155" s="810">
        <v>3</v>
      </c>
      <c r="CV155" s="810">
        <v>4</v>
      </c>
      <c r="CW155" s="810">
        <v>5</v>
      </c>
      <c r="CX155" s="781">
        <v>6</v>
      </c>
      <c r="CY155" s="781">
        <v>7</v>
      </c>
      <c r="CZ155" s="954"/>
    </row>
    <row r="156" spans="1:259" s="3" customFormat="1" ht="8.1" customHeight="1" thickBot="1">
      <c r="A156" s="938"/>
      <c r="B156" s="940"/>
      <c r="C156" s="1008"/>
      <c r="D156" s="942"/>
      <c r="E156" s="944"/>
      <c r="F156" s="946"/>
      <c r="G156" s="989"/>
      <c r="H156" s="1139"/>
      <c r="I156" s="1011"/>
      <c r="J156" s="987"/>
      <c r="K156" s="987"/>
      <c r="L156" s="808" t="s">
        <v>3320</v>
      </c>
      <c r="M156" s="955">
        <f>AH154+AA154+T154+M154</f>
        <v>1357785</v>
      </c>
      <c r="N156" s="956"/>
      <c r="O156" s="956"/>
      <c r="P156" s="956"/>
      <c r="Q156" s="956"/>
      <c r="R156" s="956"/>
      <c r="S156" s="956"/>
      <c r="T156" s="956"/>
      <c r="U156" s="956"/>
      <c r="V156" s="956"/>
      <c r="W156" s="956"/>
      <c r="X156" s="956"/>
      <c r="Y156" s="956"/>
      <c r="Z156" s="956"/>
      <c r="AA156" s="956"/>
      <c r="AB156" s="956"/>
      <c r="AC156" s="956"/>
      <c r="AD156" s="956"/>
      <c r="AE156" s="956"/>
      <c r="AF156" s="956"/>
      <c r="AG156" s="956"/>
      <c r="AH156" s="956"/>
      <c r="AI156" s="956"/>
      <c r="AJ156" s="956"/>
      <c r="AK156" s="956"/>
      <c r="AL156" s="956"/>
      <c r="AM156" s="956"/>
      <c r="AN156" s="956"/>
      <c r="AO156" s="956"/>
      <c r="AP156" s="956"/>
      <c r="AQ156" s="956"/>
      <c r="AR156" s="956"/>
      <c r="AS156" s="956"/>
      <c r="AT156" s="956"/>
      <c r="AU156" s="956"/>
      <c r="AV156" s="956"/>
      <c r="AW156" s="956"/>
      <c r="AX156" s="956"/>
      <c r="AY156" s="956"/>
      <c r="AZ156" s="956"/>
      <c r="BA156" s="956"/>
      <c r="BB156" s="956"/>
      <c r="BC156" s="956"/>
      <c r="BD156" s="956"/>
      <c r="BE156" s="956"/>
      <c r="BF156" s="956"/>
      <c r="BG156" s="956"/>
      <c r="BH156" s="956"/>
      <c r="BI156" s="956"/>
      <c r="BJ156" s="956"/>
      <c r="BK156" s="956"/>
      <c r="BL156" s="956"/>
      <c r="BM156" s="956"/>
      <c r="BN156" s="956"/>
      <c r="BO156" s="956"/>
      <c r="BP156" s="956"/>
      <c r="BQ156" s="956"/>
      <c r="BR156" s="956"/>
      <c r="BS156" s="956"/>
      <c r="BT156" s="956"/>
      <c r="BU156" s="956"/>
      <c r="BV156" s="956"/>
      <c r="BW156" s="956"/>
      <c r="BX156" s="956"/>
      <c r="BY156" s="956"/>
      <c r="BZ156" s="956"/>
      <c r="CA156" s="956"/>
      <c r="CB156" s="956"/>
      <c r="CC156" s="956"/>
      <c r="CD156" s="956"/>
      <c r="CE156" s="956"/>
      <c r="CF156" s="956"/>
      <c r="CG156" s="956"/>
      <c r="CH156" s="956"/>
      <c r="CI156" s="956"/>
      <c r="CJ156" s="956"/>
      <c r="CK156" s="956"/>
      <c r="CL156" s="956"/>
      <c r="CM156" s="956"/>
      <c r="CN156" s="956"/>
      <c r="CO156" s="956"/>
      <c r="CP156" s="956"/>
      <c r="CQ156" s="956"/>
      <c r="CR156" s="956"/>
      <c r="CS156" s="956"/>
      <c r="CT156" s="956"/>
      <c r="CU156" s="956"/>
      <c r="CV156" s="956"/>
      <c r="CW156" s="956"/>
      <c r="CX156" s="956"/>
      <c r="CY156" s="956"/>
      <c r="CZ156" s="954"/>
    </row>
    <row r="157" spans="1:259" s="3" customFormat="1" ht="8.1" customHeight="1">
      <c r="A157" s="938">
        <f>EDIFICACION!A402</f>
        <v>9.1999999999999993</v>
      </c>
      <c r="B157" s="940" t="str">
        <f>EDIFICACION!B402</f>
        <v>RED SUMINISTRO PVC 1/2</v>
      </c>
      <c r="C157" s="1008" t="str">
        <f>EDIFICACION!C402</f>
        <v>ML</v>
      </c>
      <c r="D157" s="942">
        <v>30</v>
      </c>
      <c r="E157" s="944">
        <f>EDIFICACION!F402</f>
        <v>12216</v>
      </c>
      <c r="F157" s="946">
        <f t="shared" si="8"/>
        <v>366480</v>
      </c>
      <c r="G157" s="989">
        <f>F157/F259</f>
        <v>1.1066050586061185E-3</v>
      </c>
      <c r="H157" s="1139"/>
      <c r="I157" s="1009" t="s">
        <v>3396</v>
      </c>
      <c r="J157" s="985" t="s">
        <v>3364</v>
      </c>
      <c r="K157" s="985" t="s">
        <v>3364</v>
      </c>
      <c r="L157" s="806" t="s">
        <v>3318</v>
      </c>
      <c r="M157" s="988"/>
      <c r="N157" s="952"/>
      <c r="O157" s="952"/>
      <c r="P157" s="952"/>
      <c r="Q157" s="952"/>
      <c r="R157" s="952"/>
      <c r="S157" s="952"/>
      <c r="T157" s="952"/>
      <c r="U157" s="952"/>
      <c r="V157" s="952"/>
      <c r="W157" s="952"/>
      <c r="X157" s="952"/>
      <c r="Y157" s="952"/>
      <c r="Z157" s="952"/>
      <c r="AA157" s="1007"/>
      <c r="AB157" s="952"/>
      <c r="AC157" s="952"/>
      <c r="AD157" s="952"/>
      <c r="AE157" s="952"/>
      <c r="AF157" s="952"/>
      <c r="AG157" s="952"/>
      <c r="AH157" s="951">
        <f>F157/CZ157*1</f>
        <v>366480</v>
      </c>
      <c r="AI157" s="951"/>
      <c r="AJ157" s="951"/>
      <c r="AK157" s="951"/>
      <c r="AL157" s="951"/>
      <c r="AM157" s="951"/>
      <c r="AN157" s="951"/>
      <c r="AO157" s="952"/>
      <c r="AP157" s="952"/>
      <c r="AQ157" s="952"/>
      <c r="AR157" s="952"/>
      <c r="AS157" s="952"/>
      <c r="AT157" s="952"/>
      <c r="AU157" s="952"/>
      <c r="AV157" s="952"/>
      <c r="AW157" s="952"/>
      <c r="AX157" s="952"/>
      <c r="AY157" s="952"/>
      <c r="AZ157" s="952"/>
      <c r="BA157" s="952"/>
      <c r="BB157" s="952"/>
      <c r="BC157" s="952"/>
      <c r="BD157" s="952"/>
      <c r="BE157" s="952"/>
      <c r="BF157" s="952"/>
      <c r="BG157" s="952"/>
      <c r="BH157" s="952"/>
      <c r="BI157" s="952"/>
      <c r="BJ157" s="952"/>
      <c r="BK157" s="952"/>
      <c r="BL157" s="952"/>
      <c r="BM157" s="952"/>
      <c r="BN157" s="952"/>
      <c r="BO157" s="952"/>
      <c r="BP157" s="952"/>
      <c r="BQ157" s="952"/>
      <c r="BR157" s="952"/>
      <c r="BS157" s="952"/>
      <c r="BT157" s="952"/>
      <c r="BU157" s="952"/>
      <c r="BV157" s="952"/>
      <c r="BW157" s="952"/>
      <c r="BX157" s="952"/>
      <c r="BY157" s="952"/>
      <c r="BZ157" s="952"/>
      <c r="CA157" s="952"/>
      <c r="CB157" s="952"/>
      <c r="CC157" s="952"/>
      <c r="CD157" s="952"/>
      <c r="CE157" s="952"/>
      <c r="CF157" s="952"/>
      <c r="CG157" s="952"/>
      <c r="CH157" s="952"/>
      <c r="CI157" s="952"/>
      <c r="CJ157" s="952"/>
      <c r="CK157" s="952"/>
      <c r="CL157" s="952"/>
      <c r="CM157" s="952"/>
      <c r="CN157" s="952"/>
      <c r="CO157" s="952"/>
      <c r="CP157" s="952"/>
      <c r="CQ157" s="952"/>
      <c r="CR157" s="952"/>
      <c r="CS157" s="952"/>
      <c r="CT157" s="952"/>
      <c r="CU157" s="952"/>
      <c r="CV157" s="952"/>
      <c r="CW157" s="952"/>
      <c r="CX157" s="952"/>
      <c r="CY157" s="952"/>
      <c r="CZ157" s="953">
        <v>1</v>
      </c>
    </row>
    <row r="158" spans="1:259" s="3" customFormat="1" ht="8.1" customHeight="1">
      <c r="A158" s="938"/>
      <c r="B158" s="940"/>
      <c r="C158" s="1008"/>
      <c r="D158" s="942"/>
      <c r="E158" s="944"/>
      <c r="F158" s="946"/>
      <c r="G158" s="989"/>
      <c r="H158" s="1139"/>
      <c r="I158" s="1010"/>
      <c r="J158" s="986"/>
      <c r="K158" s="986"/>
      <c r="L158" s="807" t="s">
        <v>3319</v>
      </c>
      <c r="M158" s="811">
        <v>1</v>
      </c>
      <c r="N158" s="810">
        <v>2</v>
      </c>
      <c r="O158" s="810">
        <v>3</v>
      </c>
      <c r="P158" s="810">
        <v>4</v>
      </c>
      <c r="Q158" s="810">
        <v>5</v>
      </c>
      <c r="R158" s="810">
        <v>6</v>
      </c>
      <c r="S158" s="810">
        <v>7</v>
      </c>
      <c r="T158" s="810">
        <v>1</v>
      </c>
      <c r="U158" s="810">
        <v>2</v>
      </c>
      <c r="V158" s="810">
        <v>3</v>
      </c>
      <c r="W158" s="810">
        <v>4</v>
      </c>
      <c r="X158" s="810">
        <v>5</v>
      </c>
      <c r="Y158" s="810">
        <v>6</v>
      </c>
      <c r="Z158" s="810">
        <v>7</v>
      </c>
      <c r="AA158" s="810">
        <v>1</v>
      </c>
      <c r="AB158" s="810">
        <v>2</v>
      </c>
      <c r="AC158" s="810">
        <v>3</v>
      </c>
      <c r="AD158" s="810">
        <v>4</v>
      </c>
      <c r="AE158" s="810">
        <v>5</v>
      </c>
      <c r="AF158" s="810">
        <v>6</v>
      </c>
      <c r="AG158" s="810">
        <v>7</v>
      </c>
      <c r="AH158" s="810">
        <v>1</v>
      </c>
      <c r="AI158" s="810">
        <v>2</v>
      </c>
      <c r="AJ158" s="810">
        <v>3</v>
      </c>
      <c r="AK158" s="810">
        <v>4</v>
      </c>
      <c r="AL158" s="810">
        <v>5</v>
      </c>
      <c r="AM158" s="810">
        <v>6</v>
      </c>
      <c r="AN158" s="812">
        <v>7</v>
      </c>
      <c r="AO158" s="810">
        <v>1</v>
      </c>
      <c r="AP158" s="810">
        <v>2</v>
      </c>
      <c r="AQ158" s="810">
        <v>3</v>
      </c>
      <c r="AR158" s="810">
        <v>4</v>
      </c>
      <c r="AS158" s="810">
        <v>5</v>
      </c>
      <c r="AT158" s="810">
        <v>6</v>
      </c>
      <c r="AU158" s="810">
        <v>7</v>
      </c>
      <c r="AV158" s="810">
        <v>1</v>
      </c>
      <c r="AW158" s="810">
        <v>2</v>
      </c>
      <c r="AX158" s="810">
        <v>3</v>
      </c>
      <c r="AY158" s="810">
        <v>4</v>
      </c>
      <c r="AZ158" s="810">
        <v>5</v>
      </c>
      <c r="BA158" s="810">
        <v>6</v>
      </c>
      <c r="BB158" s="810">
        <v>7</v>
      </c>
      <c r="BC158" s="810">
        <v>1</v>
      </c>
      <c r="BD158" s="810">
        <v>2</v>
      </c>
      <c r="BE158" s="810">
        <v>3</v>
      </c>
      <c r="BF158" s="810">
        <v>4</v>
      </c>
      <c r="BG158" s="810">
        <v>5</v>
      </c>
      <c r="BH158" s="810">
        <v>6</v>
      </c>
      <c r="BI158" s="810">
        <v>7</v>
      </c>
      <c r="BJ158" s="810">
        <v>1</v>
      </c>
      <c r="BK158" s="810">
        <v>2</v>
      </c>
      <c r="BL158" s="810">
        <v>3</v>
      </c>
      <c r="BM158" s="810">
        <v>4</v>
      </c>
      <c r="BN158" s="810">
        <v>5</v>
      </c>
      <c r="BO158" s="810">
        <v>6</v>
      </c>
      <c r="BP158" s="810">
        <v>7</v>
      </c>
      <c r="BQ158" s="810">
        <v>1</v>
      </c>
      <c r="BR158" s="810">
        <v>2</v>
      </c>
      <c r="BS158" s="810">
        <v>3</v>
      </c>
      <c r="BT158" s="810">
        <v>4</v>
      </c>
      <c r="BU158" s="810">
        <v>5</v>
      </c>
      <c r="BV158" s="810">
        <v>6</v>
      </c>
      <c r="BW158" s="810">
        <v>7</v>
      </c>
      <c r="BX158" s="810">
        <v>1</v>
      </c>
      <c r="BY158" s="810">
        <v>2</v>
      </c>
      <c r="BZ158" s="810">
        <v>3</v>
      </c>
      <c r="CA158" s="810">
        <v>4</v>
      </c>
      <c r="CB158" s="810">
        <v>5</v>
      </c>
      <c r="CC158" s="810">
        <v>6</v>
      </c>
      <c r="CD158" s="810">
        <v>7</v>
      </c>
      <c r="CE158" s="810">
        <v>1</v>
      </c>
      <c r="CF158" s="810">
        <v>2</v>
      </c>
      <c r="CG158" s="810">
        <v>3</v>
      </c>
      <c r="CH158" s="810">
        <v>4</v>
      </c>
      <c r="CI158" s="810">
        <v>5</v>
      </c>
      <c r="CJ158" s="810">
        <v>6</v>
      </c>
      <c r="CK158" s="810">
        <v>7</v>
      </c>
      <c r="CL158" s="810">
        <v>1</v>
      </c>
      <c r="CM158" s="810">
        <v>2</v>
      </c>
      <c r="CN158" s="810">
        <v>3</v>
      </c>
      <c r="CO158" s="810">
        <v>4</v>
      </c>
      <c r="CP158" s="810">
        <v>5</v>
      </c>
      <c r="CQ158" s="810">
        <v>6</v>
      </c>
      <c r="CR158" s="810">
        <v>7</v>
      </c>
      <c r="CS158" s="810">
        <v>1</v>
      </c>
      <c r="CT158" s="810">
        <v>2</v>
      </c>
      <c r="CU158" s="810">
        <v>3</v>
      </c>
      <c r="CV158" s="810">
        <v>4</v>
      </c>
      <c r="CW158" s="810">
        <v>5</v>
      </c>
      <c r="CX158" s="781">
        <v>6</v>
      </c>
      <c r="CY158" s="781">
        <v>7</v>
      </c>
      <c r="CZ158" s="954"/>
    </row>
    <row r="159" spans="1:259" s="3" customFormat="1" ht="8.1" customHeight="1" thickBot="1">
      <c r="A159" s="938"/>
      <c r="B159" s="940"/>
      <c r="C159" s="1008"/>
      <c r="D159" s="942"/>
      <c r="E159" s="944"/>
      <c r="F159" s="946"/>
      <c r="G159" s="989"/>
      <c r="H159" s="1139"/>
      <c r="I159" s="1011"/>
      <c r="J159" s="987"/>
      <c r="K159" s="987"/>
      <c r="L159" s="808" t="s">
        <v>3320</v>
      </c>
      <c r="M159" s="955">
        <f>AH157+AA157+T157+M157</f>
        <v>366480</v>
      </c>
      <c r="N159" s="956"/>
      <c r="O159" s="956"/>
      <c r="P159" s="956"/>
      <c r="Q159" s="956"/>
      <c r="R159" s="956"/>
      <c r="S159" s="956"/>
      <c r="T159" s="956"/>
      <c r="U159" s="956"/>
      <c r="V159" s="956"/>
      <c r="W159" s="956"/>
      <c r="X159" s="956"/>
      <c r="Y159" s="956"/>
      <c r="Z159" s="956"/>
      <c r="AA159" s="956"/>
      <c r="AB159" s="956"/>
      <c r="AC159" s="956"/>
      <c r="AD159" s="956"/>
      <c r="AE159" s="956"/>
      <c r="AF159" s="956"/>
      <c r="AG159" s="956"/>
      <c r="AH159" s="956"/>
      <c r="AI159" s="956"/>
      <c r="AJ159" s="956"/>
      <c r="AK159" s="956"/>
      <c r="AL159" s="956"/>
      <c r="AM159" s="956"/>
      <c r="AN159" s="956"/>
      <c r="AO159" s="956"/>
      <c r="AP159" s="956"/>
      <c r="AQ159" s="956"/>
      <c r="AR159" s="956"/>
      <c r="AS159" s="956"/>
      <c r="AT159" s="956"/>
      <c r="AU159" s="956"/>
      <c r="AV159" s="956"/>
      <c r="AW159" s="956"/>
      <c r="AX159" s="956"/>
      <c r="AY159" s="956"/>
      <c r="AZ159" s="956"/>
      <c r="BA159" s="956"/>
      <c r="BB159" s="956"/>
      <c r="BC159" s="956"/>
      <c r="BD159" s="956"/>
      <c r="BE159" s="956"/>
      <c r="BF159" s="956"/>
      <c r="BG159" s="956"/>
      <c r="BH159" s="956"/>
      <c r="BI159" s="956"/>
      <c r="BJ159" s="956"/>
      <c r="BK159" s="956"/>
      <c r="BL159" s="956"/>
      <c r="BM159" s="956"/>
      <c r="BN159" s="956"/>
      <c r="BO159" s="956"/>
      <c r="BP159" s="956"/>
      <c r="BQ159" s="956"/>
      <c r="BR159" s="956"/>
      <c r="BS159" s="956"/>
      <c r="BT159" s="956"/>
      <c r="BU159" s="956"/>
      <c r="BV159" s="956"/>
      <c r="BW159" s="956"/>
      <c r="BX159" s="956"/>
      <c r="BY159" s="956"/>
      <c r="BZ159" s="956"/>
      <c r="CA159" s="956"/>
      <c r="CB159" s="956"/>
      <c r="CC159" s="956"/>
      <c r="CD159" s="956"/>
      <c r="CE159" s="956"/>
      <c r="CF159" s="956"/>
      <c r="CG159" s="956"/>
      <c r="CH159" s="956"/>
      <c r="CI159" s="956"/>
      <c r="CJ159" s="956"/>
      <c r="CK159" s="956"/>
      <c r="CL159" s="956"/>
      <c r="CM159" s="956"/>
      <c r="CN159" s="956"/>
      <c r="CO159" s="956"/>
      <c r="CP159" s="956"/>
      <c r="CQ159" s="956"/>
      <c r="CR159" s="956"/>
      <c r="CS159" s="956"/>
      <c r="CT159" s="956"/>
      <c r="CU159" s="956"/>
      <c r="CV159" s="956"/>
      <c r="CW159" s="956"/>
      <c r="CX159" s="956"/>
      <c r="CY159" s="956"/>
      <c r="CZ159" s="954"/>
    </row>
    <row r="160" spans="1:259" s="3" customFormat="1" ht="8.1" customHeight="1">
      <c r="A160" s="938">
        <f>EDIFICACION!A411</f>
        <v>9.3000000000000007</v>
      </c>
      <c r="B160" s="940" t="str">
        <f>EDIFICACION!B411</f>
        <v>RED SUMINISTRO PVC 3/4</v>
      </c>
      <c r="C160" s="1008" t="str">
        <f>EDIFICACION!C411</f>
        <v>ML</v>
      </c>
      <c r="D160" s="942">
        <v>1</v>
      </c>
      <c r="E160" s="944">
        <f>EDIFICACION!F411</f>
        <v>14199</v>
      </c>
      <c r="F160" s="946">
        <f t="shared" si="8"/>
        <v>14199</v>
      </c>
      <c r="G160" s="989">
        <f>F160/F259</f>
        <v>4.2874604963840527E-5</v>
      </c>
      <c r="H160" s="1139"/>
      <c r="I160" s="1009" t="s">
        <v>3396</v>
      </c>
      <c r="J160" s="985" t="s">
        <v>3364</v>
      </c>
      <c r="K160" s="985" t="s">
        <v>3364</v>
      </c>
      <c r="L160" s="806" t="s">
        <v>3318</v>
      </c>
      <c r="M160" s="1005"/>
      <c r="N160" s="952"/>
      <c r="O160" s="952"/>
      <c r="P160" s="952"/>
      <c r="Q160" s="952"/>
      <c r="R160" s="952"/>
      <c r="S160" s="952"/>
      <c r="T160" s="952"/>
      <c r="U160" s="952"/>
      <c r="V160" s="952"/>
      <c r="W160" s="952"/>
      <c r="X160" s="952"/>
      <c r="Y160" s="952"/>
      <c r="Z160" s="952"/>
      <c r="AA160" s="952"/>
      <c r="AB160" s="952"/>
      <c r="AC160" s="952"/>
      <c r="AD160" s="952"/>
      <c r="AE160" s="952"/>
      <c r="AF160" s="952"/>
      <c r="AG160" s="952"/>
      <c r="AH160" s="951">
        <f>F160/CZ160*1</f>
        <v>14199</v>
      </c>
      <c r="AI160" s="951"/>
      <c r="AJ160" s="951"/>
      <c r="AK160" s="951"/>
      <c r="AL160" s="951"/>
      <c r="AM160" s="951"/>
      <c r="AN160" s="951"/>
      <c r="AO160" s="952"/>
      <c r="AP160" s="952"/>
      <c r="AQ160" s="952"/>
      <c r="AR160" s="952"/>
      <c r="AS160" s="952"/>
      <c r="AT160" s="952"/>
      <c r="AU160" s="952"/>
      <c r="AV160" s="952"/>
      <c r="AW160" s="952"/>
      <c r="AX160" s="952"/>
      <c r="AY160" s="952"/>
      <c r="AZ160" s="952"/>
      <c r="BA160" s="952"/>
      <c r="BB160" s="952"/>
      <c r="BC160" s="952"/>
      <c r="BD160" s="952"/>
      <c r="BE160" s="952"/>
      <c r="BF160" s="952"/>
      <c r="BG160" s="952"/>
      <c r="BH160" s="952"/>
      <c r="BI160" s="952"/>
      <c r="BJ160" s="952"/>
      <c r="BK160" s="952"/>
      <c r="BL160" s="952"/>
      <c r="BM160" s="952"/>
      <c r="BN160" s="952"/>
      <c r="BO160" s="952"/>
      <c r="BP160" s="952"/>
      <c r="BQ160" s="952"/>
      <c r="BR160" s="952"/>
      <c r="BS160" s="952"/>
      <c r="BT160" s="952"/>
      <c r="BU160" s="952"/>
      <c r="BV160" s="952"/>
      <c r="BW160" s="952"/>
      <c r="BX160" s="952"/>
      <c r="BY160" s="952"/>
      <c r="BZ160" s="952"/>
      <c r="CA160" s="952"/>
      <c r="CB160" s="952"/>
      <c r="CC160" s="952"/>
      <c r="CD160" s="952"/>
      <c r="CE160" s="952"/>
      <c r="CF160" s="952"/>
      <c r="CG160" s="952"/>
      <c r="CH160" s="952"/>
      <c r="CI160" s="952"/>
      <c r="CJ160" s="952"/>
      <c r="CK160" s="952"/>
      <c r="CL160" s="952"/>
      <c r="CM160" s="952"/>
      <c r="CN160" s="952"/>
      <c r="CO160" s="952"/>
      <c r="CP160" s="952"/>
      <c r="CQ160" s="952"/>
      <c r="CR160" s="952"/>
      <c r="CS160" s="952"/>
      <c r="CT160" s="952"/>
      <c r="CU160" s="952"/>
      <c r="CV160" s="952"/>
      <c r="CW160" s="952"/>
      <c r="CX160" s="952"/>
      <c r="CY160" s="952"/>
      <c r="CZ160" s="953">
        <v>1</v>
      </c>
    </row>
    <row r="161" spans="1:104" s="3" customFormat="1" ht="8.1" customHeight="1">
      <c r="A161" s="938"/>
      <c r="B161" s="940"/>
      <c r="C161" s="1008"/>
      <c r="D161" s="942"/>
      <c r="E161" s="944"/>
      <c r="F161" s="946"/>
      <c r="G161" s="989"/>
      <c r="H161" s="1139"/>
      <c r="I161" s="1010"/>
      <c r="J161" s="986"/>
      <c r="K161" s="986"/>
      <c r="L161" s="807" t="s">
        <v>3319</v>
      </c>
      <c r="M161" s="811">
        <v>1</v>
      </c>
      <c r="N161" s="810">
        <v>2</v>
      </c>
      <c r="O161" s="810">
        <v>3</v>
      </c>
      <c r="P161" s="810">
        <v>4</v>
      </c>
      <c r="Q161" s="810">
        <v>5</v>
      </c>
      <c r="R161" s="810">
        <v>6</v>
      </c>
      <c r="S161" s="810">
        <v>7</v>
      </c>
      <c r="T161" s="810">
        <v>1</v>
      </c>
      <c r="U161" s="810">
        <v>2</v>
      </c>
      <c r="V161" s="810">
        <v>3</v>
      </c>
      <c r="W161" s="810">
        <v>4</v>
      </c>
      <c r="X161" s="810">
        <v>5</v>
      </c>
      <c r="Y161" s="810">
        <v>6</v>
      </c>
      <c r="Z161" s="810">
        <v>7</v>
      </c>
      <c r="AA161" s="810">
        <v>1</v>
      </c>
      <c r="AB161" s="810">
        <v>2</v>
      </c>
      <c r="AC161" s="810">
        <v>3</v>
      </c>
      <c r="AD161" s="810">
        <v>4</v>
      </c>
      <c r="AE161" s="810">
        <v>5</v>
      </c>
      <c r="AF161" s="810">
        <v>6</v>
      </c>
      <c r="AG161" s="810">
        <v>7</v>
      </c>
      <c r="AH161" s="810">
        <v>1</v>
      </c>
      <c r="AI161" s="810">
        <v>2</v>
      </c>
      <c r="AJ161" s="810">
        <v>3</v>
      </c>
      <c r="AK161" s="810">
        <v>4</v>
      </c>
      <c r="AL161" s="810">
        <v>5</v>
      </c>
      <c r="AM161" s="810">
        <v>6</v>
      </c>
      <c r="AN161" s="812">
        <v>7</v>
      </c>
      <c r="AO161" s="810">
        <v>1</v>
      </c>
      <c r="AP161" s="810">
        <v>2</v>
      </c>
      <c r="AQ161" s="810">
        <v>3</v>
      </c>
      <c r="AR161" s="810">
        <v>4</v>
      </c>
      <c r="AS161" s="810">
        <v>5</v>
      </c>
      <c r="AT161" s="810">
        <v>6</v>
      </c>
      <c r="AU161" s="810">
        <v>7</v>
      </c>
      <c r="AV161" s="810">
        <v>1</v>
      </c>
      <c r="AW161" s="810">
        <v>2</v>
      </c>
      <c r="AX161" s="810">
        <v>3</v>
      </c>
      <c r="AY161" s="810">
        <v>4</v>
      </c>
      <c r="AZ161" s="810">
        <v>5</v>
      </c>
      <c r="BA161" s="810">
        <v>6</v>
      </c>
      <c r="BB161" s="810">
        <v>7</v>
      </c>
      <c r="BC161" s="810">
        <v>1</v>
      </c>
      <c r="BD161" s="810">
        <v>2</v>
      </c>
      <c r="BE161" s="810">
        <v>3</v>
      </c>
      <c r="BF161" s="810">
        <v>4</v>
      </c>
      <c r="BG161" s="810">
        <v>5</v>
      </c>
      <c r="BH161" s="810">
        <v>6</v>
      </c>
      <c r="BI161" s="810">
        <v>7</v>
      </c>
      <c r="BJ161" s="810">
        <v>1</v>
      </c>
      <c r="BK161" s="810">
        <v>2</v>
      </c>
      <c r="BL161" s="810">
        <v>3</v>
      </c>
      <c r="BM161" s="810">
        <v>4</v>
      </c>
      <c r="BN161" s="810">
        <v>5</v>
      </c>
      <c r="BO161" s="810">
        <v>6</v>
      </c>
      <c r="BP161" s="810">
        <v>7</v>
      </c>
      <c r="BQ161" s="810">
        <v>1</v>
      </c>
      <c r="BR161" s="810">
        <v>2</v>
      </c>
      <c r="BS161" s="810">
        <v>3</v>
      </c>
      <c r="BT161" s="810">
        <v>4</v>
      </c>
      <c r="BU161" s="810">
        <v>5</v>
      </c>
      <c r="BV161" s="810">
        <v>6</v>
      </c>
      <c r="BW161" s="810">
        <v>7</v>
      </c>
      <c r="BX161" s="810">
        <v>1</v>
      </c>
      <c r="BY161" s="810">
        <v>2</v>
      </c>
      <c r="BZ161" s="810">
        <v>3</v>
      </c>
      <c r="CA161" s="810">
        <v>4</v>
      </c>
      <c r="CB161" s="810">
        <v>5</v>
      </c>
      <c r="CC161" s="810">
        <v>6</v>
      </c>
      <c r="CD161" s="810">
        <v>7</v>
      </c>
      <c r="CE161" s="810">
        <v>1</v>
      </c>
      <c r="CF161" s="810">
        <v>2</v>
      </c>
      <c r="CG161" s="810">
        <v>3</v>
      </c>
      <c r="CH161" s="810">
        <v>4</v>
      </c>
      <c r="CI161" s="810">
        <v>5</v>
      </c>
      <c r="CJ161" s="810">
        <v>6</v>
      </c>
      <c r="CK161" s="810">
        <v>7</v>
      </c>
      <c r="CL161" s="810">
        <v>1</v>
      </c>
      <c r="CM161" s="810">
        <v>2</v>
      </c>
      <c r="CN161" s="810">
        <v>3</v>
      </c>
      <c r="CO161" s="810">
        <v>4</v>
      </c>
      <c r="CP161" s="810">
        <v>5</v>
      </c>
      <c r="CQ161" s="810">
        <v>6</v>
      </c>
      <c r="CR161" s="810">
        <v>7</v>
      </c>
      <c r="CS161" s="810">
        <v>1</v>
      </c>
      <c r="CT161" s="810">
        <v>2</v>
      </c>
      <c r="CU161" s="810">
        <v>3</v>
      </c>
      <c r="CV161" s="810">
        <v>4</v>
      </c>
      <c r="CW161" s="810">
        <v>5</v>
      </c>
      <c r="CX161" s="781">
        <v>6</v>
      </c>
      <c r="CY161" s="781">
        <v>7</v>
      </c>
      <c r="CZ161" s="954"/>
    </row>
    <row r="162" spans="1:104" s="3" customFormat="1" ht="8.1" customHeight="1" thickBot="1">
      <c r="A162" s="939"/>
      <c r="B162" s="941"/>
      <c r="C162" s="1112"/>
      <c r="D162" s="943"/>
      <c r="E162" s="945"/>
      <c r="F162" s="947"/>
      <c r="G162" s="1002"/>
      <c r="H162" s="1139"/>
      <c r="I162" s="1011"/>
      <c r="J162" s="987"/>
      <c r="K162" s="987"/>
      <c r="L162" s="808" t="s">
        <v>3320</v>
      </c>
      <c r="M162" s="955">
        <f>AH160+AA160+T160+M160</f>
        <v>14199</v>
      </c>
      <c r="N162" s="956"/>
      <c r="O162" s="956"/>
      <c r="P162" s="956"/>
      <c r="Q162" s="956"/>
      <c r="R162" s="956"/>
      <c r="S162" s="956"/>
      <c r="T162" s="956"/>
      <c r="U162" s="956"/>
      <c r="V162" s="956"/>
      <c r="W162" s="956"/>
      <c r="X162" s="956"/>
      <c r="Y162" s="956"/>
      <c r="Z162" s="956"/>
      <c r="AA162" s="956"/>
      <c r="AB162" s="956"/>
      <c r="AC162" s="956"/>
      <c r="AD162" s="956"/>
      <c r="AE162" s="956"/>
      <c r="AF162" s="956"/>
      <c r="AG162" s="956"/>
      <c r="AH162" s="956"/>
      <c r="AI162" s="956"/>
      <c r="AJ162" s="956"/>
      <c r="AK162" s="956"/>
      <c r="AL162" s="956"/>
      <c r="AM162" s="956"/>
      <c r="AN162" s="956"/>
      <c r="AO162" s="956"/>
      <c r="AP162" s="956"/>
      <c r="AQ162" s="956"/>
      <c r="AR162" s="956"/>
      <c r="AS162" s="956"/>
      <c r="AT162" s="956"/>
      <c r="AU162" s="956"/>
      <c r="AV162" s="956"/>
      <c r="AW162" s="956"/>
      <c r="AX162" s="956"/>
      <c r="AY162" s="956"/>
      <c r="AZ162" s="956"/>
      <c r="BA162" s="956"/>
      <c r="BB162" s="956"/>
      <c r="BC162" s="956"/>
      <c r="BD162" s="956"/>
      <c r="BE162" s="956"/>
      <c r="BF162" s="956"/>
      <c r="BG162" s="956"/>
      <c r="BH162" s="956"/>
      <c r="BI162" s="956"/>
      <c r="BJ162" s="956"/>
      <c r="BK162" s="956"/>
      <c r="BL162" s="956"/>
      <c r="BM162" s="956"/>
      <c r="BN162" s="956"/>
      <c r="BO162" s="956"/>
      <c r="BP162" s="956"/>
      <c r="BQ162" s="956"/>
      <c r="BR162" s="956"/>
      <c r="BS162" s="956"/>
      <c r="BT162" s="956"/>
      <c r="BU162" s="956"/>
      <c r="BV162" s="956"/>
      <c r="BW162" s="956"/>
      <c r="BX162" s="956"/>
      <c r="BY162" s="956"/>
      <c r="BZ162" s="956"/>
      <c r="CA162" s="956"/>
      <c r="CB162" s="956"/>
      <c r="CC162" s="956"/>
      <c r="CD162" s="956"/>
      <c r="CE162" s="956"/>
      <c r="CF162" s="956"/>
      <c r="CG162" s="956"/>
      <c r="CH162" s="956"/>
      <c r="CI162" s="956"/>
      <c r="CJ162" s="956"/>
      <c r="CK162" s="956"/>
      <c r="CL162" s="956"/>
      <c r="CM162" s="956"/>
      <c r="CN162" s="956"/>
      <c r="CO162" s="956"/>
      <c r="CP162" s="956"/>
      <c r="CQ162" s="956"/>
      <c r="CR162" s="956"/>
      <c r="CS162" s="956"/>
      <c r="CT162" s="956"/>
      <c r="CU162" s="956"/>
      <c r="CV162" s="956"/>
      <c r="CW162" s="956"/>
      <c r="CX162" s="956"/>
      <c r="CY162" s="956"/>
      <c r="CZ162" s="954"/>
    </row>
    <row r="163" spans="1:104" s="3" customFormat="1" ht="19.899999999999999" customHeight="1">
      <c r="A163" s="724"/>
      <c r="B163" s="928"/>
      <c r="C163" s="714"/>
      <c r="D163" s="759"/>
      <c r="E163" s="771" t="s">
        <v>3245</v>
      </c>
      <c r="F163" s="769">
        <f>SUM(F154:F162)</f>
        <v>1738464</v>
      </c>
      <c r="G163" s="776">
        <f>F163/F259</f>
        <v>5.2493807482117093E-3</v>
      </c>
      <c r="H163" s="1139"/>
      <c r="I163" s="995" t="s">
        <v>3336</v>
      </c>
      <c r="J163" s="995"/>
      <c r="K163" s="995"/>
      <c r="L163" s="995"/>
      <c r="M163" s="996">
        <f>M162+M159+M156</f>
        <v>1738464</v>
      </c>
      <c r="N163" s="996"/>
      <c r="O163" s="996"/>
      <c r="P163" s="996"/>
      <c r="Q163" s="996"/>
      <c r="R163" s="996"/>
      <c r="S163" s="996"/>
      <c r="T163" s="996"/>
      <c r="U163" s="996"/>
      <c r="V163" s="996"/>
      <c r="W163" s="996"/>
      <c r="X163" s="996"/>
      <c r="Y163" s="996"/>
      <c r="Z163" s="996"/>
      <c r="AA163" s="996"/>
      <c r="AB163" s="996"/>
      <c r="AC163" s="996"/>
      <c r="AD163" s="996"/>
      <c r="AE163" s="996"/>
      <c r="AF163" s="996"/>
      <c r="AG163" s="996"/>
      <c r="AH163" s="996"/>
      <c r="AI163" s="996"/>
      <c r="AJ163" s="996"/>
      <c r="AK163" s="996"/>
      <c r="AL163" s="996"/>
      <c r="AM163" s="996"/>
      <c r="AN163" s="996"/>
      <c r="AO163" s="996"/>
      <c r="AP163" s="997"/>
      <c r="AQ163" s="1020">
        <f>AQ162+AQ159+AQ156</f>
        <v>0</v>
      </c>
      <c r="AR163" s="996"/>
      <c r="AS163" s="996"/>
      <c r="AT163" s="996"/>
      <c r="AU163" s="996"/>
      <c r="AV163" s="996"/>
      <c r="AW163" s="996"/>
      <c r="AX163" s="996"/>
      <c r="AY163" s="996"/>
      <c r="AZ163" s="996"/>
      <c r="BA163" s="996"/>
      <c r="BB163" s="996"/>
      <c r="BC163" s="996"/>
      <c r="BD163" s="996"/>
      <c r="BE163" s="996"/>
      <c r="BF163" s="996"/>
      <c r="BG163" s="996"/>
      <c r="BH163" s="996"/>
      <c r="BI163" s="996"/>
      <c r="BJ163" s="996"/>
      <c r="BK163" s="996"/>
      <c r="BL163" s="996"/>
      <c r="BM163" s="996"/>
      <c r="BN163" s="996"/>
      <c r="BO163" s="996"/>
      <c r="BP163" s="996"/>
      <c r="BQ163" s="996"/>
      <c r="BR163" s="996"/>
      <c r="BS163" s="996"/>
      <c r="BT163" s="997"/>
      <c r="BU163" s="998">
        <f>BU162+BU159+BU156</f>
        <v>0</v>
      </c>
      <c r="BV163" s="998"/>
      <c r="BW163" s="998"/>
      <c r="BX163" s="998"/>
      <c r="BY163" s="998"/>
      <c r="BZ163" s="998"/>
      <c r="CA163" s="998"/>
      <c r="CB163" s="998"/>
      <c r="CC163" s="998"/>
      <c r="CD163" s="998"/>
      <c r="CE163" s="998"/>
      <c r="CF163" s="998"/>
      <c r="CG163" s="998"/>
      <c r="CH163" s="998"/>
      <c r="CI163" s="998"/>
      <c r="CJ163" s="998"/>
      <c r="CK163" s="998"/>
      <c r="CL163" s="998"/>
      <c r="CM163" s="998"/>
      <c r="CN163" s="998"/>
      <c r="CO163" s="998"/>
      <c r="CP163" s="998"/>
      <c r="CQ163" s="998"/>
      <c r="CR163" s="998"/>
      <c r="CS163" s="998"/>
      <c r="CT163" s="998"/>
      <c r="CU163" s="998"/>
      <c r="CV163" s="998"/>
      <c r="CW163" s="998"/>
      <c r="CX163" s="998"/>
      <c r="CY163" s="998"/>
      <c r="CZ163" s="793">
        <f>SUM(CZ154:CZ162)</f>
        <v>4</v>
      </c>
    </row>
    <row r="164" spans="1:104" s="3" customFormat="1" ht="19.899999999999999" customHeight="1">
      <c r="A164" s="724"/>
      <c r="B164" s="928"/>
      <c r="C164" s="714"/>
      <c r="D164" s="759"/>
      <c r="E164" s="757"/>
      <c r="F164" s="716"/>
      <c r="G164" s="763"/>
      <c r="H164" s="1139"/>
      <c r="I164" s="991" t="s">
        <v>3325</v>
      </c>
      <c r="J164" s="991"/>
      <c r="K164" s="991"/>
      <c r="L164" s="991"/>
      <c r="M164" s="992">
        <f>M163+AQ163+BU163</f>
        <v>1738464</v>
      </c>
      <c r="N164" s="993"/>
      <c r="O164" s="993"/>
      <c r="P164" s="993"/>
      <c r="Q164" s="993"/>
      <c r="R164" s="993"/>
      <c r="S164" s="993"/>
      <c r="T164" s="993"/>
      <c r="U164" s="993"/>
      <c r="V164" s="993"/>
      <c r="W164" s="993"/>
      <c r="X164" s="993"/>
      <c r="Y164" s="993"/>
      <c r="Z164" s="993"/>
      <c r="AA164" s="993"/>
      <c r="AB164" s="993"/>
      <c r="AC164" s="993"/>
      <c r="AD164" s="993"/>
      <c r="AE164" s="993"/>
      <c r="AF164" s="993"/>
      <c r="AG164" s="993"/>
      <c r="AH164" s="993"/>
      <c r="AI164" s="993"/>
      <c r="AJ164" s="993"/>
      <c r="AK164" s="993"/>
      <c r="AL164" s="993"/>
      <c r="AM164" s="993"/>
      <c r="AN164" s="993"/>
      <c r="AO164" s="993"/>
      <c r="AP164" s="993"/>
      <c r="AQ164" s="993"/>
      <c r="AR164" s="993"/>
      <c r="AS164" s="993"/>
      <c r="AT164" s="993"/>
      <c r="AU164" s="993"/>
      <c r="AV164" s="993"/>
      <c r="AW164" s="993"/>
      <c r="AX164" s="993"/>
      <c r="AY164" s="993"/>
      <c r="AZ164" s="993"/>
      <c r="BA164" s="993"/>
      <c r="BB164" s="993"/>
      <c r="BC164" s="993"/>
      <c r="BD164" s="993"/>
      <c r="BE164" s="993"/>
      <c r="BF164" s="993"/>
      <c r="BG164" s="993"/>
      <c r="BH164" s="993"/>
      <c r="BI164" s="993"/>
      <c r="BJ164" s="993"/>
      <c r="BK164" s="993"/>
      <c r="BL164" s="993"/>
      <c r="BM164" s="993"/>
      <c r="BN164" s="993"/>
      <c r="BO164" s="993"/>
      <c r="BP164" s="993"/>
      <c r="BQ164" s="993"/>
      <c r="BR164" s="993"/>
      <c r="BS164" s="993"/>
      <c r="BT164" s="993"/>
      <c r="BU164" s="993"/>
      <c r="BV164" s="993"/>
      <c r="BW164" s="993"/>
      <c r="BX164" s="993"/>
      <c r="BY164" s="993"/>
      <c r="BZ164" s="993"/>
      <c r="CA164" s="993"/>
      <c r="CB164" s="993"/>
      <c r="CC164" s="993"/>
      <c r="CD164" s="993"/>
      <c r="CE164" s="993"/>
      <c r="CF164" s="993"/>
      <c r="CG164" s="993"/>
      <c r="CH164" s="993"/>
      <c r="CI164" s="993"/>
      <c r="CJ164" s="993"/>
      <c r="CK164" s="993"/>
      <c r="CL164" s="993"/>
      <c r="CM164" s="993"/>
      <c r="CN164" s="993"/>
      <c r="CO164" s="993"/>
      <c r="CP164" s="993"/>
      <c r="CQ164" s="993"/>
      <c r="CR164" s="993"/>
      <c r="CS164" s="993"/>
      <c r="CT164" s="993"/>
      <c r="CU164" s="993"/>
      <c r="CV164" s="993"/>
      <c r="CW164" s="993"/>
      <c r="CX164" s="993"/>
      <c r="CY164" s="993"/>
      <c r="CZ164" s="792"/>
    </row>
    <row r="165" spans="1:104" ht="19.899999999999999" customHeight="1" thickBot="1">
      <c r="A165" s="720" t="str">
        <f>EDIFICACION!A420</f>
        <v>X</v>
      </c>
      <c r="B165" s="1051" t="str">
        <f>EDIFICACION!B420</f>
        <v>CARPINTERIA MADERA-METALICA Y ALUMINIO</v>
      </c>
      <c r="C165" s="1052"/>
      <c r="D165" s="1052"/>
      <c r="E165" s="1052"/>
      <c r="F165" s="1052"/>
      <c r="G165" s="1052"/>
      <c r="H165" s="1139"/>
      <c r="I165" s="994"/>
      <c r="J165" s="994"/>
      <c r="K165" s="994"/>
      <c r="L165" s="994"/>
      <c r="M165" s="994"/>
      <c r="N165" s="994"/>
      <c r="O165" s="994"/>
      <c r="P165" s="994"/>
      <c r="Q165" s="994"/>
      <c r="R165" s="994"/>
      <c r="S165" s="994"/>
      <c r="T165" s="994"/>
      <c r="U165" s="994"/>
      <c r="V165" s="994"/>
      <c r="W165" s="994"/>
      <c r="X165" s="994"/>
      <c r="Y165" s="994"/>
      <c r="Z165" s="994"/>
      <c r="AA165" s="994"/>
      <c r="AB165" s="994"/>
      <c r="AC165" s="994"/>
      <c r="AD165" s="994"/>
      <c r="AE165" s="994"/>
      <c r="AF165" s="994"/>
      <c r="AG165" s="994"/>
      <c r="AH165" s="994"/>
      <c r="AI165" s="994"/>
      <c r="AJ165" s="994"/>
      <c r="AK165" s="994"/>
      <c r="AL165" s="994"/>
      <c r="AM165" s="994"/>
      <c r="AN165" s="994"/>
      <c r="AO165" s="994"/>
      <c r="AP165" s="994"/>
      <c r="AQ165" s="994"/>
      <c r="AR165" s="994"/>
      <c r="AS165" s="994"/>
      <c r="AT165" s="994"/>
      <c r="AU165" s="994"/>
      <c r="AV165" s="994"/>
      <c r="AW165" s="994"/>
      <c r="AX165" s="994"/>
      <c r="AY165" s="994"/>
      <c r="AZ165" s="994"/>
      <c r="BA165" s="994"/>
      <c r="BB165" s="994"/>
      <c r="BC165" s="994"/>
      <c r="BD165" s="994"/>
      <c r="BE165" s="994"/>
      <c r="BF165" s="994"/>
      <c r="BG165" s="994"/>
      <c r="BH165" s="994"/>
      <c r="BI165" s="994"/>
      <c r="BJ165" s="994"/>
      <c r="BK165" s="994"/>
      <c r="BL165" s="994"/>
      <c r="BM165" s="994"/>
      <c r="BN165" s="994"/>
      <c r="BO165" s="994"/>
      <c r="BP165" s="994"/>
      <c r="BQ165" s="994"/>
      <c r="BR165" s="994"/>
      <c r="BS165" s="994"/>
      <c r="BT165" s="994"/>
      <c r="BU165" s="994"/>
      <c r="BV165" s="994"/>
      <c r="BW165" s="994"/>
      <c r="BX165" s="994"/>
      <c r="BY165" s="994"/>
      <c r="BZ165" s="994"/>
      <c r="CA165" s="994"/>
      <c r="CB165" s="994"/>
      <c r="CC165" s="994"/>
      <c r="CD165" s="994"/>
      <c r="CE165" s="994"/>
      <c r="CF165" s="994"/>
      <c r="CG165" s="994"/>
      <c r="CH165" s="994"/>
      <c r="CI165" s="994"/>
      <c r="CJ165" s="994"/>
      <c r="CK165" s="994"/>
      <c r="CL165" s="994"/>
      <c r="CM165" s="994"/>
      <c r="CN165" s="994"/>
      <c r="CO165" s="994"/>
      <c r="CP165" s="994"/>
      <c r="CQ165" s="994"/>
      <c r="CR165" s="994"/>
      <c r="CS165" s="994"/>
      <c r="CT165" s="994"/>
      <c r="CU165" s="994"/>
      <c r="CV165" s="994"/>
      <c r="CW165" s="994"/>
      <c r="CX165" s="994"/>
      <c r="CY165" s="994"/>
      <c r="CZ165" s="994"/>
    </row>
    <row r="166" spans="1:104" s="3" customFormat="1" ht="9" customHeight="1">
      <c r="A166" s="1017">
        <f>EDIFICACION!A421</f>
        <v>10.1</v>
      </c>
      <c r="B166" s="1018" t="str">
        <f>EDIFICACION!B421</f>
        <v>VENTANA 744 ANOLOCK-VIDRIO BRONCE UNA NAVE FIJA Y UNA CORREDIZA 1.00X1.20 5020 ANOLOCK, INCLUYE VIDRIO BRONCE</v>
      </c>
      <c r="C166" s="1016" t="str">
        <f>EDIFICACION!C421</f>
        <v>M2</v>
      </c>
      <c r="D166" s="1015">
        <f>1.93*0.5*3</f>
        <v>2.895</v>
      </c>
      <c r="E166" s="1014">
        <f>EDIFICACION!F421</f>
        <v>214240</v>
      </c>
      <c r="F166" s="1012">
        <f t="shared" si="8"/>
        <v>620224.80000000005</v>
      </c>
      <c r="G166" s="1013">
        <f>F166/F259</f>
        <v>1.8728004288173113E-3</v>
      </c>
      <c r="H166" s="1139"/>
      <c r="I166" s="1009" t="s">
        <v>3340</v>
      </c>
      <c r="J166" s="985" t="s">
        <v>3397</v>
      </c>
      <c r="K166" s="985" t="s">
        <v>3398</v>
      </c>
      <c r="L166" s="806" t="s">
        <v>3318</v>
      </c>
      <c r="M166" s="964"/>
      <c r="N166" s="965"/>
      <c r="O166" s="965"/>
      <c r="P166" s="965"/>
      <c r="Q166" s="965"/>
      <c r="R166" s="965"/>
      <c r="S166" s="965"/>
      <c r="T166" s="965"/>
      <c r="U166" s="965"/>
      <c r="V166" s="965"/>
      <c r="W166" s="965"/>
      <c r="X166" s="965"/>
      <c r="Y166" s="965"/>
      <c r="Z166" s="965"/>
      <c r="AA166" s="966"/>
      <c r="AB166" s="965"/>
      <c r="AC166" s="965"/>
      <c r="AD166" s="965"/>
      <c r="AE166" s="965"/>
      <c r="AF166" s="965"/>
      <c r="AG166" s="965"/>
      <c r="AH166" s="965"/>
      <c r="AI166" s="965"/>
      <c r="AJ166" s="965"/>
      <c r="AK166" s="965"/>
      <c r="AL166" s="965"/>
      <c r="AM166" s="965"/>
      <c r="AN166" s="965"/>
      <c r="AO166" s="965"/>
      <c r="AP166" s="965"/>
      <c r="AQ166" s="965"/>
      <c r="AR166" s="965"/>
      <c r="AS166" s="965"/>
      <c r="AT166" s="965"/>
      <c r="AU166" s="965"/>
      <c r="AV166" s="965"/>
      <c r="AW166" s="965"/>
      <c r="AX166" s="965"/>
      <c r="AY166" s="965"/>
      <c r="AZ166" s="965"/>
      <c r="BA166" s="965"/>
      <c r="BB166" s="965"/>
      <c r="BC166" s="965"/>
      <c r="BD166" s="965"/>
      <c r="BE166" s="965"/>
      <c r="BF166" s="965"/>
      <c r="BG166" s="965"/>
      <c r="BH166" s="965"/>
      <c r="BI166" s="965"/>
      <c r="BJ166" s="965"/>
      <c r="BK166" s="965"/>
      <c r="BL166" s="965"/>
      <c r="BM166" s="965"/>
      <c r="BN166" s="965"/>
      <c r="BO166" s="965"/>
      <c r="BP166" s="965"/>
      <c r="BQ166" s="965"/>
      <c r="BR166" s="965"/>
      <c r="BS166" s="965"/>
      <c r="BT166" s="965"/>
      <c r="BU166" s="965"/>
      <c r="BV166" s="965"/>
      <c r="BW166" s="965"/>
      <c r="BX166" s="965"/>
      <c r="BY166" s="965"/>
      <c r="BZ166" s="965"/>
      <c r="CA166" s="965"/>
      <c r="CB166" s="965"/>
      <c r="CC166" s="965"/>
      <c r="CD166" s="965"/>
      <c r="CE166" s="965"/>
      <c r="CF166" s="965"/>
      <c r="CG166" s="965"/>
      <c r="CH166" s="965"/>
      <c r="CI166" s="965"/>
      <c r="CJ166" s="965"/>
      <c r="CK166" s="965"/>
      <c r="CL166" s="1113">
        <f>F166/CZ166*CM167</f>
        <v>620224.80000000005</v>
      </c>
      <c r="CM166" s="1114"/>
      <c r="CN166" s="1114"/>
      <c r="CO166" s="1114"/>
      <c r="CP166" s="1114"/>
      <c r="CQ166" s="1114"/>
      <c r="CR166" s="1114"/>
      <c r="CS166" s="965"/>
      <c r="CT166" s="965"/>
      <c r="CU166" s="965"/>
      <c r="CV166" s="965"/>
      <c r="CW166" s="965"/>
      <c r="CX166" s="965"/>
      <c r="CY166" s="965"/>
      <c r="CZ166" s="1115">
        <v>2</v>
      </c>
    </row>
    <row r="167" spans="1:104" s="3" customFormat="1" ht="9" customHeight="1">
      <c r="A167" s="938"/>
      <c r="B167" s="940"/>
      <c r="C167" s="1008"/>
      <c r="D167" s="942"/>
      <c r="E167" s="944"/>
      <c r="F167" s="946"/>
      <c r="G167" s="948"/>
      <c r="H167" s="1139"/>
      <c r="I167" s="1010"/>
      <c r="J167" s="986"/>
      <c r="K167" s="986"/>
      <c r="L167" s="807" t="s">
        <v>3319</v>
      </c>
      <c r="M167" s="811">
        <v>1</v>
      </c>
      <c r="N167" s="810">
        <v>2</v>
      </c>
      <c r="O167" s="810">
        <v>3</v>
      </c>
      <c r="P167" s="810">
        <v>4</v>
      </c>
      <c r="Q167" s="810">
        <v>5</v>
      </c>
      <c r="R167" s="810">
        <v>6</v>
      </c>
      <c r="S167" s="810">
        <v>7</v>
      </c>
      <c r="T167" s="810">
        <v>1</v>
      </c>
      <c r="U167" s="810">
        <v>2</v>
      </c>
      <c r="V167" s="810">
        <v>3</v>
      </c>
      <c r="W167" s="810">
        <v>4</v>
      </c>
      <c r="X167" s="810">
        <v>5</v>
      </c>
      <c r="Y167" s="810">
        <v>6</v>
      </c>
      <c r="Z167" s="810">
        <v>7</v>
      </c>
      <c r="AA167" s="810">
        <v>1</v>
      </c>
      <c r="AB167" s="810">
        <v>2</v>
      </c>
      <c r="AC167" s="810">
        <v>3</v>
      </c>
      <c r="AD167" s="810">
        <v>4</v>
      </c>
      <c r="AE167" s="810">
        <v>5</v>
      </c>
      <c r="AF167" s="810">
        <v>6</v>
      </c>
      <c r="AG167" s="810">
        <v>7</v>
      </c>
      <c r="AH167" s="810">
        <v>1</v>
      </c>
      <c r="AI167" s="810">
        <v>2</v>
      </c>
      <c r="AJ167" s="810">
        <v>3</v>
      </c>
      <c r="AK167" s="810">
        <v>4</v>
      </c>
      <c r="AL167" s="810">
        <v>5</v>
      </c>
      <c r="AM167" s="810">
        <v>6</v>
      </c>
      <c r="AN167" s="810">
        <v>7</v>
      </c>
      <c r="AO167" s="810">
        <v>1</v>
      </c>
      <c r="AP167" s="810">
        <v>2</v>
      </c>
      <c r="AQ167" s="810">
        <v>3</v>
      </c>
      <c r="AR167" s="810">
        <v>4</v>
      </c>
      <c r="AS167" s="810">
        <v>5</v>
      </c>
      <c r="AT167" s="810">
        <v>6</v>
      </c>
      <c r="AU167" s="810">
        <v>7</v>
      </c>
      <c r="AV167" s="810">
        <v>1</v>
      </c>
      <c r="AW167" s="810">
        <v>2</v>
      </c>
      <c r="AX167" s="810">
        <v>3</v>
      </c>
      <c r="AY167" s="810">
        <v>4</v>
      </c>
      <c r="AZ167" s="810">
        <v>5</v>
      </c>
      <c r="BA167" s="810">
        <v>6</v>
      </c>
      <c r="BB167" s="810">
        <v>7</v>
      </c>
      <c r="BC167" s="810">
        <v>1</v>
      </c>
      <c r="BD167" s="810">
        <v>2</v>
      </c>
      <c r="BE167" s="810">
        <v>3</v>
      </c>
      <c r="BF167" s="810">
        <v>4</v>
      </c>
      <c r="BG167" s="810">
        <v>5</v>
      </c>
      <c r="BH167" s="810">
        <v>6</v>
      </c>
      <c r="BI167" s="810">
        <v>7</v>
      </c>
      <c r="BJ167" s="810">
        <v>1</v>
      </c>
      <c r="BK167" s="810">
        <v>2</v>
      </c>
      <c r="BL167" s="810">
        <v>3</v>
      </c>
      <c r="BM167" s="810">
        <v>4</v>
      </c>
      <c r="BN167" s="810">
        <v>5</v>
      </c>
      <c r="BO167" s="810">
        <v>6</v>
      </c>
      <c r="BP167" s="810">
        <v>7</v>
      </c>
      <c r="BQ167" s="810">
        <v>1</v>
      </c>
      <c r="BR167" s="810">
        <v>2</v>
      </c>
      <c r="BS167" s="810">
        <v>3</v>
      </c>
      <c r="BT167" s="810">
        <v>4</v>
      </c>
      <c r="BU167" s="810">
        <v>5</v>
      </c>
      <c r="BV167" s="810">
        <v>6</v>
      </c>
      <c r="BW167" s="810">
        <v>7</v>
      </c>
      <c r="BX167" s="810">
        <v>1</v>
      </c>
      <c r="BY167" s="810">
        <v>2</v>
      </c>
      <c r="BZ167" s="810">
        <v>3</v>
      </c>
      <c r="CA167" s="810">
        <v>4</v>
      </c>
      <c r="CB167" s="810">
        <v>5</v>
      </c>
      <c r="CC167" s="810">
        <v>6</v>
      </c>
      <c r="CD167" s="810">
        <v>7</v>
      </c>
      <c r="CE167" s="810">
        <v>1</v>
      </c>
      <c r="CF167" s="810">
        <v>2</v>
      </c>
      <c r="CG167" s="810">
        <v>3</v>
      </c>
      <c r="CH167" s="810">
        <v>4</v>
      </c>
      <c r="CI167" s="810">
        <v>5</v>
      </c>
      <c r="CJ167" s="810">
        <v>6</v>
      </c>
      <c r="CK167" s="810">
        <v>7</v>
      </c>
      <c r="CL167" s="810">
        <v>1</v>
      </c>
      <c r="CM167" s="810">
        <v>2</v>
      </c>
      <c r="CN167" s="812">
        <v>3</v>
      </c>
      <c r="CO167" s="812">
        <v>4</v>
      </c>
      <c r="CP167" s="810">
        <v>5</v>
      </c>
      <c r="CQ167" s="810">
        <v>6</v>
      </c>
      <c r="CR167" s="810">
        <v>7</v>
      </c>
      <c r="CS167" s="810">
        <v>1</v>
      </c>
      <c r="CT167" s="810">
        <v>2</v>
      </c>
      <c r="CU167" s="810">
        <v>3</v>
      </c>
      <c r="CV167" s="810">
        <v>4</v>
      </c>
      <c r="CW167" s="810">
        <v>5</v>
      </c>
      <c r="CX167" s="781">
        <v>6</v>
      </c>
      <c r="CY167" s="781">
        <v>7</v>
      </c>
      <c r="CZ167" s="1116"/>
    </row>
    <row r="168" spans="1:104" s="3" customFormat="1" ht="9" customHeight="1" thickBot="1">
      <c r="A168" s="938"/>
      <c r="B168" s="940"/>
      <c r="C168" s="1008"/>
      <c r="D168" s="942"/>
      <c r="E168" s="944"/>
      <c r="F168" s="946"/>
      <c r="G168" s="948"/>
      <c r="H168" s="1139"/>
      <c r="I168" s="1011"/>
      <c r="J168" s="987"/>
      <c r="K168" s="987"/>
      <c r="L168" s="808" t="s">
        <v>3320</v>
      </c>
      <c r="M168" s="955"/>
      <c r="N168" s="956"/>
      <c r="O168" s="956"/>
      <c r="P168" s="956"/>
      <c r="Q168" s="956"/>
      <c r="R168" s="956"/>
      <c r="S168" s="956"/>
      <c r="T168" s="956"/>
      <c r="U168" s="956"/>
      <c r="V168" s="956"/>
      <c r="W168" s="956"/>
      <c r="X168" s="956"/>
      <c r="Y168" s="956"/>
      <c r="Z168" s="956"/>
      <c r="AA168" s="956"/>
      <c r="AB168" s="956"/>
      <c r="AC168" s="956"/>
      <c r="AD168" s="956"/>
      <c r="AE168" s="956"/>
      <c r="AF168" s="956"/>
      <c r="AG168" s="956"/>
      <c r="AH168" s="956"/>
      <c r="AI168" s="956"/>
      <c r="AJ168" s="956"/>
      <c r="AK168" s="956"/>
      <c r="AL168" s="956"/>
      <c r="AM168" s="956"/>
      <c r="AN168" s="956"/>
      <c r="AO168" s="956"/>
      <c r="AP168" s="956"/>
      <c r="AQ168" s="956"/>
      <c r="AR168" s="956"/>
      <c r="AS168" s="956"/>
      <c r="AT168" s="956"/>
      <c r="AU168" s="956"/>
      <c r="AV168" s="956"/>
      <c r="AW168" s="956"/>
      <c r="AX168" s="956"/>
      <c r="AY168" s="956"/>
      <c r="AZ168" s="956"/>
      <c r="BA168" s="956"/>
      <c r="BB168" s="956"/>
      <c r="BC168" s="956"/>
      <c r="BD168" s="956"/>
      <c r="BE168" s="956"/>
      <c r="BF168" s="956"/>
      <c r="BG168" s="956"/>
      <c r="BH168" s="956"/>
      <c r="BI168" s="956"/>
      <c r="BJ168" s="956"/>
      <c r="BK168" s="956"/>
      <c r="BL168" s="956"/>
      <c r="BM168" s="956"/>
      <c r="BN168" s="956"/>
      <c r="BO168" s="956"/>
      <c r="BP168" s="956"/>
      <c r="BQ168" s="956"/>
      <c r="BR168" s="956"/>
      <c r="BS168" s="956"/>
      <c r="BT168" s="956"/>
      <c r="BU168" s="956">
        <f>CS166+CL166+CE166+BX166+BQ166</f>
        <v>620224.80000000005</v>
      </c>
      <c r="BV168" s="956"/>
      <c r="BW168" s="956"/>
      <c r="BX168" s="956"/>
      <c r="BY168" s="956"/>
      <c r="BZ168" s="956"/>
      <c r="CA168" s="956"/>
      <c r="CB168" s="956"/>
      <c r="CC168" s="956"/>
      <c r="CD168" s="956"/>
      <c r="CE168" s="956"/>
      <c r="CF168" s="956"/>
      <c r="CG168" s="956"/>
      <c r="CH168" s="956"/>
      <c r="CI168" s="956"/>
      <c r="CJ168" s="956"/>
      <c r="CK168" s="956"/>
      <c r="CL168" s="956"/>
      <c r="CM168" s="956"/>
      <c r="CN168" s="956"/>
      <c r="CO168" s="956"/>
      <c r="CP168" s="956"/>
      <c r="CQ168" s="956"/>
      <c r="CR168" s="956"/>
      <c r="CS168" s="956"/>
      <c r="CT168" s="956"/>
      <c r="CU168" s="956"/>
      <c r="CV168" s="956"/>
      <c r="CW168" s="956"/>
      <c r="CX168" s="956"/>
      <c r="CY168" s="956"/>
      <c r="CZ168" s="1116"/>
    </row>
    <row r="169" spans="1:104" s="3" customFormat="1" ht="9" customHeight="1">
      <c r="A169" s="938">
        <f>EDIFICACION!A426</f>
        <v>10.199999999999999</v>
      </c>
      <c r="B169" s="940" t="str">
        <f>EDIFICACION!B426</f>
        <v>PUERTAS - DIVISIONES BAÑOS  LAMINA CAL. 18, EN ACERO INOXIDABLE, INSTALADA.</v>
      </c>
      <c r="C169" s="938" t="str">
        <f>EDIFICACION!C426</f>
        <v>M2</v>
      </c>
      <c r="D169" s="942">
        <f>0.6*1.3*10*3</f>
        <v>23.400000000000002</v>
      </c>
      <c r="E169" s="944">
        <f>EDIFICACION!F426</f>
        <v>981352</v>
      </c>
      <c r="F169" s="946">
        <f t="shared" ref="F169" si="9">E169*D169</f>
        <v>22963636.800000001</v>
      </c>
      <c r="G169" s="948">
        <f>F169/F259</f>
        <v>6.9339872972259395E-2</v>
      </c>
      <c r="H169" s="1139"/>
      <c r="I169" s="1009" t="s">
        <v>3340</v>
      </c>
      <c r="J169" s="985" t="s">
        <v>3397</v>
      </c>
      <c r="K169" s="985" t="s">
        <v>3398</v>
      </c>
      <c r="L169" s="806" t="s">
        <v>3318</v>
      </c>
      <c r="M169" s="964"/>
      <c r="N169" s="965"/>
      <c r="O169" s="965"/>
      <c r="P169" s="965"/>
      <c r="Q169" s="965"/>
      <c r="R169" s="965"/>
      <c r="S169" s="965"/>
      <c r="T169" s="965"/>
      <c r="U169" s="965"/>
      <c r="V169" s="965"/>
      <c r="W169" s="965"/>
      <c r="X169" s="965"/>
      <c r="Y169" s="965"/>
      <c r="Z169" s="965"/>
      <c r="AA169" s="966"/>
      <c r="AB169" s="965"/>
      <c r="AC169" s="965"/>
      <c r="AD169" s="965"/>
      <c r="AE169" s="965"/>
      <c r="AF169" s="965"/>
      <c r="AG169" s="965"/>
      <c r="AH169" s="965"/>
      <c r="AI169" s="965"/>
      <c r="AJ169" s="965"/>
      <c r="AK169" s="965"/>
      <c r="AL169" s="965"/>
      <c r="AM169" s="965"/>
      <c r="AN169" s="965"/>
      <c r="AO169" s="965"/>
      <c r="AP169" s="965"/>
      <c r="AQ169" s="965"/>
      <c r="AR169" s="965"/>
      <c r="AS169" s="965"/>
      <c r="AT169" s="965"/>
      <c r="AU169" s="965"/>
      <c r="AV169" s="965"/>
      <c r="AW169" s="965"/>
      <c r="AX169" s="965"/>
      <c r="AY169" s="965"/>
      <c r="AZ169" s="965"/>
      <c r="BA169" s="965"/>
      <c r="BB169" s="965"/>
      <c r="BC169" s="965"/>
      <c r="BD169" s="965"/>
      <c r="BE169" s="965"/>
      <c r="BF169" s="965"/>
      <c r="BG169" s="965"/>
      <c r="BH169" s="965"/>
      <c r="BI169" s="965"/>
      <c r="BJ169" s="965"/>
      <c r="BK169" s="965"/>
      <c r="BL169" s="965"/>
      <c r="BM169" s="965"/>
      <c r="BN169" s="965"/>
      <c r="BO169" s="965"/>
      <c r="BP169" s="965"/>
      <c r="BQ169" s="965"/>
      <c r="BR169" s="965"/>
      <c r="BS169" s="965"/>
      <c r="BT169" s="965"/>
      <c r="BU169" s="965"/>
      <c r="BV169" s="965"/>
      <c r="BW169" s="965"/>
      <c r="BX169" s="965"/>
      <c r="BY169" s="965"/>
      <c r="BZ169" s="965"/>
      <c r="CA169" s="965"/>
      <c r="CB169" s="965"/>
      <c r="CC169" s="965"/>
      <c r="CD169" s="965"/>
      <c r="CE169" s="965"/>
      <c r="CF169" s="965"/>
      <c r="CG169" s="965"/>
      <c r="CH169" s="965"/>
      <c r="CI169" s="965"/>
      <c r="CJ169" s="965"/>
      <c r="CK169" s="965"/>
      <c r="CL169" s="1144">
        <f>F169/CZ169*2</f>
        <v>22963636.800000001</v>
      </c>
      <c r="CM169" s="1144"/>
      <c r="CN169" s="1144"/>
      <c r="CO169" s="1144"/>
      <c r="CP169" s="1144"/>
      <c r="CQ169" s="1144"/>
      <c r="CR169" s="1144"/>
      <c r="CS169" s="965"/>
      <c r="CT169" s="965"/>
      <c r="CU169" s="965"/>
      <c r="CV169" s="965"/>
      <c r="CW169" s="965"/>
      <c r="CX169" s="965"/>
      <c r="CY169" s="965"/>
      <c r="CZ169" s="1115">
        <v>2</v>
      </c>
    </row>
    <row r="170" spans="1:104" s="3" customFormat="1" ht="9" customHeight="1">
      <c r="A170" s="938"/>
      <c r="B170" s="940"/>
      <c r="C170" s="938"/>
      <c r="D170" s="942"/>
      <c r="E170" s="944"/>
      <c r="F170" s="946"/>
      <c r="G170" s="948"/>
      <c r="H170" s="1139"/>
      <c r="I170" s="1010"/>
      <c r="J170" s="986"/>
      <c r="K170" s="986"/>
      <c r="L170" s="807" t="s">
        <v>3319</v>
      </c>
      <c r="M170" s="811">
        <v>1</v>
      </c>
      <c r="N170" s="810">
        <v>2</v>
      </c>
      <c r="O170" s="810">
        <v>3</v>
      </c>
      <c r="P170" s="810">
        <v>4</v>
      </c>
      <c r="Q170" s="810">
        <v>5</v>
      </c>
      <c r="R170" s="810">
        <v>6</v>
      </c>
      <c r="S170" s="810">
        <v>7</v>
      </c>
      <c r="T170" s="810">
        <v>1</v>
      </c>
      <c r="U170" s="810">
        <v>2</v>
      </c>
      <c r="V170" s="810">
        <v>3</v>
      </c>
      <c r="W170" s="810">
        <v>4</v>
      </c>
      <c r="X170" s="810">
        <v>5</v>
      </c>
      <c r="Y170" s="810">
        <v>6</v>
      </c>
      <c r="Z170" s="810">
        <v>7</v>
      </c>
      <c r="AA170" s="810">
        <v>1</v>
      </c>
      <c r="AB170" s="810">
        <v>2</v>
      </c>
      <c r="AC170" s="810">
        <v>3</v>
      </c>
      <c r="AD170" s="810">
        <v>4</v>
      </c>
      <c r="AE170" s="810">
        <v>5</v>
      </c>
      <c r="AF170" s="810">
        <v>6</v>
      </c>
      <c r="AG170" s="810">
        <v>7</v>
      </c>
      <c r="AH170" s="810">
        <v>1</v>
      </c>
      <c r="AI170" s="810">
        <v>2</v>
      </c>
      <c r="AJ170" s="810">
        <v>3</v>
      </c>
      <c r="AK170" s="810">
        <v>4</v>
      </c>
      <c r="AL170" s="810">
        <v>5</v>
      </c>
      <c r="AM170" s="810">
        <v>6</v>
      </c>
      <c r="AN170" s="810">
        <v>7</v>
      </c>
      <c r="AO170" s="810">
        <v>1</v>
      </c>
      <c r="AP170" s="810">
        <v>2</v>
      </c>
      <c r="AQ170" s="810">
        <v>3</v>
      </c>
      <c r="AR170" s="810">
        <v>4</v>
      </c>
      <c r="AS170" s="810">
        <v>5</v>
      </c>
      <c r="AT170" s="810">
        <v>6</v>
      </c>
      <c r="AU170" s="810">
        <v>7</v>
      </c>
      <c r="AV170" s="810">
        <v>1</v>
      </c>
      <c r="AW170" s="810">
        <v>2</v>
      </c>
      <c r="AX170" s="810">
        <v>3</v>
      </c>
      <c r="AY170" s="810">
        <v>4</v>
      </c>
      <c r="AZ170" s="810">
        <v>5</v>
      </c>
      <c r="BA170" s="810">
        <v>6</v>
      </c>
      <c r="BB170" s="810">
        <v>7</v>
      </c>
      <c r="BC170" s="810">
        <v>1</v>
      </c>
      <c r="BD170" s="810">
        <v>2</v>
      </c>
      <c r="BE170" s="810">
        <v>3</v>
      </c>
      <c r="BF170" s="810">
        <v>4</v>
      </c>
      <c r="BG170" s="810">
        <v>5</v>
      </c>
      <c r="BH170" s="810">
        <v>6</v>
      </c>
      <c r="BI170" s="810">
        <v>7</v>
      </c>
      <c r="BJ170" s="810">
        <v>1</v>
      </c>
      <c r="BK170" s="810">
        <v>2</v>
      </c>
      <c r="BL170" s="810">
        <v>3</v>
      </c>
      <c r="BM170" s="810">
        <v>4</v>
      </c>
      <c r="BN170" s="810">
        <v>5</v>
      </c>
      <c r="BO170" s="810">
        <v>6</v>
      </c>
      <c r="BP170" s="810">
        <v>7</v>
      </c>
      <c r="BQ170" s="810">
        <v>1</v>
      </c>
      <c r="BR170" s="810">
        <v>2</v>
      </c>
      <c r="BS170" s="810">
        <v>3</v>
      </c>
      <c r="BT170" s="810">
        <v>4</v>
      </c>
      <c r="BU170" s="810">
        <v>5</v>
      </c>
      <c r="BV170" s="810">
        <v>6</v>
      </c>
      <c r="BW170" s="810">
        <v>7</v>
      </c>
      <c r="BX170" s="810">
        <v>1</v>
      </c>
      <c r="BY170" s="810">
        <v>2</v>
      </c>
      <c r="BZ170" s="810">
        <v>3</v>
      </c>
      <c r="CA170" s="810">
        <v>4</v>
      </c>
      <c r="CB170" s="810">
        <v>5</v>
      </c>
      <c r="CC170" s="810">
        <v>6</v>
      </c>
      <c r="CD170" s="810">
        <v>7</v>
      </c>
      <c r="CE170" s="810">
        <v>1</v>
      </c>
      <c r="CF170" s="810">
        <v>2</v>
      </c>
      <c r="CG170" s="810">
        <v>3</v>
      </c>
      <c r="CH170" s="810">
        <v>4</v>
      </c>
      <c r="CI170" s="810">
        <v>5</v>
      </c>
      <c r="CJ170" s="810">
        <v>6</v>
      </c>
      <c r="CK170" s="810">
        <v>7</v>
      </c>
      <c r="CL170" s="810">
        <v>1</v>
      </c>
      <c r="CM170" s="810">
        <v>2</v>
      </c>
      <c r="CN170" s="812">
        <v>3</v>
      </c>
      <c r="CO170" s="812">
        <v>4</v>
      </c>
      <c r="CP170" s="810">
        <v>5</v>
      </c>
      <c r="CQ170" s="810">
        <v>6</v>
      </c>
      <c r="CR170" s="810">
        <v>7</v>
      </c>
      <c r="CS170" s="810">
        <v>1</v>
      </c>
      <c r="CT170" s="810">
        <v>2</v>
      </c>
      <c r="CU170" s="810">
        <v>3</v>
      </c>
      <c r="CV170" s="810">
        <v>4</v>
      </c>
      <c r="CW170" s="810">
        <v>5</v>
      </c>
      <c r="CX170" s="781">
        <v>6</v>
      </c>
      <c r="CY170" s="781">
        <v>7</v>
      </c>
      <c r="CZ170" s="1116"/>
    </row>
    <row r="171" spans="1:104" s="3" customFormat="1" ht="9" customHeight="1" thickBot="1">
      <c r="A171" s="938"/>
      <c r="B171" s="940"/>
      <c r="C171" s="938"/>
      <c r="D171" s="942"/>
      <c r="E171" s="944"/>
      <c r="F171" s="946"/>
      <c r="G171" s="948"/>
      <c r="H171" s="1139"/>
      <c r="I171" s="1011"/>
      <c r="J171" s="987"/>
      <c r="K171" s="987"/>
      <c r="L171" s="808" t="s">
        <v>3320</v>
      </c>
      <c r="M171" s="955"/>
      <c r="N171" s="956"/>
      <c r="O171" s="956"/>
      <c r="P171" s="956"/>
      <c r="Q171" s="956"/>
      <c r="R171" s="956"/>
      <c r="S171" s="956"/>
      <c r="T171" s="956"/>
      <c r="U171" s="956"/>
      <c r="V171" s="956"/>
      <c r="W171" s="956"/>
      <c r="X171" s="956"/>
      <c r="Y171" s="956"/>
      <c r="Z171" s="956"/>
      <c r="AA171" s="956"/>
      <c r="AB171" s="956"/>
      <c r="AC171" s="956"/>
      <c r="AD171" s="956"/>
      <c r="AE171" s="956"/>
      <c r="AF171" s="956"/>
      <c r="AG171" s="956"/>
      <c r="AH171" s="956"/>
      <c r="AI171" s="956"/>
      <c r="AJ171" s="956"/>
      <c r="AK171" s="956"/>
      <c r="AL171" s="956"/>
      <c r="AM171" s="956"/>
      <c r="AN171" s="956"/>
      <c r="AO171" s="956"/>
      <c r="AP171" s="956"/>
      <c r="AQ171" s="956"/>
      <c r="AR171" s="956"/>
      <c r="AS171" s="956"/>
      <c r="AT171" s="956"/>
      <c r="AU171" s="956"/>
      <c r="AV171" s="956"/>
      <c r="AW171" s="956"/>
      <c r="AX171" s="956"/>
      <c r="AY171" s="956"/>
      <c r="AZ171" s="956"/>
      <c r="BA171" s="956"/>
      <c r="BB171" s="956"/>
      <c r="BC171" s="956"/>
      <c r="BD171" s="956"/>
      <c r="BE171" s="956"/>
      <c r="BF171" s="956"/>
      <c r="BG171" s="956"/>
      <c r="BH171" s="956"/>
      <c r="BI171" s="956"/>
      <c r="BJ171" s="956"/>
      <c r="BK171" s="956"/>
      <c r="BL171" s="956"/>
      <c r="BM171" s="956"/>
      <c r="BN171" s="956"/>
      <c r="BO171" s="956"/>
      <c r="BP171" s="956"/>
      <c r="BQ171" s="956"/>
      <c r="BR171" s="956"/>
      <c r="BS171" s="956"/>
      <c r="BT171" s="956"/>
      <c r="BU171" s="956">
        <f>CS169+CL169+CE169+BX169+BQ169</f>
        <v>22963636.800000001</v>
      </c>
      <c r="BV171" s="956"/>
      <c r="BW171" s="956"/>
      <c r="BX171" s="956"/>
      <c r="BY171" s="956"/>
      <c r="BZ171" s="956"/>
      <c r="CA171" s="956"/>
      <c r="CB171" s="956"/>
      <c r="CC171" s="956"/>
      <c r="CD171" s="956"/>
      <c r="CE171" s="956"/>
      <c r="CF171" s="956"/>
      <c r="CG171" s="956"/>
      <c r="CH171" s="956"/>
      <c r="CI171" s="956"/>
      <c r="CJ171" s="956"/>
      <c r="CK171" s="956"/>
      <c r="CL171" s="956"/>
      <c r="CM171" s="956"/>
      <c r="CN171" s="956"/>
      <c r="CO171" s="956"/>
      <c r="CP171" s="956"/>
      <c r="CQ171" s="956"/>
      <c r="CR171" s="956"/>
      <c r="CS171" s="956"/>
      <c r="CT171" s="956"/>
      <c r="CU171" s="956"/>
      <c r="CV171" s="956"/>
      <c r="CW171" s="956"/>
      <c r="CX171" s="956"/>
      <c r="CY171" s="956"/>
      <c r="CZ171" s="1116"/>
    </row>
    <row r="172" spans="1:104" s="3" customFormat="1" ht="20.25" customHeight="1">
      <c r="A172" s="938">
        <f>EDIFICACION!A452</f>
        <v>10.5</v>
      </c>
      <c r="B172" s="940" t="str">
        <f>EDIFICACION!B452</f>
        <v xml:space="preserve">SUMINISTRO, TRANSPORTE  E INSTALACIÓN DE DIVISIONES EN PANELES DE ACERO INOXIDABLE TIPO SOCODA REF.: 304 CALIBRE 20, O EQUIVALENTE, CON UNA ALTURA DE 1.80m, INCLUYE PUERTAS, PARALES, CHAPAS, BISAGRAS, EMPAQUES, PASADORES BARRAS DE 1.5"       </v>
      </c>
      <c r="C172" s="1008" t="str">
        <f>EDIFICACION!C452</f>
        <v>M2</v>
      </c>
      <c r="D172" s="942">
        <v>28.08</v>
      </c>
      <c r="E172" s="944">
        <f>EDIFICACION!F452</f>
        <v>1209416</v>
      </c>
      <c r="F172" s="946">
        <f t="shared" si="8"/>
        <v>33960401.280000001</v>
      </c>
      <c r="G172" s="948">
        <f>F172/F259</f>
        <v>0.10254516439844386</v>
      </c>
      <c r="H172" s="1139"/>
      <c r="I172" s="1009" t="s">
        <v>3340</v>
      </c>
      <c r="J172" s="985" t="s">
        <v>3397</v>
      </c>
      <c r="K172" s="985" t="s">
        <v>3398</v>
      </c>
      <c r="L172" s="806" t="s">
        <v>3318</v>
      </c>
      <c r="M172" s="988"/>
      <c r="N172" s="952"/>
      <c r="O172" s="952"/>
      <c r="P172" s="952"/>
      <c r="Q172" s="952"/>
      <c r="R172" s="952"/>
      <c r="S172" s="952"/>
      <c r="T172" s="952"/>
      <c r="U172" s="952"/>
      <c r="V172" s="952"/>
      <c r="W172" s="952"/>
      <c r="X172" s="952"/>
      <c r="Y172" s="952"/>
      <c r="Z172" s="952"/>
      <c r="AA172" s="1007"/>
      <c r="AB172" s="952"/>
      <c r="AC172" s="952"/>
      <c r="AD172" s="952"/>
      <c r="AE172" s="952"/>
      <c r="AF172" s="952"/>
      <c r="AG172" s="952"/>
      <c r="AH172" s="952"/>
      <c r="AI172" s="952"/>
      <c r="AJ172" s="952"/>
      <c r="AK172" s="952"/>
      <c r="AL172" s="952"/>
      <c r="AM172" s="952"/>
      <c r="AN172" s="952"/>
      <c r="AO172" s="952"/>
      <c r="AP172" s="952"/>
      <c r="AQ172" s="952"/>
      <c r="AR172" s="952"/>
      <c r="AS172" s="952"/>
      <c r="AT172" s="952"/>
      <c r="AU172" s="952"/>
      <c r="AV172" s="952"/>
      <c r="AW172" s="952"/>
      <c r="AX172" s="952"/>
      <c r="AY172" s="952"/>
      <c r="AZ172" s="952"/>
      <c r="BA172" s="952"/>
      <c r="BB172" s="952"/>
      <c r="BC172" s="952"/>
      <c r="BD172" s="952"/>
      <c r="BE172" s="952"/>
      <c r="BF172" s="952"/>
      <c r="BG172" s="952"/>
      <c r="BH172" s="952"/>
      <c r="BI172" s="952"/>
      <c r="BJ172" s="952"/>
      <c r="BK172" s="952"/>
      <c r="BL172" s="952"/>
      <c r="BM172" s="952"/>
      <c r="BN172" s="952"/>
      <c r="BO172" s="952"/>
      <c r="BP172" s="952"/>
      <c r="BQ172" s="952"/>
      <c r="BR172" s="952"/>
      <c r="BS172" s="952"/>
      <c r="BT172" s="952"/>
      <c r="BU172" s="952"/>
      <c r="BV172" s="952"/>
      <c r="BW172" s="952"/>
      <c r="BX172" s="952"/>
      <c r="BY172" s="952"/>
      <c r="BZ172" s="952"/>
      <c r="CA172" s="952"/>
      <c r="CB172" s="952"/>
      <c r="CC172" s="952"/>
      <c r="CD172" s="952"/>
      <c r="CE172" s="952"/>
      <c r="CF172" s="952"/>
      <c r="CG172" s="952"/>
      <c r="CH172" s="952"/>
      <c r="CI172" s="952"/>
      <c r="CJ172" s="952"/>
      <c r="CK172" s="952"/>
      <c r="CL172" s="951">
        <f>F172/CZ172*CM173</f>
        <v>33960401.280000001</v>
      </c>
      <c r="CM172" s="951"/>
      <c r="CN172" s="951"/>
      <c r="CO172" s="951"/>
      <c r="CP172" s="951"/>
      <c r="CQ172" s="951"/>
      <c r="CR172" s="951"/>
      <c r="CS172" s="952"/>
      <c r="CT172" s="952"/>
      <c r="CU172" s="952"/>
      <c r="CV172" s="952"/>
      <c r="CW172" s="952"/>
      <c r="CX172" s="952"/>
      <c r="CY172" s="952"/>
      <c r="CZ172" s="1115">
        <v>2</v>
      </c>
    </row>
    <row r="173" spans="1:104" s="3" customFormat="1" ht="20.25" customHeight="1">
      <c r="A173" s="938"/>
      <c r="B173" s="940"/>
      <c r="C173" s="1008"/>
      <c r="D173" s="942"/>
      <c r="E173" s="944"/>
      <c r="F173" s="946"/>
      <c r="G173" s="948"/>
      <c r="H173" s="1139"/>
      <c r="I173" s="1010"/>
      <c r="J173" s="986"/>
      <c r="K173" s="986"/>
      <c r="L173" s="807" t="s">
        <v>3319</v>
      </c>
      <c r="M173" s="811">
        <v>1</v>
      </c>
      <c r="N173" s="810">
        <v>2</v>
      </c>
      <c r="O173" s="810">
        <v>3</v>
      </c>
      <c r="P173" s="810">
        <v>4</v>
      </c>
      <c r="Q173" s="810">
        <v>5</v>
      </c>
      <c r="R173" s="810">
        <v>6</v>
      </c>
      <c r="S173" s="810">
        <v>7</v>
      </c>
      <c r="T173" s="810">
        <v>1</v>
      </c>
      <c r="U173" s="810">
        <v>2</v>
      </c>
      <c r="V173" s="810">
        <v>3</v>
      </c>
      <c r="W173" s="810">
        <v>4</v>
      </c>
      <c r="X173" s="810">
        <v>5</v>
      </c>
      <c r="Y173" s="810">
        <v>6</v>
      </c>
      <c r="Z173" s="810">
        <v>7</v>
      </c>
      <c r="AA173" s="810">
        <v>1</v>
      </c>
      <c r="AB173" s="810">
        <v>2</v>
      </c>
      <c r="AC173" s="810">
        <v>3</v>
      </c>
      <c r="AD173" s="810">
        <v>4</v>
      </c>
      <c r="AE173" s="810">
        <v>5</v>
      </c>
      <c r="AF173" s="810">
        <v>6</v>
      </c>
      <c r="AG173" s="810">
        <v>7</v>
      </c>
      <c r="AH173" s="810">
        <v>1</v>
      </c>
      <c r="AI173" s="810">
        <v>2</v>
      </c>
      <c r="AJ173" s="810">
        <v>3</v>
      </c>
      <c r="AK173" s="810">
        <v>4</v>
      </c>
      <c r="AL173" s="810">
        <v>5</v>
      </c>
      <c r="AM173" s="810">
        <v>6</v>
      </c>
      <c r="AN173" s="810">
        <v>7</v>
      </c>
      <c r="AO173" s="810">
        <v>1</v>
      </c>
      <c r="AP173" s="810">
        <v>2</v>
      </c>
      <c r="AQ173" s="810">
        <v>3</v>
      </c>
      <c r="AR173" s="810">
        <v>4</v>
      </c>
      <c r="AS173" s="810">
        <v>5</v>
      </c>
      <c r="AT173" s="810">
        <v>6</v>
      </c>
      <c r="AU173" s="810">
        <v>7</v>
      </c>
      <c r="AV173" s="810">
        <v>1</v>
      </c>
      <c r="AW173" s="810">
        <v>2</v>
      </c>
      <c r="AX173" s="810">
        <v>3</v>
      </c>
      <c r="AY173" s="810">
        <v>4</v>
      </c>
      <c r="AZ173" s="810">
        <v>5</v>
      </c>
      <c r="BA173" s="810">
        <v>6</v>
      </c>
      <c r="BB173" s="810">
        <v>7</v>
      </c>
      <c r="BC173" s="810">
        <v>1</v>
      </c>
      <c r="BD173" s="810">
        <v>2</v>
      </c>
      <c r="BE173" s="810">
        <v>3</v>
      </c>
      <c r="BF173" s="810">
        <v>4</v>
      </c>
      <c r="BG173" s="810">
        <v>5</v>
      </c>
      <c r="BH173" s="810">
        <v>6</v>
      </c>
      <c r="BI173" s="810">
        <v>7</v>
      </c>
      <c r="BJ173" s="810">
        <v>1</v>
      </c>
      <c r="BK173" s="810">
        <v>2</v>
      </c>
      <c r="BL173" s="810">
        <v>3</v>
      </c>
      <c r="BM173" s="810">
        <v>4</v>
      </c>
      <c r="BN173" s="810">
        <v>5</v>
      </c>
      <c r="BO173" s="810">
        <v>6</v>
      </c>
      <c r="BP173" s="810">
        <v>7</v>
      </c>
      <c r="BQ173" s="810">
        <v>1</v>
      </c>
      <c r="BR173" s="810">
        <v>2</v>
      </c>
      <c r="BS173" s="810">
        <v>3</v>
      </c>
      <c r="BT173" s="810">
        <v>4</v>
      </c>
      <c r="BU173" s="810">
        <v>5</v>
      </c>
      <c r="BV173" s="810">
        <v>6</v>
      </c>
      <c r="BW173" s="810">
        <v>7</v>
      </c>
      <c r="BX173" s="810">
        <v>1</v>
      </c>
      <c r="BY173" s="810">
        <v>2</v>
      </c>
      <c r="BZ173" s="810">
        <v>3</v>
      </c>
      <c r="CA173" s="810">
        <v>4</v>
      </c>
      <c r="CB173" s="810">
        <v>5</v>
      </c>
      <c r="CC173" s="810">
        <v>6</v>
      </c>
      <c r="CD173" s="810">
        <v>7</v>
      </c>
      <c r="CE173" s="810">
        <v>1</v>
      </c>
      <c r="CF173" s="810">
        <v>2</v>
      </c>
      <c r="CG173" s="810">
        <v>3</v>
      </c>
      <c r="CH173" s="810">
        <v>4</v>
      </c>
      <c r="CI173" s="810">
        <v>5</v>
      </c>
      <c r="CJ173" s="810">
        <v>6</v>
      </c>
      <c r="CK173" s="810">
        <v>7</v>
      </c>
      <c r="CL173" s="810">
        <v>1</v>
      </c>
      <c r="CM173" s="810">
        <v>2</v>
      </c>
      <c r="CN173" s="812">
        <v>3</v>
      </c>
      <c r="CO173" s="812">
        <v>4</v>
      </c>
      <c r="CP173" s="810">
        <v>5</v>
      </c>
      <c r="CQ173" s="810">
        <v>6</v>
      </c>
      <c r="CR173" s="810">
        <v>7</v>
      </c>
      <c r="CS173" s="810">
        <v>1</v>
      </c>
      <c r="CT173" s="810">
        <v>2</v>
      </c>
      <c r="CU173" s="810">
        <v>3</v>
      </c>
      <c r="CV173" s="810">
        <v>4</v>
      </c>
      <c r="CW173" s="810">
        <v>5</v>
      </c>
      <c r="CX173" s="781">
        <v>6</v>
      </c>
      <c r="CY173" s="781">
        <v>7</v>
      </c>
      <c r="CZ173" s="1116"/>
    </row>
    <row r="174" spans="1:104" s="3" customFormat="1" ht="24" customHeight="1" thickBot="1">
      <c r="A174" s="939"/>
      <c r="B174" s="941"/>
      <c r="C174" s="1112"/>
      <c r="D174" s="943"/>
      <c r="E174" s="945"/>
      <c r="F174" s="947"/>
      <c r="G174" s="949"/>
      <c r="H174" s="1139"/>
      <c r="I174" s="1011"/>
      <c r="J174" s="987"/>
      <c r="K174" s="987"/>
      <c r="L174" s="808" t="s">
        <v>3320</v>
      </c>
      <c r="M174" s="955"/>
      <c r="N174" s="956"/>
      <c r="O174" s="956"/>
      <c r="P174" s="956"/>
      <c r="Q174" s="956"/>
      <c r="R174" s="956"/>
      <c r="S174" s="956"/>
      <c r="T174" s="956"/>
      <c r="U174" s="956"/>
      <c r="V174" s="956"/>
      <c r="W174" s="956"/>
      <c r="X174" s="956"/>
      <c r="Y174" s="956"/>
      <c r="Z174" s="956"/>
      <c r="AA174" s="956"/>
      <c r="AB174" s="956"/>
      <c r="AC174" s="956"/>
      <c r="AD174" s="956"/>
      <c r="AE174" s="956"/>
      <c r="AF174" s="956"/>
      <c r="AG174" s="956"/>
      <c r="AH174" s="956"/>
      <c r="AI174" s="956"/>
      <c r="AJ174" s="956"/>
      <c r="AK174" s="956"/>
      <c r="AL174" s="956"/>
      <c r="AM174" s="956"/>
      <c r="AN174" s="956"/>
      <c r="AO174" s="956"/>
      <c r="AP174" s="956"/>
      <c r="AQ174" s="956"/>
      <c r="AR174" s="956"/>
      <c r="AS174" s="956"/>
      <c r="AT174" s="956"/>
      <c r="AU174" s="956"/>
      <c r="AV174" s="956"/>
      <c r="AW174" s="956"/>
      <c r="AX174" s="956"/>
      <c r="AY174" s="956"/>
      <c r="AZ174" s="956"/>
      <c r="BA174" s="956"/>
      <c r="BB174" s="956"/>
      <c r="BC174" s="956"/>
      <c r="BD174" s="956"/>
      <c r="BE174" s="956"/>
      <c r="BF174" s="956"/>
      <c r="BG174" s="956"/>
      <c r="BH174" s="956"/>
      <c r="BI174" s="956"/>
      <c r="BJ174" s="956"/>
      <c r="BK174" s="956"/>
      <c r="BL174" s="956"/>
      <c r="BM174" s="956"/>
      <c r="BN174" s="956"/>
      <c r="BO174" s="956"/>
      <c r="BP174" s="956"/>
      <c r="BQ174" s="956"/>
      <c r="BR174" s="956"/>
      <c r="BS174" s="956"/>
      <c r="BT174" s="956"/>
      <c r="BU174" s="956">
        <f>BX172+CE172+CL172+CS172</f>
        <v>33960401.280000001</v>
      </c>
      <c r="BV174" s="956"/>
      <c r="BW174" s="956"/>
      <c r="BX174" s="956"/>
      <c r="BY174" s="956"/>
      <c r="BZ174" s="956"/>
      <c r="CA174" s="956"/>
      <c r="CB174" s="956"/>
      <c r="CC174" s="956"/>
      <c r="CD174" s="956"/>
      <c r="CE174" s="956"/>
      <c r="CF174" s="956"/>
      <c r="CG174" s="956"/>
      <c r="CH174" s="956"/>
      <c r="CI174" s="956"/>
      <c r="CJ174" s="956"/>
      <c r="CK174" s="956"/>
      <c r="CL174" s="956"/>
      <c r="CM174" s="956"/>
      <c r="CN174" s="956"/>
      <c r="CO174" s="956"/>
      <c r="CP174" s="956"/>
      <c r="CQ174" s="956"/>
      <c r="CR174" s="956"/>
      <c r="CS174" s="956"/>
      <c r="CT174" s="956"/>
      <c r="CU174" s="956"/>
      <c r="CV174" s="956"/>
      <c r="CW174" s="956"/>
      <c r="CX174" s="956"/>
      <c r="CY174" s="956"/>
      <c r="CZ174" s="1116"/>
    </row>
    <row r="175" spans="1:104" s="3" customFormat="1" ht="19.899999999999999" customHeight="1">
      <c r="A175" s="724"/>
      <c r="B175" s="928"/>
      <c r="C175" s="714"/>
      <c r="D175" s="759"/>
      <c r="E175" s="771" t="s">
        <v>3245</v>
      </c>
      <c r="F175" s="769">
        <f>SUM(F166:F174)</f>
        <v>57544262.880000003</v>
      </c>
      <c r="G175" s="802">
        <f>F175/F259</f>
        <v>0.17375783779952056</v>
      </c>
      <c r="H175" s="1139"/>
      <c r="I175" s="995" t="s">
        <v>3336</v>
      </c>
      <c r="J175" s="995"/>
      <c r="K175" s="995"/>
      <c r="L175" s="995"/>
      <c r="M175" s="996">
        <f>M168+M174</f>
        <v>0</v>
      </c>
      <c r="N175" s="996"/>
      <c r="O175" s="996"/>
      <c r="P175" s="996"/>
      <c r="Q175" s="996"/>
      <c r="R175" s="996"/>
      <c r="S175" s="996"/>
      <c r="T175" s="996"/>
      <c r="U175" s="996"/>
      <c r="V175" s="996"/>
      <c r="W175" s="996"/>
      <c r="X175" s="996"/>
      <c r="Y175" s="996"/>
      <c r="Z175" s="996"/>
      <c r="AA175" s="996"/>
      <c r="AB175" s="996"/>
      <c r="AC175" s="996"/>
      <c r="AD175" s="996"/>
      <c r="AE175" s="996"/>
      <c r="AF175" s="996"/>
      <c r="AG175" s="996"/>
      <c r="AH175" s="996"/>
      <c r="AI175" s="996"/>
      <c r="AJ175" s="996"/>
      <c r="AK175" s="996"/>
      <c r="AL175" s="996"/>
      <c r="AM175" s="996"/>
      <c r="AN175" s="996"/>
      <c r="AO175" s="996"/>
      <c r="AP175" s="997"/>
      <c r="AQ175" s="996">
        <f>AQ168+AQ174</f>
        <v>0</v>
      </c>
      <c r="AR175" s="996"/>
      <c r="AS175" s="996"/>
      <c r="AT175" s="996"/>
      <c r="AU175" s="996"/>
      <c r="AV175" s="996"/>
      <c r="AW175" s="996"/>
      <c r="AX175" s="996"/>
      <c r="AY175" s="996"/>
      <c r="AZ175" s="996"/>
      <c r="BA175" s="996"/>
      <c r="BB175" s="996"/>
      <c r="BC175" s="996"/>
      <c r="BD175" s="996"/>
      <c r="BE175" s="996"/>
      <c r="BF175" s="996"/>
      <c r="BG175" s="996"/>
      <c r="BH175" s="996"/>
      <c r="BI175" s="996"/>
      <c r="BJ175" s="996"/>
      <c r="BK175" s="996"/>
      <c r="BL175" s="996"/>
      <c r="BM175" s="996"/>
      <c r="BN175" s="996"/>
      <c r="BO175" s="996"/>
      <c r="BP175" s="996"/>
      <c r="BQ175" s="996"/>
      <c r="BR175" s="996"/>
      <c r="BS175" s="996"/>
      <c r="BT175" s="997"/>
      <c r="BU175" s="998">
        <f>BU174+BU168+BU171</f>
        <v>57544262.879999995</v>
      </c>
      <c r="BV175" s="998"/>
      <c r="BW175" s="998"/>
      <c r="BX175" s="998"/>
      <c r="BY175" s="998"/>
      <c r="BZ175" s="998"/>
      <c r="CA175" s="998"/>
      <c r="CB175" s="998"/>
      <c r="CC175" s="998"/>
      <c r="CD175" s="998"/>
      <c r="CE175" s="998"/>
      <c r="CF175" s="998"/>
      <c r="CG175" s="998"/>
      <c r="CH175" s="998"/>
      <c r="CI175" s="998"/>
      <c r="CJ175" s="998"/>
      <c r="CK175" s="998"/>
      <c r="CL175" s="998"/>
      <c r="CM175" s="998"/>
      <c r="CN175" s="998"/>
      <c r="CO175" s="998"/>
      <c r="CP175" s="998"/>
      <c r="CQ175" s="998"/>
      <c r="CR175" s="998"/>
      <c r="CS175" s="998"/>
      <c r="CT175" s="998"/>
      <c r="CU175" s="998"/>
      <c r="CV175" s="998"/>
      <c r="CW175" s="998"/>
      <c r="CX175" s="998"/>
      <c r="CY175" s="998"/>
      <c r="CZ175" s="868">
        <f>SUM(CZ166:CZ174)</f>
        <v>6</v>
      </c>
    </row>
    <row r="176" spans="1:104" s="3" customFormat="1" ht="19.899999999999999" customHeight="1">
      <c r="A176" s="724"/>
      <c r="B176" s="928"/>
      <c r="C176" s="714"/>
      <c r="D176" s="759"/>
      <c r="E176" s="757"/>
      <c r="F176" s="716">
        <f t="shared" si="8"/>
        <v>0</v>
      </c>
      <c r="G176" s="763"/>
      <c r="H176" s="1139"/>
      <c r="I176" s="991" t="s">
        <v>3325</v>
      </c>
      <c r="J176" s="991"/>
      <c r="K176" s="991"/>
      <c r="L176" s="991"/>
      <c r="M176" s="992">
        <f>M175+AQ175+BU175</f>
        <v>57544262.879999995</v>
      </c>
      <c r="N176" s="993"/>
      <c r="O176" s="993"/>
      <c r="P176" s="993"/>
      <c r="Q176" s="993"/>
      <c r="R176" s="993"/>
      <c r="S176" s="993"/>
      <c r="T176" s="993"/>
      <c r="U176" s="993"/>
      <c r="V176" s="993"/>
      <c r="W176" s="993"/>
      <c r="X176" s="993"/>
      <c r="Y176" s="993"/>
      <c r="Z176" s="993"/>
      <c r="AA176" s="993"/>
      <c r="AB176" s="993"/>
      <c r="AC176" s="993"/>
      <c r="AD176" s="993"/>
      <c r="AE176" s="993"/>
      <c r="AF176" s="993"/>
      <c r="AG176" s="993"/>
      <c r="AH176" s="993"/>
      <c r="AI176" s="993"/>
      <c r="AJ176" s="993"/>
      <c r="AK176" s="993"/>
      <c r="AL176" s="993"/>
      <c r="AM176" s="993"/>
      <c r="AN176" s="993"/>
      <c r="AO176" s="993"/>
      <c r="AP176" s="993"/>
      <c r="AQ176" s="993"/>
      <c r="AR176" s="993"/>
      <c r="AS176" s="993"/>
      <c r="AT176" s="993"/>
      <c r="AU176" s="993"/>
      <c r="AV176" s="993"/>
      <c r="AW176" s="993"/>
      <c r="AX176" s="993"/>
      <c r="AY176" s="993"/>
      <c r="AZ176" s="993"/>
      <c r="BA176" s="993"/>
      <c r="BB176" s="993"/>
      <c r="BC176" s="993"/>
      <c r="BD176" s="993"/>
      <c r="BE176" s="993"/>
      <c r="BF176" s="993"/>
      <c r="BG176" s="993"/>
      <c r="BH176" s="993"/>
      <c r="BI176" s="993"/>
      <c r="BJ176" s="993"/>
      <c r="BK176" s="993"/>
      <c r="BL176" s="993"/>
      <c r="BM176" s="993"/>
      <c r="BN176" s="993"/>
      <c r="BO176" s="993"/>
      <c r="BP176" s="993"/>
      <c r="BQ176" s="993"/>
      <c r="BR176" s="993"/>
      <c r="BS176" s="993"/>
      <c r="BT176" s="993"/>
      <c r="BU176" s="993"/>
      <c r="BV176" s="993"/>
      <c r="BW176" s="993"/>
      <c r="BX176" s="993"/>
      <c r="BY176" s="993"/>
      <c r="BZ176" s="993"/>
      <c r="CA176" s="993"/>
      <c r="CB176" s="993"/>
      <c r="CC176" s="993"/>
      <c r="CD176" s="993"/>
      <c r="CE176" s="993"/>
      <c r="CF176" s="993"/>
      <c r="CG176" s="993"/>
      <c r="CH176" s="993"/>
      <c r="CI176" s="993"/>
      <c r="CJ176" s="993"/>
      <c r="CK176" s="993"/>
      <c r="CL176" s="993"/>
      <c r="CM176" s="993"/>
      <c r="CN176" s="993"/>
      <c r="CO176" s="993"/>
      <c r="CP176" s="993"/>
      <c r="CQ176" s="993"/>
      <c r="CR176" s="993"/>
      <c r="CS176" s="993"/>
      <c r="CT176" s="993"/>
      <c r="CU176" s="993"/>
      <c r="CV176" s="993"/>
      <c r="CW176" s="993"/>
      <c r="CX176" s="993"/>
      <c r="CY176" s="993"/>
      <c r="CZ176" s="792"/>
    </row>
    <row r="177" spans="1:104" s="3" customFormat="1" ht="19.899999999999999" customHeight="1" thickBot="1">
      <c r="A177" s="720" t="str">
        <f>EDIFICACION!A464</f>
        <v>XI</v>
      </c>
      <c r="B177" s="1051" t="str">
        <f>EDIFICACION!B464</f>
        <v>ACABADOS Y PINTURAS</v>
      </c>
      <c r="C177" s="1052"/>
      <c r="D177" s="1052"/>
      <c r="E177" s="1052"/>
      <c r="F177" s="1052"/>
      <c r="G177" s="1052"/>
      <c r="H177" s="1139"/>
      <c r="I177" s="994"/>
      <c r="J177" s="994"/>
      <c r="K177" s="994"/>
      <c r="L177" s="994"/>
      <c r="M177" s="994"/>
      <c r="N177" s="994"/>
      <c r="O177" s="994"/>
      <c r="P177" s="994"/>
      <c r="Q177" s="994"/>
      <c r="R177" s="994"/>
      <c r="S177" s="994"/>
      <c r="T177" s="994"/>
      <c r="U177" s="994"/>
      <c r="V177" s="994"/>
      <c r="W177" s="994"/>
      <c r="X177" s="994"/>
      <c r="Y177" s="994"/>
      <c r="Z177" s="994"/>
      <c r="AA177" s="994"/>
      <c r="AB177" s="994"/>
      <c r="AC177" s="994"/>
      <c r="AD177" s="994"/>
      <c r="AE177" s="994"/>
      <c r="AF177" s="994"/>
      <c r="AG177" s="994"/>
      <c r="AH177" s="994"/>
      <c r="AI177" s="994"/>
      <c r="AJ177" s="994"/>
      <c r="AK177" s="994"/>
      <c r="AL177" s="994"/>
      <c r="AM177" s="994"/>
      <c r="AN177" s="994"/>
      <c r="AO177" s="994"/>
      <c r="AP177" s="994"/>
      <c r="AQ177" s="994"/>
      <c r="AR177" s="994"/>
      <c r="AS177" s="994"/>
      <c r="AT177" s="994"/>
      <c r="AU177" s="994"/>
      <c r="AV177" s="994"/>
      <c r="AW177" s="994"/>
      <c r="AX177" s="994"/>
      <c r="AY177" s="994"/>
      <c r="AZ177" s="994"/>
      <c r="BA177" s="994"/>
      <c r="BB177" s="994"/>
      <c r="BC177" s="994"/>
      <c r="BD177" s="994"/>
      <c r="BE177" s="994"/>
      <c r="BF177" s="994"/>
      <c r="BG177" s="994"/>
      <c r="BH177" s="994"/>
      <c r="BI177" s="994"/>
      <c r="BJ177" s="994"/>
      <c r="BK177" s="994"/>
      <c r="BL177" s="994"/>
      <c r="BM177" s="994"/>
      <c r="BN177" s="994"/>
      <c r="BO177" s="994"/>
      <c r="BP177" s="994"/>
      <c r="BQ177" s="994"/>
      <c r="BR177" s="994"/>
      <c r="BS177" s="994"/>
      <c r="BT177" s="994"/>
      <c r="BU177" s="994"/>
      <c r="BV177" s="994"/>
      <c r="BW177" s="994"/>
      <c r="BX177" s="994"/>
      <c r="BY177" s="994"/>
      <c r="BZ177" s="994"/>
      <c r="CA177" s="994"/>
      <c r="CB177" s="994"/>
      <c r="CC177" s="994"/>
      <c r="CD177" s="994"/>
      <c r="CE177" s="994"/>
      <c r="CF177" s="994"/>
      <c r="CG177" s="994"/>
      <c r="CH177" s="994"/>
      <c r="CI177" s="994"/>
      <c r="CJ177" s="994"/>
      <c r="CK177" s="994"/>
      <c r="CL177" s="994"/>
      <c r="CM177" s="994"/>
      <c r="CN177" s="994"/>
      <c r="CO177" s="994"/>
      <c r="CP177" s="994"/>
      <c r="CQ177" s="994"/>
      <c r="CR177" s="994"/>
      <c r="CS177" s="994"/>
      <c r="CT177" s="994"/>
      <c r="CU177" s="994"/>
      <c r="CV177" s="994"/>
      <c r="CW177" s="994"/>
      <c r="CX177" s="994"/>
      <c r="CY177" s="994"/>
      <c r="CZ177" s="994"/>
    </row>
    <row r="178" spans="1:104" s="3" customFormat="1" ht="8.1" customHeight="1">
      <c r="A178" s="1017">
        <f>EDIFICACION!A465</f>
        <v>11.1</v>
      </c>
      <c r="B178" s="1018" t="str">
        <f>EDIFICACION!B465</f>
        <v>VINILO 3 MANOS, PINTURA TIPO 1  NUEVA</v>
      </c>
      <c r="C178" s="1016" t="str">
        <f>EDIFICACION!C465</f>
        <v>M2</v>
      </c>
      <c r="D178" s="1015">
        <v>5500</v>
      </c>
      <c r="E178" s="1014">
        <f>EDIFICACION!F465</f>
        <v>12541</v>
      </c>
      <c r="F178" s="1012">
        <f t="shared" si="8"/>
        <v>68975500</v>
      </c>
      <c r="G178" s="1013">
        <f>F178/F259</f>
        <v>0.2082750415299234</v>
      </c>
      <c r="H178" s="1139"/>
      <c r="I178" s="1009" t="s">
        <v>3380</v>
      </c>
      <c r="J178" s="985" t="s">
        <v>3401</v>
      </c>
      <c r="K178" s="985" t="s">
        <v>3402</v>
      </c>
      <c r="L178" s="806" t="s">
        <v>3318</v>
      </c>
      <c r="M178" s="988"/>
      <c r="N178" s="952"/>
      <c r="O178" s="952"/>
      <c r="P178" s="952"/>
      <c r="Q178" s="952"/>
      <c r="R178" s="952"/>
      <c r="S178" s="952"/>
      <c r="T178" s="1007"/>
      <c r="U178" s="952"/>
      <c r="V178" s="952"/>
      <c r="W178" s="952"/>
      <c r="X178" s="952"/>
      <c r="Y178" s="952"/>
      <c r="Z178" s="952"/>
      <c r="AA178" s="1007"/>
      <c r="AB178" s="952"/>
      <c r="AC178" s="952"/>
      <c r="AD178" s="952"/>
      <c r="AE178" s="952"/>
      <c r="AF178" s="952"/>
      <c r="AG178" s="952"/>
      <c r="AH178" s="952"/>
      <c r="AI178" s="952"/>
      <c r="AJ178" s="952"/>
      <c r="AK178" s="952"/>
      <c r="AL178" s="952"/>
      <c r="AM178" s="952"/>
      <c r="AN178" s="952"/>
      <c r="AO178" s="952"/>
      <c r="AP178" s="952"/>
      <c r="AQ178" s="952"/>
      <c r="AR178" s="952"/>
      <c r="AS178" s="952"/>
      <c r="AT178" s="952"/>
      <c r="AU178" s="952"/>
      <c r="AV178" s="952"/>
      <c r="AW178" s="952"/>
      <c r="AX178" s="952"/>
      <c r="AY178" s="952"/>
      <c r="AZ178" s="952"/>
      <c r="BA178" s="952"/>
      <c r="BB178" s="952"/>
      <c r="BC178" s="952"/>
      <c r="BD178" s="952"/>
      <c r="BE178" s="952"/>
      <c r="BF178" s="952"/>
      <c r="BG178" s="952"/>
      <c r="BH178" s="952"/>
      <c r="BI178" s="952"/>
      <c r="BJ178" s="952"/>
      <c r="BK178" s="952"/>
      <c r="BL178" s="952"/>
      <c r="BM178" s="952"/>
      <c r="BN178" s="952"/>
      <c r="BO178" s="952"/>
      <c r="BP178" s="952"/>
      <c r="BQ178" s="952"/>
      <c r="BR178" s="952"/>
      <c r="BS178" s="952"/>
      <c r="BT178" s="952"/>
      <c r="BU178" s="952"/>
      <c r="BV178" s="952"/>
      <c r="BW178" s="952"/>
      <c r="BX178" s="952"/>
      <c r="BY178" s="952"/>
      <c r="BZ178" s="952"/>
      <c r="CA178" s="952"/>
      <c r="CB178" s="952"/>
      <c r="CC178" s="952"/>
      <c r="CD178" s="952"/>
      <c r="CE178" s="951">
        <f>F178/CZ178*CG179</f>
        <v>68975500</v>
      </c>
      <c r="CF178" s="951"/>
      <c r="CG178" s="951"/>
      <c r="CH178" s="951"/>
      <c r="CI178" s="951"/>
      <c r="CJ178" s="951"/>
      <c r="CK178" s="951"/>
      <c r="CL178" s="952"/>
      <c r="CM178" s="952"/>
      <c r="CN178" s="952"/>
      <c r="CO178" s="952"/>
      <c r="CP178" s="952"/>
      <c r="CQ178" s="952"/>
      <c r="CR178" s="952"/>
      <c r="CS178" s="952"/>
      <c r="CT178" s="952"/>
      <c r="CU178" s="952"/>
      <c r="CV178" s="952"/>
      <c r="CW178" s="952"/>
      <c r="CX178" s="952"/>
      <c r="CY178" s="952"/>
      <c r="CZ178" s="953">
        <v>3</v>
      </c>
    </row>
    <row r="179" spans="1:104" s="3" customFormat="1" ht="8.1" customHeight="1">
      <c r="A179" s="938"/>
      <c r="B179" s="940"/>
      <c r="C179" s="1008"/>
      <c r="D179" s="942"/>
      <c r="E179" s="944"/>
      <c r="F179" s="946"/>
      <c r="G179" s="948"/>
      <c r="H179" s="1139"/>
      <c r="I179" s="1010"/>
      <c r="J179" s="986"/>
      <c r="K179" s="986"/>
      <c r="L179" s="807" t="s">
        <v>3319</v>
      </c>
      <c r="M179" s="811">
        <v>1</v>
      </c>
      <c r="N179" s="810">
        <v>2</v>
      </c>
      <c r="O179" s="810">
        <v>3</v>
      </c>
      <c r="P179" s="810">
        <v>4</v>
      </c>
      <c r="Q179" s="810">
        <v>5</v>
      </c>
      <c r="R179" s="810">
        <v>6</v>
      </c>
      <c r="S179" s="810">
        <v>7</v>
      </c>
      <c r="T179" s="810">
        <v>1</v>
      </c>
      <c r="U179" s="810">
        <v>2</v>
      </c>
      <c r="V179" s="810">
        <v>3</v>
      </c>
      <c r="W179" s="810">
        <v>4</v>
      </c>
      <c r="X179" s="810">
        <v>5</v>
      </c>
      <c r="Y179" s="810">
        <v>6</v>
      </c>
      <c r="Z179" s="810">
        <v>7</v>
      </c>
      <c r="AA179" s="810">
        <v>1</v>
      </c>
      <c r="AB179" s="810">
        <v>2</v>
      </c>
      <c r="AC179" s="810">
        <v>3</v>
      </c>
      <c r="AD179" s="810">
        <v>4</v>
      </c>
      <c r="AE179" s="810">
        <v>5</v>
      </c>
      <c r="AF179" s="810">
        <v>6</v>
      </c>
      <c r="AG179" s="810">
        <v>7</v>
      </c>
      <c r="AH179" s="810">
        <v>1</v>
      </c>
      <c r="AI179" s="810">
        <v>2</v>
      </c>
      <c r="AJ179" s="810">
        <v>3</v>
      </c>
      <c r="AK179" s="810">
        <v>4</v>
      </c>
      <c r="AL179" s="810">
        <v>5</v>
      </c>
      <c r="AM179" s="810">
        <v>6</v>
      </c>
      <c r="AN179" s="810">
        <v>7</v>
      </c>
      <c r="AO179" s="810">
        <v>1</v>
      </c>
      <c r="AP179" s="810">
        <v>2</v>
      </c>
      <c r="AQ179" s="810">
        <v>3</v>
      </c>
      <c r="AR179" s="810">
        <v>4</v>
      </c>
      <c r="AS179" s="810">
        <v>5</v>
      </c>
      <c r="AT179" s="810">
        <v>6</v>
      </c>
      <c r="AU179" s="810">
        <v>7</v>
      </c>
      <c r="AV179" s="810">
        <v>1</v>
      </c>
      <c r="AW179" s="810">
        <v>2</v>
      </c>
      <c r="AX179" s="810">
        <v>3</v>
      </c>
      <c r="AY179" s="810">
        <v>4</v>
      </c>
      <c r="AZ179" s="810">
        <v>5</v>
      </c>
      <c r="BA179" s="810">
        <v>6</v>
      </c>
      <c r="BB179" s="810">
        <v>7</v>
      </c>
      <c r="BC179" s="810">
        <v>1</v>
      </c>
      <c r="BD179" s="810">
        <v>2</v>
      </c>
      <c r="BE179" s="810">
        <v>3</v>
      </c>
      <c r="BF179" s="810">
        <v>4</v>
      </c>
      <c r="BG179" s="810">
        <v>5</v>
      </c>
      <c r="BH179" s="810">
        <v>6</v>
      </c>
      <c r="BI179" s="810">
        <v>7</v>
      </c>
      <c r="BJ179" s="810">
        <v>1</v>
      </c>
      <c r="BK179" s="810">
        <v>2</v>
      </c>
      <c r="BL179" s="810">
        <v>3</v>
      </c>
      <c r="BM179" s="810">
        <v>4</v>
      </c>
      <c r="BN179" s="810">
        <v>5</v>
      </c>
      <c r="BO179" s="810">
        <v>6</v>
      </c>
      <c r="BP179" s="810">
        <v>7</v>
      </c>
      <c r="BQ179" s="810">
        <v>1</v>
      </c>
      <c r="BR179" s="810">
        <v>2</v>
      </c>
      <c r="BS179" s="810">
        <v>3</v>
      </c>
      <c r="BT179" s="810">
        <v>4</v>
      </c>
      <c r="BU179" s="810">
        <v>5</v>
      </c>
      <c r="BV179" s="810">
        <v>6</v>
      </c>
      <c r="BW179" s="810">
        <v>7</v>
      </c>
      <c r="BX179" s="810">
        <v>1</v>
      </c>
      <c r="BY179" s="810">
        <v>2</v>
      </c>
      <c r="BZ179" s="810">
        <v>3</v>
      </c>
      <c r="CA179" s="810">
        <v>4</v>
      </c>
      <c r="CB179" s="810">
        <v>5</v>
      </c>
      <c r="CC179" s="810">
        <v>6</v>
      </c>
      <c r="CD179" s="810">
        <v>7</v>
      </c>
      <c r="CE179" s="810">
        <v>1</v>
      </c>
      <c r="CF179" s="810">
        <v>2</v>
      </c>
      <c r="CG179" s="810">
        <v>3</v>
      </c>
      <c r="CH179" s="812">
        <v>4</v>
      </c>
      <c r="CI179" s="812">
        <v>5</v>
      </c>
      <c r="CJ179" s="812">
        <v>6</v>
      </c>
      <c r="CK179" s="810">
        <v>7</v>
      </c>
      <c r="CL179" s="810">
        <v>1</v>
      </c>
      <c r="CM179" s="810">
        <v>2</v>
      </c>
      <c r="CN179" s="810">
        <v>3</v>
      </c>
      <c r="CO179" s="810">
        <v>4</v>
      </c>
      <c r="CP179" s="810">
        <v>5</v>
      </c>
      <c r="CQ179" s="810">
        <v>6</v>
      </c>
      <c r="CR179" s="810">
        <v>7</v>
      </c>
      <c r="CS179" s="810">
        <v>1</v>
      </c>
      <c r="CT179" s="810">
        <v>2</v>
      </c>
      <c r="CU179" s="810">
        <v>3</v>
      </c>
      <c r="CV179" s="810">
        <v>4</v>
      </c>
      <c r="CW179" s="810">
        <v>5</v>
      </c>
      <c r="CX179" s="781"/>
      <c r="CY179" s="781"/>
      <c r="CZ179" s="954"/>
    </row>
    <row r="180" spans="1:104" s="3" customFormat="1" ht="8.1" customHeight="1" thickBot="1">
      <c r="A180" s="938"/>
      <c r="B180" s="940"/>
      <c r="C180" s="1008"/>
      <c r="D180" s="942"/>
      <c r="E180" s="944"/>
      <c r="F180" s="946"/>
      <c r="G180" s="948"/>
      <c r="H180" s="1139"/>
      <c r="I180" s="1011"/>
      <c r="J180" s="987"/>
      <c r="K180" s="987"/>
      <c r="L180" s="808" t="s">
        <v>3320</v>
      </c>
      <c r="M180" s="955"/>
      <c r="N180" s="956"/>
      <c r="O180" s="956"/>
      <c r="P180" s="956"/>
      <c r="Q180" s="956"/>
      <c r="R180" s="956"/>
      <c r="S180" s="956"/>
      <c r="T180" s="956"/>
      <c r="U180" s="956"/>
      <c r="V180" s="956"/>
      <c r="W180" s="956"/>
      <c r="X180" s="956"/>
      <c r="Y180" s="956"/>
      <c r="Z180" s="956"/>
      <c r="AA180" s="956"/>
      <c r="AB180" s="956"/>
      <c r="AC180" s="956"/>
      <c r="AD180" s="956"/>
      <c r="AE180" s="956"/>
      <c r="AF180" s="956"/>
      <c r="AG180" s="956"/>
      <c r="AH180" s="956"/>
      <c r="AI180" s="956"/>
      <c r="AJ180" s="956"/>
      <c r="AK180" s="956"/>
      <c r="AL180" s="956"/>
      <c r="AM180" s="956"/>
      <c r="AN180" s="956"/>
      <c r="AO180" s="956"/>
      <c r="AP180" s="956"/>
      <c r="AQ180" s="956"/>
      <c r="AR180" s="956"/>
      <c r="AS180" s="956"/>
      <c r="AT180" s="956"/>
      <c r="AU180" s="956"/>
      <c r="AV180" s="956"/>
      <c r="AW180" s="956"/>
      <c r="AX180" s="956"/>
      <c r="AY180" s="956"/>
      <c r="AZ180" s="956"/>
      <c r="BA180" s="956"/>
      <c r="BB180" s="956"/>
      <c r="BC180" s="956"/>
      <c r="BD180" s="956"/>
      <c r="BE180" s="956"/>
      <c r="BF180" s="956"/>
      <c r="BG180" s="956"/>
      <c r="BH180" s="956"/>
      <c r="BI180" s="956"/>
      <c r="BJ180" s="956"/>
      <c r="BK180" s="956"/>
      <c r="BL180" s="956"/>
      <c r="BM180" s="956"/>
      <c r="BN180" s="956"/>
      <c r="BO180" s="956"/>
      <c r="BP180" s="956"/>
      <c r="BQ180" s="956"/>
      <c r="BR180" s="956"/>
      <c r="BS180" s="956"/>
      <c r="BT180" s="956"/>
      <c r="BU180" s="956">
        <f>BQ178+BX178+CE178+CL178+CS178</f>
        <v>68975500</v>
      </c>
      <c r="BV180" s="956"/>
      <c r="BW180" s="956"/>
      <c r="BX180" s="956"/>
      <c r="BY180" s="956"/>
      <c r="BZ180" s="956"/>
      <c r="CA180" s="956"/>
      <c r="CB180" s="956"/>
      <c r="CC180" s="956"/>
      <c r="CD180" s="956"/>
      <c r="CE180" s="956"/>
      <c r="CF180" s="956"/>
      <c r="CG180" s="956"/>
      <c r="CH180" s="956"/>
      <c r="CI180" s="956"/>
      <c r="CJ180" s="956"/>
      <c r="CK180" s="956"/>
      <c r="CL180" s="956"/>
      <c r="CM180" s="956"/>
      <c r="CN180" s="956"/>
      <c r="CO180" s="956"/>
      <c r="CP180" s="956"/>
      <c r="CQ180" s="956"/>
      <c r="CR180" s="956"/>
      <c r="CS180" s="956"/>
      <c r="CT180" s="956"/>
      <c r="CU180" s="956"/>
      <c r="CV180" s="956"/>
      <c r="CW180" s="956"/>
      <c r="CX180" s="956"/>
      <c r="CY180" s="956"/>
      <c r="CZ180" s="954"/>
    </row>
    <row r="181" spans="1:104" s="3" customFormat="1" ht="8.1" customHeight="1">
      <c r="A181" s="938">
        <f>EDIFICACION!A481</f>
        <v>11.3</v>
      </c>
      <c r="B181" s="940" t="str">
        <f>EDIFICACION!B481</f>
        <v>ESMALTE PARA REJAS Y VENTANAS</v>
      </c>
      <c r="C181" s="1008" t="str">
        <f>EDIFICACION!C481</f>
        <v>M2</v>
      </c>
      <c r="D181" s="942">
        <f>0.7*1*2*3</f>
        <v>4.1999999999999993</v>
      </c>
      <c r="E181" s="944">
        <f>EDIFICACION!F481</f>
        <v>14966</v>
      </c>
      <c r="F181" s="946">
        <f t="shared" si="8"/>
        <v>62857.19999999999</v>
      </c>
      <c r="G181" s="948">
        <f>F181/F259</f>
        <v>1.8980052251095969E-4</v>
      </c>
      <c r="H181" s="1139"/>
      <c r="I181" s="1009" t="s">
        <v>3380</v>
      </c>
      <c r="J181" s="985" t="s">
        <v>3403</v>
      </c>
      <c r="K181" s="985" t="s">
        <v>3399</v>
      </c>
      <c r="L181" s="806" t="s">
        <v>3318</v>
      </c>
      <c r="M181" s="988"/>
      <c r="N181" s="952"/>
      <c r="O181" s="952"/>
      <c r="P181" s="952"/>
      <c r="Q181" s="952"/>
      <c r="R181" s="952"/>
      <c r="S181" s="952"/>
      <c r="T181" s="952"/>
      <c r="U181" s="952"/>
      <c r="V181" s="952"/>
      <c r="W181" s="952"/>
      <c r="X181" s="952"/>
      <c r="Y181" s="952"/>
      <c r="Z181" s="952"/>
      <c r="AA181" s="1007"/>
      <c r="AB181" s="952"/>
      <c r="AC181" s="952"/>
      <c r="AD181" s="952"/>
      <c r="AE181" s="952"/>
      <c r="AF181" s="952"/>
      <c r="AG181" s="952"/>
      <c r="AH181" s="952"/>
      <c r="AI181" s="952"/>
      <c r="AJ181" s="952"/>
      <c r="AK181" s="952"/>
      <c r="AL181" s="952"/>
      <c r="AM181" s="952"/>
      <c r="AN181" s="952"/>
      <c r="AO181" s="952"/>
      <c r="AP181" s="952"/>
      <c r="AQ181" s="952"/>
      <c r="AR181" s="952"/>
      <c r="AS181" s="952"/>
      <c r="AT181" s="952"/>
      <c r="AU181" s="952"/>
      <c r="AV181" s="952"/>
      <c r="AW181" s="952"/>
      <c r="AX181" s="952"/>
      <c r="AY181" s="952"/>
      <c r="AZ181" s="952"/>
      <c r="BA181" s="952"/>
      <c r="BB181" s="952"/>
      <c r="BC181" s="952"/>
      <c r="BD181" s="952"/>
      <c r="BE181" s="952"/>
      <c r="BF181" s="952"/>
      <c r="BG181" s="952"/>
      <c r="BH181" s="952"/>
      <c r="BI181" s="952"/>
      <c r="BJ181" s="952"/>
      <c r="BK181" s="952"/>
      <c r="BL181" s="952"/>
      <c r="BM181" s="952"/>
      <c r="BN181" s="952"/>
      <c r="BO181" s="952"/>
      <c r="BP181" s="952"/>
      <c r="BQ181" s="952"/>
      <c r="BR181" s="952"/>
      <c r="BS181" s="952"/>
      <c r="BT181" s="952"/>
      <c r="BU181" s="952"/>
      <c r="BV181" s="952"/>
      <c r="BW181" s="952"/>
      <c r="BX181" s="952"/>
      <c r="BY181" s="952"/>
      <c r="BZ181" s="952"/>
      <c r="CA181" s="952"/>
      <c r="CB181" s="952"/>
      <c r="CC181" s="952"/>
      <c r="CD181" s="952"/>
      <c r="CE181" s="951">
        <f>F181/CZ181*CE182</f>
        <v>20952.399999999998</v>
      </c>
      <c r="CF181" s="951"/>
      <c r="CG181" s="951"/>
      <c r="CH181" s="951"/>
      <c r="CI181" s="951"/>
      <c r="CJ181" s="951"/>
      <c r="CK181" s="951"/>
      <c r="CL181" s="951">
        <f>F181/CZ181*2</f>
        <v>41904.799999999996</v>
      </c>
      <c r="CM181" s="951"/>
      <c r="CN181" s="951"/>
      <c r="CO181" s="951"/>
      <c r="CP181" s="951"/>
      <c r="CQ181" s="951"/>
      <c r="CR181" s="951"/>
      <c r="CS181" s="952"/>
      <c r="CT181" s="952"/>
      <c r="CU181" s="952"/>
      <c r="CV181" s="952"/>
      <c r="CW181" s="952"/>
      <c r="CX181" s="952"/>
      <c r="CY181" s="952"/>
      <c r="CZ181" s="953">
        <v>3</v>
      </c>
    </row>
    <row r="182" spans="1:104" s="3" customFormat="1" ht="8.1" customHeight="1">
      <c r="A182" s="938"/>
      <c r="B182" s="940"/>
      <c r="C182" s="1008"/>
      <c r="D182" s="942"/>
      <c r="E182" s="944"/>
      <c r="F182" s="946"/>
      <c r="G182" s="948"/>
      <c r="H182" s="1139"/>
      <c r="I182" s="1010"/>
      <c r="J182" s="986"/>
      <c r="K182" s="986"/>
      <c r="L182" s="807" t="s">
        <v>3319</v>
      </c>
      <c r="M182" s="811">
        <v>1</v>
      </c>
      <c r="N182" s="810">
        <v>2</v>
      </c>
      <c r="O182" s="810">
        <v>3</v>
      </c>
      <c r="P182" s="810">
        <v>4</v>
      </c>
      <c r="Q182" s="810">
        <v>5</v>
      </c>
      <c r="R182" s="810">
        <v>6</v>
      </c>
      <c r="S182" s="810">
        <v>7</v>
      </c>
      <c r="T182" s="810">
        <v>1</v>
      </c>
      <c r="U182" s="810">
        <v>2</v>
      </c>
      <c r="V182" s="810">
        <v>3</v>
      </c>
      <c r="W182" s="810">
        <v>4</v>
      </c>
      <c r="X182" s="810">
        <v>5</v>
      </c>
      <c r="Y182" s="810">
        <v>6</v>
      </c>
      <c r="Z182" s="810">
        <v>7</v>
      </c>
      <c r="AA182" s="810">
        <v>1</v>
      </c>
      <c r="AB182" s="810">
        <v>2</v>
      </c>
      <c r="AC182" s="810">
        <v>3</v>
      </c>
      <c r="AD182" s="810">
        <v>4</v>
      </c>
      <c r="AE182" s="810">
        <v>5</v>
      </c>
      <c r="AF182" s="810">
        <v>6</v>
      </c>
      <c r="AG182" s="810">
        <v>7</v>
      </c>
      <c r="AH182" s="810">
        <v>1</v>
      </c>
      <c r="AI182" s="810">
        <v>2</v>
      </c>
      <c r="AJ182" s="810">
        <v>3</v>
      </c>
      <c r="AK182" s="810">
        <v>4</v>
      </c>
      <c r="AL182" s="810">
        <v>5</v>
      </c>
      <c r="AM182" s="810">
        <v>6</v>
      </c>
      <c r="AN182" s="810">
        <v>7</v>
      </c>
      <c r="AO182" s="810">
        <v>1</v>
      </c>
      <c r="AP182" s="810">
        <v>2</v>
      </c>
      <c r="AQ182" s="810">
        <v>3</v>
      </c>
      <c r="AR182" s="810">
        <v>4</v>
      </c>
      <c r="AS182" s="810">
        <v>5</v>
      </c>
      <c r="AT182" s="810">
        <v>6</v>
      </c>
      <c r="AU182" s="810">
        <v>7</v>
      </c>
      <c r="AV182" s="810">
        <v>1</v>
      </c>
      <c r="AW182" s="810">
        <v>2</v>
      </c>
      <c r="AX182" s="810">
        <v>3</v>
      </c>
      <c r="AY182" s="810">
        <v>4</v>
      </c>
      <c r="AZ182" s="810">
        <v>5</v>
      </c>
      <c r="BA182" s="810">
        <v>6</v>
      </c>
      <c r="BB182" s="810">
        <v>7</v>
      </c>
      <c r="BC182" s="810">
        <v>1</v>
      </c>
      <c r="BD182" s="810">
        <v>2</v>
      </c>
      <c r="BE182" s="810">
        <v>3</v>
      </c>
      <c r="BF182" s="810">
        <v>4</v>
      </c>
      <c r="BG182" s="810">
        <v>5</v>
      </c>
      <c r="BH182" s="810">
        <v>6</v>
      </c>
      <c r="BI182" s="810">
        <v>7</v>
      </c>
      <c r="BJ182" s="810">
        <v>1</v>
      </c>
      <c r="BK182" s="810">
        <v>2</v>
      </c>
      <c r="BL182" s="810">
        <v>3</v>
      </c>
      <c r="BM182" s="810">
        <v>4</v>
      </c>
      <c r="BN182" s="810">
        <v>5</v>
      </c>
      <c r="BO182" s="810">
        <v>6</v>
      </c>
      <c r="BP182" s="810">
        <v>7</v>
      </c>
      <c r="BQ182" s="810">
        <v>1</v>
      </c>
      <c r="BR182" s="810">
        <v>2</v>
      </c>
      <c r="BS182" s="810">
        <v>3</v>
      </c>
      <c r="BT182" s="810">
        <v>4</v>
      </c>
      <c r="BU182" s="810">
        <v>5</v>
      </c>
      <c r="BV182" s="810">
        <v>6</v>
      </c>
      <c r="BW182" s="810">
        <v>7</v>
      </c>
      <c r="BX182" s="810">
        <v>1</v>
      </c>
      <c r="BY182" s="810">
        <v>2</v>
      </c>
      <c r="BZ182" s="810">
        <v>3</v>
      </c>
      <c r="CA182" s="810">
        <v>4</v>
      </c>
      <c r="CB182" s="810">
        <v>5</v>
      </c>
      <c r="CC182" s="810">
        <v>6</v>
      </c>
      <c r="CD182" s="810">
        <v>7</v>
      </c>
      <c r="CE182" s="810">
        <v>1</v>
      </c>
      <c r="CF182" s="810">
        <v>2</v>
      </c>
      <c r="CG182" s="810">
        <v>3</v>
      </c>
      <c r="CH182" s="810">
        <v>4</v>
      </c>
      <c r="CI182" s="810">
        <v>5</v>
      </c>
      <c r="CJ182" s="810">
        <v>6</v>
      </c>
      <c r="CK182" s="812">
        <v>7</v>
      </c>
      <c r="CL182" s="812">
        <v>1</v>
      </c>
      <c r="CM182" s="812">
        <v>2</v>
      </c>
      <c r="CN182" s="810">
        <v>3</v>
      </c>
      <c r="CO182" s="810">
        <v>4</v>
      </c>
      <c r="CP182" s="810">
        <v>5</v>
      </c>
      <c r="CQ182" s="810">
        <v>6</v>
      </c>
      <c r="CR182" s="810">
        <v>7</v>
      </c>
      <c r="CS182" s="810">
        <v>1</v>
      </c>
      <c r="CT182" s="810">
        <v>2</v>
      </c>
      <c r="CU182" s="810">
        <v>3</v>
      </c>
      <c r="CV182" s="810">
        <v>4</v>
      </c>
      <c r="CW182" s="810">
        <v>5</v>
      </c>
      <c r="CX182" s="781"/>
      <c r="CY182" s="781"/>
      <c r="CZ182" s="954"/>
    </row>
    <row r="183" spans="1:104" s="3" customFormat="1" ht="8.1" customHeight="1" thickBot="1">
      <c r="A183" s="938"/>
      <c r="B183" s="940"/>
      <c r="C183" s="1008"/>
      <c r="D183" s="942"/>
      <c r="E183" s="944"/>
      <c r="F183" s="946"/>
      <c r="G183" s="948"/>
      <c r="H183" s="1139"/>
      <c r="I183" s="1011"/>
      <c r="J183" s="987"/>
      <c r="K183" s="987"/>
      <c r="L183" s="808" t="s">
        <v>3320</v>
      </c>
      <c r="M183" s="955"/>
      <c r="N183" s="956"/>
      <c r="O183" s="956"/>
      <c r="P183" s="956"/>
      <c r="Q183" s="956"/>
      <c r="R183" s="956"/>
      <c r="S183" s="956"/>
      <c r="T183" s="956"/>
      <c r="U183" s="956"/>
      <c r="V183" s="956"/>
      <c r="W183" s="956"/>
      <c r="X183" s="956"/>
      <c r="Y183" s="956"/>
      <c r="Z183" s="956"/>
      <c r="AA183" s="956"/>
      <c r="AB183" s="956"/>
      <c r="AC183" s="956"/>
      <c r="AD183" s="956"/>
      <c r="AE183" s="956"/>
      <c r="AF183" s="956"/>
      <c r="AG183" s="956"/>
      <c r="AH183" s="956"/>
      <c r="AI183" s="956"/>
      <c r="AJ183" s="956"/>
      <c r="AK183" s="956"/>
      <c r="AL183" s="956"/>
      <c r="AM183" s="956"/>
      <c r="AN183" s="956"/>
      <c r="AO183" s="956"/>
      <c r="AP183" s="956"/>
      <c r="AQ183" s="956"/>
      <c r="AR183" s="956"/>
      <c r="AS183" s="956"/>
      <c r="AT183" s="956"/>
      <c r="AU183" s="956"/>
      <c r="AV183" s="956"/>
      <c r="AW183" s="956"/>
      <c r="AX183" s="956"/>
      <c r="AY183" s="956"/>
      <c r="AZ183" s="956"/>
      <c r="BA183" s="956"/>
      <c r="BB183" s="956"/>
      <c r="BC183" s="956"/>
      <c r="BD183" s="956"/>
      <c r="BE183" s="956"/>
      <c r="BF183" s="956"/>
      <c r="BG183" s="956"/>
      <c r="BH183" s="956"/>
      <c r="BI183" s="956"/>
      <c r="BJ183" s="956"/>
      <c r="BK183" s="956"/>
      <c r="BL183" s="956"/>
      <c r="BM183" s="956"/>
      <c r="BN183" s="956"/>
      <c r="BO183" s="956"/>
      <c r="BP183" s="956"/>
      <c r="BQ183" s="956"/>
      <c r="BR183" s="956"/>
      <c r="BS183" s="956"/>
      <c r="BT183" s="956"/>
      <c r="BU183" s="956">
        <f>BQ181+BX181+CE181+CL181+CS181</f>
        <v>62857.2</v>
      </c>
      <c r="BV183" s="956"/>
      <c r="BW183" s="956"/>
      <c r="BX183" s="956"/>
      <c r="BY183" s="956"/>
      <c r="BZ183" s="956"/>
      <c r="CA183" s="956"/>
      <c r="CB183" s="956"/>
      <c r="CC183" s="956"/>
      <c r="CD183" s="956"/>
      <c r="CE183" s="956"/>
      <c r="CF183" s="956"/>
      <c r="CG183" s="956"/>
      <c r="CH183" s="956"/>
      <c r="CI183" s="956"/>
      <c r="CJ183" s="956"/>
      <c r="CK183" s="956"/>
      <c r="CL183" s="956"/>
      <c r="CM183" s="956"/>
      <c r="CN183" s="956"/>
      <c r="CO183" s="956"/>
      <c r="CP183" s="956"/>
      <c r="CQ183" s="956"/>
      <c r="CR183" s="956"/>
      <c r="CS183" s="956"/>
      <c r="CT183" s="956"/>
      <c r="CU183" s="956"/>
      <c r="CV183" s="956"/>
      <c r="CW183" s="956"/>
      <c r="CX183" s="956"/>
      <c r="CY183" s="956"/>
      <c r="CZ183" s="954"/>
    </row>
    <row r="184" spans="1:104" s="3" customFormat="1" ht="8.1" customHeight="1">
      <c r="A184" s="938">
        <f>EDIFICACION!A489</f>
        <v>11.4</v>
      </c>
      <c r="B184" s="940" t="str">
        <f>EDIFICACION!B489</f>
        <v>ESTUCO ACRILICO</v>
      </c>
      <c r="C184" s="1008" t="str">
        <f>EDIFICACION!C489</f>
        <v>M2</v>
      </c>
      <c r="D184" s="942">
        <f>(14.4*0.62*3)</f>
        <v>26.784000000000002</v>
      </c>
      <c r="E184" s="944">
        <f>EDIFICACION!F489</f>
        <v>18784</v>
      </c>
      <c r="F184" s="946">
        <f>E184*D184</f>
        <v>503110.65600000008</v>
      </c>
      <c r="G184" s="948">
        <f>F184/F259</f>
        <v>1.5191682955911451E-3</v>
      </c>
      <c r="H184" s="1139"/>
      <c r="I184" s="1009" t="s">
        <v>3380</v>
      </c>
      <c r="J184" s="985" t="s">
        <v>3387</v>
      </c>
      <c r="K184" s="985" t="s">
        <v>3400</v>
      </c>
      <c r="L184" s="806" t="s">
        <v>3318</v>
      </c>
      <c r="M184" s="964"/>
      <c r="N184" s="965"/>
      <c r="O184" s="965"/>
      <c r="P184" s="965"/>
      <c r="Q184" s="965"/>
      <c r="R184" s="965"/>
      <c r="S184" s="965"/>
      <c r="T184" s="965"/>
      <c r="U184" s="965"/>
      <c r="V184" s="965"/>
      <c r="W184" s="965"/>
      <c r="X184" s="965"/>
      <c r="Y184" s="965"/>
      <c r="Z184" s="965"/>
      <c r="AA184" s="966"/>
      <c r="AB184" s="965"/>
      <c r="AC184" s="965"/>
      <c r="AD184" s="965"/>
      <c r="AE184" s="965"/>
      <c r="AF184" s="965"/>
      <c r="AG184" s="965"/>
      <c r="AH184" s="965"/>
      <c r="AI184" s="965"/>
      <c r="AJ184" s="965"/>
      <c r="AK184" s="965"/>
      <c r="AL184" s="965"/>
      <c r="AM184" s="965"/>
      <c r="AN184" s="965"/>
      <c r="AO184" s="965"/>
      <c r="AP184" s="965"/>
      <c r="AQ184" s="965"/>
      <c r="AR184" s="965"/>
      <c r="AS184" s="965"/>
      <c r="AT184" s="965"/>
      <c r="AU184" s="965"/>
      <c r="AV184" s="965"/>
      <c r="AW184" s="965"/>
      <c r="AX184" s="965"/>
      <c r="AY184" s="965"/>
      <c r="AZ184" s="965"/>
      <c r="BA184" s="965"/>
      <c r="BB184" s="965"/>
      <c r="BC184" s="965"/>
      <c r="BD184" s="965"/>
      <c r="BE184" s="965"/>
      <c r="BF184" s="965"/>
      <c r="BG184" s="965"/>
      <c r="BH184" s="965"/>
      <c r="BI184" s="965"/>
      <c r="BJ184" s="965"/>
      <c r="BK184" s="965"/>
      <c r="BL184" s="965"/>
      <c r="BM184" s="965"/>
      <c r="BN184" s="965"/>
      <c r="BO184" s="965"/>
      <c r="BP184" s="965"/>
      <c r="BQ184" s="965"/>
      <c r="BR184" s="965"/>
      <c r="BS184" s="965"/>
      <c r="BT184" s="965"/>
      <c r="BU184" s="965"/>
      <c r="BV184" s="965"/>
      <c r="BW184" s="965"/>
      <c r="BX184" s="965"/>
      <c r="BY184" s="965"/>
      <c r="BZ184" s="965"/>
      <c r="CA184" s="965"/>
      <c r="CB184" s="965"/>
      <c r="CC184" s="965"/>
      <c r="CD184" s="965"/>
      <c r="CE184" s="1019">
        <f>F184/CZ184*CG185</f>
        <v>503110.65600000008</v>
      </c>
      <c r="CF184" s="1019"/>
      <c r="CG184" s="1019"/>
      <c r="CH184" s="1019"/>
      <c r="CI184" s="1019"/>
      <c r="CJ184" s="1019"/>
      <c r="CK184" s="1019"/>
      <c r="CL184" s="965"/>
      <c r="CM184" s="965"/>
      <c r="CN184" s="965"/>
      <c r="CO184" s="965"/>
      <c r="CP184" s="965"/>
      <c r="CQ184" s="965"/>
      <c r="CR184" s="965"/>
      <c r="CS184" s="965"/>
      <c r="CT184" s="965"/>
      <c r="CU184" s="965"/>
      <c r="CV184" s="965"/>
      <c r="CW184" s="965"/>
      <c r="CX184" s="965"/>
      <c r="CY184" s="965"/>
      <c r="CZ184" s="953">
        <v>3</v>
      </c>
    </row>
    <row r="185" spans="1:104" s="3" customFormat="1" ht="8.1" customHeight="1">
      <c r="A185" s="938"/>
      <c r="B185" s="940"/>
      <c r="C185" s="1008"/>
      <c r="D185" s="942"/>
      <c r="E185" s="944"/>
      <c r="F185" s="946"/>
      <c r="G185" s="948"/>
      <c r="H185" s="1139"/>
      <c r="I185" s="1010"/>
      <c r="J185" s="986"/>
      <c r="K185" s="986"/>
      <c r="L185" s="807" t="s">
        <v>3319</v>
      </c>
      <c r="M185" s="811">
        <v>1</v>
      </c>
      <c r="N185" s="810">
        <v>2</v>
      </c>
      <c r="O185" s="810">
        <v>3</v>
      </c>
      <c r="P185" s="810">
        <v>4</v>
      </c>
      <c r="Q185" s="810">
        <v>5</v>
      </c>
      <c r="R185" s="810">
        <v>6</v>
      </c>
      <c r="S185" s="810">
        <v>7</v>
      </c>
      <c r="T185" s="810">
        <v>1</v>
      </c>
      <c r="U185" s="810">
        <v>2</v>
      </c>
      <c r="V185" s="810">
        <v>3</v>
      </c>
      <c r="W185" s="810">
        <v>4</v>
      </c>
      <c r="X185" s="810">
        <v>5</v>
      </c>
      <c r="Y185" s="810">
        <v>6</v>
      </c>
      <c r="Z185" s="810">
        <v>7</v>
      </c>
      <c r="AA185" s="810">
        <v>1</v>
      </c>
      <c r="AB185" s="810">
        <v>2</v>
      </c>
      <c r="AC185" s="810">
        <v>3</v>
      </c>
      <c r="AD185" s="810">
        <v>4</v>
      </c>
      <c r="AE185" s="810">
        <v>5</v>
      </c>
      <c r="AF185" s="810">
        <v>6</v>
      </c>
      <c r="AG185" s="810">
        <v>7</v>
      </c>
      <c r="AH185" s="810">
        <v>1</v>
      </c>
      <c r="AI185" s="810">
        <v>2</v>
      </c>
      <c r="AJ185" s="810">
        <v>3</v>
      </c>
      <c r="AK185" s="810">
        <v>4</v>
      </c>
      <c r="AL185" s="810">
        <v>5</v>
      </c>
      <c r="AM185" s="810">
        <v>6</v>
      </c>
      <c r="AN185" s="810">
        <v>7</v>
      </c>
      <c r="AO185" s="810">
        <v>1</v>
      </c>
      <c r="AP185" s="810">
        <v>2</v>
      </c>
      <c r="AQ185" s="810">
        <v>3</v>
      </c>
      <c r="AR185" s="810">
        <v>4</v>
      </c>
      <c r="AS185" s="810">
        <v>5</v>
      </c>
      <c r="AT185" s="810">
        <v>6</v>
      </c>
      <c r="AU185" s="810">
        <v>7</v>
      </c>
      <c r="AV185" s="810">
        <v>1</v>
      </c>
      <c r="AW185" s="810">
        <v>2</v>
      </c>
      <c r="AX185" s="810">
        <v>3</v>
      </c>
      <c r="AY185" s="810">
        <v>4</v>
      </c>
      <c r="AZ185" s="810">
        <v>5</v>
      </c>
      <c r="BA185" s="810">
        <v>6</v>
      </c>
      <c r="BB185" s="810">
        <v>7</v>
      </c>
      <c r="BC185" s="810">
        <v>1</v>
      </c>
      <c r="BD185" s="810">
        <v>2</v>
      </c>
      <c r="BE185" s="810">
        <v>3</v>
      </c>
      <c r="BF185" s="810">
        <v>4</v>
      </c>
      <c r="BG185" s="810">
        <v>5</v>
      </c>
      <c r="BH185" s="810">
        <v>6</v>
      </c>
      <c r="BI185" s="810">
        <v>7</v>
      </c>
      <c r="BJ185" s="810">
        <v>1</v>
      </c>
      <c r="BK185" s="810">
        <v>2</v>
      </c>
      <c r="BL185" s="810">
        <v>3</v>
      </c>
      <c r="BM185" s="810">
        <v>4</v>
      </c>
      <c r="BN185" s="810">
        <v>5</v>
      </c>
      <c r="BO185" s="810">
        <v>6</v>
      </c>
      <c r="BP185" s="810">
        <v>7</v>
      </c>
      <c r="BQ185" s="810">
        <v>1</v>
      </c>
      <c r="BR185" s="810">
        <v>2</v>
      </c>
      <c r="BS185" s="810">
        <v>3</v>
      </c>
      <c r="BT185" s="810">
        <v>4</v>
      </c>
      <c r="BU185" s="810">
        <v>5</v>
      </c>
      <c r="BV185" s="810">
        <v>6</v>
      </c>
      <c r="BW185" s="810">
        <v>7</v>
      </c>
      <c r="BX185" s="810">
        <v>1</v>
      </c>
      <c r="BY185" s="810">
        <v>2</v>
      </c>
      <c r="BZ185" s="810">
        <v>3</v>
      </c>
      <c r="CA185" s="810">
        <v>4</v>
      </c>
      <c r="CB185" s="810">
        <v>5</v>
      </c>
      <c r="CC185" s="810">
        <v>6</v>
      </c>
      <c r="CD185" s="810">
        <v>7</v>
      </c>
      <c r="CE185" s="812">
        <v>1</v>
      </c>
      <c r="CF185" s="812">
        <v>2</v>
      </c>
      <c r="CG185" s="812">
        <v>3</v>
      </c>
      <c r="CH185" s="810">
        <v>4</v>
      </c>
      <c r="CI185" s="810">
        <v>5</v>
      </c>
      <c r="CJ185" s="810">
        <v>6</v>
      </c>
      <c r="CK185" s="810">
        <v>7</v>
      </c>
      <c r="CL185" s="810">
        <v>1</v>
      </c>
      <c r="CM185" s="810">
        <v>2</v>
      </c>
      <c r="CN185" s="810">
        <v>3</v>
      </c>
      <c r="CO185" s="810">
        <v>4</v>
      </c>
      <c r="CP185" s="810">
        <v>5</v>
      </c>
      <c r="CQ185" s="810">
        <v>6</v>
      </c>
      <c r="CR185" s="810">
        <v>7</v>
      </c>
      <c r="CS185" s="810">
        <v>1</v>
      </c>
      <c r="CT185" s="810">
        <v>2</v>
      </c>
      <c r="CU185" s="810">
        <v>3</v>
      </c>
      <c r="CV185" s="810">
        <v>4</v>
      </c>
      <c r="CW185" s="810">
        <v>5</v>
      </c>
      <c r="CX185" s="781"/>
      <c r="CY185" s="781"/>
      <c r="CZ185" s="954"/>
    </row>
    <row r="186" spans="1:104" s="3" customFormat="1" ht="8.1" customHeight="1" thickBot="1">
      <c r="A186" s="939"/>
      <c r="B186" s="941"/>
      <c r="C186" s="1112"/>
      <c r="D186" s="943"/>
      <c r="E186" s="945"/>
      <c r="F186" s="947"/>
      <c r="G186" s="949"/>
      <c r="H186" s="1139"/>
      <c r="I186" s="1011"/>
      <c r="J186" s="987"/>
      <c r="K186" s="987"/>
      <c r="L186" s="808" t="s">
        <v>3320</v>
      </c>
      <c r="M186" s="955"/>
      <c r="N186" s="956"/>
      <c r="O186" s="956"/>
      <c r="P186" s="956"/>
      <c r="Q186" s="956"/>
      <c r="R186" s="956"/>
      <c r="S186" s="956"/>
      <c r="T186" s="956"/>
      <c r="U186" s="956"/>
      <c r="V186" s="956"/>
      <c r="W186" s="956"/>
      <c r="X186" s="956"/>
      <c r="Y186" s="956"/>
      <c r="Z186" s="956"/>
      <c r="AA186" s="956"/>
      <c r="AB186" s="956"/>
      <c r="AC186" s="956"/>
      <c r="AD186" s="956"/>
      <c r="AE186" s="956"/>
      <c r="AF186" s="956"/>
      <c r="AG186" s="956"/>
      <c r="AH186" s="956"/>
      <c r="AI186" s="956"/>
      <c r="AJ186" s="956"/>
      <c r="AK186" s="956"/>
      <c r="AL186" s="956"/>
      <c r="AM186" s="956"/>
      <c r="AN186" s="956"/>
      <c r="AO186" s="956"/>
      <c r="AP186" s="956"/>
      <c r="AQ186" s="956"/>
      <c r="AR186" s="956"/>
      <c r="AS186" s="956"/>
      <c r="AT186" s="956"/>
      <c r="AU186" s="956"/>
      <c r="AV186" s="956"/>
      <c r="AW186" s="956"/>
      <c r="AX186" s="956"/>
      <c r="AY186" s="956"/>
      <c r="AZ186" s="956"/>
      <c r="BA186" s="956"/>
      <c r="BB186" s="956"/>
      <c r="BC186" s="956"/>
      <c r="BD186" s="956"/>
      <c r="BE186" s="956"/>
      <c r="BF186" s="956"/>
      <c r="BG186" s="956"/>
      <c r="BH186" s="956"/>
      <c r="BI186" s="956"/>
      <c r="BJ186" s="956"/>
      <c r="BK186" s="956"/>
      <c r="BL186" s="956"/>
      <c r="BM186" s="956"/>
      <c r="BN186" s="956"/>
      <c r="BO186" s="956"/>
      <c r="BP186" s="956"/>
      <c r="BQ186" s="956"/>
      <c r="BR186" s="956"/>
      <c r="BS186" s="956"/>
      <c r="BT186" s="956"/>
      <c r="BU186" s="956">
        <f>BQ184+BX184+CE184+CL184+CS184</f>
        <v>503110.65600000008</v>
      </c>
      <c r="BV186" s="956"/>
      <c r="BW186" s="956"/>
      <c r="BX186" s="956"/>
      <c r="BY186" s="956"/>
      <c r="BZ186" s="956"/>
      <c r="CA186" s="956"/>
      <c r="CB186" s="956"/>
      <c r="CC186" s="956"/>
      <c r="CD186" s="956"/>
      <c r="CE186" s="956"/>
      <c r="CF186" s="956"/>
      <c r="CG186" s="956"/>
      <c r="CH186" s="956"/>
      <c r="CI186" s="956"/>
      <c r="CJ186" s="956"/>
      <c r="CK186" s="956"/>
      <c r="CL186" s="956"/>
      <c r="CM186" s="956"/>
      <c r="CN186" s="956"/>
      <c r="CO186" s="956"/>
      <c r="CP186" s="956"/>
      <c r="CQ186" s="956"/>
      <c r="CR186" s="956"/>
      <c r="CS186" s="956"/>
      <c r="CT186" s="956"/>
      <c r="CU186" s="956"/>
      <c r="CV186" s="956"/>
      <c r="CW186" s="956"/>
      <c r="CX186" s="956"/>
      <c r="CY186" s="956"/>
      <c r="CZ186" s="954"/>
    </row>
    <row r="187" spans="1:104" s="3" customFormat="1" ht="20.100000000000001" customHeight="1">
      <c r="A187" s="724"/>
      <c r="B187" s="928"/>
      <c r="C187" s="714"/>
      <c r="D187" s="759"/>
      <c r="E187" s="771" t="s">
        <v>3245</v>
      </c>
      <c r="F187" s="769">
        <f>SUM(F178:F186)</f>
        <v>69541467.856000006</v>
      </c>
      <c r="G187" s="776">
        <f>F187/F259</f>
        <v>0.20998401034802552</v>
      </c>
      <c r="H187" s="1139"/>
      <c r="I187" s="995" t="s">
        <v>3336</v>
      </c>
      <c r="J187" s="995"/>
      <c r="K187" s="995"/>
      <c r="L187" s="995"/>
      <c r="M187" s="996">
        <f>M186+M180+M183</f>
        <v>0</v>
      </c>
      <c r="N187" s="996"/>
      <c r="O187" s="996"/>
      <c r="P187" s="996"/>
      <c r="Q187" s="996"/>
      <c r="R187" s="996"/>
      <c r="S187" s="996"/>
      <c r="T187" s="996"/>
      <c r="U187" s="996"/>
      <c r="V187" s="996"/>
      <c r="W187" s="996"/>
      <c r="X187" s="996"/>
      <c r="Y187" s="996"/>
      <c r="Z187" s="996"/>
      <c r="AA187" s="996"/>
      <c r="AB187" s="996"/>
      <c r="AC187" s="996"/>
      <c r="AD187" s="996"/>
      <c r="AE187" s="996"/>
      <c r="AF187" s="996"/>
      <c r="AG187" s="996"/>
      <c r="AH187" s="996"/>
      <c r="AI187" s="996"/>
      <c r="AJ187" s="996"/>
      <c r="AK187" s="996"/>
      <c r="AL187" s="996"/>
      <c r="AM187" s="996"/>
      <c r="AN187" s="996"/>
      <c r="AO187" s="996"/>
      <c r="AP187" s="997"/>
      <c r="AQ187" s="996">
        <f>AQ186+AQ180+AQ183</f>
        <v>0</v>
      </c>
      <c r="AR187" s="996"/>
      <c r="AS187" s="996"/>
      <c r="AT187" s="996"/>
      <c r="AU187" s="996"/>
      <c r="AV187" s="996"/>
      <c r="AW187" s="996"/>
      <c r="AX187" s="996"/>
      <c r="AY187" s="996"/>
      <c r="AZ187" s="996"/>
      <c r="BA187" s="996"/>
      <c r="BB187" s="996"/>
      <c r="BC187" s="996"/>
      <c r="BD187" s="996"/>
      <c r="BE187" s="996"/>
      <c r="BF187" s="996"/>
      <c r="BG187" s="996"/>
      <c r="BH187" s="996"/>
      <c r="BI187" s="996"/>
      <c r="BJ187" s="996"/>
      <c r="BK187" s="996"/>
      <c r="BL187" s="996"/>
      <c r="BM187" s="996"/>
      <c r="BN187" s="996"/>
      <c r="BO187" s="996"/>
      <c r="BP187" s="996"/>
      <c r="BQ187" s="996"/>
      <c r="BR187" s="996"/>
      <c r="BS187" s="996"/>
      <c r="BT187" s="997"/>
      <c r="BU187" s="998">
        <f>BU183+BU180+BU186</f>
        <v>69541467.856000006</v>
      </c>
      <c r="BV187" s="998"/>
      <c r="BW187" s="998"/>
      <c r="BX187" s="998"/>
      <c r="BY187" s="998"/>
      <c r="BZ187" s="998"/>
      <c r="CA187" s="998"/>
      <c r="CB187" s="998"/>
      <c r="CC187" s="998"/>
      <c r="CD187" s="998"/>
      <c r="CE187" s="998"/>
      <c r="CF187" s="998"/>
      <c r="CG187" s="998"/>
      <c r="CH187" s="998"/>
      <c r="CI187" s="998"/>
      <c r="CJ187" s="998"/>
      <c r="CK187" s="998"/>
      <c r="CL187" s="998"/>
      <c r="CM187" s="998"/>
      <c r="CN187" s="998"/>
      <c r="CO187" s="998"/>
      <c r="CP187" s="998"/>
      <c r="CQ187" s="998"/>
      <c r="CR187" s="998"/>
      <c r="CS187" s="998"/>
      <c r="CT187" s="998"/>
      <c r="CU187" s="998"/>
      <c r="CV187" s="998"/>
      <c r="CW187" s="998"/>
      <c r="CX187" s="998"/>
      <c r="CY187" s="998"/>
      <c r="CZ187" s="713">
        <f>SUM(CZ178:CZ183)</f>
        <v>6</v>
      </c>
    </row>
    <row r="188" spans="1:104" s="3" customFormat="1" ht="20.100000000000001" customHeight="1">
      <c r="A188" s="724"/>
      <c r="B188" s="928"/>
      <c r="C188" s="714"/>
      <c r="D188" s="759"/>
      <c r="E188" s="757"/>
      <c r="F188" s="716"/>
      <c r="G188" s="763"/>
      <c r="H188" s="1139"/>
      <c r="I188" s="991" t="s">
        <v>3325</v>
      </c>
      <c r="J188" s="991"/>
      <c r="K188" s="991"/>
      <c r="L188" s="991"/>
      <c r="M188" s="992">
        <f>M187+AQ187+BU187</f>
        <v>69541467.856000006</v>
      </c>
      <c r="N188" s="993"/>
      <c r="O188" s="993"/>
      <c r="P188" s="993"/>
      <c r="Q188" s="993"/>
      <c r="R188" s="993"/>
      <c r="S188" s="993"/>
      <c r="T188" s="993"/>
      <c r="U188" s="993"/>
      <c r="V188" s="993"/>
      <c r="W188" s="993"/>
      <c r="X188" s="993"/>
      <c r="Y188" s="993"/>
      <c r="Z188" s="993"/>
      <c r="AA188" s="993"/>
      <c r="AB188" s="993"/>
      <c r="AC188" s="993"/>
      <c r="AD188" s="993"/>
      <c r="AE188" s="993"/>
      <c r="AF188" s="993"/>
      <c r="AG188" s="993"/>
      <c r="AH188" s="993"/>
      <c r="AI188" s="993"/>
      <c r="AJ188" s="993"/>
      <c r="AK188" s="993"/>
      <c r="AL188" s="993"/>
      <c r="AM188" s="993"/>
      <c r="AN188" s="993"/>
      <c r="AO188" s="993"/>
      <c r="AP188" s="993"/>
      <c r="AQ188" s="993"/>
      <c r="AR188" s="993"/>
      <c r="AS188" s="993"/>
      <c r="AT188" s="993"/>
      <c r="AU188" s="993"/>
      <c r="AV188" s="993"/>
      <c r="AW188" s="993"/>
      <c r="AX188" s="993"/>
      <c r="AY188" s="993"/>
      <c r="AZ188" s="993"/>
      <c r="BA188" s="993"/>
      <c r="BB188" s="993"/>
      <c r="BC188" s="993"/>
      <c r="BD188" s="993"/>
      <c r="BE188" s="993"/>
      <c r="BF188" s="993"/>
      <c r="BG188" s="993"/>
      <c r="BH188" s="993"/>
      <c r="BI188" s="993"/>
      <c r="BJ188" s="993"/>
      <c r="BK188" s="993"/>
      <c r="BL188" s="993"/>
      <c r="BM188" s="993"/>
      <c r="BN188" s="993"/>
      <c r="BO188" s="993"/>
      <c r="BP188" s="993"/>
      <c r="BQ188" s="993"/>
      <c r="BR188" s="993"/>
      <c r="BS188" s="993"/>
      <c r="BT188" s="993"/>
      <c r="BU188" s="993"/>
      <c r="BV188" s="993"/>
      <c r="BW188" s="993"/>
      <c r="BX188" s="993"/>
      <c r="BY188" s="993"/>
      <c r="BZ188" s="993"/>
      <c r="CA188" s="993"/>
      <c r="CB188" s="993"/>
      <c r="CC188" s="993"/>
      <c r="CD188" s="993"/>
      <c r="CE188" s="993"/>
      <c r="CF188" s="993"/>
      <c r="CG188" s="993"/>
      <c r="CH188" s="993"/>
      <c r="CI188" s="993"/>
      <c r="CJ188" s="993"/>
      <c r="CK188" s="993"/>
      <c r="CL188" s="993"/>
      <c r="CM188" s="993"/>
      <c r="CN188" s="993"/>
      <c r="CO188" s="993"/>
      <c r="CP188" s="993"/>
      <c r="CQ188" s="993"/>
      <c r="CR188" s="993"/>
      <c r="CS188" s="993"/>
      <c r="CT188" s="993"/>
      <c r="CU188" s="993"/>
      <c r="CV188" s="993"/>
      <c r="CW188" s="993"/>
      <c r="CX188" s="993"/>
      <c r="CY188" s="993"/>
      <c r="CZ188" s="792"/>
    </row>
    <row r="189" spans="1:104" s="762" customFormat="1" ht="20.100000000000001" customHeight="1" thickBot="1">
      <c r="A189" s="720" t="str">
        <f>EDIFICACION!A497</f>
        <v>XI</v>
      </c>
      <c r="B189" s="1106" t="str">
        <f>EDIFICACION!B497</f>
        <v>APARATOS SANITARIOS-LLAVES DE CONTROL</v>
      </c>
      <c r="C189" s="1107"/>
      <c r="D189" s="1107"/>
      <c r="E189" s="1107"/>
      <c r="F189" s="1107"/>
      <c r="G189" s="1107"/>
      <c r="H189" s="1139"/>
      <c r="I189" s="1028"/>
      <c r="J189" s="994"/>
      <c r="K189" s="994"/>
      <c r="L189" s="994"/>
      <c r="M189" s="994"/>
      <c r="N189" s="994"/>
      <c r="O189" s="994"/>
      <c r="P189" s="994"/>
      <c r="Q189" s="994"/>
      <c r="R189" s="994"/>
      <c r="S189" s="994"/>
      <c r="T189" s="994"/>
      <c r="U189" s="994"/>
      <c r="V189" s="994"/>
      <c r="W189" s="994"/>
      <c r="X189" s="994"/>
      <c r="Y189" s="994"/>
      <c r="Z189" s="994"/>
      <c r="AA189" s="994"/>
      <c r="AB189" s="994"/>
      <c r="AC189" s="994"/>
      <c r="AD189" s="994"/>
      <c r="AE189" s="994"/>
      <c r="AF189" s="994"/>
      <c r="AG189" s="994"/>
      <c r="AH189" s="994"/>
      <c r="AI189" s="994"/>
      <c r="AJ189" s="994"/>
      <c r="AK189" s="994"/>
      <c r="AL189" s="994"/>
      <c r="AM189" s="994"/>
      <c r="AN189" s="994"/>
      <c r="AO189" s="994"/>
      <c r="AP189" s="994"/>
      <c r="AQ189" s="994"/>
      <c r="AR189" s="994"/>
      <c r="AS189" s="994"/>
      <c r="AT189" s="994"/>
      <c r="AU189" s="994"/>
      <c r="AV189" s="994"/>
      <c r="AW189" s="994"/>
      <c r="AX189" s="994"/>
      <c r="AY189" s="994"/>
      <c r="AZ189" s="994"/>
      <c r="BA189" s="994"/>
      <c r="BB189" s="994"/>
      <c r="BC189" s="994"/>
      <c r="BD189" s="994"/>
      <c r="BE189" s="994"/>
      <c r="BF189" s="994"/>
      <c r="BG189" s="994"/>
      <c r="BH189" s="994"/>
      <c r="BI189" s="994"/>
      <c r="BJ189" s="994"/>
      <c r="BK189" s="994"/>
      <c r="BL189" s="994"/>
      <c r="BM189" s="994"/>
      <c r="BN189" s="994"/>
      <c r="BO189" s="994"/>
      <c r="BP189" s="994"/>
      <c r="BQ189" s="994"/>
      <c r="BR189" s="994"/>
      <c r="BS189" s="994"/>
      <c r="BT189" s="994"/>
      <c r="BU189" s="994"/>
      <c r="BV189" s="994"/>
      <c r="BW189" s="994"/>
      <c r="BX189" s="994"/>
      <c r="BY189" s="994"/>
      <c r="BZ189" s="994"/>
      <c r="CA189" s="994"/>
      <c r="CB189" s="994"/>
      <c r="CC189" s="994"/>
      <c r="CD189" s="994"/>
      <c r="CE189" s="994"/>
      <c r="CF189" s="994"/>
      <c r="CG189" s="994"/>
      <c r="CH189" s="994"/>
      <c r="CI189" s="994"/>
      <c r="CJ189" s="994"/>
      <c r="CK189" s="994"/>
      <c r="CL189" s="994"/>
      <c r="CM189" s="994"/>
      <c r="CN189" s="994"/>
      <c r="CO189" s="994"/>
      <c r="CP189" s="994"/>
      <c r="CQ189" s="994"/>
      <c r="CR189" s="994"/>
      <c r="CS189" s="994"/>
      <c r="CT189" s="994"/>
      <c r="CU189" s="994"/>
      <c r="CV189" s="994"/>
      <c r="CW189" s="994"/>
      <c r="CX189" s="994"/>
      <c r="CY189" s="994"/>
      <c r="CZ189" s="994"/>
    </row>
    <row r="190" spans="1:104" s="762" customFormat="1" ht="8.1" customHeight="1" thickBot="1">
      <c r="A190" s="1017">
        <f>EDIFICACION!A498</f>
        <v>12.1</v>
      </c>
      <c r="B190" s="1018" t="str">
        <f>EDIFICACION!B498</f>
        <v>LLAVE TERMINAL CROMADA 1/2 GRIVAL O SIMILAR</v>
      </c>
      <c r="C190" s="1016" t="str">
        <f>EDIFICACION!C498</f>
        <v>UN</v>
      </c>
      <c r="D190" s="1015">
        <v>3</v>
      </c>
      <c r="E190" s="1014">
        <f>EDIFICACION!F498</f>
        <v>38032</v>
      </c>
      <c r="F190" s="1012">
        <f t="shared" si="8"/>
        <v>114096</v>
      </c>
      <c r="G190" s="1057">
        <f>F190/F259</f>
        <v>3.4451869342589964E-4</v>
      </c>
      <c r="H190" s="1140"/>
      <c r="I190" s="1117" t="s">
        <v>3429</v>
      </c>
      <c r="J190" s="985" t="s">
        <v>3365</v>
      </c>
      <c r="K190" s="985" t="s">
        <v>3365</v>
      </c>
      <c r="L190" s="806" t="s">
        <v>3318</v>
      </c>
      <c r="M190" s="964"/>
      <c r="N190" s="965"/>
      <c r="O190" s="965"/>
      <c r="P190" s="965"/>
      <c r="Q190" s="965"/>
      <c r="R190" s="965"/>
      <c r="S190" s="965"/>
      <c r="T190" s="965"/>
      <c r="U190" s="965"/>
      <c r="V190" s="965"/>
      <c r="W190" s="965"/>
      <c r="X190" s="965"/>
      <c r="Y190" s="965"/>
      <c r="Z190" s="965"/>
      <c r="AA190" s="966"/>
      <c r="AB190" s="965"/>
      <c r="AC190" s="965"/>
      <c r="AD190" s="965"/>
      <c r="AE190" s="965"/>
      <c r="AF190" s="965"/>
      <c r="AG190" s="965"/>
      <c r="AH190" s="965"/>
      <c r="AI190" s="965"/>
      <c r="AJ190" s="965"/>
      <c r="AK190" s="965"/>
      <c r="AL190" s="965"/>
      <c r="AM190" s="965"/>
      <c r="AN190" s="965"/>
      <c r="AO190" s="1019">
        <f>F190/CZ190*1</f>
        <v>114096</v>
      </c>
      <c r="AP190" s="1019"/>
      <c r="AQ190" s="1019"/>
      <c r="AR190" s="1019"/>
      <c r="AS190" s="1019"/>
      <c r="AT190" s="1019"/>
      <c r="AU190" s="1019"/>
      <c r="AV190" s="965"/>
      <c r="AW190" s="965"/>
      <c r="AX190" s="965"/>
      <c r="AY190" s="965"/>
      <c r="AZ190" s="965"/>
      <c r="BA190" s="965"/>
      <c r="BB190" s="965"/>
      <c r="BC190" s="965"/>
      <c r="BD190" s="965"/>
      <c r="BE190" s="965"/>
      <c r="BF190" s="965"/>
      <c r="BG190" s="965"/>
      <c r="BH190" s="965"/>
      <c r="BI190" s="965"/>
      <c r="BJ190" s="965"/>
      <c r="BK190" s="965"/>
      <c r="BL190" s="965"/>
      <c r="BM190" s="965"/>
      <c r="BN190" s="965"/>
      <c r="BO190" s="965"/>
      <c r="BP190" s="965"/>
      <c r="BQ190" s="965"/>
      <c r="BR190" s="965"/>
      <c r="BS190" s="965"/>
      <c r="BT190" s="965"/>
      <c r="BU190" s="965"/>
      <c r="BV190" s="965"/>
      <c r="BW190" s="965"/>
      <c r="BX190" s="965"/>
      <c r="BY190" s="965"/>
      <c r="BZ190" s="965"/>
      <c r="CA190" s="965"/>
      <c r="CB190" s="965"/>
      <c r="CC190" s="965"/>
      <c r="CD190" s="965"/>
      <c r="CE190" s="965"/>
      <c r="CF190" s="965"/>
      <c r="CG190" s="965"/>
      <c r="CH190" s="965"/>
      <c r="CI190" s="965"/>
      <c r="CJ190" s="965"/>
      <c r="CK190" s="965"/>
      <c r="CL190" s="965"/>
      <c r="CM190" s="965"/>
      <c r="CN190" s="965"/>
      <c r="CO190" s="965"/>
      <c r="CP190" s="965"/>
      <c r="CQ190" s="965"/>
      <c r="CR190" s="965"/>
      <c r="CS190" s="965"/>
      <c r="CT190" s="965"/>
      <c r="CU190" s="965"/>
      <c r="CV190" s="965"/>
      <c r="CW190" s="965"/>
      <c r="CX190" s="965"/>
      <c r="CY190" s="965"/>
      <c r="CZ190" s="953">
        <v>1</v>
      </c>
    </row>
    <row r="191" spans="1:104" s="762" customFormat="1" ht="8.1" customHeight="1" thickBot="1">
      <c r="A191" s="938"/>
      <c r="B191" s="940"/>
      <c r="C191" s="1008"/>
      <c r="D191" s="942"/>
      <c r="E191" s="944"/>
      <c r="F191" s="946"/>
      <c r="G191" s="989"/>
      <c r="H191" s="1140"/>
      <c r="I191" s="1117"/>
      <c r="J191" s="986"/>
      <c r="K191" s="986"/>
      <c r="L191" s="807" t="s">
        <v>3319</v>
      </c>
      <c r="M191" s="811">
        <v>1</v>
      </c>
      <c r="N191" s="810">
        <v>2</v>
      </c>
      <c r="O191" s="810">
        <v>3</v>
      </c>
      <c r="P191" s="810">
        <v>4</v>
      </c>
      <c r="Q191" s="810">
        <v>5</v>
      </c>
      <c r="R191" s="810">
        <v>6</v>
      </c>
      <c r="S191" s="810">
        <v>7</v>
      </c>
      <c r="T191" s="810">
        <v>1</v>
      </c>
      <c r="U191" s="810">
        <v>2</v>
      </c>
      <c r="V191" s="810">
        <v>3</v>
      </c>
      <c r="W191" s="810">
        <v>4</v>
      </c>
      <c r="X191" s="810">
        <v>5</v>
      </c>
      <c r="Y191" s="810">
        <v>6</v>
      </c>
      <c r="Z191" s="810">
        <v>7</v>
      </c>
      <c r="AA191" s="810">
        <v>1</v>
      </c>
      <c r="AB191" s="810">
        <v>2</v>
      </c>
      <c r="AC191" s="810">
        <v>3</v>
      </c>
      <c r="AD191" s="810">
        <v>4</v>
      </c>
      <c r="AE191" s="810">
        <v>5</v>
      </c>
      <c r="AF191" s="810">
        <v>6</v>
      </c>
      <c r="AG191" s="810">
        <v>7</v>
      </c>
      <c r="AH191" s="810">
        <v>1</v>
      </c>
      <c r="AI191" s="810">
        <v>2</v>
      </c>
      <c r="AJ191" s="810">
        <v>3</v>
      </c>
      <c r="AK191" s="810">
        <v>4</v>
      </c>
      <c r="AL191" s="810">
        <v>5</v>
      </c>
      <c r="AM191" s="810">
        <v>6</v>
      </c>
      <c r="AN191" s="810">
        <v>7</v>
      </c>
      <c r="AO191" s="812">
        <v>1</v>
      </c>
      <c r="AP191" s="810">
        <v>2</v>
      </c>
      <c r="AQ191" s="810">
        <v>3</v>
      </c>
      <c r="AR191" s="810">
        <v>4</v>
      </c>
      <c r="AS191" s="810">
        <v>5</v>
      </c>
      <c r="AT191" s="810">
        <v>6</v>
      </c>
      <c r="AU191" s="810">
        <v>7</v>
      </c>
      <c r="AV191" s="810">
        <v>1</v>
      </c>
      <c r="AW191" s="810">
        <v>2</v>
      </c>
      <c r="AX191" s="810">
        <v>3</v>
      </c>
      <c r="AY191" s="810">
        <v>4</v>
      </c>
      <c r="AZ191" s="810">
        <v>5</v>
      </c>
      <c r="BA191" s="810">
        <v>6</v>
      </c>
      <c r="BB191" s="810">
        <v>7</v>
      </c>
      <c r="BC191" s="810">
        <v>1</v>
      </c>
      <c r="BD191" s="810">
        <v>2</v>
      </c>
      <c r="BE191" s="810">
        <v>3</v>
      </c>
      <c r="BF191" s="810">
        <v>4</v>
      </c>
      <c r="BG191" s="810">
        <v>5</v>
      </c>
      <c r="BH191" s="810">
        <v>6</v>
      </c>
      <c r="BI191" s="810">
        <v>7</v>
      </c>
      <c r="BJ191" s="810">
        <v>1</v>
      </c>
      <c r="BK191" s="810">
        <v>2</v>
      </c>
      <c r="BL191" s="810">
        <v>3</v>
      </c>
      <c r="BM191" s="810">
        <v>4</v>
      </c>
      <c r="BN191" s="810">
        <v>5</v>
      </c>
      <c r="BO191" s="810">
        <v>6</v>
      </c>
      <c r="BP191" s="810">
        <v>7</v>
      </c>
      <c r="BQ191" s="810">
        <v>1</v>
      </c>
      <c r="BR191" s="810">
        <v>2</v>
      </c>
      <c r="BS191" s="810">
        <v>3</v>
      </c>
      <c r="BT191" s="810">
        <v>4</v>
      </c>
      <c r="BU191" s="810">
        <v>5</v>
      </c>
      <c r="BV191" s="810">
        <v>6</v>
      </c>
      <c r="BW191" s="810">
        <v>7</v>
      </c>
      <c r="BX191" s="810">
        <v>1</v>
      </c>
      <c r="BY191" s="810">
        <v>2</v>
      </c>
      <c r="BZ191" s="810">
        <v>3</v>
      </c>
      <c r="CA191" s="810">
        <v>4</v>
      </c>
      <c r="CB191" s="810">
        <v>5</v>
      </c>
      <c r="CC191" s="810">
        <v>6</v>
      </c>
      <c r="CD191" s="810">
        <v>7</v>
      </c>
      <c r="CE191" s="810">
        <v>1</v>
      </c>
      <c r="CF191" s="810">
        <v>2</v>
      </c>
      <c r="CG191" s="810">
        <v>3</v>
      </c>
      <c r="CH191" s="810">
        <v>4</v>
      </c>
      <c r="CI191" s="810">
        <v>5</v>
      </c>
      <c r="CJ191" s="810">
        <v>6</v>
      </c>
      <c r="CK191" s="810">
        <v>7</v>
      </c>
      <c r="CL191" s="810">
        <v>1</v>
      </c>
      <c r="CM191" s="810">
        <v>2</v>
      </c>
      <c r="CN191" s="810">
        <v>3</v>
      </c>
      <c r="CO191" s="810">
        <v>4</v>
      </c>
      <c r="CP191" s="810">
        <v>5</v>
      </c>
      <c r="CQ191" s="810">
        <v>6</v>
      </c>
      <c r="CR191" s="810">
        <v>7</v>
      </c>
      <c r="CS191" s="810">
        <v>1</v>
      </c>
      <c r="CT191" s="810">
        <v>2</v>
      </c>
      <c r="CU191" s="810">
        <v>3</v>
      </c>
      <c r="CV191" s="810">
        <v>4</v>
      </c>
      <c r="CW191" s="810">
        <v>5</v>
      </c>
      <c r="CX191" s="781">
        <v>6</v>
      </c>
      <c r="CY191" s="781">
        <v>7</v>
      </c>
      <c r="CZ191" s="954"/>
    </row>
    <row r="192" spans="1:104" s="762" customFormat="1" ht="8.1" customHeight="1" thickBot="1">
      <c r="A192" s="938"/>
      <c r="B192" s="940"/>
      <c r="C192" s="1008"/>
      <c r="D192" s="942"/>
      <c r="E192" s="944"/>
      <c r="F192" s="946"/>
      <c r="G192" s="989"/>
      <c r="H192" s="1140"/>
      <c r="I192" s="1117"/>
      <c r="J192" s="987"/>
      <c r="K192" s="987"/>
      <c r="L192" s="808" t="s">
        <v>3320</v>
      </c>
      <c r="M192" s="955"/>
      <c r="N192" s="956"/>
      <c r="O192" s="956"/>
      <c r="P192" s="956"/>
      <c r="Q192" s="956"/>
      <c r="R192" s="956"/>
      <c r="S192" s="956"/>
      <c r="T192" s="956"/>
      <c r="U192" s="956"/>
      <c r="V192" s="956"/>
      <c r="W192" s="956"/>
      <c r="X192" s="956"/>
      <c r="Y192" s="956"/>
      <c r="Z192" s="956"/>
      <c r="AA192" s="956"/>
      <c r="AB192" s="956"/>
      <c r="AC192" s="956"/>
      <c r="AD192" s="956"/>
      <c r="AE192" s="956"/>
      <c r="AF192" s="956"/>
      <c r="AG192" s="956"/>
      <c r="AH192" s="956"/>
      <c r="AI192" s="956"/>
      <c r="AJ192" s="956"/>
      <c r="AK192" s="956"/>
      <c r="AL192" s="956"/>
      <c r="AM192" s="956"/>
      <c r="AN192" s="956"/>
      <c r="AO192" s="956"/>
      <c r="AP192" s="956"/>
      <c r="AQ192" s="956">
        <f>AO190+AV190+BC190+BJ190</f>
        <v>114096</v>
      </c>
      <c r="AR192" s="956"/>
      <c r="AS192" s="956"/>
      <c r="AT192" s="956"/>
      <c r="AU192" s="956"/>
      <c r="AV192" s="956"/>
      <c r="AW192" s="956"/>
      <c r="AX192" s="956"/>
      <c r="AY192" s="956"/>
      <c r="AZ192" s="956"/>
      <c r="BA192" s="956"/>
      <c r="BB192" s="956"/>
      <c r="BC192" s="956"/>
      <c r="BD192" s="956"/>
      <c r="BE192" s="956"/>
      <c r="BF192" s="956"/>
      <c r="BG192" s="956"/>
      <c r="BH192" s="956"/>
      <c r="BI192" s="956"/>
      <c r="BJ192" s="956"/>
      <c r="BK192" s="956"/>
      <c r="BL192" s="956"/>
      <c r="BM192" s="956"/>
      <c r="BN192" s="956"/>
      <c r="BO192" s="956"/>
      <c r="BP192" s="956"/>
      <c r="BQ192" s="956"/>
      <c r="BR192" s="956"/>
      <c r="BS192" s="956"/>
      <c r="BT192" s="956"/>
      <c r="BU192" s="956"/>
      <c r="BV192" s="956"/>
      <c r="BW192" s="956"/>
      <c r="BX192" s="956"/>
      <c r="BY192" s="956"/>
      <c r="BZ192" s="956"/>
      <c r="CA192" s="956"/>
      <c r="CB192" s="956"/>
      <c r="CC192" s="956"/>
      <c r="CD192" s="956"/>
      <c r="CE192" s="956"/>
      <c r="CF192" s="956"/>
      <c r="CG192" s="956"/>
      <c r="CH192" s="956"/>
      <c r="CI192" s="956"/>
      <c r="CJ192" s="956"/>
      <c r="CK192" s="956"/>
      <c r="CL192" s="956"/>
      <c r="CM192" s="956"/>
      <c r="CN192" s="956"/>
      <c r="CO192" s="956"/>
      <c r="CP192" s="956"/>
      <c r="CQ192" s="956"/>
      <c r="CR192" s="956"/>
      <c r="CS192" s="956"/>
      <c r="CT192" s="956"/>
      <c r="CU192" s="956"/>
      <c r="CV192" s="956"/>
      <c r="CW192" s="956"/>
      <c r="CX192" s="956"/>
      <c r="CY192" s="956"/>
      <c r="CZ192" s="954"/>
    </row>
    <row r="193" spans="1:104" s="762" customFormat="1" ht="8.1" customHeight="1" thickBot="1">
      <c r="A193" s="938">
        <f>EDIFICACION!A505</f>
        <v>12.2</v>
      </c>
      <c r="B193" s="940" t="str">
        <f>EDIFICACION!B505</f>
        <v>LLAVE CONTROL DE  1/2"-RED WHITE O SIMILAR</v>
      </c>
      <c r="C193" s="1008" t="str">
        <f>EDIFICACION!C505</f>
        <v>UN</v>
      </c>
      <c r="D193" s="942">
        <v>3</v>
      </c>
      <c r="E193" s="944">
        <f>EDIFICACION!F505</f>
        <v>56360</v>
      </c>
      <c r="F193" s="946">
        <f t="shared" si="8"/>
        <v>169080</v>
      </c>
      <c r="G193" s="989">
        <f>F193/F259</f>
        <v>5.1054568682908346E-4</v>
      </c>
      <c r="H193" s="1140"/>
      <c r="I193" s="1117" t="s">
        <v>3396</v>
      </c>
      <c r="J193" s="985" t="s">
        <v>3365</v>
      </c>
      <c r="K193" s="985" t="s">
        <v>3365</v>
      </c>
      <c r="L193" s="806" t="s">
        <v>3318</v>
      </c>
      <c r="M193" s="988"/>
      <c r="N193" s="952"/>
      <c r="O193" s="952"/>
      <c r="P193" s="952"/>
      <c r="Q193" s="952"/>
      <c r="R193" s="952"/>
      <c r="S193" s="952"/>
      <c r="T193" s="1007"/>
      <c r="U193" s="952"/>
      <c r="V193" s="952"/>
      <c r="W193" s="952"/>
      <c r="X193" s="952"/>
      <c r="Y193" s="952"/>
      <c r="Z193" s="952"/>
      <c r="AA193" s="1007"/>
      <c r="AB193" s="952"/>
      <c r="AC193" s="952"/>
      <c r="AD193" s="952"/>
      <c r="AE193" s="952"/>
      <c r="AF193" s="952"/>
      <c r="AG193" s="952"/>
      <c r="AH193" s="952"/>
      <c r="AI193" s="952"/>
      <c r="AJ193" s="952"/>
      <c r="AK193" s="952"/>
      <c r="AL193" s="952"/>
      <c r="AM193" s="952"/>
      <c r="AN193" s="952"/>
      <c r="AO193" s="951">
        <f>F193/CZ193*1</f>
        <v>169080</v>
      </c>
      <c r="AP193" s="951"/>
      <c r="AQ193" s="951"/>
      <c r="AR193" s="951"/>
      <c r="AS193" s="951"/>
      <c r="AT193" s="951"/>
      <c r="AU193" s="951"/>
      <c r="AV193" s="952"/>
      <c r="AW193" s="952"/>
      <c r="AX193" s="952"/>
      <c r="AY193" s="952"/>
      <c r="AZ193" s="952"/>
      <c r="BA193" s="952"/>
      <c r="BB193" s="952"/>
      <c r="BC193" s="952"/>
      <c r="BD193" s="952"/>
      <c r="BE193" s="952"/>
      <c r="BF193" s="952"/>
      <c r="BG193" s="952"/>
      <c r="BH193" s="952"/>
      <c r="BI193" s="952"/>
      <c r="BJ193" s="952"/>
      <c r="BK193" s="952"/>
      <c r="BL193" s="952"/>
      <c r="BM193" s="952"/>
      <c r="BN193" s="952"/>
      <c r="BO193" s="952"/>
      <c r="BP193" s="952"/>
      <c r="BQ193" s="952"/>
      <c r="BR193" s="952"/>
      <c r="BS193" s="952"/>
      <c r="BT193" s="952"/>
      <c r="BU193" s="952"/>
      <c r="BV193" s="952"/>
      <c r="BW193" s="952"/>
      <c r="BX193" s="952"/>
      <c r="BY193" s="952"/>
      <c r="BZ193" s="952"/>
      <c r="CA193" s="952"/>
      <c r="CB193" s="952"/>
      <c r="CC193" s="952"/>
      <c r="CD193" s="952"/>
      <c r="CE193" s="952"/>
      <c r="CF193" s="952"/>
      <c r="CG193" s="952"/>
      <c r="CH193" s="952"/>
      <c r="CI193" s="952"/>
      <c r="CJ193" s="952"/>
      <c r="CK193" s="952"/>
      <c r="CL193" s="952"/>
      <c r="CM193" s="952"/>
      <c r="CN193" s="952"/>
      <c r="CO193" s="952"/>
      <c r="CP193" s="952"/>
      <c r="CQ193" s="952"/>
      <c r="CR193" s="952"/>
      <c r="CS193" s="952"/>
      <c r="CT193" s="952"/>
      <c r="CU193" s="952"/>
      <c r="CV193" s="952"/>
      <c r="CW193" s="952"/>
      <c r="CX193" s="952"/>
      <c r="CY193" s="952"/>
      <c r="CZ193" s="953">
        <v>1</v>
      </c>
    </row>
    <row r="194" spans="1:104" s="762" customFormat="1" ht="8.1" customHeight="1" thickBot="1">
      <c r="A194" s="938"/>
      <c r="B194" s="940"/>
      <c r="C194" s="1008"/>
      <c r="D194" s="942"/>
      <c r="E194" s="944"/>
      <c r="F194" s="946"/>
      <c r="G194" s="989"/>
      <c r="H194" s="1140"/>
      <c r="I194" s="1117"/>
      <c r="J194" s="986"/>
      <c r="K194" s="986"/>
      <c r="L194" s="807" t="s">
        <v>3319</v>
      </c>
      <c r="M194" s="811">
        <v>1</v>
      </c>
      <c r="N194" s="810">
        <v>2</v>
      </c>
      <c r="O194" s="810">
        <v>3</v>
      </c>
      <c r="P194" s="810">
        <v>4</v>
      </c>
      <c r="Q194" s="810">
        <v>5</v>
      </c>
      <c r="R194" s="810">
        <v>6</v>
      </c>
      <c r="S194" s="810">
        <v>7</v>
      </c>
      <c r="T194" s="810">
        <v>1</v>
      </c>
      <c r="U194" s="810">
        <v>2</v>
      </c>
      <c r="V194" s="810">
        <v>3</v>
      </c>
      <c r="W194" s="810">
        <v>4</v>
      </c>
      <c r="X194" s="810">
        <v>5</v>
      </c>
      <c r="Y194" s="810">
        <v>6</v>
      </c>
      <c r="Z194" s="810">
        <v>7</v>
      </c>
      <c r="AA194" s="810">
        <v>1</v>
      </c>
      <c r="AB194" s="810">
        <v>2</v>
      </c>
      <c r="AC194" s="810">
        <v>3</v>
      </c>
      <c r="AD194" s="810">
        <v>4</v>
      </c>
      <c r="AE194" s="810">
        <v>5</v>
      </c>
      <c r="AF194" s="810">
        <v>6</v>
      </c>
      <c r="AG194" s="810">
        <v>7</v>
      </c>
      <c r="AH194" s="810">
        <v>1</v>
      </c>
      <c r="AI194" s="810">
        <v>2</v>
      </c>
      <c r="AJ194" s="810">
        <v>3</v>
      </c>
      <c r="AK194" s="810">
        <v>4</v>
      </c>
      <c r="AL194" s="810">
        <v>5</v>
      </c>
      <c r="AM194" s="810">
        <v>6</v>
      </c>
      <c r="AN194" s="810">
        <v>7</v>
      </c>
      <c r="AO194" s="812">
        <v>1</v>
      </c>
      <c r="AP194" s="810">
        <v>2</v>
      </c>
      <c r="AQ194" s="810">
        <v>3</v>
      </c>
      <c r="AR194" s="810">
        <v>4</v>
      </c>
      <c r="AS194" s="810">
        <v>5</v>
      </c>
      <c r="AT194" s="810">
        <v>6</v>
      </c>
      <c r="AU194" s="810">
        <v>7</v>
      </c>
      <c r="AV194" s="810">
        <v>1</v>
      </c>
      <c r="AW194" s="810">
        <v>2</v>
      </c>
      <c r="AX194" s="810">
        <v>3</v>
      </c>
      <c r="AY194" s="810">
        <v>4</v>
      </c>
      <c r="AZ194" s="810">
        <v>5</v>
      </c>
      <c r="BA194" s="810">
        <v>6</v>
      </c>
      <c r="BB194" s="810">
        <v>7</v>
      </c>
      <c r="BC194" s="810">
        <v>1</v>
      </c>
      <c r="BD194" s="810">
        <v>2</v>
      </c>
      <c r="BE194" s="810">
        <v>3</v>
      </c>
      <c r="BF194" s="810">
        <v>4</v>
      </c>
      <c r="BG194" s="810">
        <v>5</v>
      </c>
      <c r="BH194" s="810">
        <v>6</v>
      </c>
      <c r="BI194" s="810">
        <v>7</v>
      </c>
      <c r="BJ194" s="810">
        <v>1</v>
      </c>
      <c r="BK194" s="810">
        <v>2</v>
      </c>
      <c r="BL194" s="810">
        <v>3</v>
      </c>
      <c r="BM194" s="810">
        <v>4</v>
      </c>
      <c r="BN194" s="810">
        <v>5</v>
      </c>
      <c r="BO194" s="810">
        <v>6</v>
      </c>
      <c r="BP194" s="810">
        <v>7</v>
      </c>
      <c r="BQ194" s="810">
        <v>1</v>
      </c>
      <c r="BR194" s="810">
        <v>2</v>
      </c>
      <c r="BS194" s="810">
        <v>3</v>
      </c>
      <c r="BT194" s="810">
        <v>4</v>
      </c>
      <c r="BU194" s="810">
        <v>5</v>
      </c>
      <c r="BV194" s="810">
        <v>6</v>
      </c>
      <c r="BW194" s="810">
        <v>7</v>
      </c>
      <c r="BX194" s="810">
        <v>1</v>
      </c>
      <c r="BY194" s="810">
        <v>2</v>
      </c>
      <c r="BZ194" s="810">
        <v>3</v>
      </c>
      <c r="CA194" s="810">
        <v>4</v>
      </c>
      <c r="CB194" s="810">
        <v>5</v>
      </c>
      <c r="CC194" s="810">
        <v>6</v>
      </c>
      <c r="CD194" s="810">
        <v>7</v>
      </c>
      <c r="CE194" s="810">
        <v>1</v>
      </c>
      <c r="CF194" s="810">
        <v>2</v>
      </c>
      <c r="CG194" s="810">
        <v>3</v>
      </c>
      <c r="CH194" s="810">
        <v>4</v>
      </c>
      <c r="CI194" s="810">
        <v>5</v>
      </c>
      <c r="CJ194" s="810">
        <v>6</v>
      </c>
      <c r="CK194" s="810">
        <v>7</v>
      </c>
      <c r="CL194" s="810">
        <v>1</v>
      </c>
      <c r="CM194" s="810">
        <v>2</v>
      </c>
      <c r="CN194" s="810">
        <v>3</v>
      </c>
      <c r="CO194" s="810">
        <v>4</v>
      </c>
      <c r="CP194" s="810">
        <v>5</v>
      </c>
      <c r="CQ194" s="810">
        <v>6</v>
      </c>
      <c r="CR194" s="810">
        <v>7</v>
      </c>
      <c r="CS194" s="810">
        <v>1</v>
      </c>
      <c r="CT194" s="810">
        <v>2</v>
      </c>
      <c r="CU194" s="810">
        <v>3</v>
      </c>
      <c r="CV194" s="810">
        <v>4</v>
      </c>
      <c r="CW194" s="810">
        <v>5</v>
      </c>
      <c r="CX194" s="781">
        <v>6</v>
      </c>
      <c r="CY194" s="781">
        <v>7</v>
      </c>
      <c r="CZ194" s="954"/>
    </row>
    <row r="195" spans="1:104" s="762" customFormat="1" ht="8.1" customHeight="1" thickBot="1">
      <c r="A195" s="938"/>
      <c r="B195" s="940"/>
      <c r="C195" s="1008"/>
      <c r="D195" s="942"/>
      <c r="E195" s="944"/>
      <c r="F195" s="946"/>
      <c r="G195" s="989"/>
      <c r="H195" s="1140"/>
      <c r="I195" s="1117"/>
      <c r="J195" s="987"/>
      <c r="K195" s="987"/>
      <c r="L195" s="808" t="s">
        <v>3320</v>
      </c>
      <c r="M195" s="955"/>
      <c r="N195" s="956"/>
      <c r="O195" s="956"/>
      <c r="P195" s="956"/>
      <c r="Q195" s="956"/>
      <c r="R195" s="956"/>
      <c r="S195" s="956"/>
      <c r="T195" s="956"/>
      <c r="U195" s="956"/>
      <c r="V195" s="956"/>
      <c r="W195" s="956"/>
      <c r="X195" s="956"/>
      <c r="Y195" s="956"/>
      <c r="Z195" s="956"/>
      <c r="AA195" s="956"/>
      <c r="AB195" s="956"/>
      <c r="AC195" s="956"/>
      <c r="AD195" s="956"/>
      <c r="AE195" s="956"/>
      <c r="AF195" s="956"/>
      <c r="AG195" s="956"/>
      <c r="AH195" s="956"/>
      <c r="AI195" s="956"/>
      <c r="AJ195" s="956"/>
      <c r="AK195" s="956"/>
      <c r="AL195" s="956"/>
      <c r="AM195" s="956"/>
      <c r="AN195" s="956"/>
      <c r="AO195" s="956"/>
      <c r="AP195" s="956"/>
      <c r="AQ195" s="956">
        <f>AO193+AV193+BC193+BJ193</f>
        <v>169080</v>
      </c>
      <c r="AR195" s="956"/>
      <c r="AS195" s="956"/>
      <c r="AT195" s="956"/>
      <c r="AU195" s="956"/>
      <c r="AV195" s="956"/>
      <c r="AW195" s="956"/>
      <c r="AX195" s="956"/>
      <c r="AY195" s="956"/>
      <c r="AZ195" s="956"/>
      <c r="BA195" s="956"/>
      <c r="BB195" s="956"/>
      <c r="BC195" s="956"/>
      <c r="BD195" s="956"/>
      <c r="BE195" s="956"/>
      <c r="BF195" s="956"/>
      <c r="BG195" s="956"/>
      <c r="BH195" s="956"/>
      <c r="BI195" s="956"/>
      <c r="BJ195" s="956"/>
      <c r="BK195" s="956"/>
      <c r="BL195" s="956"/>
      <c r="BM195" s="956"/>
      <c r="BN195" s="956"/>
      <c r="BO195" s="956"/>
      <c r="BP195" s="956"/>
      <c r="BQ195" s="956"/>
      <c r="BR195" s="956"/>
      <c r="BS195" s="956"/>
      <c r="BT195" s="956"/>
      <c r="BU195" s="956"/>
      <c r="BV195" s="956"/>
      <c r="BW195" s="956"/>
      <c r="BX195" s="956"/>
      <c r="BY195" s="956"/>
      <c r="BZ195" s="956"/>
      <c r="CA195" s="956"/>
      <c r="CB195" s="956"/>
      <c r="CC195" s="956"/>
      <c r="CD195" s="956"/>
      <c r="CE195" s="956"/>
      <c r="CF195" s="956"/>
      <c r="CG195" s="956"/>
      <c r="CH195" s="956"/>
      <c r="CI195" s="956"/>
      <c r="CJ195" s="956"/>
      <c r="CK195" s="956"/>
      <c r="CL195" s="956"/>
      <c r="CM195" s="956"/>
      <c r="CN195" s="956"/>
      <c r="CO195" s="956"/>
      <c r="CP195" s="956"/>
      <c r="CQ195" s="956"/>
      <c r="CR195" s="956"/>
      <c r="CS195" s="956"/>
      <c r="CT195" s="956"/>
      <c r="CU195" s="956"/>
      <c r="CV195" s="956"/>
      <c r="CW195" s="956"/>
      <c r="CX195" s="956"/>
      <c r="CY195" s="956"/>
      <c r="CZ195" s="954"/>
    </row>
    <row r="196" spans="1:104" s="762" customFormat="1" ht="8.1" customHeight="1" thickBot="1">
      <c r="A196" s="938">
        <f>EDIFICACION!A513</f>
        <v>12.3</v>
      </c>
      <c r="B196" s="940" t="str">
        <f>EDIFICACION!B513</f>
        <v>LAVAMANOS DE SOBREPONER MARCELLA BLANCO O SIMILAR SIN GRIFERIA</v>
      </c>
      <c r="C196" s="1008" t="str">
        <f>EDIFICACION!C513</f>
        <v>UN</v>
      </c>
      <c r="D196" s="942">
        <v>15</v>
      </c>
      <c r="E196" s="944">
        <f>EDIFICACION!F513</f>
        <v>202962</v>
      </c>
      <c r="F196" s="946">
        <f t="shared" si="8"/>
        <v>3044430</v>
      </c>
      <c r="G196" s="989">
        <f>F196/F259</f>
        <v>9.1928117184354556E-3</v>
      </c>
      <c r="H196" s="1140"/>
      <c r="I196" s="1117" t="s">
        <v>3340</v>
      </c>
      <c r="J196" s="985" t="s">
        <v>3386</v>
      </c>
      <c r="K196" s="985" t="s">
        <v>3404</v>
      </c>
      <c r="L196" s="806" t="s">
        <v>3318</v>
      </c>
      <c r="M196" s="988"/>
      <c r="N196" s="952"/>
      <c r="O196" s="952"/>
      <c r="P196" s="952"/>
      <c r="Q196" s="952"/>
      <c r="R196" s="952"/>
      <c r="S196" s="952"/>
      <c r="T196" s="952"/>
      <c r="U196" s="952"/>
      <c r="V196" s="952"/>
      <c r="W196" s="952"/>
      <c r="X196" s="952"/>
      <c r="Y196" s="952"/>
      <c r="Z196" s="952"/>
      <c r="AA196" s="1007"/>
      <c r="AB196" s="952"/>
      <c r="AC196" s="952"/>
      <c r="AD196" s="952"/>
      <c r="AE196" s="952"/>
      <c r="AF196" s="952"/>
      <c r="AG196" s="952"/>
      <c r="AH196" s="952"/>
      <c r="AI196" s="952"/>
      <c r="AJ196" s="952"/>
      <c r="AK196" s="952"/>
      <c r="AL196" s="952"/>
      <c r="AM196" s="952"/>
      <c r="AN196" s="952"/>
      <c r="AO196" s="952"/>
      <c r="AP196" s="952"/>
      <c r="AQ196" s="952"/>
      <c r="AR196" s="952"/>
      <c r="AS196" s="952"/>
      <c r="AT196" s="952"/>
      <c r="AU196" s="952"/>
      <c r="AV196" s="952"/>
      <c r="AW196" s="952"/>
      <c r="AX196" s="952"/>
      <c r="AY196" s="952"/>
      <c r="AZ196" s="952"/>
      <c r="BA196" s="952"/>
      <c r="BB196" s="952"/>
      <c r="BC196" s="952"/>
      <c r="BD196" s="952"/>
      <c r="BE196" s="952"/>
      <c r="BF196" s="952"/>
      <c r="BG196" s="952"/>
      <c r="BH196" s="952"/>
      <c r="BI196" s="952"/>
      <c r="BJ196" s="952"/>
      <c r="BK196" s="952"/>
      <c r="BL196" s="952"/>
      <c r="BM196" s="952"/>
      <c r="BN196" s="952"/>
      <c r="BO196" s="952"/>
      <c r="BP196" s="952"/>
      <c r="BQ196" s="952"/>
      <c r="BR196" s="952"/>
      <c r="BS196" s="952"/>
      <c r="BT196" s="952"/>
      <c r="BU196" s="952"/>
      <c r="BV196" s="952"/>
      <c r="BW196" s="952"/>
      <c r="BX196" s="1120">
        <f>F196/CZ196*2</f>
        <v>3044430</v>
      </c>
      <c r="BY196" s="1120"/>
      <c r="BZ196" s="1120"/>
      <c r="CA196" s="1120"/>
      <c r="CB196" s="1120"/>
      <c r="CC196" s="1120"/>
      <c r="CD196" s="1120"/>
      <c r="CE196" s="952"/>
      <c r="CF196" s="952"/>
      <c r="CG196" s="952"/>
      <c r="CH196" s="952"/>
      <c r="CI196" s="952"/>
      <c r="CJ196" s="952"/>
      <c r="CK196" s="952"/>
      <c r="CL196" s="952"/>
      <c r="CM196" s="952"/>
      <c r="CN196" s="952"/>
      <c r="CO196" s="952"/>
      <c r="CP196" s="952"/>
      <c r="CQ196" s="952"/>
      <c r="CR196" s="952"/>
      <c r="CS196" s="952"/>
      <c r="CT196" s="952"/>
      <c r="CU196" s="952"/>
      <c r="CV196" s="952"/>
      <c r="CW196" s="952"/>
      <c r="CX196" s="952"/>
      <c r="CY196" s="952"/>
      <c r="CZ196" s="953">
        <v>2</v>
      </c>
    </row>
    <row r="197" spans="1:104" s="762" customFormat="1" ht="8.1" customHeight="1" thickBot="1">
      <c r="A197" s="938"/>
      <c r="B197" s="940"/>
      <c r="C197" s="1008"/>
      <c r="D197" s="942"/>
      <c r="E197" s="944"/>
      <c r="F197" s="946"/>
      <c r="G197" s="989"/>
      <c r="H197" s="1140"/>
      <c r="I197" s="1117"/>
      <c r="J197" s="986"/>
      <c r="K197" s="986"/>
      <c r="L197" s="807" t="s">
        <v>3319</v>
      </c>
      <c r="M197" s="811">
        <v>1</v>
      </c>
      <c r="N197" s="810">
        <v>2</v>
      </c>
      <c r="O197" s="810">
        <v>3</v>
      </c>
      <c r="P197" s="810">
        <v>4</v>
      </c>
      <c r="Q197" s="810">
        <v>5</v>
      </c>
      <c r="R197" s="810">
        <v>6</v>
      </c>
      <c r="S197" s="810">
        <v>7</v>
      </c>
      <c r="T197" s="810">
        <v>1</v>
      </c>
      <c r="U197" s="810">
        <v>2</v>
      </c>
      <c r="V197" s="810">
        <v>3</v>
      </c>
      <c r="W197" s="810">
        <v>4</v>
      </c>
      <c r="X197" s="810">
        <v>5</v>
      </c>
      <c r="Y197" s="810">
        <v>6</v>
      </c>
      <c r="Z197" s="810">
        <v>7</v>
      </c>
      <c r="AA197" s="810">
        <v>1</v>
      </c>
      <c r="AB197" s="810">
        <v>2</v>
      </c>
      <c r="AC197" s="810">
        <v>3</v>
      </c>
      <c r="AD197" s="810">
        <v>4</v>
      </c>
      <c r="AE197" s="810">
        <v>5</v>
      </c>
      <c r="AF197" s="810">
        <v>6</v>
      </c>
      <c r="AG197" s="810">
        <v>7</v>
      </c>
      <c r="AH197" s="810">
        <v>1</v>
      </c>
      <c r="AI197" s="810">
        <v>2</v>
      </c>
      <c r="AJ197" s="810">
        <v>3</v>
      </c>
      <c r="AK197" s="810">
        <v>4</v>
      </c>
      <c r="AL197" s="810">
        <v>5</v>
      </c>
      <c r="AM197" s="810">
        <v>6</v>
      </c>
      <c r="AN197" s="810">
        <v>7</v>
      </c>
      <c r="AO197" s="810">
        <v>1</v>
      </c>
      <c r="AP197" s="810">
        <v>2</v>
      </c>
      <c r="AQ197" s="810">
        <v>3</v>
      </c>
      <c r="AR197" s="810">
        <v>4</v>
      </c>
      <c r="AS197" s="810">
        <v>5</v>
      </c>
      <c r="AT197" s="810">
        <v>6</v>
      </c>
      <c r="AU197" s="810">
        <v>7</v>
      </c>
      <c r="AV197" s="816">
        <v>1</v>
      </c>
      <c r="AW197" s="816">
        <v>2</v>
      </c>
      <c r="AX197" s="810">
        <v>3</v>
      </c>
      <c r="AY197" s="810">
        <v>4</v>
      </c>
      <c r="AZ197" s="810">
        <v>5</v>
      </c>
      <c r="BA197" s="810">
        <v>6</v>
      </c>
      <c r="BB197" s="810">
        <v>7</v>
      </c>
      <c r="BC197" s="810">
        <v>1</v>
      </c>
      <c r="BD197" s="810">
        <v>2</v>
      </c>
      <c r="BE197" s="810">
        <v>3</v>
      </c>
      <c r="BF197" s="810">
        <v>4</v>
      </c>
      <c r="BG197" s="810">
        <v>5</v>
      </c>
      <c r="BH197" s="810">
        <v>6</v>
      </c>
      <c r="BI197" s="810">
        <v>7</v>
      </c>
      <c r="BJ197" s="810">
        <v>1</v>
      </c>
      <c r="BK197" s="810">
        <v>2</v>
      </c>
      <c r="BL197" s="810">
        <v>3</v>
      </c>
      <c r="BM197" s="810">
        <v>4</v>
      </c>
      <c r="BN197" s="810">
        <v>5</v>
      </c>
      <c r="BO197" s="810">
        <v>6</v>
      </c>
      <c r="BP197" s="810">
        <v>7</v>
      </c>
      <c r="BQ197" s="810">
        <v>1</v>
      </c>
      <c r="BR197" s="810">
        <v>2</v>
      </c>
      <c r="BS197" s="810">
        <v>3</v>
      </c>
      <c r="BT197" s="810">
        <v>4</v>
      </c>
      <c r="BU197" s="810">
        <v>5</v>
      </c>
      <c r="BV197" s="810">
        <v>6</v>
      </c>
      <c r="BW197" s="810">
        <v>7</v>
      </c>
      <c r="BX197" s="810">
        <v>1</v>
      </c>
      <c r="BY197" s="812">
        <v>2</v>
      </c>
      <c r="BZ197" s="812">
        <v>3</v>
      </c>
      <c r="CA197" s="810">
        <v>4</v>
      </c>
      <c r="CB197" s="810">
        <v>5</v>
      </c>
      <c r="CC197" s="810">
        <v>6</v>
      </c>
      <c r="CD197" s="810">
        <v>7</v>
      </c>
      <c r="CE197" s="810">
        <v>1</v>
      </c>
      <c r="CF197" s="810">
        <v>2</v>
      </c>
      <c r="CG197" s="810">
        <v>3</v>
      </c>
      <c r="CH197" s="810">
        <v>4</v>
      </c>
      <c r="CI197" s="810">
        <v>5</v>
      </c>
      <c r="CJ197" s="810">
        <v>6</v>
      </c>
      <c r="CK197" s="810">
        <v>7</v>
      </c>
      <c r="CL197" s="810">
        <v>1</v>
      </c>
      <c r="CM197" s="810">
        <v>2</v>
      </c>
      <c r="CN197" s="810">
        <v>3</v>
      </c>
      <c r="CO197" s="810">
        <v>4</v>
      </c>
      <c r="CP197" s="810">
        <v>5</v>
      </c>
      <c r="CQ197" s="810">
        <v>6</v>
      </c>
      <c r="CR197" s="810">
        <v>7</v>
      </c>
      <c r="CS197" s="810">
        <v>1</v>
      </c>
      <c r="CT197" s="810">
        <v>2</v>
      </c>
      <c r="CU197" s="810">
        <v>3</v>
      </c>
      <c r="CV197" s="810">
        <v>4</v>
      </c>
      <c r="CW197" s="810">
        <v>5</v>
      </c>
      <c r="CX197" s="781">
        <v>6</v>
      </c>
      <c r="CY197" s="781">
        <v>7</v>
      </c>
      <c r="CZ197" s="954"/>
    </row>
    <row r="198" spans="1:104" s="762" customFormat="1" ht="8.1" customHeight="1" thickBot="1">
      <c r="A198" s="938"/>
      <c r="B198" s="940"/>
      <c r="C198" s="1008"/>
      <c r="D198" s="942"/>
      <c r="E198" s="944"/>
      <c r="F198" s="946"/>
      <c r="G198" s="989"/>
      <c r="H198" s="1140"/>
      <c r="I198" s="1117"/>
      <c r="J198" s="987"/>
      <c r="K198" s="987"/>
      <c r="L198" s="808" t="s">
        <v>3320</v>
      </c>
      <c r="M198" s="955"/>
      <c r="N198" s="956"/>
      <c r="O198" s="956"/>
      <c r="P198" s="956"/>
      <c r="Q198" s="956"/>
      <c r="R198" s="956"/>
      <c r="S198" s="956"/>
      <c r="T198" s="956"/>
      <c r="U198" s="956"/>
      <c r="V198" s="956"/>
      <c r="W198" s="956"/>
      <c r="X198" s="956"/>
      <c r="Y198" s="956"/>
      <c r="Z198" s="956"/>
      <c r="AA198" s="956"/>
      <c r="AB198" s="956"/>
      <c r="AC198" s="956"/>
      <c r="AD198" s="956"/>
      <c r="AE198" s="956"/>
      <c r="AF198" s="956"/>
      <c r="AG198" s="956"/>
      <c r="AH198" s="956"/>
      <c r="AI198" s="956"/>
      <c r="AJ198" s="956"/>
      <c r="AK198" s="956"/>
      <c r="AL198" s="956"/>
      <c r="AM198" s="956"/>
      <c r="AN198" s="956"/>
      <c r="AO198" s="956"/>
      <c r="AP198" s="956"/>
      <c r="AQ198" s="956"/>
      <c r="AR198" s="956"/>
      <c r="AS198" s="956"/>
      <c r="AT198" s="956"/>
      <c r="AU198" s="956"/>
      <c r="AV198" s="956"/>
      <c r="AW198" s="956"/>
      <c r="AX198" s="956"/>
      <c r="AY198" s="956"/>
      <c r="AZ198" s="956"/>
      <c r="BA198" s="956"/>
      <c r="BB198" s="956"/>
      <c r="BC198" s="956"/>
      <c r="BD198" s="956"/>
      <c r="BE198" s="956"/>
      <c r="BF198" s="956"/>
      <c r="BG198" s="956"/>
      <c r="BH198" s="956"/>
      <c r="BI198" s="956"/>
      <c r="BJ198" s="956"/>
      <c r="BK198" s="956"/>
      <c r="BL198" s="956"/>
      <c r="BM198" s="956"/>
      <c r="BN198" s="956"/>
      <c r="BO198" s="956"/>
      <c r="BP198" s="956"/>
      <c r="BQ198" s="956"/>
      <c r="BR198" s="956"/>
      <c r="BS198" s="956"/>
      <c r="BT198" s="956"/>
      <c r="BU198" s="956">
        <f>BQ196+BX196+CE196+CL196+CS196</f>
        <v>3044430</v>
      </c>
      <c r="BV198" s="956"/>
      <c r="BW198" s="956"/>
      <c r="BX198" s="956"/>
      <c r="BY198" s="956"/>
      <c r="BZ198" s="956"/>
      <c r="CA198" s="956"/>
      <c r="CB198" s="956"/>
      <c r="CC198" s="956"/>
      <c r="CD198" s="956"/>
      <c r="CE198" s="956"/>
      <c r="CF198" s="956"/>
      <c r="CG198" s="956"/>
      <c r="CH198" s="956"/>
      <c r="CI198" s="956"/>
      <c r="CJ198" s="956"/>
      <c r="CK198" s="956"/>
      <c r="CL198" s="956"/>
      <c r="CM198" s="956"/>
      <c r="CN198" s="956"/>
      <c r="CO198" s="956"/>
      <c r="CP198" s="956"/>
      <c r="CQ198" s="956"/>
      <c r="CR198" s="956"/>
      <c r="CS198" s="956"/>
      <c r="CT198" s="956"/>
      <c r="CU198" s="956"/>
      <c r="CV198" s="956"/>
      <c r="CW198" s="956"/>
      <c r="CX198" s="956"/>
      <c r="CY198" s="956"/>
      <c r="CZ198" s="954"/>
    </row>
    <row r="199" spans="1:104" s="762" customFormat="1" ht="8.1" customHeight="1" thickBot="1">
      <c r="A199" s="938">
        <f>EDIFICACION!A521</f>
        <v>12.4</v>
      </c>
      <c r="B199" s="940" t="str">
        <f>EDIFICACION!B521</f>
        <v>GRIFERÍA LAVAMANOS MONO BAJO ECO FRIENDLY STRETTO O SIMILAR</v>
      </c>
      <c r="C199" s="1008" t="str">
        <f>EDIFICACION!C521</f>
        <v>UN</v>
      </c>
      <c r="D199" s="942">
        <v>15</v>
      </c>
      <c r="E199" s="944">
        <f>EDIFICACION!F521</f>
        <v>101649</v>
      </c>
      <c r="F199" s="946">
        <f t="shared" si="8"/>
        <v>1524735</v>
      </c>
      <c r="G199" s="989">
        <f>F199/F259</f>
        <v>4.6040151277936042E-3</v>
      </c>
      <c r="H199" s="1140"/>
      <c r="I199" s="1117" t="s">
        <v>3340</v>
      </c>
      <c r="J199" s="985" t="s">
        <v>3386</v>
      </c>
      <c r="K199" s="985" t="s">
        <v>3404</v>
      </c>
      <c r="L199" s="806" t="s">
        <v>3318</v>
      </c>
      <c r="M199" s="1005"/>
      <c r="N199" s="952"/>
      <c r="O199" s="952"/>
      <c r="P199" s="952"/>
      <c r="Q199" s="952"/>
      <c r="R199" s="952"/>
      <c r="S199" s="952"/>
      <c r="T199" s="952"/>
      <c r="U199" s="952"/>
      <c r="V199" s="952"/>
      <c r="W199" s="952"/>
      <c r="X199" s="952"/>
      <c r="Y199" s="952"/>
      <c r="Z199" s="952"/>
      <c r="AA199" s="952"/>
      <c r="AB199" s="952"/>
      <c r="AC199" s="952"/>
      <c r="AD199" s="952"/>
      <c r="AE199" s="952"/>
      <c r="AF199" s="952"/>
      <c r="AG199" s="952"/>
      <c r="AH199" s="952"/>
      <c r="AI199" s="952"/>
      <c r="AJ199" s="952"/>
      <c r="AK199" s="952"/>
      <c r="AL199" s="952"/>
      <c r="AM199" s="952"/>
      <c r="AN199" s="952"/>
      <c r="AO199" s="952"/>
      <c r="AP199" s="952"/>
      <c r="AQ199" s="952"/>
      <c r="AR199" s="952"/>
      <c r="AS199" s="952"/>
      <c r="AT199" s="952"/>
      <c r="AU199" s="952"/>
      <c r="AV199" s="952"/>
      <c r="AW199" s="952"/>
      <c r="AX199" s="952"/>
      <c r="AY199" s="952"/>
      <c r="AZ199" s="952"/>
      <c r="BA199" s="952"/>
      <c r="BB199" s="952"/>
      <c r="BC199" s="952"/>
      <c r="BD199" s="952"/>
      <c r="BE199" s="952"/>
      <c r="BF199" s="952"/>
      <c r="BG199" s="952"/>
      <c r="BH199" s="952"/>
      <c r="BI199" s="952"/>
      <c r="BJ199" s="952"/>
      <c r="BK199" s="952"/>
      <c r="BL199" s="952"/>
      <c r="BM199" s="952"/>
      <c r="BN199" s="952"/>
      <c r="BO199" s="952"/>
      <c r="BP199" s="952"/>
      <c r="BQ199" s="952"/>
      <c r="BR199" s="952"/>
      <c r="BS199" s="952"/>
      <c r="BT199" s="952"/>
      <c r="BU199" s="952"/>
      <c r="BV199" s="952"/>
      <c r="BW199" s="952"/>
      <c r="BX199" s="951">
        <f>F199/CZ199*2</f>
        <v>1524735</v>
      </c>
      <c r="BY199" s="951"/>
      <c r="BZ199" s="951"/>
      <c r="CA199" s="951"/>
      <c r="CB199" s="951"/>
      <c r="CC199" s="951"/>
      <c r="CD199" s="951"/>
      <c r="CE199" s="952"/>
      <c r="CF199" s="952"/>
      <c r="CG199" s="952"/>
      <c r="CH199" s="952"/>
      <c r="CI199" s="952"/>
      <c r="CJ199" s="952"/>
      <c r="CK199" s="952"/>
      <c r="CL199" s="952"/>
      <c r="CM199" s="952"/>
      <c r="CN199" s="952"/>
      <c r="CO199" s="952"/>
      <c r="CP199" s="952"/>
      <c r="CQ199" s="952"/>
      <c r="CR199" s="952"/>
      <c r="CS199" s="952"/>
      <c r="CT199" s="952"/>
      <c r="CU199" s="952"/>
      <c r="CV199" s="952"/>
      <c r="CW199" s="952"/>
      <c r="CX199" s="952"/>
      <c r="CY199" s="952"/>
      <c r="CZ199" s="953">
        <v>2</v>
      </c>
    </row>
    <row r="200" spans="1:104" s="762" customFormat="1" ht="8.1" customHeight="1" thickBot="1">
      <c r="A200" s="938"/>
      <c r="B200" s="940"/>
      <c r="C200" s="1008"/>
      <c r="D200" s="942"/>
      <c r="E200" s="944"/>
      <c r="F200" s="946"/>
      <c r="G200" s="989"/>
      <c r="H200" s="1140"/>
      <c r="I200" s="1117"/>
      <c r="J200" s="986"/>
      <c r="K200" s="986"/>
      <c r="L200" s="807" t="s">
        <v>3319</v>
      </c>
      <c r="M200" s="811">
        <v>1</v>
      </c>
      <c r="N200" s="810">
        <v>2</v>
      </c>
      <c r="O200" s="810">
        <v>3</v>
      </c>
      <c r="P200" s="810">
        <v>4</v>
      </c>
      <c r="Q200" s="810">
        <v>5</v>
      </c>
      <c r="R200" s="810">
        <v>6</v>
      </c>
      <c r="S200" s="810">
        <v>7</v>
      </c>
      <c r="T200" s="810">
        <v>1</v>
      </c>
      <c r="U200" s="810">
        <v>2</v>
      </c>
      <c r="V200" s="810">
        <v>3</v>
      </c>
      <c r="W200" s="810">
        <v>4</v>
      </c>
      <c r="X200" s="810">
        <v>5</v>
      </c>
      <c r="Y200" s="810">
        <v>6</v>
      </c>
      <c r="Z200" s="810">
        <v>7</v>
      </c>
      <c r="AA200" s="810">
        <v>1</v>
      </c>
      <c r="AB200" s="810">
        <v>2</v>
      </c>
      <c r="AC200" s="810">
        <v>3</v>
      </c>
      <c r="AD200" s="810">
        <v>4</v>
      </c>
      <c r="AE200" s="810">
        <v>5</v>
      </c>
      <c r="AF200" s="810">
        <v>6</v>
      </c>
      <c r="AG200" s="810">
        <v>7</v>
      </c>
      <c r="AH200" s="810">
        <v>1</v>
      </c>
      <c r="AI200" s="810">
        <v>2</v>
      </c>
      <c r="AJ200" s="810">
        <v>3</v>
      </c>
      <c r="AK200" s="810">
        <v>4</v>
      </c>
      <c r="AL200" s="810">
        <v>5</v>
      </c>
      <c r="AM200" s="810">
        <v>6</v>
      </c>
      <c r="AN200" s="810">
        <v>7</v>
      </c>
      <c r="AO200" s="810">
        <v>1</v>
      </c>
      <c r="AP200" s="810">
        <v>2</v>
      </c>
      <c r="AQ200" s="810">
        <v>3</v>
      </c>
      <c r="AR200" s="810">
        <v>4</v>
      </c>
      <c r="AS200" s="810">
        <v>5</v>
      </c>
      <c r="AT200" s="810">
        <v>6</v>
      </c>
      <c r="AU200" s="810">
        <v>7</v>
      </c>
      <c r="AV200" s="816">
        <v>1</v>
      </c>
      <c r="AW200" s="816">
        <v>2</v>
      </c>
      <c r="AX200" s="810">
        <v>3</v>
      </c>
      <c r="AY200" s="810">
        <v>4</v>
      </c>
      <c r="AZ200" s="810">
        <v>5</v>
      </c>
      <c r="BA200" s="810">
        <v>6</v>
      </c>
      <c r="BB200" s="810">
        <v>7</v>
      </c>
      <c r="BC200" s="810">
        <v>1</v>
      </c>
      <c r="BD200" s="810">
        <v>2</v>
      </c>
      <c r="BE200" s="810">
        <v>3</v>
      </c>
      <c r="BF200" s="810">
        <v>4</v>
      </c>
      <c r="BG200" s="810">
        <v>5</v>
      </c>
      <c r="BH200" s="810">
        <v>6</v>
      </c>
      <c r="BI200" s="810">
        <v>7</v>
      </c>
      <c r="BJ200" s="810">
        <v>1</v>
      </c>
      <c r="BK200" s="810">
        <v>2</v>
      </c>
      <c r="BL200" s="810">
        <v>3</v>
      </c>
      <c r="BM200" s="810">
        <v>4</v>
      </c>
      <c r="BN200" s="810">
        <v>5</v>
      </c>
      <c r="BO200" s="810">
        <v>6</v>
      </c>
      <c r="BP200" s="810">
        <v>7</v>
      </c>
      <c r="BQ200" s="810">
        <v>1</v>
      </c>
      <c r="BR200" s="810">
        <v>2</v>
      </c>
      <c r="BS200" s="810">
        <v>3</v>
      </c>
      <c r="BT200" s="810">
        <v>4</v>
      </c>
      <c r="BU200" s="810">
        <v>5</v>
      </c>
      <c r="BV200" s="810">
        <v>6</v>
      </c>
      <c r="BW200" s="810">
        <v>7</v>
      </c>
      <c r="BX200" s="810">
        <v>1</v>
      </c>
      <c r="BY200" s="812">
        <v>2</v>
      </c>
      <c r="BZ200" s="812">
        <v>3</v>
      </c>
      <c r="CA200" s="810">
        <v>4</v>
      </c>
      <c r="CB200" s="810">
        <v>5</v>
      </c>
      <c r="CC200" s="810">
        <v>6</v>
      </c>
      <c r="CD200" s="810">
        <v>7</v>
      </c>
      <c r="CE200" s="810">
        <v>1</v>
      </c>
      <c r="CF200" s="810">
        <v>2</v>
      </c>
      <c r="CG200" s="810">
        <v>3</v>
      </c>
      <c r="CH200" s="810">
        <v>4</v>
      </c>
      <c r="CI200" s="810">
        <v>5</v>
      </c>
      <c r="CJ200" s="810">
        <v>6</v>
      </c>
      <c r="CK200" s="810">
        <v>7</v>
      </c>
      <c r="CL200" s="810">
        <v>1</v>
      </c>
      <c r="CM200" s="810">
        <v>2</v>
      </c>
      <c r="CN200" s="810">
        <v>3</v>
      </c>
      <c r="CO200" s="810">
        <v>4</v>
      </c>
      <c r="CP200" s="810">
        <v>5</v>
      </c>
      <c r="CQ200" s="810">
        <v>6</v>
      </c>
      <c r="CR200" s="810">
        <v>7</v>
      </c>
      <c r="CS200" s="810">
        <v>1</v>
      </c>
      <c r="CT200" s="810">
        <v>2</v>
      </c>
      <c r="CU200" s="810">
        <v>3</v>
      </c>
      <c r="CV200" s="810">
        <v>4</v>
      </c>
      <c r="CW200" s="810">
        <v>5</v>
      </c>
      <c r="CX200" s="781">
        <v>6</v>
      </c>
      <c r="CY200" s="781">
        <v>7</v>
      </c>
      <c r="CZ200" s="954"/>
    </row>
    <row r="201" spans="1:104" s="762" customFormat="1" ht="8.1" customHeight="1" thickBot="1">
      <c r="A201" s="938"/>
      <c r="B201" s="940"/>
      <c r="C201" s="1008"/>
      <c r="D201" s="942"/>
      <c r="E201" s="944"/>
      <c r="F201" s="946"/>
      <c r="G201" s="989"/>
      <c r="H201" s="1140"/>
      <c r="I201" s="1117"/>
      <c r="J201" s="987"/>
      <c r="K201" s="987"/>
      <c r="L201" s="808" t="s">
        <v>3320</v>
      </c>
      <c r="M201" s="955"/>
      <c r="N201" s="956"/>
      <c r="O201" s="956"/>
      <c r="P201" s="956"/>
      <c r="Q201" s="956"/>
      <c r="R201" s="956"/>
      <c r="S201" s="956"/>
      <c r="T201" s="956"/>
      <c r="U201" s="956"/>
      <c r="V201" s="956"/>
      <c r="W201" s="956"/>
      <c r="X201" s="956"/>
      <c r="Y201" s="956"/>
      <c r="Z201" s="956"/>
      <c r="AA201" s="956"/>
      <c r="AB201" s="956"/>
      <c r="AC201" s="956"/>
      <c r="AD201" s="956"/>
      <c r="AE201" s="956"/>
      <c r="AF201" s="956"/>
      <c r="AG201" s="956"/>
      <c r="AH201" s="956"/>
      <c r="AI201" s="956"/>
      <c r="AJ201" s="956"/>
      <c r="AK201" s="956"/>
      <c r="AL201" s="956"/>
      <c r="AM201" s="956"/>
      <c r="AN201" s="956"/>
      <c r="AO201" s="956"/>
      <c r="AP201" s="956"/>
      <c r="AQ201" s="956"/>
      <c r="AR201" s="956"/>
      <c r="AS201" s="956"/>
      <c r="AT201" s="956"/>
      <c r="AU201" s="956"/>
      <c r="AV201" s="956"/>
      <c r="AW201" s="956"/>
      <c r="AX201" s="956"/>
      <c r="AY201" s="956"/>
      <c r="AZ201" s="956"/>
      <c r="BA201" s="956"/>
      <c r="BB201" s="956"/>
      <c r="BC201" s="956"/>
      <c r="BD201" s="956"/>
      <c r="BE201" s="956"/>
      <c r="BF201" s="956"/>
      <c r="BG201" s="956"/>
      <c r="BH201" s="956"/>
      <c r="BI201" s="956"/>
      <c r="BJ201" s="956"/>
      <c r="BK201" s="956"/>
      <c r="BL201" s="956"/>
      <c r="BM201" s="956"/>
      <c r="BN201" s="956"/>
      <c r="BO201" s="956"/>
      <c r="BP201" s="956"/>
      <c r="BQ201" s="956"/>
      <c r="BR201" s="956"/>
      <c r="BS201" s="956"/>
      <c r="BT201" s="956"/>
      <c r="BU201" s="956">
        <f>BQ199+BX199+CE199+CL199+CS199</f>
        <v>1524735</v>
      </c>
      <c r="BV201" s="956"/>
      <c r="BW201" s="956"/>
      <c r="BX201" s="956"/>
      <c r="BY201" s="956"/>
      <c r="BZ201" s="956"/>
      <c r="CA201" s="956"/>
      <c r="CB201" s="956"/>
      <c r="CC201" s="956"/>
      <c r="CD201" s="956"/>
      <c r="CE201" s="956"/>
      <c r="CF201" s="956"/>
      <c r="CG201" s="956"/>
      <c r="CH201" s="956"/>
      <c r="CI201" s="956"/>
      <c r="CJ201" s="956"/>
      <c r="CK201" s="956"/>
      <c r="CL201" s="956"/>
      <c r="CM201" s="956"/>
      <c r="CN201" s="956"/>
      <c r="CO201" s="956"/>
      <c r="CP201" s="956"/>
      <c r="CQ201" s="956"/>
      <c r="CR201" s="956"/>
      <c r="CS201" s="956"/>
      <c r="CT201" s="956"/>
      <c r="CU201" s="956"/>
      <c r="CV201" s="956"/>
      <c r="CW201" s="956"/>
      <c r="CX201" s="956"/>
      <c r="CY201" s="956"/>
      <c r="CZ201" s="954"/>
    </row>
    <row r="202" spans="1:104" s="762" customFormat="1" ht="8.1" customHeight="1" thickBot="1">
      <c r="A202" s="938">
        <f>EDIFICACION!A526</f>
        <v>12.5</v>
      </c>
      <c r="B202" s="940" t="str">
        <f>EDIFICACION!B526</f>
        <v>SANITARIO INFANTIL KIDDY SINGLE EN CAJA BLANCO</v>
      </c>
      <c r="C202" s="1008" t="str">
        <f>EDIFICACION!C526</f>
        <v>UN</v>
      </c>
      <c r="D202" s="942">
        <f>16+21</f>
        <v>37</v>
      </c>
      <c r="E202" s="944">
        <f>EDIFICACION!F526</f>
        <v>506387</v>
      </c>
      <c r="F202" s="946">
        <f t="shared" si="8"/>
        <v>18736319</v>
      </c>
      <c r="G202" s="989">
        <f>F202/F259</f>
        <v>5.6575271188217452E-2</v>
      </c>
      <c r="H202" s="1140"/>
      <c r="I202" s="1117" t="s">
        <v>3380</v>
      </c>
      <c r="J202" s="985" t="s">
        <v>3399</v>
      </c>
      <c r="K202" s="985" t="s">
        <v>3398</v>
      </c>
      <c r="L202" s="806" t="s">
        <v>3318</v>
      </c>
      <c r="M202" s="1005"/>
      <c r="N202" s="952"/>
      <c r="O202" s="952"/>
      <c r="P202" s="952"/>
      <c r="Q202" s="952"/>
      <c r="R202" s="952"/>
      <c r="S202" s="952"/>
      <c r="T202" s="952"/>
      <c r="U202" s="952"/>
      <c r="V202" s="952"/>
      <c r="W202" s="952"/>
      <c r="X202" s="952"/>
      <c r="Y202" s="952"/>
      <c r="Z202" s="952"/>
      <c r="AA202" s="952"/>
      <c r="AB202" s="952"/>
      <c r="AC202" s="952"/>
      <c r="AD202" s="952"/>
      <c r="AE202" s="952"/>
      <c r="AF202" s="952"/>
      <c r="AG202" s="952"/>
      <c r="AH202" s="952"/>
      <c r="AI202" s="952"/>
      <c r="AJ202" s="952"/>
      <c r="AK202" s="952"/>
      <c r="AL202" s="952"/>
      <c r="AM202" s="952"/>
      <c r="AN202" s="952"/>
      <c r="AO202" s="952"/>
      <c r="AP202" s="952"/>
      <c r="AQ202" s="952"/>
      <c r="AR202" s="952"/>
      <c r="AS202" s="952"/>
      <c r="AT202" s="952"/>
      <c r="AU202" s="952"/>
      <c r="AV202" s="952"/>
      <c r="AW202" s="952"/>
      <c r="AX202" s="952"/>
      <c r="AY202" s="952"/>
      <c r="AZ202" s="952"/>
      <c r="BA202" s="952"/>
      <c r="BB202" s="952"/>
      <c r="BC202" s="952"/>
      <c r="BD202" s="952"/>
      <c r="BE202" s="952"/>
      <c r="BF202" s="952"/>
      <c r="BG202" s="952"/>
      <c r="BH202" s="952"/>
      <c r="BI202" s="952"/>
      <c r="BJ202" s="952"/>
      <c r="BK202" s="952"/>
      <c r="BL202" s="952"/>
      <c r="BM202" s="952"/>
      <c r="BN202" s="952"/>
      <c r="BO202" s="952"/>
      <c r="BP202" s="952"/>
      <c r="BQ202" s="952"/>
      <c r="BR202" s="952"/>
      <c r="BS202" s="952"/>
      <c r="BT202" s="952"/>
      <c r="BU202" s="952"/>
      <c r="BV202" s="952"/>
      <c r="BW202" s="952"/>
      <c r="BX202" s="952"/>
      <c r="BY202" s="952"/>
      <c r="BZ202" s="952"/>
      <c r="CA202" s="952"/>
      <c r="CB202" s="952"/>
      <c r="CC202" s="952"/>
      <c r="CD202" s="952"/>
      <c r="CE202" s="952"/>
      <c r="CF202" s="952"/>
      <c r="CG202" s="952"/>
      <c r="CH202" s="952"/>
      <c r="CI202" s="952"/>
      <c r="CJ202" s="952"/>
      <c r="CK202" s="952"/>
      <c r="CL202" s="951">
        <f>F202/CZ202*3</f>
        <v>18736319</v>
      </c>
      <c r="CM202" s="951"/>
      <c r="CN202" s="951"/>
      <c r="CO202" s="951"/>
      <c r="CP202" s="951"/>
      <c r="CQ202" s="951"/>
      <c r="CR202" s="951"/>
      <c r="CS202" s="952"/>
      <c r="CT202" s="952"/>
      <c r="CU202" s="952"/>
      <c r="CV202" s="952"/>
      <c r="CW202" s="952"/>
      <c r="CX202" s="952"/>
      <c r="CY202" s="952"/>
      <c r="CZ202" s="953">
        <v>3</v>
      </c>
    </row>
    <row r="203" spans="1:104" s="762" customFormat="1" ht="8.1" customHeight="1" thickBot="1">
      <c r="A203" s="938"/>
      <c r="B203" s="940"/>
      <c r="C203" s="1008"/>
      <c r="D203" s="942"/>
      <c r="E203" s="944"/>
      <c r="F203" s="946"/>
      <c r="G203" s="989"/>
      <c r="H203" s="1140"/>
      <c r="I203" s="1117"/>
      <c r="J203" s="986"/>
      <c r="K203" s="986"/>
      <c r="L203" s="807" t="s">
        <v>3319</v>
      </c>
      <c r="M203" s="811">
        <v>1</v>
      </c>
      <c r="N203" s="810">
        <v>2</v>
      </c>
      <c r="O203" s="810">
        <v>3</v>
      </c>
      <c r="P203" s="810">
        <v>4</v>
      </c>
      <c r="Q203" s="810">
        <v>5</v>
      </c>
      <c r="R203" s="810">
        <v>6</v>
      </c>
      <c r="S203" s="810">
        <v>7</v>
      </c>
      <c r="T203" s="810">
        <v>1</v>
      </c>
      <c r="U203" s="810">
        <v>2</v>
      </c>
      <c r="V203" s="810">
        <v>3</v>
      </c>
      <c r="W203" s="810">
        <v>4</v>
      </c>
      <c r="X203" s="810">
        <v>5</v>
      </c>
      <c r="Y203" s="810">
        <v>6</v>
      </c>
      <c r="Z203" s="810">
        <v>7</v>
      </c>
      <c r="AA203" s="810">
        <v>1</v>
      </c>
      <c r="AB203" s="810">
        <v>2</v>
      </c>
      <c r="AC203" s="810">
        <v>3</v>
      </c>
      <c r="AD203" s="810">
        <v>4</v>
      </c>
      <c r="AE203" s="810">
        <v>5</v>
      </c>
      <c r="AF203" s="810">
        <v>6</v>
      </c>
      <c r="AG203" s="810">
        <v>7</v>
      </c>
      <c r="AH203" s="810">
        <v>1</v>
      </c>
      <c r="AI203" s="810">
        <v>2</v>
      </c>
      <c r="AJ203" s="810">
        <v>3</v>
      </c>
      <c r="AK203" s="810">
        <v>4</v>
      </c>
      <c r="AL203" s="810">
        <v>5</v>
      </c>
      <c r="AM203" s="810">
        <v>6</v>
      </c>
      <c r="AN203" s="810">
        <v>7</v>
      </c>
      <c r="AO203" s="810">
        <v>1</v>
      </c>
      <c r="AP203" s="810">
        <v>2</v>
      </c>
      <c r="AQ203" s="810">
        <v>3</v>
      </c>
      <c r="AR203" s="810">
        <v>4</v>
      </c>
      <c r="AS203" s="810">
        <v>5</v>
      </c>
      <c r="AT203" s="810">
        <v>6</v>
      </c>
      <c r="AU203" s="810">
        <v>7</v>
      </c>
      <c r="AV203" s="810">
        <v>1</v>
      </c>
      <c r="AW203" s="810">
        <v>2</v>
      </c>
      <c r="AX203" s="810">
        <v>3</v>
      </c>
      <c r="AY203" s="810">
        <v>4</v>
      </c>
      <c r="AZ203" s="810">
        <v>5</v>
      </c>
      <c r="BA203" s="810">
        <v>6</v>
      </c>
      <c r="BB203" s="810">
        <v>7</v>
      </c>
      <c r="BC203" s="810">
        <v>1</v>
      </c>
      <c r="BD203" s="810">
        <v>2</v>
      </c>
      <c r="BE203" s="810">
        <v>3</v>
      </c>
      <c r="BF203" s="810">
        <v>4</v>
      </c>
      <c r="BG203" s="810">
        <v>5</v>
      </c>
      <c r="BH203" s="810">
        <v>6</v>
      </c>
      <c r="BI203" s="810">
        <v>7</v>
      </c>
      <c r="BJ203" s="810">
        <v>1</v>
      </c>
      <c r="BK203" s="810">
        <v>2</v>
      </c>
      <c r="BL203" s="810">
        <v>3</v>
      </c>
      <c r="BM203" s="810">
        <v>4</v>
      </c>
      <c r="BN203" s="810">
        <v>5</v>
      </c>
      <c r="BO203" s="810">
        <v>6</v>
      </c>
      <c r="BP203" s="810">
        <v>7</v>
      </c>
      <c r="BQ203" s="810">
        <v>1</v>
      </c>
      <c r="BR203" s="810">
        <v>2</v>
      </c>
      <c r="BS203" s="810">
        <v>3</v>
      </c>
      <c r="BT203" s="810">
        <v>4</v>
      </c>
      <c r="BU203" s="810">
        <v>5</v>
      </c>
      <c r="BV203" s="810">
        <v>6</v>
      </c>
      <c r="BW203" s="810">
        <v>7</v>
      </c>
      <c r="BX203" s="810">
        <v>1</v>
      </c>
      <c r="BY203" s="810">
        <v>2</v>
      </c>
      <c r="BZ203" s="810">
        <v>3</v>
      </c>
      <c r="CA203" s="810">
        <v>4</v>
      </c>
      <c r="CB203" s="810">
        <v>5</v>
      </c>
      <c r="CC203" s="810">
        <v>6</v>
      </c>
      <c r="CD203" s="810">
        <v>7</v>
      </c>
      <c r="CE203" s="810">
        <v>1</v>
      </c>
      <c r="CF203" s="810">
        <v>2</v>
      </c>
      <c r="CG203" s="810">
        <v>3</v>
      </c>
      <c r="CH203" s="810">
        <v>4</v>
      </c>
      <c r="CI203" s="810">
        <v>5</v>
      </c>
      <c r="CJ203" s="810">
        <v>6</v>
      </c>
      <c r="CK203" s="810">
        <v>7</v>
      </c>
      <c r="CL203" s="810">
        <v>1</v>
      </c>
      <c r="CM203" s="812">
        <v>2</v>
      </c>
      <c r="CN203" s="812">
        <v>3</v>
      </c>
      <c r="CO203" s="812">
        <v>4</v>
      </c>
      <c r="CP203" s="810">
        <v>5</v>
      </c>
      <c r="CQ203" s="810">
        <v>6</v>
      </c>
      <c r="CR203" s="810">
        <v>7</v>
      </c>
      <c r="CS203" s="810">
        <v>1</v>
      </c>
      <c r="CT203" s="810">
        <v>2</v>
      </c>
      <c r="CU203" s="810">
        <v>3</v>
      </c>
      <c r="CV203" s="810">
        <v>4</v>
      </c>
      <c r="CW203" s="810">
        <v>5</v>
      </c>
      <c r="CX203" s="781">
        <v>6</v>
      </c>
      <c r="CY203" s="781">
        <v>7</v>
      </c>
      <c r="CZ203" s="954"/>
    </row>
    <row r="204" spans="1:104" s="762" customFormat="1" ht="8.1" customHeight="1" thickBot="1">
      <c r="A204" s="938"/>
      <c r="B204" s="940"/>
      <c r="C204" s="1008"/>
      <c r="D204" s="942"/>
      <c r="E204" s="944"/>
      <c r="F204" s="946"/>
      <c r="G204" s="989"/>
      <c r="H204" s="1140"/>
      <c r="I204" s="1117"/>
      <c r="J204" s="987"/>
      <c r="K204" s="987"/>
      <c r="L204" s="808" t="s">
        <v>3320</v>
      </c>
      <c r="M204" s="955"/>
      <c r="N204" s="956"/>
      <c r="O204" s="956"/>
      <c r="P204" s="956"/>
      <c r="Q204" s="956"/>
      <c r="R204" s="956"/>
      <c r="S204" s="956"/>
      <c r="T204" s="956"/>
      <c r="U204" s="956"/>
      <c r="V204" s="956"/>
      <c r="W204" s="956"/>
      <c r="X204" s="956"/>
      <c r="Y204" s="956"/>
      <c r="Z204" s="956"/>
      <c r="AA204" s="956"/>
      <c r="AB204" s="956"/>
      <c r="AC204" s="956"/>
      <c r="AD204" s="956"/>
      <c r="AE204" s="956"/>
      <c r="AF204" s="956"/>
      <c r="AG204" s="956"/>
      <c r="AH204" s="956"/>
      <c r="AI204" s="956"/>
      <c r="AJ204" s="956"/>
      <c r="AK204" s="956"/>
      <c r="AL204" s="956"/>
      <c r="AM204" s="956"/>
      <c r="AN204" s="956"/>
      <c r="AO204" s="956"/>
      <c r="AP204" s="956"/>
      <c r="AQ204" s="956"/>
      <c r="AR204" s="956"/>
      <c r="AS204" s="956"/>
      <c r="AT204" s="956"/>
      <c r="AU204" s="956"/>
      <c r="AV204" s="956"/>
      <c r="AW204" s="956"/>
      <c r="AX204" s="956"/>
      <c r="AY204" s="956"/>
      <c r="AZ204" s="956"/>
      <c r="BA204" s="956"/>
      <c r="BB204" s="956"/>
      <c r="BC204" s="956"/>
      <c r="BD204" s="956"/>
      <c r="BE204" s="956"/>
      <c r="BF204" s="956"/>
      <c r="BG204" s="956"/>
      <c r="BH204" s="956"/>
      <c r="BI204" s="956"/>
      <c r="BJ204" s="956"/>
      <c r="BK204" s="956"/>
      <c r="BL204" s="956"/>
      <c r="BM204" s="956"/>
      <c r="BN204" s="956"/>
      <c r="BO204" s="956"/>
      <c r="BP204" s="956"/>
      <c r="BQ204" s="956"/>
      <c r="BR204" s="956"/>
      <c r="BS204" s="956"/>
      <c r="BT204" s="956"/>
      <c r="BU204" s="956">
        <f>CS202+CL202+CE202+BX202+BQ202</f>
        <v>18736319</v>
      </c>
      <c r="BV204" s="956"/>
      <c r="BW204" s="956"/>
      <c r="BX204" s="956"/>
      <c r="BY204" s="956"/>
      <c r="BZ204" s="956"/>
      <c r="CA204" s="956"/>
      <c r="CB204" s="956"/>
      <c r="CC204" s="956"/>
      <c r="CD204" s="956"/>
      <c r="CE204" s="956"/>
      <c r="CF204" s="956"/>
      <c r="CG204" s="956"/>
      <c r="CH204" s="956"/>
      <c r="CI204" s="956"/>
      <c r="CJ204" s="956"/>
      <c r="CK204" s="956"/>
      <c r="CL204" s="956"/>
      <c r="CM204" s="956"/>
      <c r="CN204" s="956"/>
      <c r="CO204" s="956"/>
      <c r="CP204" s="956"/>
      <c r="CQ204" s="956"/>
      <c r="CR204" s="956"/>
      <c r="CS204" s="956"/>
      <c r="CT204" s="956"/>
      <c r="CU204" s="956"/>
      <c r="CV204" s="956"/>
      <c r="CW204" s="956"/>
      <c r="CX204" s="956"/>
      <c r="CY204" s="956"/>
      <c r="CZ204" s="954"/>
    </row>
    <row r="205" spans="1:104" s="762" customFormat="1" ht="8.1" customHeight="1" thickBot="1">
      <c r="A205" s="938">
        <f>EDIFICACION!A533</f>
        <v>12.6</v>
      </c>
      <c r="B205" s="950" t="str">
        <f>EDIFICACION!B533</f>
        <v>ORINAL MEDIANO CON GRIFERIA</v>
      </c>
      <c r="C205" s="938" t="str">
        <f>EDIFICACION!C533</f>
        <v>UN</v>
      </c>
      <c r="D205" s="942">
        <v>1</v>
      </c>
      <c r="E205" s="944">
        <f>EDIFICACION!F533</f>
        <v>436960</v>
      </c>
      <c r="F205" s="946">
        <f t="shared" ref="F205" si="10">E205*D205</f>
        <v>436960</v>
      </c>
      <c r="G205" s="989">
        <f>F205/F259</f>
        <v>1.3194230146489018E-3</v>
      </c>
      <c r="H205" s="1140"/>
      <c r="I205" s="1117" t="s">
        <v>3339</v>
      </c>
      <c r="J205" s="985" t="s">
        <v>3398</v>
      </c>
      <c r="K205" s="985" t="s">
        <v>3398</v>
      </c>
      <c r="L205" s="806" t="s">
        <v>3318</v>
      </c>
      <c r="M205" s="1005"/>
      <c r="N205" s="952"/>
      <c r="O205" s="952"/>
      <c r="P205" s="952"/>
      <c r="Q205" s="952"/>
      <c r="R205" s="952"/>
      <c r="S205" s="952"/>
      <c r="T205" s="952"/>
      <c r="U205" s="952"/>
      <c r="V205" s="952"/>
      <c r="W205" s="952"/>
      <c r="X205" s="952"/>
      <c r="Y205" s="952"/>
      <c r="Z205" s="952"/>
      <c r="AA205" s="952"/>
      <c r="AB205" s="952"/>
      <c r="AC205" s="952"/>
      <c r="AD205" s="952"/>
      <c r="AE205" s="952"/>
      <c r="AF205" s="952"/>
      <c r="AG205" s="952"/>
      <c r="AH205" s="952"/>
      <c r="AI205" s="952"/>
      <c r="AJ205" s="952"/>
      <c r="AK205" s="952"/>
      <c r="AL205" s="952"/>
      <c r="AM205" s="952"/>
      <c r="AN205" s="952"/>
      <c r="AO205" s="952"/>
      <c r="AP205" s="952"/>
      <c r="AQ205" s="952"/>
      <c r="AR205" s="952"/>
      <c r="AS205" s="952"/>
      <c r="AT205" s="952"/>
      <c r="AU205" s="952"/>
      <c r="AV205" s="952"/>
      <c r="AW205" s="952"/>
      <c r="AX205" s="952"/>
      <c r="AY205" s="952"/>
      <c r="AZ205" s="952"/>
      <c r="BA205" s="952"/>
      <c r="BB205" s="952"/>
      <c r="BC205" s="952"/>
      <c r="BD205" s="952"/>
      <c r="BE205" s="952"/>
      <c r="BF205" s="952"/>
      <c r="BG205" s="952"/>
      <c r="BH205" s="952"/>
      <c r="BI205" s="952"/>
      <c r="BJ205" s="952"/>
      <c r="BK205" s="952"/>
      <c r="BL205" s="952"/>
      <c r="BM205" s="952"/>
      <c r="BN205" s="952"/>
      <c r="BO205" s="952"/>
      <c r="BP205" s="952"/>
      <c r="BQ205" s="952"/>
      <c r="BR205" s="952"/>
      <c r="BS205" s="952"/>
      <c r="BT205" s="952"/>
      <c r="BU205" s="952"/>
      <c r="BV205" s="952"/>
      <c r="BW205" s="952"/>
      <c r="BX205" s="952"/>
      <c r="BY205" s="952"/>
      <c r="BZ205" s="952"/>
      <c r="CA205" s="952"/>
      <c r="CB205" s="952"/>
      <c r="CC205" s="952"/>
      <c r="CD205" s="952"/>
      <c r="CE205" s="952"/>
      <c r="CF205" s="952"/>
      <c r="CG205" s="952"/>
      <c r="CH205" s="952"/>
      <c r="CI205" s="952"/>
      <c r="CJ205" s="952"/>
      <c r="CK205" s="952"/>
      <c r="CL205" s="951">
        <f>F205/CZ205*1</f>
        <v>436960</v>
      </c>
      <c r="CM205" s="951"/>
      <c r="CN205" s="951"/>
      <c r="CO205" s="951"/>
      <c r="CP205" s="951"/>
      <c r="CQ205" s="951"/>
      <c r="CR205" s="951"/>
      <c r="CS205" s="952"/>
      <c r="CT205" s="952"/>
      <c r="CU205" s="952"/>
      <c r="CV205" s="952"/>
      <c r="CW205" s="952"/>
      <c r="CX205" s="952"/>
      <c r="CY205" s="952"/>
      <c r="CZ205" s="953">
        <v>1</v>
      </c>
    </row>
    <row r="206" spans="1:104" s="762" customFormat="1" ht="8.1" customHeight="1" thickBot="1">
      <c r="A206" s="938"/>
      <c r="B206" s="950"/>
      <c r="C206" s="938"/>
      <c r="D206" s="942"/>
      <c r="E206" s="944"/>
      <c r="F206" s="946"/>
      <c r="G206" s="989"/>
      <c r="H206" s="1140"/>
      <c r="I206" s="1117"/>
      <c r="J206" s="986"/>
      <c r="K206" s="986"/>
      <c r="L206" s="807" t="s">
        <v>3319</v>
      </c>
      <c r="M206" s="811">
        <v>1</v>
      </c>
      <c r="N206" s="810">
        <v>2</v>
      </c>
      <c r="O206" s="810">
        <v>3</v>
      </c>
      <c r="P206" s="810">
        <v>4</v>
      </c>
      <c r="Q206" s="810">
        <v>5</v>
      </c>
      <c r="R206" s="810">
        <v>6</v>
      </c>
      <c r="S206" s="810">
        <v>7</v>
      </c>
      <c r="T206" s="810">
        <v>1</v>
      </c>
      <c r="U206" s="810">
        <v>2</v>
      </c>
      <c r="V206" s="810">
        <v>3</v>
      </c>
      <c r="W206" s="810">
        <v>4</v>
      </c>
      <c r="X206" s="810">
        <v>5</v>
      </c>
      <c r="Y206" s="810">
        <v>6</v>
      </c>
      <c r="Z206" s="810">
        <v>7</v>
      </c>
      <c r="AA206" s="810">
        <v>1</v>
      </c>
      <c r="AB206" s="810">
        <v>2</v>
      </c>
      <c r="AC206" s="810">
        <v>3</v>
      </c>
      <c r="AD206" s="810">
        <v>4</v>
      </c>
      <c r="AE206" s="810">
        <v>5</v>
      </c>
      <c r="AF206" s="810">
        <v>6</v>
      </c>
      <c r="AG206" s="810">
        <v>7</v>
      </c>
      <c r="AH206" s="810">
        <v>1</v>
      </c>
      <c r="AI206" s="810">
        <v>2</v>
      </c>
      <c r="AJ206" s="810">
        <v>3</v>
      </c>
      <c r="AK206" s="810">
        <v>4</v>
      </c>
      <c r="AL206" s="810">
        <v>5</v>
      </c>
      <c r="AM206" s="810">
        <v>6</v>
      </c>
      <c r="AN206" s="810">
        <v>7</v>
      </c>
      <c r="AO206" s="810">
        <v>1</v>
      </c>
      <c r="AP206" s="810">
        <v>2</v>
      </c>
      <c r="AQ206" s="810">
        <v>3</v>
      </c>
      <c r="AR206" s="810">
        <v>4</v>
      </c>
      <c r="AS206" s="810">
        <v>5</v>
      </c>
      <c r="AT206" s="810">
        <v>6</v>
      </c>
      <c r="AU206" s="810">
        <v>7</v>
      </c>
      <c r="AV206" s="810">
        <v>1</v>
      </c>
      <c r="AW206" s="810">
        <v>2</v>
      </c>
      <c r="AX206" s="810">
        <v>3</v>
      </c>
      <c r="AY206" s="810">
        <v>4</v>
      </c>
      <c r="AZ206" s="810">
        <v>5</v>
      </c>
      <c r="BA206" s="810">
        <v>6</v>
      </c>
      <c r="BB206" s="810">
        <v>7</v>
      </c>
      <c r="BC206" s="810">
        <v>1</v>
      </c>
      <c r="BD206" s="810">
        <v>2</v>
      </c>
      <c r="BE206" s="810">
        <v>3</v>
      </c>
      <c r="BF206" s="810">
        <v>4</v>
      </c>
      <c r="BG206" s="810">
        <v>5</v>
      </c>
      <c r="BH206" s="810">
        <v>6</v>
      </c>
      <c r="BI206" s="810">
        <v>7</v>
      </c>
      <c r="BJ206" s="810">
        <v>1</v>
      </c>
      <c r="BK206" s="810">
        <v>2</v>
      </c>
      <c r="BL206" s="810">
        <v>3</v>
      </c>
      <c r="BM206" s="810">
        <v>4</v>
      </c>
      <c r="BN206" s="810">
        <v>5</v>
      </c>
      <c r="BO206" s="810">
        <v>6</v>
      </c>
      <c r="BP206" s="810">
        <v>7</v>
      </c>
      <c r="BQ206" s="810">
        <v>1</v>
      </c>
      <c r="BR206" s="810">
        <v>2</v>
      </c>
      <c r="BS206" s="810">
        <v>3</v>
      </c>
      <c r="BT206" s="810">
        <v>4</v>
      </c>
      <c r="BU206" s="810">
        <v>5</v>
      </c>
      <c r="BV206" s="810">
        <v>6</v>
      </c>
      <c r="BW206" s="810">
        <v>7</v>
      </c>
      <c r="BX206" s="810">
        <v>1</v>
      </c>
      <c r="BY206" s="810">
        <v>2</v>
      </c>
      <c r="BZ206" s="810">
        <v>3</v>
      </c>
      <c r="CA206" s="810">
        <v>4</v>
      </c>
      <c r="CB206" s="810">
        <v>5</v>
      </c>
      <c r="CC206" s="810">
        <v>6</v>
      </c>
      <c r="CD206" s="810">
        <v>7</v>
      </c>
      <c r="CE206" s="810">
        <v>1</v>
      </c>
      <c r="CF206" s="810">
        <v>2</v>
      </c>
      <c r="CG206" s="810">
        <v>3</v>
      </c>
      <c r="CH206" s="810">
        <v>4</v>
      </c>
      <c r="CI206" s="810">
        <v>5</v>
      </c>
      <c r="CJ206" s="810">
        <v>6</v>
      </c>
      <c r="CK206" s="810">
        <v>7</v>
      </c>
      <c r="CL206" s="810">
        <v>1</v>
      </c>
      <c r="CM206" s="816">
        <v>2</v>
      </c>
      <c r="CN206" s="816">
        <v>3</v>
      </c>
      <c r="CO206" s="812">
        <v>4</v>
      </c>
      <c r="CP206" s="810">
        <v>5</v>
      </c>
      <c r="CQ206" s="810">
        <v>6</v>
      </c>
      <c r="CR206" s="810">
        <v>7</v>
      </c>
      <c r="CS206" s="810">
        <v>1</v>
      </c>
      <c r="CT206" s="810">
        <v>2</v>
      </c>
      <c r="CU206" s="810">
        <v>3</v>
      </c>
      <c r="CV206" s="810">
        <v>4</v>
      </c>
      <c r="CW206" s="810">
        <v>5</v>
      </c>
      <c r="CX206" s="781">
        <v>6</v>
      </c>
      <c r="CY206" s="781">
        <v>7</v>
      </c>
      <c r="CZ206" s="954"/>
    </row>
    <row r="207" spans="1:104" s="762" customFormat="1" ht="8.1" customHeight="1" thickBot="1">
      <c r="A207" s="938"/>
      <c r="B207" s="950"/>
      <c r="C207" s="938"/>
      <c r="D207" s="942"/>
      <c r="E207" s="944"/>
      <c r="F207" s="946"/>
      <c r="G207" s="989"/>
      <c r="H207" s="1140"/>
      <c r="I207" s="1117"/>
      <c r="J207" s="987"/>
      <c r="K207" s="987"/>
      <c r="L207" s="808" t="s">
        <v>3320</v>
      </c>
      <c r="M207" s="955"/>
      <c r="N207" s="956"/>
      <c r="O207" s="956"/>
      <c r="P207" s="956"/>
      <c r="Q207" s="956"/>
      <c r="R207" s="956"/>
      <c r="S207" s="956"/>
      <c r="T207" s="956"/>
      <c r="U207" s="956"/>
      <c r="V207" s="956"/>
      <c r="W207" s="956"/>
      <c r="X207" s="956"/>
      <c r="Y207" s="956"/>
      <c r="Z207" s="956"/>
      <c r="AA207" s="956"/>
      <c r="AB207" s="956"/>
      <c r="AC207" s="956"/>
      <c r="AD207" s="956"/>
      <c r="AE207" s="956"/>
      <c r="AF207" s="956"/>
      <c r="AG207" s="956"/>
      <c r="AH207" s="956"/>
      <c r="AI207" s="956"/>
      <c r="AJ207" s="956"/>
      <c r="AK207" s="956"/>
      <c r="AL207" s="956"/>
      <c r="AM207" s="956"/>
      <c r="AN207" s="956"/>
      <c r="AO207" s="956"/>
      <c r="AP207" s="956"/>
      <c r="AQ207" s="956"/>
      <c r="AR207" s="956"/>
      <c r="AS207" s="956"/>
      <c r="AT207" s="956"/>
      <c r="AU207" s="956"/>
      <c r="AV207" s="956"/>
      <c r="AW207" s="956"/>
      <c r="AX207" s="956"/>
      <c r="AY207" s="956"/>
      <c r="AZ207" s="956"/>
      <c r="BA207" s="956"/>
      <c r="BB207" s="956"/>
      <c r="BC207" s="956"/>
      <c r="BD207" s="956"/>
      <c r="BE207" s="956"/>
      <c r="BF207" s="956"/>
      <c r="BG207" s="956"/>
      <c r="BH207" s="956"/>
      <c r="BI207" s="956"/>
      <c r="BJ207" s="956"/>
      <c r="BK207" s="956"/>
      <c r="BL207" s="956"/>
      <c r="BM207" s="956"/>
      <c r="BN207" s="956"/>
      <c r="BO207" s="956"/>
      <c r="BP207" s="956"/>
      <c r="BQ207" s="956"/>
      <c r="BR207" s="956"/>
      <c r="BS207" s="956"/>
      <c r="BT207" s="956"/>
      <c r="BU207" s="956">
        <f>CS205+CL205+CE205+BX205</f>
        <v>436960</v>
      </c>
      <c r="BV207" s="956"/>
      <c r="BW207" s="956"/>
      <c r="BX207" s="956"/>
      <c r="BY207" s="956"/>
      <c r="BZ207" s="956"/>
      <c r="CA207" s="956"/>
      <c r="CB207" s="956"/>
      <c r="CC207" s="956"/>
      <c r="CD207" s="956"/>
      <c r="CE207" s="956"/>
      <c r="CF207" s="956"/>
      <c r="CG207" s="956"/>
      <c r="CH207" s="956"/>
      <c r="CI207" s="956"/>
      <c r="CJ207" s="956"/>
      <c r="CK207" s="956"/>
      <c r="CL207" s="956"/>
      <c r="CM207" s="956"/>
      <c r="CN207" s="956"/>
      <c r="CO207" s="956"/>
      <c r="CP207" s="956"/>
      <c r="CQ207" s="956"/>
      <c r="CR207" s="956"/>
      <c r="CS207" s="956"/>
      <c r="CT207" s="956"/>
      <c r="CU207" s="956"/>
      <c r="CV207" s="956"/>
      <c r="CW207" s="956"/>
      <c r="CX207" s="956"/>
      <c r="CY207" s="956"/>
      <c r="CZ207" s="954"/>
    </row>
    <row r="208" spans="1:104" s="762" customFormat="1" ht="8.1" customHeight="1" thickBot="1">
      <c r="A208" s="938">
        <f>EDIFICACION!A540</f>
        <v>12.7</v>
      </c>
      <c r="B208" s="940" t="str">
        <f>EDIFICACION!B540</f>
        <v>DUCHA PRISMA  ECONOMICA O SIMILAR</v>
      </c>
      <c r="C208" s="1008" t="str">
        <f>EDIFICACION!C540</f>
        <v>UN</v>
      </c>
      <c r="D208" s="942">
        <v>4</v>
      </c>
      <c r="E208" s="944">
        <f>EDIFICACION!F540</f>
        <v>85409</v>
      </c>
      <c r="F208" s="946">
        <f t="shared" si="8"/>
        <v>341636</v>
      </c>
      <c r="G208" s="989">
        <f>F208/F259</f>
        <v>1.0315873330112419E-3</v>
      </c>
      <c r="H208" s="1140"/>
      <c r="I208" s="1117" t="s">
        <v>3429</v>
      </c>
      <c r="J208" s="985" t="s">
        <v>3405</v>
      </c>
      <c r="K208" s="985" t="s">
        <v>3405</v>
      </c>
      <c r="L208" s="806" t="s">
        <v>3318</v>
      </c>
      <c r="M208" s="988"/>
      <c r="N208" s="952"/>
      <c r="O208" s="952"/>
      <c r="P208" s="952"/>
      <c r="Q208" s="952"/>
      <c r="R208" s="952"/>
      <c r="S208" s="952"/>
      <c r="T208" s="952"/>
      <c r="U208" s="952"/>
      <c r="V208" s="952"/>
      <c r="W208" s="952"/>
      <c r="X208" s="952"/>
      <c r="Y208" s="952"/>
      <c r="Z208" s="952"/>
      <c r="AA208" s="1007"/>
      <c r="AB208" s="952"/>
      <c r="AC208" s="952"/>
      <c r="AD208" s="952"/>
      <c r="AE208" s="952"/>
      <c r="AF208" s="952"/>
      <c r="AG208" s="952"/>
      <c r="AH208" s="952"/>
      <c r="AI208" s="952"/>
      <c r="AJ208" s="952"/>
      <c r="AK208" s="952"/>
      <c r="AL208" s="952"/>
      <c r="AM208" s="952"/>
      <c r="AN208" s="952"/>
      <c r="AO208" s="952"/>
      <c r="AP208" s="952"/>
      <c r="AQ208" s="952"/>
      <c r="AR208" s="952"/>
      <c r="AS208" s="952"/>
      <c r="AT208" s="952"/>
      <c r="AU208" s="952"/>
      <c r="AV208" s="952"/>
      <c r="AW208" s="952"/>
      <c r="AX208" s="952"/>
      <c r="AY208" s="952"/>
      <c r="AZ208" s="952"/>
      <c r="BA208" s="952"/>
      <c r="BB208" s="952"/>
      <c r="BC208" s="952"/>
      <c r="BD208" s="952"/>
      <c r="BE208" s="952"/>
      <c r="BF208" s="952"/>
      <c r="BG208" s="952"/>
      <c r="BH208" s="952"/>
      <c r="BI208" s="952"/>
      <c r="BJ208" s="952"/>
      <c r="BK208" s="952"/>
      <c r="BL208" s="952"/>
      <c r="BM208" s="952"/>
      <c r="BN208" s="952"/>
      <c r="BO208" s="952"/>
      <c r="BP208" s="952"/>
      <c r="BQ208" s="952"/>
      <c r="BR208" s="952"/>
      <c r="BS208" s="952"/>
      <c r="BT208" s="952"/>
      <c r="BU208" s="952"/>
      <c r="BV208" s="952"/>
      <c r="BW208" s="952"/>
      <c r="BX208" s="952"/>
      <c r="BY208" s="952"/>
      <c r="BZ208" s="952"/>
      <c r="CA208" s="952"/>
      <c r="CB208" s="952"/>
      <c r="CC208" s="952"/>
      <c r="CD208" s="952"/>
      <c r="CE208" s="952"/>
      <c r="CF208" s="952"/>
      <c r="CG208" s="952"/>
      <c r="CH208" s="952"/>
      <c r="CI208" s="952"/>
      <c r="CJ208" s="952"/>
      <c r="CK208" s="952"/>
      <c r="CL208" s="951">
        <f>F208/CZ208*1</f>
        <v>341636</v>
      </c>
      <c r="CM208" s="951"/>
      <c r="CN208" s="951"/>
      <c r="CO208" s="951"/>
      <c r="CP208" s="951"/>
      <c r="CQ208" s="951"/>
      <c r="CR208" s="951"/>
      <c r="CS208" s="952"/>
      <c r="CT208" s="952"/>
      <c r="CU208" s="952"/>
      <c r="CV208" s="952"/>
      <c r="CW208" s="952"/>
      <c r="CX208" s="952"/>
      <c r="CY208" s="952"/>
      <c r="CZ208" s="953">
        <v>1</v>
      </c>
    </row>
    <row r="209" spans="1:104" s="762" customFormat="1" ht="8.1" customHeight="1" thickBot="1">
      <c r="A209" s="938"/>
      <c r="B209" s="940"/>
      <c r="C209" s="1008"/>
      <c r="D209" s="942"/>
      <c r="E209" s="944"/>
      <c r="F209" s="946"/>
      <c r="G209" s="989"/>
      <c r="H209" s="1140"/>
      <c r="I209" s="1117"/>
      <c r="J209" s="986"/>
      <c r="K209" s="986"/>
      <c r="L209" s="807" t="s">
        <v>3319</v>
      </c>
      <c r="M209" s="811">
        <v>1</v>
      </c>
      <c r="N209" s="810">
        <v>2</v>
      </c>
      <c r="O209" s="810">
        <v>3</v>
      </c>
      <c r="P209" s="810">
        <v>4</v>
      </c>
      <c r="Q209" s="810">
        <v>5</v>
      </c>
      <c r="R209" s="810">
        <v>6</v>
      </c>
      <c r="S209" s="810">
        <v>7</v>
      </c>
      <c r="T209" s="810">
        <v>1</v>
      </c>
      <c r="U209" s="810">
        <v>2</v>
      </c>
      <c r="V209" s="810">
        <v>3</v>
      </c>
      <c r="W209" s="810">
        <v>4</v>
      </c>
      <c r="X209" s="810">
        <v>5</v>
      </c>
      <c r="Y209" s="810">
        <v>6</v>
      </c>
      <c r="Z209" s="810">
        <v>7</v>
      </c>
      <c r="AA209" s="810">
        <v>1</v>
      </c>
      <c r="AB209" s="810">
        <v>2</v>
      </c>
      <c r="AC209" s="810">
        <v>3</v>
      </c>
      <c r="AD209" s="810">
        <v>4</v>
      </c>
      <c r="AE209" s="810">
        <v>5</v>
      </c>
      <c r="AF209" s="810">
        <v>6</v>
      </c>
      <c r="AG209" s="810">
        <v>7</v>
      </c>
      <c r="AH209" s="810">
        <v>1</v>
      </c>
      <c r="AI209" s="810">
        <v>2</v>
      </c>
      <c r="AJ209" s="810">
        <v>3</v>
      </c>
      <c r="AK209" s="810">
        <v>4</v>
      </c>
      <c r="AL209" s="810">
        <v>5</v>
      </c>
      <c r="AM209" s="810">
        <v>6</v>
      </c>
      <c r="AN209" s="810">
        <v>7</v>
      </c>
      <c r="AO209" s="810">
        <v>1</v>
      </c>
      <c r="AP209" s="810">
        <v>2</v>
      </c>
      <c r="AQ209" s="810">
        <v>3</v>
      </c>
      <c r="AR209" s="810">
        <v>4</v>
      </c>
      <c r="AS209" s="810">
        <v>5</v>
      </c>
      <c r="AT209" s="810">
        <v>6</v>
      </c>
      <c r="AU209" s="810">
        <v>7</v>
      </c>
      <c r="AV209" s="810">
        <v>1</v>
      </c>
      <c r="AW209" s="810">
        <v>2</v>
      </c>
      <c r="AX209" s="810">
        <v>3</v>
      </c>
      <c r="AY209" s="810">
        <v>4</v>
      </c>
      <c r="AZ209" s="810">
        <v>5</v>
      </c>
      <c r="BA209" s="810">
        <v>6</v>
      </c>
      <c r="BB209" s="810">
        <v>7</v>
      </c>
      <c r="BC209" s="810">
        <v>1</v>
      </c>
      <c r="BD209" s="810">
        <v>2</v>
      </c>
      <c r="BE209" s="810">
        <v>3</v>
      </c>
      <c r="BF209" s="810">
        <v>4</v>
      </c>
      <c r="BG209" s="810">
        <v>5</v>
      </c>
      <c r="BH209" s="810">
        <v>6</v>
      </c>
      <c r="BI209" s="810">
        <v>7</v>
      </c>
      <c r="BJ209" s="810">
        <v>1</v>
      </c>
      <c r="BK209" s="810">
        <v>2</v>
      </c>
      <c r="BL209" s="810">
        <v>3</v>
      </c>
      <c r="BM209" s="810">
        <v>4</v>
      </c>
      <c r="BN209" s="810">
        <v>5</v>
      </c>
      <c r="BO209" s="810">
        <v>6</v>
      </c>
      <c r="BP209" s="810">
        <v>7</v>
      </c>
      <c r="BQ209" s="810">
        <v>1</v>
      </c>
      <c r="BR209" s="810">
        <v>2</v>
      </c>
      <c r="BS209" s="810">
        <v>3</v>
      </c>
      <c r="BT209" s="810">
        <v>4</v>
      </c>
      <c r="BU209" s="810">
        <v>5</v>
      </c>
      <c r="BV209" s="810">
        <v>6</v>
      </c>
      <c r="BW209" s="810">
        <v>7</v>
      </c>
      <c r="BX209" s="810">
        <v>1</v>
      </c>
      <c r="BY209" s="810">
        <v>2</v>
      </c>
      <c r="BZ209" s="810">
        <v>3</v>
      </c>
      <c r="CA209" s="810">
        <v>4</v>
      </c>
      <c r="CB209" s="810">
        <v>5</v>
      </c>
      <c r="CC209" s="810">
        <v>6</v>
      </c>
      <c r="CD209" s="810">
        <v>7</v>
      </c>
      <c r="CE209" s="810">
        <v>1</v>
      </c>
      <c r="CF209" s="810">
        <v>2</v>
      </c>
      <c r="CG209" s="810">
        <v>3</v>
      </c>
      <c r="CH209" s="810">
        <v>4</v>
      </c>
      <c r="CI209" s="810">
        <v>5</v>
      </c>
      <c r="CJ209" s="810">
        <v>6</v>
      </c>
      <c r="CK209" s="810">
        <v>7</v>
      </c>
      <c r="CL209" s="810">
        <v>1</v>
      </c>
      <c r="CM209" s="810">
        <v>2</v>
      </c>
      <c r="CN209" s="810">
        <v>3</v>
      </c>
      <c r="CO209" s="810">
        <v>4</v>
      </c>
      <c r="CP209" s="810">
        <v>5</v>
      </c>
      <c r="CQ209" s="812">
        <v>6</v>
      </c>
      <c r="CR209" s="810">
        <v>7</v>
      </c>
      <c r="CS209" s="810">
        <v>1</v>
      </c>
      <c r="CT209" s="810">
        <v>2</v>
      </c>
      <c r="CU209" s="810">
        <v>3</v>
      </c>
      <c r="CV209" s="810">
        <v>4</v>
      </c>
      <c r="CW209" s="810">
        <v>5</v>
      </c>
      <c r="CX209" s="781">
        <v>6</v>
      </c>
      <c r="CY209" s="781">
        <v>7</v>
      </c>
      <c r="CZ209" s="954"/>
    </row>
    <row r="210" spans="1:104" s="762" customFormat="1" ht="8.1" customHeight="1" thickBot="1">
      <c r="A210" s="938"/>
      <c r="B210" s="940"/>
      <c r="C210" s="1008"/>
      <c r="D210" s="942"/>
      <c r="E210" s="944"/>
      <c r="F210" s="946"/>
      <c r="G210" s="989"/>
      <c r="H210" s="1140"/>
      <c r="I210" s="1117"/>
      <c r="J210" s="987"/>
      <c r="K210" s="987"/>
      <c r="L210" s="808" t="s">
        <v>3320</v>
      </c>
      <c r="M210" s="955"/>
      <c r="N210" s="956"/>
      <c r="O210" s="956"/>
      <c r="P210" s="956"/>
      <c r="Q210" s="956"/>
      <c r="R210" s="956"/>
      <c r="S210" s="956"/>
      <c r="T210" s="956"/>
      <c r="U210" s="956"/>
      <c r="V210" s="956"/>
      <c r="W210" s="956"/>
      <c r="X210" s="956"/>
      <c r="Y210" s="956"/>
      <c r="Z210" s="956"/>
      <c r="AA210" s="956"/>
      <c r="AB210" s="956"/>
      <c r="AC210" s="956"/>
      <c r="AD210" s="956"/>
      <c r="AE210" s="956"/>
      <c r="AF210" s="956"/>
      <c r="AG210" s="956"/>
      <c r="AH210" s="956"/>
      <c r="AI210" s="956"/>
      <c r="AJ210" s="956"/>
      <c r="AK210" s="956"/>
      <c r="AL210" s="956"/>
      <c r="AM210" s="956"/>
      <c r="AN210" s="956"/>
      <c r="AO210" s="956"/>
      <c r="AP210" s="956"/>
      <c r="AQ210" s="956"/>
      <c r="AR210" s="956"/>
      <c r="AS210" s="956"/>
      <c r="AT210" s="956"/>
      <c r="AU210" s="956"/>
      <c r="AV210" s="956"/>
      <c r="AW210" s="956"/>
      <c r="AX210" s="956"/>
      <c r="AY210" s="956"/>
      <c r="AZ210" s="956"/>
      <c r="BA210" s="956"/>
      <c r="BB210" s="956"/>
      <c r="BC210" s="956"/>
      <c r="BD210" s="956"/>
      <c r="BE210" s="956"/>
      <c r="BF210" s="956"/>
      <c r="BG210" s="956"/>
      <c r="BH210" s="956"/>
      <c r="BI210" s="956"/>
      <c r="BJ210" s="956"/>
      <c r="BK210" s="956"/>
      <c r="BL210" s="956"/>
      <c r="BM210" s="956"/>
      <c r="BN210" s="956"/>
      <c r="BO210" s="956"/>
      <c r="BP210" s="956"/>
      <c r="BQ210" s="956"/>
      <c r="BR210" s="956"/>
      <c r="BS210" s="956"/>
      <c r="BT210" s="956"/>
      <c r="BU210" s="956">
        <f>CS208+CL208+CE208+BX208+BQ208</f>
        <v>341636</v>
      </c>
      <c r="BV210" s="956"/>
      <c r="BW210" s="956"/>
      <c r="BX210" s="956"/>
      <c r="BY210" s="956"/>
      <c r="BZ210" s="956"/>
      <c r="CA210" s="956"/>
      <c r="CB210" s="956"/>
      <c r="CC210" s="956"/>
      <c r="CD210" s="956"/>
      <c r="CE210" s="956"/>
      <c r="CF210" s="956"/>
      <c r="CG210" s="956"/>
      <c r="CH210" s="956"/>
      <c r="CI210" s="956"/>
      <c r="CJ210" s="956"/>
      <c r="CK210" s="956"/>
      <c r="CL210" s="956"/>
      <c r="CM210" s="956"/>
      <c r="CN210" s="956"/>
      <c r="CO210" s="956"/>
      <c r="CP210" s="956"/>
      <c r="CQ210" s="956"/>
      <c r="CR210" s="956"/>
      <c r="CS210" s="956"/>
      <c r="CT210" s="956"/>
      <c r="CU210" s="956"/>
      <c r="CV210" s="956"/>
      <c r="CW210" s="956"/>
      <c r="CX210" s="956"/>
      <c r="CY210" s="956"/>
      <c r="CZ210" s="954"/>
    </row>
    <row r="211" spans="1:104" s="762" customFormat="1" ht="9" customHeight="1" thickBot="1">
      <c r="A211" s="938">
        <f>EDIFICACION!A545</f>
        <v>12.8</v>
      </c>
      <c r="B211" s="940" t="str">
        <f>EDIFICACION!B545</f>
        <v>PAPELERA, GANCHO ELITE O SIMILAR</v>
      </c>
      <c r="C211" s="1008" t="str">
        <f>EDIFICACION!C545</f>
        <v>UN</v>
      </c>
      <c r="D211" s="942">
        <v>18</v>
      </c>
      <c r="E211" s="944">
        <f>EDIFICACION!F545</f>
        <v>70285</v>
      </c>
      <c r="F211" s="946">
        <f t="shared" si="8"/>
        <v>1265130</v>
      </c>
      <c r="G211" s="989">
        <f>F211/F259</f>
        <v>3.8201245846822712E-3</v>
      </c>
      <c r="H211" s="1140"/>
      <c r="I211" s="1117" t="s">
        <v>3339</v>
      </c>
      <c r="J211" s="985" t="s">
        <v>3406</v>
      </c>
      <c r="K211" s="985" t="s">
        <v>3406</v>
      </c>
      <c r="L211" s="806" t="s">
        <v>3318</v>
      </c>
      <c r="M211" s="964"/>
      <c r="N211" s="965"/>
      <c r="O211" s="965"/>
      <c r="P211" s="965"/>
      <c r="Q211" s="965"/>
      <c r="R211" s="965"/>
      <c r="S211" s="965"/>
      <c r="T211" s="965"/>
      <c r="U211" s="965"/>
      <c r="V211" s="965"/>
      <c r="W211" s="965"/>
      <c r="X211" s="965"/>
      <c r="Y211" s="965"/>
      <c r="Z211" s="965"/>
      <c r="AA211" s="966"/>
      <c r="AB211" s="965"/>
      <c r="AC211" s="965"/>
      <c r="AD211" s="965"/>
      <c r="AE211" s="965"/>
      <c r="AF211" s="965"/>
      <c r="AG211" s="965"/>
      <c r="AH211" s="965"/>
      <c r="AI211" s="965"/>
      <c r="AJ211" s="965"/>
      <c r="AK211" s="965"/>
      <c r="AL211" s="965"/>
      <c r="AM211" s="965"/>
      <c r="AN211" s="965"/>
      <c r="AO211" s="965"/>
      <c r="AP211" s="965"/>
      <c r="AQ211" s="965"/>
      <c r="AR211" s="965"/>
      <c r="AS211" s="965"/>
      <c r="AT211" s="965"/>
      <c r="AU211" s="965"/>
      <c r="AV211" s="965"/>
      <c r="AW211" s="965"/>
      <c r="AX211" s="965"/>
      <c r="AY211" s="965"/>
      <c r="AZ211" s="965"/>
      <c r="BA211" s="965"/>
      <c r="BB211" s="965"/>
      <c r="BC211" s="965"/>
      <c r="BD211" s="965"/>
      <c r="BE211" s="965"/>
      <c r="BF211" s="965"/>
      <c r="BG211" s="965"/>
      <c r="BH211" s="965"/>
      <c r="BI211" s="965"/>
      <c r="BJ211" s="965"/>
      <c r="BK211" s="965"/>
      <c r="BL211" s="965"/>
      <c r="BM211" s="965"/>
      <c r="BN211" s="965"/>
      <c r="BO211" s="965"/>
      <c r="BP211" s="965"/>
      <c r="BQ211" s="965"/>
      <c r="BR211" s="965"/>
      <c r="BS211" s="965"/>
      <c r="BT211" s="965"/>
      <c r="BU211" s="965"/>
      <c r="BV211" s="965"/>
      <c r="BW211" s="965"/>
      <c r="BX211" s="965"/>
      <c r="BY211" s="965"/>
      <c r="BZ211" s="965"/>
      <c r="CA211" s="965"/>
      <c r="CB211" s="965"/>
      <c r="CC211" s="965"/>
      <c r="CD211" s="965"/>
      <c r="CE211" s="965"/>
      <c r="CF211" s="965"/>
      <c r="CG211" s="965"/>
      <c r="CH211" s="965"/>
      <c r="CI211" s="965"/>
      <c r="CJ211" s="965"/>
      <c r="CK211" s="965"/>
      <c r="CL211" s="965"/>
      <c r="CM211" s="965"/>
      <c r="CN211" s="965"/>
      <c r="CO211" s="965"/>
      <c r="CP211" s="965"/>
      <c r="CQ211" s="965"/>
      <c r="CR211" s="965"/>
      <c r="CS211" s="999">
        <f>F211/CZ211*CS212</f>
        <v>1265130</v>
      </c>
      <c r="CT211" s="999"/>
      <c r="CU211" s="999"/>
      <c r="CV211" s="999"/>
      <c r="CW211" s="999"/>
      <c r="CX211" s="999"/>
      <c r="CY211" s="999"/>
      <c r="CZ211" s="953">
        <v>1</v>
      </c>
    </row>
    <row r="212" spans="1:104" s="762" customFormat="1" ht="9" customHeight="1" thickBot="1">
      <c r="A212" s="938"/>
      <c r="B212" s="940"/>
      <c r="C212" s="1008"/>
      <c r="D212" s="942"/>
      <c r="E212" s="944"/>
      <c r="F212" s="946"/>
      <c r="G212" s="989"/>
      <c r="H212" s="1140"/>
      <c r="I212" s="1117"/>
      <c r="J212" s="986"/>
      <c r="K212" s="986"/>
      <c r="L212" s="807" t="s">
        <v>3319</v>
      </c>
      <c r="M212" s="811">
        <v>1</v>
      </c>
      <c r="N212" s="810">
        <v>2</v>
      </c>
      <c r="O212" s="810">
        <v>3</v>
      </c>
      <c r="P212" s="810">
        <v>4</v>
      </c>
      <c r="Q212" s="810">
        <v>5</v>
      </c>
      <c r="R212" s="810">
        <v>6</v>
      </c>
      <c r="S212" s="810">
        <v>7</v>
      </c>
      <c r="T212" s="810">
        <v>1</v>
      </c>
      <c r="U212" s="810">
        <v>2</v>
      </c>
      <c r="V212" s="810">
        <v>3</v>
      </c>
      <c r="W212" s="810">
        <v>4</v>
      </c>
      <c r="X212" s="810">
        <v>5</v>
      </c>
      <c r="Y212" s="810">
        <v>6</v>
      </c>
      <c r="Z212" s="810">
        <v>7</v>
      </c>
      <c r="AA212" s="810">
        <v>1</v>
      </c>
      <c r="AB212" s="810">
        <v>2</v>
      </c>
      <c r="AC212" s="810">
        <v>3</v>
      </c>
      <c r="AD212" s="810">
        <v>4</v>
      </c>
      <c r="AE212" s="810">
        <v>5</v>
      </c>
      <c r="AF212" s="810">
        <v>6</v>
      </c>
      <c r="AG212" s="810">
        <v>7</v>
      </c>
      <c r="AH212" s="810">
        <v>1</v>
      </c>
      <c r="AI212" s="810">
        <v>2</v>
      </c>
      <c r="AJ212" s="810">
        <v>3</v>
      </c>
      <c r="AK212" s="810">
        <v>4</v>
      </c>
      <c r="AL212" s="810">
        <v>5</v>
      </c>
      <c r="AM212" s="810">
        <v>6</v>
      </c>
      <c r="AN212" s="810">
        <v>7</v>
      </c>
      <c r="AO212" s="810">
        <v>1</v>
      </c>
      <c r="AP212" s="810">
        <v>2</v>
      </c>
      <c r="AQ212" s="810">
        <v>3</v>
      </c>
      <c r="AR212" s="810">
        <v>4</v>
      </c>
      <c r="AS212" s="810">
        <v>5</v>
      </c>
      <c r="AT212" s="810">
        <v>6</v>
      </c>
      <c r="AU212" s="810">
        <v>7</v>
      </c>
      <c r="AV212" s="810">
        <v>1</v>
      </c>
      <c r="AW212" s="810">
        <v>2</v>
      </c>
      <c r="AX212" s="810">
        <v>3</v>
      </c>
      <c r="AY212" s="810">
        <v>4</v>
      </c>
      <c r="AZ212" s="810">
        <v>5</v>
      </c>
      <c r="BA212" s="810">
        <v>6</v>
      </c>
      <c r="BB212" s="810">
        <v>7</v>
      </c>
      <c r="BC212" s="810">
        <v>1</v>
      </c>
      <c r="BD212" s="810">
        <v>2</v>
      </c>
      <c r="BE212" s="810">
        <v>3</v>
      </c>
      <c r="BF212" s="810">
        <v>4</v>
      </c>
      <c r="BG212" s="810">
        <v>5</v>
      </c>
      <c r="BH212" s="810">
        <v>6</v>
      </c>
      <c r="BI212" s="810">
        <v>7</v>
      </c>
      <c r="BJ212" s="810">
        <v>1</v>
      </c>
      <c r="BK212" s="810">
        <v>2</v>
      </c>
      <c r="BL212" s="810">
        <v>3</v>
      </c>
      <c r="BM212" s="810">
        <v>4</v>
      </c>
      <c r="BN212" s="810">
        <v>5</v>
      </c>
      <c r="BO212" s="810">
        <v>6</v>
      </c>
      <c r="BP212" s="810">
        <v>7</v>
      </c>
      <c r="BQ212" s="810">
        <v>1</v>
      </c>
      <c r="BR212" s="810">
        <v>2</v>
      </c>
      <c r="BS212" s="810">
        <v>3</v>
      </c>
      <c r="BT212" s="810">
        <v>4</v>
      </c>
      <c r="BU212" s="810">
        <v>5</v>
      </c>
      <c r="BV212" s="810">
        <v>6</v>
      </c>
      <c r="BW212" s="810">
        <v>7</v>
      </c>
      <c r="BX212" s="810">
        <v>1</v>
      </c>
      <c r="BY212" s="810">
        <v>2</v>
      </c>
      <c r="BZ212" s="810">
        <v>3</v>
      </c>
      <c r="CA212" s="810">
        <v>4</v>
      </c>
      <c r="CB212" s="810">
        <v>5</v>
      </c>
      <c r="CC212" s="810">
        <v>6</v>
      </c>
      <c r="CD212" s="810">
        <v>7</v>
      </c>
      <c r="CE212" s="810">
        <v>1</v>
      </c>
      <c r="CF212" s="810">
        <v>2</v>
      </c>
      <c r="CG212" s="810">
        <v>3</v>
      </c>
      <c r="CH212" s="810">
        <v>4</v>
      </c>
      <c r="CI212" s="810">
        <v>5</v>
      </c>
      <c r="CJ212" s="810">
        <v>6</v>
      </c>
      <c r="CK212" s="810">
        <v>7</v>
      </c>
      <c r="CL212" s="810">
        <v>1</v>
      </c>
      <c r="CM212" s="810">
        <v>2</v>
      </c>
      <c r="CN212" s="810">
        <v>3</v>
      </c>
      <c r="CO212" s="810">
        <v>4</v>
      </c>
      <c r="CP212" s="810">
        <v>5</v>
      </c>
      <c r="CQ212" s="810">
        <v>6</v>
      </c>
      <c r="CR212" s="810">
        <v>7</v>
      </c>
      <c r="CS212" s="810">
        <v>1</v>
      </c>
      <c r="CT212" s="816">
        <v>2</v>
      </c>
      <c r="CU212" s="812">
        <v>3</v>
      </c>
      <c r="CV212" s="810">
        <v>4</v>
      </c>
      <c r="CW212" s="810">
        <v>5</v>
      </c>
      <c r="CX212" s="781">
        <v>6</v>
      </c>
      <c r="CY212" s="781">
        <v>7</v>
      </c>
      <c r="CZ212" s="954"/>
    </row>
    <row r="213" spans="1:104" s="762" customFormat="1" ht="9" customHeight="1" thickBot="1">
      <c r="A213" s="938"/>
      <c r="B213" s="940"/>
      <c r="C213" s="1008"/>
      <c r="D213" s="942"/>
      <c r="E213" s="944"/>
      <c r="F213" s="946"/>
      <c r="G213" s="989"/>
      <c r="H213" s="1140"/>
      <c r="I213" s="1117"/>
      <c r="J213" s="987"/>
      <c r="K213" s="987"/>
      <c r="L213" s="808" t="s">
        <v>3320</v>
      </c>
      <c r="M213" s="955"/>
      <c r="N213" s="956"/>
      <c r="O213" s="956"/>
      <c r="P213" s="956"/>
      <c r="Q213" s="956"/>
      <c r="R213" s="956"/>
      <c r="S213" s="956"/>
      <c r="T213" s="956"/>
      <c r="U213" s="956"/>
      <c r="V213" s="956"/>
      <c r="W213" s="956"/>
      <c r="X213" s="956"/>
      <c r="Y213" s="956"/>
      <c r="Z213" s="956"/>
      <c r="AA213" s="956"/>
      <c r="AB213" s="956"/>
      <c r="AC213" s="956"/>
      <c r="AD213" s="956"/>
      <c r="AE213" s="956"/>
      <c r="AF213" s="956"/>
      <c r="AG213" s="956"/>
      <c r="AH213" s="956"/>
      <c r="AI213" s="956"/>
      <c r="AJ213" s="956"/>
      <c r="AK213" s="956"/>
      <c r="AL213" s="956"/>
      <c r="AM213" s="956"/>
      <c r="AN213" s="956"/>
      <c r="AO213" s="956"/>
      <c r="AP213" s="956"/>
      <c r="AQ213" s="956"/>
      <c r="AR213" s="956"/>
      <c r="AS213" s="956"/>
      <c r="AT213" s="956"/>
      <c r="AU213" s="956"/>
      <c r="AV213" s="956"/>
      <c r="AW213" s="956"/>
      <c r="AX213" s="956"/>
      <c r="AY213" s="956"/>
      <c r="AZ213" s="956"/>
      <c r="BA213" s="956"/>
      <c r="BB213" s="956"/>
      <c r="BC213" s="956"/>
      <c r="BD213" s="956"/>
      <c r="BE213" s="956"/>
      <c r="BF213" s="956"/>
      <c r="BG213" s="956"/>
      <c r="BH213" s="956"/>
      <c r="BI213" s="956"/>
      <c r="BJ213" s="956"/>
      <c r="BK213" s="956"/>
      <c r="BL213" s="956"/>
      <c r="BM213" s="956"/>
      <c r="BN213" s="956"/>
      <c r="BO213" s="956"/>
      <c r="BP213" s="956"/>
      <c r="BQ213" s="956"/>
      <c r="BR213" s="956"/>
      <c r="BS213" s="956"/>
      <c r="BT213" s="956"/>
      <c r="BU213" s="956">
        <f>CS211+CL211+CE211+BX211+BQ211</f>
        <v>1265130</v>
      </c>
      <c r="BV213" s="956"/>
      <c r="BW213" s="956"/>
      <c r="BX213" s="956"/>
      <c r="BY213" s="956"/>
      <c r="BZ213" s="956"/>
      <c r="CA213" s="956"/>
      <c r="CB213" s="956"/>
      <c r="CC213" s="956"/>
      <c r="CD213" s="956"/>
      <c r="CE213" s="956"/>
      <c r="CF213" s="956"/>
      <c r="CG213" s="956"/>
      <c r="CH213" s="956"/>
      <c r="CI213" s="956"/>
      <c r="CJ213" s="956"/>
      <c r="CK213" s="956"/>
      <c r="CL213" s="956"/>
      <c r="CM213" s="956"/>
      <c r="CN213" s="956"/>
      <c r="CO213" s="956"/>
      <c r="CP213" s="956"/>
      <c r="CQ213" s="956"/>
      <c r="CR213" s="956"/>
      <c r="CS213" s="956"/>
      <c r="CT213" s="956"/>
      <c r="CU213" s="956"/>
      <c r="CV213" s="956"/>
      <c r="CW213" s="956"/>
      <c r="CX213" s="956"/>
      <c r="CY213" s="956"/>
      <c r="CZ213" s="954"/>
    </row>
    <row r="214" spans="1:104" s="762" customFormat="1" ht="9" customHeight="1" thickBot="1">
      <c r="A214" s="938">
        <f>EDIFICACION!A551</f>
        <v>12.9</v>
      </c>
      <c r="B214" s="940" t="str">
        <f>EDIFICACION!B551</f>
        <v>DISPENSADOR DE PAPEL HIGIENICO</v>
      </c>
      <c r="C214" s="938" t="str">
        <f>EDIFICACION!C551</f>
        <v>UN</v>
      </c>
      <c r="D214" s="942">
        <v>3</v>
      </c>
      <c r="E214" s="944">
        <f>EDIFICACION!F551</f>
        <v>186906</v>
      </c>
      <c r="F214" s="946">
        <f t="shared" ref="F214" si="11">E214*D214</f>
        <v>560718</v>
      </c>
      <c r="G214" s="989">
        <f>F214/F259</f>
        <v>1.6931166100510411E-3</v>
      </c>
      <c r="H214" s="1140"/>
      <c r="I214" s="990" t="s">
        <v>3429</v>
      </c>
      <c r="J214" s="961" t="s">
        <v>3406</v>
      </c>
      <c r="K214" s="961" t="s">
        <v>3406</v>
      </c>
      <c r="L214" s="806" t="s">
        <v>3318</v>
      </c>
      <c r="M214" s="964"/>
      <c r="N214" s="965"/>
      <c r="O214" s="965"/>
      <c r="P214" s="965"/>
      <c r="Q214" s="965"/>
      <c r="R214" s="965"/>
      <c r="S214" s="965"/>
      <c r="T214" s="965"/>
      <c r="U214" s="965"/>
      <c r="V214" s="965"/>
      <c r="W214" s="965"/>
      <c r="X214" s="965"/>
      <c r="Y214" s="965"/>
      <c r="Z214" s="965"/>
      <c r="AA214" s="966"/>
      <c r="AB214" s="965"/>
      <c r="AC214" s="965"/>
      <c r="AD214" s="965"/>
      <c r="AE214" s="965"/>
      <c r="AF214" s="965"/>
      <c r="AG214" s="965"/>
      <c r="AH214" s="965"/>
      <c r="AI214" s="965"/>
      <c r="AJ214" s="965"/>
      <c r="AK214" s="965"/>
      <c r="AL214" s="965"/>
      <c r="AM214" s="965"/>
      <c r="AN214" s="965"/>
      <c r="AO214" s="965"/>
      <c r="AP214" s="965"/>
      <c r="AQ214" s="965"/>
      <c r="AR214" s="965"/>
      <c r="AS214" s="965"/>
      <c r="AT214" s="965"/>
      <c r="AU214" s="965"/>
      <c r="AV214" s="965"/>
      <c r="AW214" s="965"/>
      <c r="AX214" s="965"/>
      <c r="AY214" s="965"/>
      <c r="AZ214" s="965"/>
      <c r="BA214" s="965"/>
      <c r="BB214" s="965"/>
      <c r="BC214" s="965"/>
      <c r="BD214" s="965"/>
      <c r="BE214" s="965"/>
      <c r="BF214" s="965"/>
      <c r="BG214" s="965"/>
      <c r="BH214" s="965"/>
      <c r="BI214" s="965"/>
      <c r="BJ214" s="965"/>
      <c r="BK214" s="965"/>
      <c r="BL214" s="965"/>
      <c r="BM214" s="965"/>
      <c r="BN214" s="965"/>
      <c r="BO214" s="965"/>
      <c r="BP214" s="965"/>
      <c r="BQ214" s="965"/>
      <c r="BR214" s="965"/>
      <c r="BS214" s="965"/>
      <c r="BT214" s="965"/>
      <c r="BU214" s="965"/>
      <c r="BV214" s="965"/>
      <c r="BW214" s="965"/>
      <c r="BX214" s="965"/>
      <c r="BY214" s="965"/>
      <c r="BZ214" s="965"/>
      <c r="CA214" s="965"/>
      <c r="CB214" s="965"/>
      <c r="CC214" s="965"/>
      <c r="CD214" s="965"/>
      <c r="CE214" s="965"/>
      <c r="CF214" s="965"/>
      <c r="CG214" s="965"/>
      <c r="CH214" s="965"/>
      <c r="CI214" s="965"/>
      <c r="CJ214" s="965"/>
      <c r="CK214" s="965"/>
      <c r="CL214" s="965"/>
      <c r="CM214" s="965"/>
      <c r="CN214" s="965"/>
      <c r="CO214" s="965"/>
      <c r="CP214" s="965"/>
      <c r="CQ214" s="965"/>
      <c r="CR214" s="965"/>
      <c r="CS214" s="999">
        <f>F214/CZ214*1</f>
        <v>560718</v>
      </c>
      <c r="CT214" s="999"/>
      <c r="CU214" s="999"/>
      <c r="CV214" s="999"/>
      <c r="CW214" s="999"/>
      <c r="CX214" s="999"/>
      <c r="CY214" s="999"/>
      <c r="CZ214" s="957">
        <v>1</v>
      </c>
    </row>
    <row r="215" spans="1:104" s="762" customFormat="1" ht="9" customHeight="1" thickBot="1">
      <c r="A215" s="938"/>
      <c r="B215" s="940"/>
      <c r="C215" s="938"/>
      <c r="D215" s="942"/>
      <c r="E215" s="944"/>
      <c r="F215" s="946"/>
      <c r="G215" s="989"/>
      <c r="H215" s="1140"/>
      <c r="I215" s="990"/>
      <c r="J215" s="962"/>
      <c r="K215" s="962"/>
      <c r="L215" s="807" t="s">
        <v>3319</v>
      </c>
      <c r="M215" s="811">
        <v>1</v>
      </c>
      <c r="N215" s="810">
        <v>2</v>
      </c>
      <c r="O215" s="810">
        <v>3</v>
      </c>
      <c r="P215" s="810">
        <v>4</v>
      </c>
      <c r="Q215" s="810">
        <v>5</v>
      </c>
      <c r="R215" s="810">
        <v>6</v>
      </c>
      <c r="S215" s="810">
        <v>7</v>
      </c>
      <c r="T215" s="810">
        <v>1</v>
      </c>
      <c r="U215" s="810">
        <v>2</v>
      </c>
      <c r="V215" s="810">
        <v>3</v>
      </c>
      <c r="W215" s="810">
        <v>4</v>
      </c>
      <c r="X215" s="810">
        <v>5</v>
      </c>
      <c r="Y215" s="810">
        <v>6</v>
      </c>
      <c r="Z215" s="810">
        <v>7</v>
      </c>
      <c r="AA215" s="810">
        <v>1</v>
      </c>
      <c r="AB215" s="810">
        <v>2</v>
      </c>
      <c r="AC215" s="810">
        <v>3</v>
      </c>
      <c r="AD215" s="810">
        <v>4</v>
      </c>
      <c r="AE215" s="810">
        <v>5</v>
      </c>
      <c r="AF215" s="810">
        <v>6</v>
      </c>
      <c r="AG215" s="810">
        <v>7</v>
      </c>
      <c r="AH215" s="810">
        <v>1</v>
      </c>
      <c r="AI215" s="810">
        <v>2</v>
      </c>
      <c r="AJ215" s="810">
        <v>3</v>
      </c>
      <c r="AK215" s="810">
        <v>4</v>
      </c>
      <c r="AL215" s="810">
        <v>5</v>
      </c>
      <c r="AM215" s="810">
        <v>6</v>
      </c>
      <c r="AN215" s="810">
        <v>7</v>
      </c>
      <c r="AO215" s="810">
        <v>1</v>
      </c>
      <c r="AP215" s="810">
        <v>2</v>
      </c>
      <c r="AQ215" s="810">
        <v>3</v>
      </c>
      <c r="AR215" s="810">
        <v>4</v>
      </c>
      <c r="AS215" s="810">
        <v>5</v>
      </c>
      <c r="AT215" s="810">
        <v>6</v>
      </c>
      <c r="AU215" s="810">
        <v>7</v>
      </c>
      <c r="AV215" s="810">
        <v>1</v>
      </c>
      <c r="AW215" s="810">
        <v>2</v>
      </c>
      <c r="AX215" s="810">
        <v>3</v>
      </c>
      <c r="AY215" s="810">
        <v>4</v>
      </c>
      <c r="AZ215" s="810">
        <v>5</v>
      </c>
      <c r="BA215" s="810">
        <v>6</v>
      </c>
      <c r="BB215" s="810">
        <v>7</v>
      </c>
      <c r="BC215" s="810">
        <v>1</v>
      </c>
      <c r="BD215" s="810">
        <v>2</v>
      </c>
      <c r="BE215" s="810">
        <v>3</v>
      </c>
      <c r="BF215" s="810">
        <v>4</v>
      </c>
      <c r="BG215" s="810">
        <v>5</v>
      </c>
      <c r="BH215" s="810">
        <v>6</v>
      </c>
      <c r="BI215" s="810">
        <v>7</v>
      </c>
      <c r="BJ215" s="810">
        <v>1</v>
      </c>
      <c r="BK215" s="810">
        <v>2</v>
      </c>
      <c r="BL215" s="810">
        <v>3</v>
      </c>
      <c r="BM215" s="810">
        <v>4</v>
      </c>
      <c r="BN215" s="810">
        <v>5</v>
      </c>
      <c r="BO215" s="810">
        <v>6</v>
      </c>
      <c r="BP215" s="810">
        <v>7</v>
      </c>
      <c r="BQ215" s="810">
        <v>1</v>
      </c>
      <c r="BR215" s="810">
        <v>2</v>
      </c>
      <c r="BS215" s="810">
        <v>3</v>
      </c>
      <c r="BT215" s="810">
        <v>4</v>
      </c>
      <c r="BU215" s="810">
        <v>5</v>
      </c>
      <c r="BV215" s="810">
        <v>6</v>
      </c>
      <c r="BW215" s="810">
        <v>7</v>
      </c>
      <c r="BX215" s="810">
        <v>1</v>
      </c>
      <c r="BY215" s="810">
        <v>2</v>
      </c>
      <c r="BZ215" s="810">
        <v>3</v>
      </c>
      <c r="CA215" s="810">
        <v>4</v>
      </c>
      <c r="CB215" s="810">
        <v>5</v>
      </c>
      <c r="CC215" s="810">
        <v>6</v>
      </c>
      <c r="CD215" s="810">
        <v>7</v>
      </c>
      <c r="CE215" s="810">
        <v>1</v>
      </c>
      <c r="CF215" s="810">
        <v>2</v>
      </c>
      <c r="CG215" s="810">
        <v>3</v>
      </c>
      <c r="CH215" s="810">
        <v>4</v>
      </c>
      <c r="CI215" s="810">
        <v>5</v>
      </c>
      <c r="CJ215" s="810">
        <v>6</v>
      </c>
      <c r="CK215" s="810">
        <v>7</v>
      </c>
      <c r="CL215" s="810">
        <v>1</v>
      </c>
      <c r="CM215" s="810">
        <v>2</v>
      </c>
      <c r="CN215" s="810">
        <v>3</v>
      </c>
      <c r="CO215" s="810">
        <v>4</v>
      </c>
      <c r="CP215" s="810">
        <v>5</v>
      </c>
      <c r="CQ215" s="810">
        <v>6</v>
      </c>
      <c r="CR215" s="810">
        <v>7</v>
      </c>
      <c r="CS215" s="810">
        <v>1</v>
      </c>
      <c r="CT215" s="816">
        <v>2</v>
      </c>
      <c r="CU215" s="812">
        <v>3</v>
      </c>
      <c r="CV215" s="810">
        <v>4</v>
      </c>
      <c r="CW215" s="810">
        <v>5</v>
      </c>
      <c r="CX215" s="781">
        <v>6</v>
      </c>
      <c r="CY215" s="781">
        <v>7</v>
      </c>
      <c r="CZ215" s="957"/>
    </row>
    <row r="216" spans="1:104" s="762" customFormat="1" ht="9" customHeight="1" thickBot="1">
      <c r="A216" s="938"/>
      <c r="B216" s="940"/>
      <c r="C216" s="938"/>
      <c r="D216" s="942"/>
      <c r="E216" s="944"/>
      <c r="F216" s="946"/>
      <c r="G216" s="989"/>
      <c r="H216" s="1140"/>
      <c r="I216" s="990"/>
      <c r="J216" s="963"/>
      <c r="K216" s="963"/>
      <c r="L216" s="808" t="s">
        <v>3320</v>
      </c>
      <c r="M216" s="955"/>
      <c r="N216" s="956"/>
      <c r="O216" s="956"/>
      <c r="P216" s="956"/>
      <c r="Q216" s="956"/>
      <c r="R216" s="956"/>
      <c r="S216" s="956"/>
      <c r="T216" s="956"/>
      <c r="U216" s="956"/>
      <c r="V216" s="956"/>
      <c r="W216" s="956"/>
      <c r="X216" s="956"/>
      <c r="Y216" s="956"/>
      <c r="Z216" s="956"/>
      <c r="AA216" s="956"/>
      <c r="AB216" s="956"/>
      <c r="AC216" s="956"/>
      <c r="AD216" s="956"/>
      <c r="AE216" s="956"/>
      <c r="AF216" s="956"/>
      <c r="AG216" s="956"/>
      <c r="AH216" s="956"/>
      <c r="AI216" s="956"/>
      <c r="AJ216" s="956"/>
      <c r="AK216" s="956"/>
      <c r="AL216" s="956"/>
      <c r="AM216" s="956"/>
      <c r="AN216" s="956"/>
      <c r="AO216" s="956"/>
      <c r="AP216" s="956"/>
      <c r="AQ216" s="956"/>
      <c r="AR216" s="956"/>
      <c r="AS216" s="956"/>
      <c r="AT216" s="956"/>
      <c r="AU216" s="956"/>
      <c r="AV216" s="956"/>
      <c r="AW216" s="956"/>
      <c r="AX216" s="956"/>
      <c r="AY216" s="956"/>
      <c r="AZ216" s="956"/>
      <c r="BA216" s="956"/>
      <c r="BB216" s="956"/>
      <c r="BC216" s="956"/>
      <c r="BD216" s="956"/>
      <c r="BE216" s="956"/>
      <c r="BF216" s="956"/>
      <c r="BG216" s="956"/>
      <c r="BH216" s="956"/>
      <c r="BI216" s="956"/>
      <c r="BJ216" s="956"/>
      <c r="BK216" s="956"/>
      <c r="BL216" s="956"/>
      <c r="BM216" s="956"/>
      <c r="BN216" s="956"/>
      <c r="BO216" s="956"/>
      <c r="BP216" s="956"/>
      <c r="BQ216" s="956"/>
      <c r="BR216" s="956"/>
      <c r="BS216" s="956"/>
      <c r="BT216" s="956"/>
      <c r="BU216" s="956">
        <f>CS214+CL214+CE214+BX214+BQ214</f>
        <v>560718</v>
      </c>
      <c r="BV216" s="956"/>
      <c r="BW216" s="956"/>
      <c r="BX216" s="956"/>
      <c r="BY216" s="956"/>
      <c r="BZ216" s="956"/>
      <c r="CA216" s="956"/>
      <c r="CB216" s="956"/>
      <c r="CC216" s="956"/>
      <c r="CD216" s="956"/>
      <c r="CE216" s="956"/>
      <c r="CF216" s="956"/>
      <c r="CG216" s="956"/>
      <c r="CH216" s="956"/>
      <c r="CI216" s="956"/>
      <c r="CJ216" s="956"/>
      <c r="CK216" s="956"/>
      <c r="CL216" s="956"/>
      <c r="CM216" s="956"/>
      <c r="CN216" s="956"/>
      <c r="CO216" s="956"/>
      <c r="CP216" s="956"/>
      <c r="CQ216" s="956"/>
      <c r="CR216" s="956"/>
      <c r="CS216" s="956"/>
      <c r="CT216" s="956"/>
      <c r="CU216" s="956"/>
      <c r="CV216" s="956"/>
      <c r="CW216" s="956"/>
      <c r="CX216" s="956"/>
      <c r="CY216" s="956"/>
      <c r="CZ216" s="957"/>
    </row>
    <row r="217" spans="1:104" s="762" customFormat="1" ht="9" customHeight="1" thickBot="1">
      <c r="A217" s="1045">
        <f>EDIFICACION!A557</f>
        <v>12.1</v>
      </c>
      <c r="B217" s="1118" t="str">
        <f>EDIFICACION!B557</f>
        <v>DISPENSADOR DE JABON</v>
      </c>
      <c r="C217" s="1045" t="str">
        <f>EDIFICACION!C557</f>
        <v>UN</v>
      </c>
      <c r="D217" s="942">
        <v>3</v>
      </c>
      <c r="E217" s="944">
        <f>EDIFICACION!F557</f>
        <v>214915</v>
      </c>
      <c r="F217" s="946">
        <f t="shared" ref="F217" si="12">E217*D217</f>
        <v>644745</v>
      </c>
      <c r="G217" s="989">
        <f>F217/F259</f>
        <v>1.9468404237912079E-3</v>
      </c>
      <c r="H217" s="1140"/>
      <c r="I217" s="990" t="s">
        <v>3429</v>
      </c>
      <c r="J217" s="961" t="s">
        <v>3406</v>
      </c>
      <c r="K217" s="961" t="s">
        <v>3406</v>
      </c>
      <c r="L217" s="806" t="s">
        <v>3318</v>
      </c>
      <c r="M217" s="964"/>
      <c r="N217" s="965"/>
      <c r="O217" s="965"/>
      <c r="P217" s="965"/>
      <c r="Q217" s="965"/>
      <c r="R217" s="965"/>
      <c r="S217" s="965"/>
      <c r="T217" s="965"/>
      <c r="U217" s="965"/>
      <c r="V217" s="965"/>
      <c r="W217" s="965"/>
      <c r="X217" s="965"/>
      <c r="Y217" s="965"/>
      <c r="Z217" s="965"/>
      <c r="AA217" s="966"/>
      <c r="AB217" s="965"/>
      <c r="AC217" s="965"/>
      <c r="AD217" s="965"/>
      <c r="AE217" s="965"/>
      <c r="AF217" s="965"/>
      <c r="AG217" s="965"/>
      <c r="AH217" s="965"/>
      <c r="AI217" s="965"/>
      <c r="AJ217" s="965"/>
      <c r="AK217" s="965"/>
      <c r="AL217" s="965"/>
      <c r="AM217" s="965"/>
      <c r="AN217" s="965"/>
      <c r="AO217" s="965"/>
      <c r="AP217" s="965"/>
      <c r="AQ217" s="965"/>
      <c r="AR217" s="965"/>
      <c r="AS217" s="965"/>
      <c r="AT217" s="965"/>
      <c r="AU217" s="965"/>
      <c r="AV217" s="965"/>
      <c r="AW217" s="965"/>
      <c r="AX217" s="965"/>
      <c r="AY217" s="965"/>
      <c r="AZ217" s="965"/>
      <c r="BA217" s="965"/>
      <c r="BB217" s="965"/>
      <c r="BC217" s="965"/>
      <c r="BD217" s="965"/>
      <c r="BE217" s="965"/>
      <c r="BF217" s="965"/>
      <c r="BG217" s="965"/>
      <c r="BH217" s="965"/>
      <c r="BI217" s="965"/>
      <c r="BJ217" s="965"/>
      <c r="BK217" s="965"/>
      <c r="BL217" s="965"/>
      <c r="BM217" s="965"/>
      <c r="BN217" s="965"/>
      <c r="BO217" s="965"/>
      <c r="BP217" s="965"/>
      <c r="BQ217" s="965"/>
      <c r="BR217" s="965"/>
      <c r="BS217" s="965"/>
      <c r="BT217" s="965"/>
      <c r="BU217" s="965"/>
      <c r="BV217" s="965"/>
      <c r="BW217" s="965"/>
      <c r="BX217" s="965"/>
      <c r="BY217" s="965"/>
      <c r="BZ217" s="965"/>
      <c r="CA217" s="965"/>
      <c r="CB217" s="965"/>
      <c r="CC217" s="965"/>
      <c r="CD217" s="965"/>
      <c r="CE217" s="965"/>
      <c r="CF217" s="965"/>
      <c r="CG217" s="965"/>
      <c r="CH217" s="965"/>
      <c r="CI217" s="965"/>
      <c r="CJ217" s="965"/>
      <c r="CK217" s="965"/>
      <c r="CL217" s="965"/>
      <c r="CM217" s="965"/>
      <c r="CN217" s="965"/>
      <c r="CO217" s="965"/>
      <c r="CP217" s="965"/>
      <c r="CQ217" s="965"/>
      <c r="CR217" s="965"/>
      <c r="CS217" s="999">
        <f>F217/CZ217*1</f>
        <v>644745</v>
      </c>
      <c r="CT217" s="999"/>
      <c r="CU217" s="999"/>
      <c r="CV217" s="999"/>
      <c r="CW217" s="999"/>
      <c r="CX217" s="999"/>
      <c r="CY217" s="999"/>
      <c r="CZ217" s="957">
        <v>1</v>
      </c>
    </row>
    <row r="218" spans="1:104" s="762" customFormat="1" ht="9" customHeight="1" thickBot="1">
      <c r="A218" s="1045"/>
      <c r="B218" s="1118"/>
      <c r="C218" s="1045"/>
      <c r="D218" s="942"/>
      <c r="E218" s="944"/>
      <c r="F218" s="946"/>
      <c r="G218" s="989"/>
      <c r="H218" s="1140"/>
      <c r="I218" s="990"/>
      <c r="J218" s="962"/>
      <c r="K218" s="962"/>
      <c r="L218" s="807" t="s">
        <v>3319</v>
      </c>
      <c r="M218" s="811">
        <v>1</v>
      </c>
      <c r="N218" s="810">
        <v>2</v>
      </c>
      <c r="O218" s="810">
        <v>3</v>
      </c>
      <c r="P218" s="810">
        <v>4</v>
      </c>
      <c r="Q218" s="810">
        <v>5</v>
      </c>
      <c r="R218" s="810">
        <v>6</v>
      </c>
      <c r="S218" s="810">
        <v>7</v>
      </c>
      <c r="T218" s="810">
        <v>1</v>
      </c>
      <c r="U218" s="810">
        <v>2</v>
      </c>
      <c r="V218" s="810">
        <v>3</v>
      </c>
      <c r="W218" s="810">
        <v>4</v>
      </c>
      <c r="X218" s="810">
        <v>5</v>
      </c>
      <c r="Y218" s="810">
        <v>6</v>
      </c>
      <c r="Z218" s="810">
        <v>7</v>
      </c>
      <c r="AA218" s="810">
        <v>1</v>
      </c>
      <c r="AB218" s="810">
        <v>2</v>
      </c>
      <c r="AC218" s="810">
        <v>3</v>
      </c>
      <c r="AD218" s="810">
        <v>4</v>
      </c>
      <c r="AE218" s="810">
        <v>5</v>
      </c>
      <c r="AF218" s="810">
        <v>6</v>
      </c>
      <c r="AG218" s="810">
        <v>7</v>
      </c>
      <c r="AH218" s="810">
        <v>1</v>
      </c>
      <c r="AI218" s="810">
        <v>2</v>
      </c>
      <c r="AJ218" s="810">
        <v>3</v>
      </c>
      <c r="AK218" s="810">
        <v>4</v>
      </c>
      <c r="AL218" s="810">
        <v>5</v>
      </c>
      <c r="AM218" s="810">
        <v>6</v>
      </c>
      <c r="AN218" s="810">
        <v>7</v>
      </c>
      <c r="AO218" s="810">
        <v>1</v>
      </c>
      <c r="AP218" s="810">
        <v>2</v>
      </c>
      <c r="AQ218" s="810">
        <v>3</v>
      </c>
      <c r="AR218" s="810">
        <v>4</v>
      </c>
      <c r="AS218" s="810">
        <v>5</v>
      </c>
      <c r="AT218" s="810">
        <v>6</v>
      </c>
      <c r="AU218" s="810">
        <v>7</v>
      </c>
      <c r="AV218" s="810">
        <v>1</v>
      </c>
      <c r="AW218" s="810">
        <v>2</v>
      </c>
      <c r="AX218" s="810">
        <v>3</v>
      </c>
      <c r="AY218" s="810">
        <v>4</v>
      </c>
      <c r="AZ218" s="810">
        <v>5</v>
      </c>
      <c r="BA218" s="810">
        <v>6</v>
      </c>
      <c r="BB218" s="810">
        <v>7</v>
      </c>
      <c r="BC218" s="810">
        <v>1</v>
      </c>
      <c r="BD218" s="810">
        <v>2</v>
      </c>
      <c r="BE218" s="810">
        <v>3</v>
      </c>
      <c r="BF218" s="810">
        <v>4</v>
      </c>
      <c r="BG218" s="810">
        <v>5</v>
      </c>
      <c r="BH218" s="810">
        <v>6</v>
      </c>
      <c r="BI218" s="810">
        <v>7</v>
      </c>
      <c r="BJ218" s="810">
        <v>1</v>
      </c>
      <c r="BK218" s="810">
        <v>2</v>
      </c>
      <c r="BL218" s="810">
        <v>3</v>
      </c>
      <c r="BM218" s="810">
        <v>4</v>
      </c>
      <c r="BN218" s="810">
        <v>5</v>
      </c>
      <c r="BO218" s="810">
        <v>6</v>
      </c>
      <c r="BP218" s="810">
        <v>7</v>
      </c>
      <c r="BQ218" s="810">
        <v>1</v>
      </c>
      <c r="BR218" s="810">
        <v>2</v>
      </c>
      <c r="BS218" s="810">
        <v>3</v>
      </c>
      <c r="BT218" s="810">
        <v>4</v>
      </c>
      <c r="BU218" s="810">
        <v>5</v>
      </c>
      <c r="BV218" s="810">
        <v>6</v>
      </c>
      <c r="BW218" s="810">
        <v>7</v>
      </c>
      <c r="BX218" s="810">
        <v>1</v>
      </c>
      <c r="BY218" s="810">
        <v>2</v>
      </c>
      <c r="BZ218" s="810">
        <v>3</v>
      </c>
      <c r="CA218" s="810">
        <v>4</v>
      </c>
      <c r="CB218" s="810">
        <v>5</v>
      </c>
      <c r="CC218" s="810">
        <v>6</v>
      </c>
      <c r="CD218" s="810">
        <v>7</v>
      </c>
      <c r="CE218" s="810">
        <v>1</v>
      </c>
      <c r="CF218" s="810">
        <v>2</v>
      </c>
      <c r="CG218" s="810">
        <v>3</v>
      </c>
      <c r="CH218" s="810">
        <v>4</v>
      </c>
      <c r="CI218" s="810">
        <v>5</v>
      </c>
      <c r="CJ218" s="810">
        <v>6</v>
      </c>
      <c r="CK218" s="810">
        <v>7</v>
      </c>
      <c r="CL218" s="810">
        <v>1</v>
      </c>
      <c r="CM218" s="810">
        <v>2</v>
      </c>
      <c r="CN218" s="810">
        <v>3</v>
      </c>
      <c r="CO218" s="810">
        <v>4</v>
      </c>
      <c r="CP218" s="810">
        <v>5</v>
      </c>
      <c r="CQ218" s="810">
        <v>6</v>
      </c>
      <c r="CR218" s="810">
        <v>7</v>
      </c>
      <c r="CS218" s="810">
        <v>1</v>
      </c>
      <c r="CT218" s="816">
        <v>2</v>
      </c>
      <c r="CU218" s="812">
        <v>3</v>
      </c>
      <c r="CV218" s="810">
        <v>4</v>
      </c>
      <c r="CW218" s="810">
        <v>5</v>
      </c>
      <c r="CX218" s="781">
        <v>6</v>
      </c>
      <c r="CY218" s="781">
        <v>7</v>
      </c>
      <c r="CZ218" s="957"/>
    </row>
    <row r="219" spans="1:104" s="762" customFormat="1" ht="9" customHeight="1" thickBot="1">
      <c r="A219" s="1045"/>
      <c r="B219" s="1118"/>
      <c r="C219" s="1045"/>
      <c r="D219" s="942"/>
      <c r="E219" s="944"/>
      <c r="F219" s="946"/>
      <c r="G219" s="989"/>
      <c r="H219" s="1140"/>
      <c r="I219" s="990"/>
      <c r="J219" s="963"/>
      <c r="K219" s="963"/>
      <c r="L219" s="808" t="s">
        <v>3320</v>
      </c>
      <c r="M219" s="955"/>
      <c r="N219" s="956"/>
      <c r="O219" s="956"/>
      <c r="P219" s="956"/>
      <c r="Q219" s="956"/>
      <c r="R219" s="956"/>
      <c r="S219" s="956"/>
      <c r="T219" s="956"/>
      <c r="U219" s="956"/>
      <c r="V219" s="956"/>
      <c r="W219" s="956"/>
      <c r="X219" s="956"/>
      <c r="Y219" s="956"/>
      <c r="Z219" s="956"/>
      <c r="AA219" s="956"/>
      <c r="AB219" s="956"/>
      <c r="AC219" s="956"/>
      <c r="AD219" s="956"/>
      <c r="AE219" s="956"/>
      <c r="AF219" s="956"/>
      <c r="AG219" s="956"/>
      <c r="AH219" s="956"/>
      <c r="AI219" s="956"/>
      <c r="AJ219" s="956"/>
      <c r="AK219" s="956"/>
      <c r="AL219" s="956"/>
      <c r="AM219" s="956"/>
      <c r="AN219" s="956"/>
      <c r="AO219" s="956"/>
      <c r="AP219" s="956"/>
      <c r="AQ219" s="956"/>
      <c r="AR219" s="956"/>
      <c r="AS219" s="956"/>
      <c r="AT219" s="956"/>
      <c r="AU219" s="956"/>
      <c r="AV219" s="956"/>
      <c r="AW219" s="956"/>
      <c r="AX219" s="956"/>
      <c r="AY219" s="956"/>
      <c r="AZ219" s="956"/>
      <c r="BA219" s="956"/>
      <c r="BB219" s="956"/>
      <c r="BC219" s="956"/>
      <c r="BD219" s="956"/>
      <c r="BE219" s="956"/>
      <c r="BF219" s="956"/>
      <c r="BG219" s="956"/>
      <c r="BH219" s="956"/>
      <c r="BI219" s="956"/>
      <c r="BJ219" s="956"/>
      <c r="BK219" s="956"/>
      <c r="BL219" s="956"/>
      <c r="BM219" s="956"/>
      <c r="BN219" s="956"/>
      <c r="BO219" s="956"/>
      <c r="BP219" s="956"/>
      <c r="BQ219" s="956"/>
      <c r="BR219" s="956"/>
      <c r="BS219" s="956"/>
      <c r="BT219" s="956"/>
      <c r="BU219" s="956">
        <f>CS217+CL217+CE217+BX217+BQ217</f>
        <v>644745</v>
      </c>
      <c r="BV219" s="956"/>
      <c r="BW219" s="956"/>
      <c r="BX219" s="956"/>
      <c r="BY219" s="956"/>
      <c r="BZ219" s="956"/>
      <c r="CA219" s="956"/>
      <c r="CB219" s="956"/>
      <c r="CC219" s="956"/>
      <c r="CD219" s="956"/>
      <c r="CE219" s="956"/>
      <c r="CF219" s="956"/>
      <c r="CG219" s="956"/>
      <c r="CH219" s="956"/>
      <c r="CI219" s="956"/>
      <c r="CJ219" s="956"/>
      <c r="CK219" s="956"/>
      <c r="CL219" s="956"/>
      <c r="CM219" s="956"/>
      <c r="CN219" s="956"/>
      <c r="CO219" s="956"/>
      <c r="CP219" s="956"/>
      <c r="CQ219" s="956"/>
      <c r="CR219" s="956"/>
      <c r="CS219" s="956"/>
      <c r="CT219" s="956"/>
      <c r="CU219" s="956"/>
      <c r="CV219" s="956"/>
      <c r="CW219" s="956"/>
      <c r="CX219" s="956"/>
      <c r="CY219" s="956"/>
      <c r="CZ219" s="957"/>
    </row>
    <row r="220" spans="1:104" s="762" customFormat="1" ht="12.75" customHeight="1" thickBot="1">
      <c r="A220" s="1045">
        <f>EDIFICACION!A563</f>
        <v>12.11</v>
      </c>
      <c r="B220" s="1119" t="str">
        <f>EDIFICACION!B563</f>
        <v>BARRAS DE SEGURIDAD, PARA MINUSVALIDOS LONG. .75MT, ACABADO CRMADO EN ACERO INOXIDABLE, INCLUYE BARRA ABATIBLE DE 800MM Y BARRA RECTA DE 600MM</v>
      </c>
      <c r="C220" s="1045" t="str">
        <f>EDIFICACION!C563</f>
        <v>UN</v>
      </c>
      <c r="D220" s="942">
        <v>1</v>
      </c>
      <c r="E220" s="944">
        <f>EDIFICACION!F563</f>
        <v>445674</v>
      </c>
      <c r="F220" s="946">
        <f t="shared" ref="F220" si="13">E220*D220</f>
        <v>445674</v>
      </c>
      <c r="G220" s="989">
        <f>F220/F259</f>
        <v>1.3457353822561211E-3</v>
      </c>
      <c r="H220" s="1140"/>
      <c r="I220" s="990" t="s">
        <v>3340</v>
      </c>
      <c r="J220" s="961" t="s">
        <v>3406</v>
      </c>
      <c r="K220" s="961" t="s">
        <v>3408</v>
      </c>
      <c r="L220" s="806" t="s">
        <v>3318</v>
      </c>
      <c r="M220" s="964"/>
      <c r="N220" s="965"/>
      <c r="O220" s="965"/>
      <c r="P220" s="965"/>
      <c r="Q220" s="965"/>
      <c r="R220" s="965"/>
      <c r="S220" s="965"/>
      <c r="T220" s="965"/>
      <c r="U220" s="965"/>
      <c r="V220" s="965"/>
      <c r="W220" s="965"/>
      <c r="X220" s="965"/>
      <c r="Y220" s="965"/>
      <c r="Z220" s="965"/>
      <c r="AA220" s="966"/>
      <c r="AB220" s="965"/>
      <c r="AC220" s="965"/>
      <c r="AD220" s="965"/>
      <c r="AE220" s="965"/>
      <c r="AF220" s="965"/>
      <c r="AG220" s="965"/>
      <c r="AH220" s="965"/>
      <c r="AI220" s="965"/>
      <c r="AJ220" s="965"/>
      <c r="AK220" s="965"/>
      <c r="AL220" s="965"/>
      <c r="AM220" s="965"/>
      <c r="AN220" s="965"/>
      <c r="AO220" s="965"/>
      <c r="AP220" s="965"/>
      <c r="AQ220" s="965"/>
      <c r="AR220" s="965"/>
      <c r="AS220" s="965"/>
      <c r="AT220" s="965"/>
      <c r="AU220" s="965"/>
      <c r="AV220" s="965"/>
      <c r="AW220" s="965"/>
      <c r="AX220" s="965"/>
      <c r="AY220" s="965"/>
      <c r="AZ220" s="965"/>
      <c r="BA220" s="965"/>
      <c r="BB220" s="965"/>
      <c r="BC220" s="965"/>
      <c r="BD220" s="965"/>
      <c r="BE220" s="965"/>
      <c r="BF220" s="965"/>
      <c r="BG220" s="965"/>
      <c r="BH220" s="965"/>
      <c r="BI220" s="965"/>
      <c r="BJ220" s="965"/>
      <c r="BK220" s="965"/>
      <c r="BL220" s="965"/>
      <c r="BM220" s="965"/>
      <c r="BN220" s="965"/>
      <c r="BO220" s="965"/>
      <c r="BP220" s="965"/>
      <c r="BQ220" s="965"/>
      <c r="BR220" s="965"/>
      <c r="BS220" s="965"/>
      <c r="BT220" s="965"/>
      <c r="BU220" s="965"/>
      <c r="BV220" s="965"/>
      <c r="BW220" s="965"/>
      <c r="BX220" s="965"/>
      <c r="BY220" s="965"/>
      <c r="BZ220" s="965"/>
      <c r="CA220" s="965"/>
      <c r="CB220" s="965"/>
      <c r="CC220" s="965"/>
      <c r="CD220" s="965"/>
      <c r="CE220" s="965"/>
      <c r="CF220" s="965"/>
      <c r="CG220" s="965"/>
      <c r="CH220" s="965"/>
      <c r="CI220" s="965"/>
      <c r="CJ220" s="965"/>
      <c r="CK220" s="965"/>
      <c r="CL220" s="965"/>
      <c r="CM220" s="965"/>
      <c r="CN220" s="965"/>
      <c r="CO220" s="965"/>
      <c r="CP220" s="965"/>
      <c r="CQ220" s="965"/>
      <c r="CR220" s="965"/>
      <c r="CS220" s="999">
        <f>F220/CZ220*2</f>
        <v>445674</v>
      </c>
      <c r="CT220" s="999"/>
      <c r="CU220" s="999"/>
      <c r="CV220" s="999"/>
      <c r="CW220" s="999"/>
      <c r="CX220" s="999"/>
      <c r="CY220" s="999"/>
      <c r="CZ220" s="957">
        <v>2</v>
      </c>
    </row>
    <row r="221" spans="1:104" s="762" customFormat="1" ht="12.75" customHeight="1" thickBot="1">
      <c r="A221" s="1045"/>
      <c r="B221" s="1119"/>
      <c r="C221" s="1045"/>
      <c r="D221" s="942"/>
      <c r="E221" s="944"/>
      <c r="F221" s="946"/>
      <c r="G221" s="989"/>
      <c r="H221" s="1140"/>
      <c r="I221" s="990"/>
      <c r="J221" s="962"/>
      <c r="K221" s="962"/>
      <c r="L221" s="807" t="s">
        <v>3319</v>
      </c>
      <c r="M221" s="811">
        <v>1</v>
      </c>
      <c r="N221" s="810">
        <v>2</v>
      </c>
      <c r="O221" s="810">
        <v>3</v>
      </c>
      <c r="P221" s="810">
        <v>4</v>
      </c>
      <c r="Q221" s="810">
        <v>5</v>
      </c>
      <c r="R221" s="810">
        <v>6</v>
      </c>
      <c r="S221" s="810">
        <v>7</v>
      </c>
      <c r="T221" s="810">
        <v>1</v>
      </c>
      <c r="U221" s="810">
        <v>2</v>
      </c>
      <c r="V221" s="810">
        <v>3</v>
      </c>
      <c r="W221" s="810">
        <v>4</v>
      </c>
      <c r="X221" s="810">
        <v>5</v>
      </c>
      <c r="Y221" s="810">
        <v>6</v>
      </c>
      <c r="Z221" s="810">
        <v>7</v>
      </c>
      <c r="AA221" s="810">
        <v>1</v>
      </c>
      <c r="AB221" s="810">
        <v>2</v>
      </c>
      <c r="AC221" s="810">
        <v>3</v>
      </c>
      <c r="AD221" s="810">
        <v>4</v>
      </c>
      <c r="AE221" s="810">
        <v>5</v>
      </c>
      <c r="AF221" s="810">
        <v>6</v>
      </c>
      <c r="AG221" s="810">
        <v>7</v>
      </c>
      <c r="AH221" s="810">
        <v>1</v>
      </c>
      <c r="AI221" s="810">
        <v>2</v>
      </c>
      <c r="AJ221" s="810">
        <v>3</v>
      </c>
      <c r="AK221" s="810">
        <v>4</v>
      </c>
      <c r="AL221" s="810">
        <v>5</v>
      </c>
      <c r="AM221" s="810">
        <v>6</v>
      </c>
      <c r="AN221" s="810">
        <v>7</v>
      </c>
      <c r="AO221" s="810">
        <v>1</v>
      </c>
      <c r="AP221" s="810">
        <v>2</v>
      </c>
      <c r="AQ221" s="810">
        <v>3</v>
      </c>
      <c r="AR221" s="810">
        <v>4</v>
      </c>
      <c r="AS221" s="810">
        <v>5</v>
      </c>
      <c r="AT221" s="810">
        <v>6</v>
      </c>
      <c r="AU221" s="810">
        <v>7</v>
      </c>
      <c r="AV221" s="810">
        <v>1</v>
      </c>
      <c r="AW221" s="810">
        <v>2</v>
      </c>
      <c r="AX221" s="810">
        <v>3</v>
      </c>
      <c r="AY221" s="810">
        <v>4</v>
      </c>
      <c r="AZ221" s="810">
        <v>5</v>
      </c>
      <c r="BA221" s="810">
        <v>6</v>
      </c>
      <c r="BB221" s="810">
        <v>7</v>
      </c>
      <c r="BC221" s="810">
        <v>1</v>
      </c>
      <c r="BD221" s="810">
        <v>2</v>
      </c>
      <c r="BE221" s="810">
        <v>3</v>
      </c>
      <c r="BF221" s="810">
        <v>4</v>
      </c>
      <c r="BG221" s="810">
        <v>5</v>
      </c>
      <c r="BH221" s="810">
        <v>6</v>
      </c>
      <c r="BI221" s="810">
        <v>7</v>
      </c>
      <c r="BJ221" s="810">
        <v>1</v>
      </c>
      <c r="BK221" s="810">
        <v>2</v>
      </c>
      <c r="BL221" s="810">
        <v>3</v>
      </c>
      <c r="BM221" s="810">
        <v>4</v>
      </c>
      <c r="BN221" s="810">
        <v>5</v>
      </c>
      <c r="BO221" s="810">
        <v>6</v>
      </c>
      <c r="BP221" s="810">
        <v>7</v>
      </c>
      <c r="BQ221" s="810">
        <v>1</v>
      </c>
      <c r="BR221" s="810">
        <v>2</v>
      </c>
      <c r="BS221" s="810">
        <v>3</v>
      </c>
      <c r="BT221" s="810">
        <v>4</v>
      </c>
      <c r="BU221" s="810">
        <v>5</v>
      </c>
      <c r="BV221" s="810">
        <v>6</v>
      </c>
      <c r="BW221" s="810">
        <v>7</v>
      </c>
      <c r="BX221" s="810">
        <v>1</v>
      </c>
      <c r="BY221" s="810">
        <v>2</v>
      </c>
      <c r="BZ221" s="810">
        <v>3</v>
      </c>
      <c r="CA221" s="810">
        <v>4</v>
      </c>
      <c r="CB221" s="810">
        <v>5</v>
      </c>
      <c r="CC221" s="810">
        <v>6</v>
      </c>
      <c r="CD221" s="810">
        <v>7</v>
      </c>
      <c r="CE221" s="810">
        <v>1</v>
      </c>
      <c r="CF221" s="810">
        <v>2</v>
      </c>
      <c r="CG221" s="810">
        <v>3</v>
      </c>
      <c r="CH221" s="810">
        <v>4</v>
      </c>
      <c r="CI221" s="810">
        <v>5</v>
      </c>
      <c r="CJ221" s="810">
        <v>6</v>
      </c>
      <c r="CK221" s="810">
        <v>7</v>
      </c>
      <c r="CL221" s="810">
        <v>1</v>
      </c>
      <c r="CM221" s="810">
        <v>2</v>
      </c>
      <c r="CN221" s="810">
        <v>3</v>
      </c>
      <c r="CO221" s="810">
        <v>4</v>
      </c>
      <c r="CP221" s="810">
        <v>5</v>
      </c>
      <c r="CQ221" s="810">
        <v>6</v>
      </c>
      <c r="CR221" s="810">
        <v>7</v>
      </c>
      <c r="CS221" s="810">
        <v>1</v>
      </c>
      <c r="CT221" s="812">
        <v>2</v>
      </c>
      <c r="CU221" s="812">
        <v>3</v>
      </c>
      <c r="CV221" s="810">
        <v>4</v>
      </c>
      <c r="CW221" s="810">
        <v>5</v>
      </c>
      <c r="CX221" s="781">
        <v>6</v>
      </c>
      <c r="CY221" s="781">
        <v>7</v>
      </c>
      <c r="CZ221" s="957"/>
    </row>
    <row r="222" spans="1:104" s="762" customFormat="1" ht="12.75" customHeight="1" thickBot="1">
      <c r="A222" s="1045"/>
      <c r="B222" s="1119"/>
      <c r="C222" s="1045"/>
      <c r="D222" s="942"/>
      <c r="E222" s="944"/>
      <c r="F222" s="946"/>
      <c r="G222" s="989"/>
      <c r="H222" s="1140"/>
      <c r="I222" s="990"/>
      <c r="J222" s="963"/>
      <c r="K222" s="963"/>
      <c r="L222" s="808" t="s">
        <v>3320</v>
      </c>
      <c r="M222" s="955"/>
      <c r="N222" s="956"/>
      <c r="O222" s="956"/>
      <c r="P222" s="956"/>
      <c r="Q222" s="956"/>
      <c r="R222" s="956"/>
      <c r="S222" s="956"/>
      <c r="T222" s="956"/>
      <c r="U222" s="956"/>
      <c r="V222" s="956"/>
      <c r="W222" s="956"/>
      <c r="X222" s="956"/>
      <c r="Y222" s="956"/>
      <c r="Z222" s="956"/>
      <c r="AA222" s="956"/>
      <c r="AB222" s="956"/>
      <c r="AC222" s="956"/>
      <c r="AD222" s="956"/>
      <c r="AE222" s="956"/>
      <c r="AF222" s="956"/>
      <c r="AG222" s="956"/>
      <c r="AH222" s="956"/>
      <c r="AI222" s="956"/>
      <c r="AJ222" s="956"/>
      <c r="AK222" s="956"/>
      <c r="AL222" s="956"/>
      <c r="AM222" s="956"/>
      <c r="AN222" s="956"/>
      <c r="AO222" s="956"/>
      <c r="AP222" s="956"/>
      <c r="AQ222" s="956"/>
      <c r="AR222" s="956"/>
      <c r="AS222" s="956"/>
      <c r="AT222" s="956"/>
      <c r="AU222" s="956"/>
      <c r="AV222" s="956"/>
      <c r="AW222" s="956"/>
      <c r="AX222" s="956"/>
      <c r="AY222" s="956"/>
      <c r="AZ222" s="956"/>
      <c r="BA222" s="956"/>
      <c r="BB222" s="956"/>
      <c r="BC222" s="956"/>
      <c r="BD222" s="956"/>
      <c r="BE222" s="956"/>
      <c r="BF222" s="956"/>
      <c r="BG222" s="956"/>
      <c r="BH222" s="956"/>
      <c r="BI222" s="956"/>
      <c r="BJ222" s="956"/>
      <c r="BK222" s="956"/>
      <c r="BL222" s="956"/>
      <c r="BM222" s="956"/>
      <c r="BN222" s="956"/>
      <c r="BO222" s="956"/>
      <c r="BP222" s="956"/>
      <c r="BQ222" s="956"/>
      <c r="BR222" s="956"/>
      <c r="BS222" s="956"/>
      <c r="BT222" s="956"/>
      <c r="BU222" s="956">
        <f>CS220+CL220+CE220+BX220+BQ220</f>
        <v>445674</v>
      </c>
      <c r="BV222" s="956"/>
      <c r="BW222" s="956"/>
      <c r="BX222" s="956"/>
      <c r="BY222" s="956"/>
      <c r="BZ222" s="956"/>
      <c r="CA222" s="956"/>
      <c r="CB222" s="956"/>
      <c r="CC222" s="956"/>
      <c r="CD222" s="956"/>
      <c r="CE222" s="956"/>
      <c r="CF222" s="956"/>
      <c r="CG222" s="956"/>
      <c r="CH222" s="956"/>
      <c r="CI222" s="956"/>
      <c r="CJ222" s="956"/>
      <c r="CK222" s="956"/>
      <c r="CL222" s="956"/>
      <c r="CM222" s="956"/>
      <c r="CN222" s="956"/>
      <c r="CO222" s="956"/>
      <c r="CP222" s="956"/>
      <c r="CQ222" s="956"/>
      <c r="CR222" s="956"/>
      <c r="CS222" s="956"/>
      <c r="CT222" s="956"/>
      <c r="CU222" s="956"/>
      <c r="CV222" s="956"/>
      <c r="CW222" s="956"/>
      <c r="CX222" s="956"/>
      <c r="CY222" s="956"/>
      <c r="CZ222" s="957"/>
    </row>
    <row r="223" spans="1:104" s="762" customFormat="1" ht="8.1" customHeight="1" thickBot="1">
      <c r="A223" s="1045">
        <f>EDIFICACION!A571</f>
        <v>12.12</v>
      </c>
      <c r="B223" s="940" t="str">
        <f>EDIFICACION!B571</f>
        <v>REJILLA C/SOSCO 3 X 2 BRONCE ANTICUCARA</v>
      </c>
      <c r="C223" s="1008" t="str">
        <f>EDIFICACION!C571</f>
        <v>UN</v>
      </c>
      <c r="D223" s="942">
        <v>12</v>
      </c>
      <c r="E223" s="944">
        <f>EDIFICACION!F571</f>
        <v>34602</v>
      </c>
      <c r="F223" s="946">
        <f t="shared" si="8"/>
        <v>415224</v>
      </c>
      <c r="G223" s="989">
        <f>F223/F259</f>
        <v>1.2537900536309403E-3</v>
      </c>
      <c r="H223" s="1140"/>
      <c r="I223" s="1117" t="s">
        <v>3429</v>
      </c>
      <c r="J223" s="985" t="s">
        <v>3407</v>
      </c>
      <c r="K223" s="985" t="s">
        <v>3407</v>
      </c>
      <c r="L223" s="806" t="s">
        <v>3318</v>
      </c>
      <c r="M223" s="988"/>
      <c r="N223" s="952"/>
      <c r="O223" s="952"/>
      <c r="P223" s="952"/>
      <c r="Q223" s="952"/>
      <c r="R223" s="952"/>
      <c r="S223" s="952"/>
      <c r="T223" s="952"/>
      <c r="U223" s="952"/>
      <c r="V223" s="952"/>
      <c r="W223" s="952"/>
      <c r="X223" s="952"/>
      <c r="Y223" s="952"/>
      <c r="Z223" s="952"/>
      <c r="AA223" s="1007"/>
      <c r="AB223" s="952"/>
      <c r="AC223" s="952"/>
      <c r="AD223" s="952"/>
      <c r="AE223" s="952"/>
      <c r="AF223" s="952"/>
      <c r="AG223" s="952"/>
      <c r="AH223" s="952"/>
      <c r="AI223" s="952"/>
      <c r="AJ223" s="952"/>
      <c r="AK223" s="952"/>
      <c r="AL223" s="952"/>
      <c r="AM223" s="952"/>
      <c r="AN223" s="952"/>
      <c r="AO223" s="952"/>
      <c r="AP223" s="952"/>
      <c r="AQ223" s="952"/>
      <c r="AR223" s="952"/>
      <c r="AS223" s="952"/>
      <c r="AT223" s="952"/>
      <c r="AU223" s="952"/>
      <c r="AV223" s="952"/>
      <c r="AW223" s="952"/>
      <c r="AX223" s="952"/>
      <c r="AY223" s="952"/>
      <c r="AZ223" s="952"/>
      <c r="BA223" s="952"/>
      <c r="BB223" s="952"/>
      <c r="BC223" s="952"/>
      <c r="BD223" s="952"/>
      <c r="BE223" s="952"/>
      <c r="BF223" s="952"/>
      <c r="BG223" s="952"/>
      <c r="BH223" s="952"/>
      <c r="BI223" s="952"/>
      <c r="BJ223" s="952"/>
      <c r="BK223" s="952"/>
      <c r="BL223" s="952"/>
      <c r="BM223" s="952"/>
      <c r="BN223" s="952"/>
      <c r="BO223" s="952"/>
      <c r="BP223" s="952"/>
      <c r="BQ223" s="952"/>
      <c r="BR223" s="952"/>
      <c r="BS223" s="952"/>
      <c r="BT223" s="952"/>
      <c r="BU223" s="952"/>
      <c r="BV223" s="952"/>
      <c r="BW223" s="952"/>
      <c r="BX223" s="952"/>
      <c r="BY223" s="952"/>
      <c r="BZ223" s="952"/>
      <c r="CA223" s="952"/>
      <c r="CB223" s="952"/>
      <c r="CC223" s="952"/>
      <c r="CD223" s="952"/>
      <c r="CE223" s="952"/>
      <c r="CF223" s="952"/>
      <c r="CG223" s="952"/>
      <c r="CH223" s="952"/>
      <c r="CI223" s="952"/>
      <c r="CJ223" s="952"/>
      <c r="CK223" s="952"/>
      <c r="CL223" s="1120">
        <f>F223/CZ223*CL224</f>
        <v>415224</v>
      </c>
      <c r="CM223" s="1120"/>
      <c r="CN223" s="1120"/>
      <c r="CO223" s="1120"/>
      <c r="CP223" s="1120"/>
      <c r="CQ223" s="1120"/>
      <c r="CR223" s="1120"/>
      <c r="CS223" s="952"/>
      <c r="CT223" s="952"/>
      <c r="CU223" s="952"/>
      <c r="CV223" s="952"/>
      <c r="CW223" s="952"/>
      <c r="CX223" s="952"/>
      <c r="CY223" s="952"/>
      <c r="CZ223" s="953">
        <v>1</v>
      </c>
    </row>
    <row r="224" spans="1:104" s="762" customFormat="1" ht="8.1" customHeight="1" thickBot="1">
      <c r="A224" s="1045"/>
      <c r="B224" s="940"/>
      <c r="C224" s="1008"/>
      <c r="D224" s="942"/>
      <c r="E224" s="944"/>
      <c r="F224" s="946"/>
      <c r="G224" s="989"/>
      <c r="H224" s="1140"/>
      <c r="I224" s="1117"/>
      <c r="J224" s="986"/>
      <c r="K224" s="986"/>
      <c r="L224" s="807" t="s">
        <v>3319</v>
      </c>
      <c r="M224" s="811">
        <v>1</v>
      </c>
      <c r="N224" s="810">
        <v>2</v>
      </c>
      <c r="O224" s="810">
        <v>3</v>
      </c>
      <c r="P224" s="810">
        <v>4</v>
      </c>
      <c r="Q224" s="810">
        <v>5</v>
      </c>
      <c r="R224" s="810">
        <v>6</v>
      </c>
      <c r="S224" s="810">
        <v>7</v>
      </c>
      <c r="T224" s="810">
        <v>1</v>
      </c>
      <c r="U224" s="810">
        <v>2</v>
      </c>
      <c r="V224" s="810">
        <v>3</v>
      </c>
      <c r="W224" s="810">
        <v>4</v>
      </c>
      <c r="X224" s="810">
        <v>5</v>
      </c>
      <c r="Y224" s="810">
        <v>6</v>
      </c>
      <c r="Z224" s="810">
        <v>7</v>
      </c>
      <c r="AA224" s="810">
        <v>1</v>
      </c>
      <c r="AB224" s="810">
        <v>2</v>
      </c>
      <c r="AC224" s="810">
        <v>3</v>
      </c>
      <c r="AD224" s="810">
        <v>4</v>
      </c>
      <c r="AE224" s="810">
        <v>5</v>
      </c>
      <c r="AF224" s="810">
        <v>6</v>
      </c>
      <c r="AG224" s="810">
        <v>7</v>
      </c>
      <c r="AH224" s="810">
        <v>1</v>
      </c>
      <c r="AI224" s="810">
        <v>2</v>
      </c>
      <c r="AJ224" s="810">
        <v>3</v>
      </c>
      <c r="AK224" s="810">
        <v>4</v>
      </c>
      <c r="AL224" s="810">
        <v>5</v>
      </c>
      <c r="AM224" s="810">
        <v>6</v>
      </c>
      <c r="AN224" s="810">
        <v>7</v>
      </c>
      <c r="AO224" s="810">
        <v>1</v>
      </c>
      <c r="AP224" s="810">
        <v>2</v>
      </c>
      <c r="AQ224" s="810">
        <v>3</v>
      </c>
      <c r="AR224" s="810">
        <v>4</v>
      </c>
      <c r="AS224" s="810">
        <v>5</v>
      </c>
      <c r="AT224" s="810">
        <v>6</v>
      </c>
      <c r="AU224" s="810">
        <v>7</v>
      </c>
      <c r="AV224" s="810">
        <v>1</v>
      </c>
      <c r="AW224" s="810">
        <v>2</v>
      </c>
      <c r="AX224" s="810">
        <v>3</v>
      </c>
      <c r="AY224" s="810">
        <v>4</v>
      </c>
      <c r="AZ224" s="810">
        <v>5</v>
      </c>
      <c r="BA224" s="810">
        <v>6</v>
      </c>
      <c r="BB224" s="810">
        <v>7</v>
      </c>
      <c r="BC224" s="810">
        <v>1</v>
      </c>
      <c r="BD224" s="810">
        <v>2</v>
      </c>
      <c r="BE224" s="810">
        <v>3</v>
      </c>
      <c r="BF224" s="810">
        <v>4</v>
      </c>
      <c r="BG224" s="810">
        <v>5</v>
      </c>
      <c r="BH224" s="810">
        <v>6</v>
      </c>
      <c r="BI224" s="810">
        <v>7</v>
      </c>
      <c r="BJ224" s="810">
        <v>1</v>
      </c>
      <c r="BK224" s="810">
        <v>2</v>
      </c>
      <c r="BL224" s="810">
        <v>3</v>
      </c>
      <c r="BM224" s="810">
        <v>4</v>
      </c>
      <c r="BN224" s="810">
        <v>5</v>
      </c>
      <c r="BO224" s="810">
        <v>6</v>
      </c>
      <c r="BP224" s="810">
        <v>7</v>
      </c>
      <c r="BQ224" s="810">
        <v>1</v>
      </c>
      <c r="BR224" s="810">
        <v>2</v>
      </c>
      <c r="BS224" s="810">
        <v>3</v>
      </c>
      <c r="BT224" s="810">
        <v>4</v>
      </c>
      <c r="BU224" s="810">
        <v>5</v>
      </c>
      <c r="BV224" s="810">
        <v>6</v>
      </c>
      <c r="BW224" s="810">
        <v>7</v>
      </c>
      <c r="BX224" s="810">
        <v>1</v>
      </c>
      <c r="BY224" s="810">
        <v>2</v>
      </c>
      <c r="BZ224" s="810">
        <v>3</v>
      </c>
      <c r="CA224" s="810">
        <v>4</v>
      </c>
      <c r="CB224" s="810">
        <v>5</v>
      </c>
      <c r="CC224" s="810">
        <v>6</v>
      </c>
      <c r="CD224" s="810">
        <v>7</v>
      </c>
      <c r="CE224" s="810">
        <v>1</v>
      </c>
      <c r="CF224" s="810">
        <v>2</v>
      </c>
      <c r="CG224" s="810">
        <v>3</v>
      </c>
      <c r="CH224" s="810">
        <v>4</v>
      </c>
      <c r="CI224" s="810">
        <v>5</v>
      </c>
      <c r="CJ224" s="810">
        <v>6</v>
      </c>
      <c r="CK224" s="810">
        <v>7</v>
      </c>
      <c r="CL224" s="810">
        <v>1</v>
      </c>
      <c r="CM224" s="810">
        <v>2</v>
      </c>
      <c r="CN224" s="810">
        <v>3</v>
      </c>
      <c r="CO224" s="810">
        <v>4</v>
      </c>
      <c r="CP224" s="810">
        <v>5</v>
      </c>
      <c r="CQ224" s="810">
        <v>6</v>
      </c>
      <c r="CR224" s="812">
        <v>7</v>
      </c>
      <c r="CS224" s="810">
        <v>1</v>
      </c>
      <c r="CT224" s="810">
        <v>2</v>
      </c>
      <c r="CU224" s="810">
        <v>3</v>
      </c>
      <c r="CV224" s="810">
        <v>4</v>
      </c>
      <c r="CW224" s="810">
        <v>5</v>
      </c>
      <c r="CX224" s="781">
        <v>6</v>
      </c>
      <c r="CY224" s="781">
        <v>7</v>
      </c>
      <c r="CZ224" s="954"/>
    </row>
    <row r="225" spans="1:104" s="762" customFormat="1" ht="8.1" customHeight="1" thickBot="1">
      <c r="A225" s="1045"/>
      <c r="B225" s="940"/>
      <c r="C225" s="1008"/>
      <c r="D225" s="942"/>
      <c r="E225" s="944"/>
      <c r="F225" s="946"/>
      <c r="G225" s="989"/>
      <c r="H225" s="1140"/>
      <c r="I225" s="1117"/>
      <c r="J225" s="987"/>
      <c r="K225" s="987"/>
      <c r="L225" s="808" t="s">
        <v>3320</v>
      </c>
      <c r="M225" s="955"/>
      <c r="N225" s="956"/>
      <c r="O225" s="956"/>
      <c r="P225" s="956"/>
      <c r="Q225" s="956"/>
      <c r="R225" s="956"/>
      <c r="S225" s="956"/>
      <c r="T225" s="956"/>
      <c r="U225" s="956"/>
      <c r="V225" s="956"/>
      <c r="W225" s="956"/>
      <c r="X225" s="956"/>
      <c r="Y225" s="956"/>
      <c r="Z225" s="956"/>
      <c r="AA225" s="956"/>
      <c r="AB225" s="956"/>
      <c r="AC225" s="956"/>
      <c r="AD225" s="956"/>
      <c r="AE225" s="956"/>
      <c r="AF225" s="956"/>
      <c r="AG225" s="956"/>
      <c r="AH225" s="956"/>
      <c r="AI225" s="956"/>
      <c r="AJ225" s="956"/>
      <c r="AK225" s="956"/>
      <c r="AL225" s="956"/>
      <c r="AM225" s="956"/>
      <c r="AN225" s="956"/>
      <c r="AO225" s="956"/>
      <c r="AP225" s="956"/>
      <c r="AQ225" s="956"/>
      <c r="AR225" s="956"/>
      <c r="AS225" s="956"/>
      <c r="AT225" s="956"/>
      <c r="AU225" s="956"/>
      <c r="AV225" s="956"/>
      <c r="AW225" s="956"/>
      <c r="AX225" s="956"/>
      <c r="AY225" s="956"/>
      <c r="AZ225" s="956"/>
      <c r="BA225" s="956"/>
      <c r="BB225" s="956"/>
      <c r="BC225" s="956"/>
      <c r="BD225" s="956"/>
      <c r="BE225" s="956"/>
      <c r="BF225" s="956"/>
      <c r="BG225" s="956"/>
      <c r="BH225" s="956"/>
      <c r="BI225" s="956"/>
      <c r="BJ225" s="956"/>
      <c r="BK225" s="956"/>
      <c r="BL225" s="956"/>
      <c r="BM225" s="956"/>
      <c r="BN225" s="956"/>
      <c r="BO225" s="956"/>
      <c r="BP225" s="956"/>
      <c r="BQ225" s="956"/>
      <c r="BR225" s="956"/>
      <c r="BS225" s="956"/>
      <c r="BT225" s="956"/>
      <c r="BU225" s="956">
        <f>CS223+CL223+CE223+BX223+BQ223</f>
        <v>415224</v>
      </c>
      <c r="BV225" s="956"/>
      <c r="BW225" s="956"/>
      <c r="BX225" s="956"/>
      <c r="BY225" s="956"/>
      <c r="BZ225" s="956"/>
      <c r="CA225" s="956"/>
      <c r="CB225" s="956"/>
      <c r="CC225" s="956"/>
      <c r="CD225" s="956"/>
      <c r="CE225" s="956"/>
      <c r="CF225" s="956"/>
      <c r="CG225" s="956"/>
      <c r="CH225" s="956"/>
      <c r="CI225" s="956"/>
      <c r="CJ225" s="956"/>
      <c r="CK225" s="956"/>
      <c r="CL225" s="956"/>
      <c r="CM225" s="956"/>
      <c r="CN225" s="956"/>
      <c r="CO225" s="956"/>
      <c r="CP225" s="956"/>
      <c r="CQ225" s="956"/>
      <c r="CR225" s="956"/>
      <c r="CS225" s="956"/>
      <c r="CT225" s="956"/>
      <c r="CU225" s="956"/>
      <c r="CV225" s="956"/>
      <c r="CW225" s="956"/>
      <c r="CX225" s="956"/>
      <c r="CY225" s="956"/>
      <c r="CZ225" s="954"/>
    </row>
    <row r="226" spans="1:104" s="762" customFormat="1" ht="13.5" thickBot="1">
      <c r="A226" s="1045">
        <f>EDIFICACION!A578</f>
        <v>12.13</v>
      </c>
      <c r="B226" s="940" t="str">
        <f>EDIFICACION!B578</f>
        <v>TANQUE PLASTICO PARA RESERVA DE AGUA 1.000LT-INCL. ACCESORIOS NECESARIOS PARA SU INSTALACION Y FUNCIONAMIENTO</v>
      </c>
      <c r="C226" s="1008" t="str">
        <f>EDIFICACION!C578</f>
        <v>UN</v>
      </c>
      <c r="D226" s="942">
        <v>3</v>
      </c>
      <c r="E226" s="944">
        <f>EDIFICACION!F578</f>
        <v>1083911</v>
      </c>
      <c r="F226" s="946">
        <f t="shared" si="8"/>
        <v>3251733</v>
      </c>
      <c r="G226" s="989">
        <f>F226/F259</f>
        <v>9.8187737039850728E-3</v>
      </c>
      <c r="H226" s="1140"/>
      <c r="I226" s="1117" t="s">
        <v>3340</v>
      </c>
      <c r="J226" s="985" t="s">
        <v>3408</v>
      </c>
      <c r="K226" s="985" t="s">
        <v>3409</v>
      </c>
      <c r="L226" s="806" t="s">
        <v>3318</v>
      </c>
      <c r="M226" s="1005"/>
      <c r="N226" s="952"/>
      <c r="O226" s="952"/>
      <c r="P226" s="952"/>
      <c r="Q226" s="952"/>
      <c r="R226" s="952"/>
      <c r="S226" s="952"/>
      <c r="T226" s="952"/>
      <c r="U226" s="952"/>
      <c r="V226" s="952"/>
      <c r="W226" s="952"/>
      <c r="X226" s="952"/>
      <c r="Y226" s="952"/>
      <c r="Z226" s="952"/>
      <c r="AA226" s="952"/>
      <c r="AB226" s="952"/>
      <c r="AC226" s="952"/>
      <c r="AD226" s="952"/>
      <c r="AE226" s="952"/>
      <c r="AF226" s="952"/>
      <c r="AG226" s="952"/>
      <c r="AH226" s="952"/>
      <c r="AI226" s="952"/>
      <c r="AJ226" s="952"/>
      <c r="AK226" s="952"/>
      <c r="AL226" s="952"/>
      <c r="AM226" s="952"/>
      <c r="AN226" s="952"/>
      <c r="AO226" s="952"/>
      <c r="AP226" s="952"/>
      <c r="AQ226" s="952"/>
      <c r="AR226" s="952"/>
      <c r="AS226" s="952"/>
      <c r="AT226" s="952"/>
      <c r="AU226" s="952"/>
      <c r="AV226" s="952"/>
      <c r="AW226" s="952"/>
      <c r="AX226" s="952"/>
      <c r="AY226" s="952"/>
      <c r="AZ226" s="952"/>
      <c r="BA226" s="952"/>
      <c r="BB226" s="952"/>
      <c r="BC226" s="952"/>
      <c r="BD226" s="952"/>
      <c r="BE226" s="952"/>
      <c r="BF226" s="952"/>
      <c r="BG226" s="952"/>
      <c r="BH226" s="952"/>
      <c r="BI226" s="952"/>
      <c r="BJ226" s="952"/>
      <c r="BK226" s="952"/>
      <c r="BL226" s="952"/>
      <c r="BM226" s="952"/>
      <c r="BN226" s="952"/>
      <c r="BO226" s="952"/>
      <c r="BP226" s="952"/>
      <c r="BQ226" s="952"/>
      <c r="BR226" s="952"/>
      <c r="BS226" s="952"/>
      <c r="BT226" s="952"/>
      <c r="BU226" s="952"/>
      <c r="BV226" s="952"/>
      <c r="BW226" s="952"/>
      <c r="BX226" s="952"/>
      <c r="BY226" s="952"/>
      <c r="BZ226" s="952"/>
      <c r="CA226" s="952"/>
      <c r="CB226" s="952"/>
      <c r="CC226" s="952"/>
      <c r="CD226" s="952"/>
      <c r="CE226" s="952"/>
      <c r="CF226" s="952"/>
      <c r="CG226" s="952"/>
      <c r="CH226" s="952"/>
      <c r="CI226" s="952"/>
      <c r="CJ226" s="952"/>
      <c r="CK226" s="952"/>
      <c r="CL226" s="952"/>
      <c r="CM226" s="952"/>
      <c r="CN226" s="952"/>
      <c r="CO226" s="952"/>
      <c r="CP226" s="952"/>
      <c r="CQ226" s="952"/>
      <c r="CR226" s="952"/>
      <c r="CS226" s="951">
        <f>F226/CZ226*CT227</f>
        <v>3251733</v>
      </c>
      <c r="CT226" s="951"/>
      <c r="CU226" s="951"/>
      <c r="CV226" s="951"/>
      <c r="CW226" s="951"/>
      <c r="CX226" s="951"/>
      <c r="CY226" s="951"/>
      <c r="CZ226" s="953">
        <v>2</v>
      </c>
    </row>
    <row r="227" spans="1:104" s="762" customFormat="1" ht="13.5" thickBot="1">
      <c r="A227" s="1045"/>
      <c r="B227" s="940"/>
      <c r="C227" s="1008"/>
      <c r="D227" s="942"/>
      <c r="E227" s="944"/>
      <c r="F227" s="946"/>
      <c r="G227" s="989"/>
      <c r="H227" s="1140"/>
      <c r="I227" s="1117"/>
      <c r="J227" s="986"/>
      <c r="K227" s="986"/>
      <c r="L227" s="807" t="s">
        <v>3319</v>
      </c>
      <c r="M227" s="811">
        <v>1</v>
      </c>
      <c r="N227" s="810">
        <v>2</v>
      </c>
      <c r="O227" s="810">
        <v>3</v>
      </c>
      <c r="P227" s="810">
        <v>4</v>
      </c>
      <c r="Q227" s="810">
        <v>5</v>
      </c>
      <c r="R227" s="810">
        <v>6</v>
      </c>
      <c r="S227" s="810">
        <v>7</v>
      </c>
      <c r="T227" s="810">
        <v>1</v>
      </c>
      <c r="U227" s="810">
        <v>2</v>
      </c>
      <c r="V227" s="810">
        <v>3</v>
      </c>
      <c r="W227" s="810">
        <v>4</v>
      </c>
      <c r="X227" s="810">
        <v>5</v>
      </c>
      <c r="Y227" s="810">
        <v>6</v>
      </c>
      <c r="Z227" s="810">
        <v>7</v>
      </c>
      <c r="AA227" s="810">
        <v>1</v>
      </c>
      <c r="AB227" s="810">
        <v>2</v>
      </c>
      <c r="AC227" s="810">
        <v>3</v>
      </c>
      <c r="AD227" s="810">
        <v>4</v>
      </c>
      <c r="AE227" s="810">
        <v>5</v>
      </c>
      <c r="AF227" s="810">
        <v>6</v>
      </c>
      <c r="AG227" s="810">
        <v>7</v>
      </c>
      <c r="AH227" s="810">
        <v>1</v>
      </c>
      <c r="AI227" s="810">
        <v>2</v>
      </c>
      <c r="AJ227" s="810">
        <v>3</v>
      </c>
      <c r="AK227" s="810">
        <v>4</v>
      </c>
      <c r="AL227" s="810">
        <v>5</v>
      </c>
      <c r="AM227" s="810">
        <v>6</v>
      </c>
      <c r="AN227" s="810">
        <v>7</v>
      </c>
      <c r="AO227" s="810">
        <v>1</v>
      </c>
      <c r="AP227" s="810">
        <v>2</v>
      </c>
      <c r="AQ227" s="810">
        <v>3</v>
      </c>
      <c r="AR227" s="810">
        <v>4</v>
      </c>
      <c r="AS227" s="810">
        <v>5</v>
      </c>
      <c r="AT227" s="810">
        <v>6</v>
      </c>
      <c r="AU227" s="810">
        <v>7</v>
      </c>
      <c r="AV227" s="810">
        <v>1</v>
      </c>
      <c r="AW227" s="810">
        <v>2</v>
      </c>
      <c r="AX227" s="810">
        <v>3</v>
      </c>
      <c r="AY227" s="810">
        <v>4</v>
      </c>
      <c r="AZ227" s="810">
        <v>5</v>
      </c>
      <c r="BA227" s="810">
        <v>6</v>
      </c>
      <c r="BB227" s="810">
        <v>7</v>
      </c>
      <c r="BC227" s="810">
        <v>1</v>
      </c>
      <c r="BD227" s="810">
        <v>2</v>
      </c>
      <c r="BE227" s="810">
        <v>3</v>
      </c>
      <c r="BF227" s="810">
        <v>4</v>
      </c>
      <c r="BG227" s="810">
        <v>5</v>
      </c>
      <c r="BH227" s="810">
        <v>6</v>
      </c>
      <c r="BI227" s="810">
        <v>7</v>
      </c>
      <c r="BJ227" s="810">
        <v>1</v>
      </c>
      <c r="BK227" s="810">
        <v>2</v>
      </c>
      <c r="BL227" s="810">
        <v>3</v>
      </c>
      <c r="BM227" s="810">
        <v>4</v>
      </c>
      <c r="BN227" s="810">
        <v>5</v>
      </c>
      <c r="BO227" s="810">
        <v>6</v>
      </c>
      <c r="BP227" s="810">
        <v>7</v>
      </c>
      <c r="BQ227" s="810">
        <v>1</v>
      </c>
      <c r="BR227" s="810">
        <v>2</v>
      </c>
      <c r="BS227" s="810">
        <v>3</v>
      </c>
      <c r="BT227" s="810">
        <v>4</v>
      </c>
      <c r="BU227" s="810">
        <v>5</v>
      </c>
      <c r="BV227" s="810">
        <v>6</v>
      </c>
      <c r="BW227" s="810">
        <v>7</v>
      </c>
      <c r="BX227" s="810">
        <v>1</v>
      </c>
      <c r="BY227" s="810">
        <v>2</v>
      </c>
      <c r="BZ227" s="810">
        <v>3</v>
      </c>
      <c r="CA227" s="810">
        <v>4</v>
      </c>
      <c r="CB227" s="810">
        <v>5</v>
      </c>
      <c r="CC227" s="810">
        <v>6</v>
      </c>
      <c r="CD227" s="810">
        <v>7</v>
      </c>
      <c r="CE227" s="810">
        <v>1</v>
      </c>
      <c r="CF227" s="810">
        <v>2</v>
      </c>
      <c r="CG227" s="810">
        <v>3</v>
      </c>
      <c r="CH227" s="810">
        <v>4</v>
      </c>
      <c r="CI227" s="810">
        <v>5</v>
      </c>
      <c r="CJ227" s="810">
        <v>6</v>
      </c>
      <c r="CK227" s="810">
        <v>7</v>
      </c>
      <c r="CL227" s="810">
        <v>1</v>
      </c>
      <c r="CM227" s="810">
        <v>2</v>
      </c>
      <c r="CN227" s="810">
        <v>3</v>
      </c>
      <c r="CO227" s="810">
        <v>4</v>
      </c>
      <c r="CP227" s="810">
        <v>5</v>
      </c>
      <c r="CQ227" s="810">
        <v>6</v>
      </c>
      <c r="CR227" s="810">
        <v>7</v>
      </c>
      <c r="CS227" s="810">
        <v>1</v>
      </c>
      <c r="CT227" s="810">
        <v>2</v>
      </c>
      <c r="CU227" s="810">
        <v>3</v>
      </c>
      <c r="CV227" s="812">
        <v>4</v>
      </c>
      <c r="CW227" s="812">
        <v>5</v>
      </c>
      <c r="CX227" s="781">
        <v>6</v>
      </c>
      <c r="CY227" s="781">
        <v>7</v>
      </c>
      <c r="CZ227" s="954"/>
    </row>
    <row r="228" spans="1:104" s="762" customFormat="1" ht="13.5" thickBot="1">
      <c r="A228" s="1048"/>
      <c r="B228" s="941"/>
      <c r="C228" s="1112"/>
      <c r="D228" s="943"/>
      <c r="E228" s="945"/>
      <c r="F228" s="947"/>
      <c r="G228" s="1002"/>
      <c r="H228" s="1140"/>
      <c r="I228" s="1117"/>
      <c r="J228" s="987"/>
      <c r="K228" s="987"/>
      <c r="L228" s="808" t="s">
        <v>3320</v>
      </c>
      <c r="M228" s="955"/>
      <c r="N228" s="956"/>
      <c r="O228" s="956"/>
      <c r="P228" s="956"/>
      <c r="Q228" s="956"/>
      <c r="R228" s="956"/>
      <c r="S228" s="956"/>
      <c r="T228" s="956"/>
      <c r="U228" s="956"/>
      <c r="V228" s="956"/>
      <c r="W228" s="956"/>
      <c r="X228" s="956"/>
      <c r="Y228" s="956"/>
      <c r="Z228" s="956"/>
      <c r="AA228" s="956"/>
      <c r="AB228" s="956"/>
      <c r="AC228" s="956"/>
      <c r="AD228" s="956"/>
      <c r="AE228" s="956"/>
      <c r="AF228" s="956"/>
      <c r="AG228" s="956"/>
      <c r="AH228" s="956"/>
      <c r="AI228" s="956"/>
      <c r="AJ228" s="956"/>
      <c r="AK228" s="956"/>
      <c r="AL228" s="956"/>
      <c r="AM228" s="956"/>
      <c r="AN228" s="956"/>
      <c r="AO228" s="956"/>
      <c r="AP228" s="956"/>
      <c r="AQ228" s="956"/>
      <c r="AR228" s="956"/>
      <c r="AS228" s="956"/>
      <c r="AT228" s="956"/>
      <c r="AU228" s="956"/>
      <c r="AV228" s="956"/>
      <c r="AW228" s="956"/>
      <c r="AX228" s="956"/>
      <c r="AY228" s="956"/>
      <c r="AZ228" s="956"/>
      <c r="BA228" s="956"/>
      <c r="BB228" s="956"/>
      <c r="BC228" s="956"/>
      <c r="BD228" s="956"/>
      <c r="BE228" s="956"/>
      <c r="BF228" s="956"/>
      <c r="BG228" s="956"/>
      <c r="BH228" s="956"/>
      <c r="BI228" s="956"/>
      <c r="BJ228" s="956"/>
      <c r="BK228" s="956"/>
      <c r="BL228" s="956"/>
      <c r="BM228" s="956"/>
      <c r="BN228" s="956"/>
      <c r="BO228" s="956"/>
      <c r="BP228" s="956"/>
      <c r="BQ228" s="956"/>
      <c r="BR228" s="956"/>
      <c r="BS228" s="956"/>
      <c r="BT228" s="956"/>
      <c r="BU228" s="956">
        <f>CS226+CL226+CE226+BX226+BQ226</f>
        <v>3251733</v>
      </c>
      <c r="BV228" s="956"/>
      <c r="BW228" s="956"/>
      <c r="BX228" s="956"/>
      <c r="BY228" s="956"/>
      <c r="BZ228" s="956"/>
      <c r="CA228" s="956"/>
      <c r="CB228" s="956"/>
      <c r="CC228" s="956"/>
      <c r="CD228" s="956"/>
      <c r="CE228" s="956"/>
      <c r="CF228" s="956"/>
      <c r="CG228" s="956"/>
      <c r="CH228" s="956"/>
      <c r="CI228" s="956"/>
      <c r="CJ228" s="956"/>
      <c r="CK228" s="956"/>
      <c r="CL228" s="956"/>
      <c r="CM228" s="956"/>
      <c r="CN228" s="956"/>
      <c r="CO228" s="956"/>
      <c r="CP228" s="956"/>
      <c r="CQ228" s="956"/>
      <c r="CR228" s="956"/>
      <c r="CS228" s="956"/>
      <c r="CT228" s="956"/>
      <c r="CU228" s="956"/>
      <c r="CV228" s="956"/>
      <c r="CW228" s="956"/>
      <c r="CX228" s="956"/>
      <c r="CY228" s="956"/>
      <c r="CZ228" s="954"/>
    </row>
    <row r="229" spans="1:104" ht="19.5" customHeight="1">
      <c r="A229" s="724"/>
      <c r="B229" s="928"/>
      <c r="C229" s="714"/>
      <c r="D229" s="759"/>
      <c r="E229" s="771" t="s">
        <v>3245</v>
      </c>
      <c r="F229" s="769">
        <f>SUM(F190:F228)</f>
        <v>30950480</v>
      </c>
      <c r="G229" s="776">
        <f>F229/F259</f>
        <v>9.3456553520758295E-2</v>
      </c>
      <c r="H229" s="1139"/>
      <c r="I229" s="995" t="s">
        <v>3336</v>
      </c>
      <c r="J229" s="995"/>
      <c r="K229" s="995"/>
      <c r="L229" s="995"/>
      <c r="M229" s="996">
        <f>M192+M195+M198+M201+M204+M210+M213+M225+M228+M216+M219+M222</f>
        <v>0</v>
      </c>
      <c r="N229" s="996"/>
      <c r="O229" s="996"/>
      <c r="P229" s="996"/>
      <c r="Q229" s="996"/>
      <c r="R229" s="996"/>
      <c r="S229" s="996"/>
      <c r="T229" s="996"/>
      <c r="U229" s="996"/>
      <c r="V229" s="996"/>
      <c r="W229" s="996"/>
      <c r="X229" s="996"/>
      <c r="Y229" s="996"/>
      <c r="Z229" s="996"/>
      <c r="AA229" s="996"/>
      <c r="AB229" s="996"/>
      <c r="AC229" s="996"/>
      <c r="AD229" s="996"/>
      <c r="AE229" s="996"/>
      <c r="AF229" s="996"/>
      <c r="AG229" s="996"/>
      <c r="AH229" s="996"/>
      <c r="AI229" s="996"/>
      <c r="AJ229" s="996"/>
      <c r="AK229" s="996"/>
      <c r="AL229" s="996"/>
      <c r="AM229" s="996"/>
      <c r="AN229" s="996"/>
      <c r="AO229" s="996"/>
      <c r="AP229" s="997"/>
      <c r="AQ229" s="996">
        <f>AQ192+AQ195+AQ198+AQ201+AQ204+AQ210+AQ213+AQ225+AQ228+AQ216+AQ219+AQ222</f>
        <v>283176</v>
      </c>
      <c r="AR229" s="996"/>
      <c r="AS229" s="996"/>
      <c r="AT229" s="996"/>
      <c r="AU229" s="996"/>
      <c r="AV229" s="996"/>
      <c r="AW229" s="996"/>
      <c r="AX229" s="996"/>
      <c r="AY229" s="996"/>
      <c r="AZ229" s="996"/>
      <c r="BA229" s="996"/>
      <c r="BB229" s="996"/>
      <c r="BC229" s="996"/>
      <c r="BD229" s="996"/>
      <c r="BE229" s="996"/>
      <c r="BF229" s="996"/>
      <c r="BG229" s="996"/>
      <c r="BH229" s="996"/>
      <c r="BI229" s="996"/>
      <c r="BJ229" s="996"/>
      <c r="BK229" s="996"/>
      <c r="BL229" s="996"/>
      <c r="BM229" s="996"/>
      <c r="BN229" s="996"/>
      <c r="BO229" s="996"/>
      <c r="BP229" s="996"/>
      <c r="BQ229" s="996"/>
      <c r="BR229" s="996"/>
      <c r="BS229" s="996"/>
      <c r="BT229" s="997"/>
      <c r="BU229" s="998">
        <f>BU192+BU195+BU198+BU201+BU204+BU210+BU213+BU225+BU228+BU2+BU219+BU21016+BU207+BU222+BU216</f>
        <v>30667304</v>
      </c>
      <c r="BV229" s="998"/>
      <c r="BW229" s="998"/>
      <c r="BX229" s="998"/>
      <c r="BY229" s="998"/>
      <c r="BZ229" s="998"/>
      <c r="CA229" s="998"/>
      <c r="CB229" s="998"/>
      <c r="CC229" s="998"/>
      <c r="CD229" s="998"/>
      <c r="CE229" s="998"/>
      <c r="CF229" s="998"/>
      <c r="CG229" s="998"/>
      <c r="CH229" s="998"/>
      <c r="CI229" s="998"/>
      <c r="CJ229" s="998"/>
      <c r="CK229" s="998"/>
      <c r="CL229" s="998"/>
      <c r="CM229" s="998"/>
      <c r="CN229" s="998"/>
      <c r="CO229" s="998"/>
      <c r="CP229" s="998"/>
      <c r="CQ229" s="998"/>
      <c r="CR229" s="998"/>
      <c r="CS229" s="998"/>
      <c r="CT229" s="998"/>
      <c r="CU229" s="998"/>
      <c r="CV229" s="998"/>
      <c r="CW229" s="998"/>
      <c r="CX229" s="998"/>
      <c r="CY229" s="998"/>
      <c r="CZ229" s="713">
        <f>SUM(CZ190:CZ228)</f>
        <v>19</v>
      </c>
    </row>
    <row r="230" spans="1:104" ht="18.75" customHeight="1">
      <c r="A230" s="724"/>
      <c r="B230" s="928"/>
      <c r="C230" s="714"/>
      <c r="D230" s="759"/>
      <c r="E230" s="757"/>
      <c r="F230" s="716"/>
      <c r="H230" s="1139"/>
      <c r="I230" s="958" t="s">
        <v>3324</v>
      </c>
      <c r="J230" s="958"/>
      <c r="K230" s="958"/>
      <c r="L230" s="958"/>
      <c r="M230" s="959">
        <f>M229+AQ229+BU229</f>
        <v>30950480</v>
      </c>
      <c r="N230" s="960"/>
      <c r="O230" s="960"/>
      <c r="P230" s="960"/>
      <c r="Q230" s="960"/>
      <c r="R230" s="960"/>
      <c r="S230" s="960"/>
      <c r="T230" s="960"/>
      <c r="U230" s="960"/>
      <c r="V230" s="960"/>
      <c r="W230" s="960"/>
      <c r="X230" s="960"/>
      <c r="Y230" s="960"/>
      <c r="Z230" s="960"/>
      <c r="AA230" s="960"/>
      <c r="AB230" s="960"/>
      <c r="AC230" s="960"/>
      <c r="AD230" s="960"/>
      <c r="AE230" s="960"/>
      <c r="AF230" s="960"/>
      <c r="AG230" s="960"/>
      <c r="AH230" s="960"/>
      <c r="AI230" s="960"/>
      <c r="AJ230" s="960"/>
      <c r="AK230" s="960"/>
      <c r="AL230" s="960"/>
      <c r="AM230" s="960"/>
      <c r="AN230" s="960"/>
      <c r="AO230" s="960"/>
      <c r="AP230" s="960"/>
      <c r="AQ230" s="960"/>
      <c r="AR230" s="960"/>
      <c r="AS230" s="960"/>
      <c r="AT230" s="960"/>
      <c r="AU230" s="960"/>
      <c r="AV230" s="960"/>
      <c r="AW230" s="960"/>
      <c r="AX230" s="960"/>
      <c r="AY230" s="960"/>
      <c r="AZ230" s="960"/>
      <c r="BA230" s="960"/>
      <c r="BB230" s="960"/>
      <c r="BC230" s="960"/>
      <c r="BD230" s="960"/>
      <c r="BE230" s="960"/>
      <c r="BF230" s="960"/>
      <c r="BG230" s="960"/>
      <c r="BH230" s="960"/>
      <c r="BI230" s="960"/>
      <c r="BJ230" s="960"/>
      <c r="BK230" s="960"/>
      <c r="BL230" s="960"/>
      <c r="BM230" s="960"/>
      <c r="BN230" s="960"/>
      <c r="BO230" s="960"/>
      <c r="BP230" s="960"/>
      <c r="BQ230" s="960"/>
      <c r="BR230" s="960"/>
      <c r="BS230" s="960"/>
      <c r="BT230" s="960"/>
      <c r="BU230" s="960"/>
      <c r="BV230" s="960"/>
      <c r="BW230" s="960"/>
      <c r="BX230" s="960"/>
      <c r="BY230" s="960"/>
      <c r="BZ230" s="960"/>
      <c r="CA230" s="960"/>
      <c r="CB230" s="960"/>
      <c r="CC230" s="960"/>
      <c r="CD230" s="960"/>
      <c r="CE230" s="960"/>
      <c r="CF230" s="960"/>
      <c r="CG230" s="960"/>
      <c r="CH230" s="960"/>
      <c r="CI230" s="960"/>
      <c r="CJ230" s="960"/>
      <c r="CK230" s="960"/>
      <c r="CL230" s="960"/>
      <c r="CM230" s="960"/>
      <c r="CN230" s="960"/>
      <c r="CO230" s="960"/>
      <c r="CP230" s="960"/>
      <c r="CQ230" s="960"/>
      <c r="CR230" s="960"/>
      <c r="CS230" s="960"/>
      <c r="CT230" s="960"/>
      <c r="CU230" s="960"/>
      <c r="CV230" s="960"/>
      <c r="CW230" s="960"/>
      <c r="CX230" s="960"/>
      <c r="CY230" s="960"/>
      <c r="CZ230" s="796"/>
    </row>
    <row r="231" spans="1:104" ht="18.75" customHeight="1">
      <c r="A231" s="720" t="str">
        <f>EDIFICACION!A598</f>
        <v>XIII</v>
      </c>
      <c r="B231" s="1106" t="s">
        <v>3477</v>
      </c>
      <c r="C231" s="1107"/>
      <c r="D231" s="1107"/>
      <c r="E231" s="1107"/>
      <c r="F231" s="1107"/>
      <c r="G231" s="1107"/>
      <c r="H231" s="1139"/>
      <c r="I231" s="863"/>
      <c r="J231" s="864"/>
      <c r="K231" s="864"/>
      <c r="L231" s="864"/>
      <c r="M231" s="865"/>
      <c r="N231" s="866"/>
      <c r="O231" s="866"/>
      <c r="P231" s="866"/>
      <c r="Q231" s="866"/>
      <c r="R231" s="866"/>
      <c r="S231" s="866"/>
      <c r="T231" s="866"/>
      <c r="U231" s="866"/>
      <c r="V231" s="866"/>
      <c r="W231" s="866"/>
      <c r="X231" s="866"/>
      <c r="Y231" s="866"/>
      <c r="Z231" s="866"/>
      <c r="AA231" s="866"/>
      <c r="AB231" s="866"/>
      <c r="AC231" s="866"/>
      <c r="AD231" s="866"/>
      <c r="AE231" s="866"/>
      <c r="AF231" s="866"/>
      <c r="AG231" s="866"/>
      <c r="AH231" s="866"/>
      <c r="AI231" s="866"/>
      <c r="AJ231" s="866"/>
      <c r="AK231" s="866"/>
      <c r="AL231" s="866"/>
      <c r="AM231" s="866"/>
      <c r="AN231" s="866"/>
      <c r="AO231" s="866"/>
      <c r="AP231" s="866"/>
      <c r="AQ231" s="866"/>
      <c r="AR231" s="866"/>
      <c r="AS231" s="866"/>
      <c r="AT231" s="866"/>
      <c r="AU231" s="866"/>
      <c r="AV231" s="866"/>
      <c r="AW231" s="866"/>
      <c r="AX231" s="866"/>
      <c r="AY231" s="866"/>
      <c r="AZ231" s="866"/>
      <c r="BA231" s="866"/>
      <c r="BB231" s="866"/>
      <c r="BC231" s="866"/>
      <c r="BD231" s="866"/>
      <c r="BE231" s="866"/>
      <c r="BF231" s="866"/>
      <c r="BG231" s="866"/>
      <c r="BH231" s="866"/>
      <c r="BI231" s="866"/>
      <c r="BJ231" s="866"/>
      <c r="BK231" s="866"/>
      <c r="BL231" s="866"/>
      <c r="BM231" s="866"/>
      <c r="BN231" s="866"/>
      <c r="BO231" s="866"/>
      <c r="BP231" s="866"/>
      <c r="BQ231" s="866"/>
      <c r="BR231" s="866"/>
      <c r="BS231" s="866"/>
      <c r="BT231" s="866"/>
      <c r="BU231" s="866"/>
      <c r="BV231" s="866"/>
      <c r="BW231" s="866"/>
      <c r="BX231" s="866"/>
      <c r="BY231" s="866"/>
      <c r="BZ231" s="866"/>
      <c r="CA231" s="866"/>
      <c r="CB231" s="866"/>
      <c r="CC231" s="866"/>
      <c r="CD231" s="866"/>
      <c r="CE231" s="866"/>
      <c r="CF231" s="866"/>
      <c r="CG231" s="866"/>
      <c r="CH231" s="866"/>
      <c r="CI231" s="866"/>
      <c r="CJ231" s="866"/>
      <c r="CK231" s="866"/>
      <c r="CL231" s="866"/>
      <c r="CM231" s="866"/>
      <c r="CN231" s="866"/>
      <c r="CO231" s="866"/>
      <c r="CP231" s="866"/>
      <c r="CQ231" s="866"/>
      <c r="CR231" s="866"/>
      <c r="CS231" s="866"/>
      <c r="CT231" s="866"/>
      <c r="CU231" s="866"/>
      <c r="CV231" s="866"/>
      <c r="CW231" s="866"/>
      <c r="CX231" s="866"/>
      <c r="CY231" s="866"/>
      <c r="CZ231" s="867"/>
    </row>
    <row r="232" spans="1:104" ht="8.1" customHeight="1">
      <c r="A232" s="1017" t="str">
        <f>EDIFICACION!A599</f>
        <v>13.1</v>
      </c>
      <c r="B232" s="1018" t="str">
        <f>EDIFICACION!B599</f>
        <v>RETIRO SOBRANTES</v>
      </c>
      <c r="C232" s="1100" t="str">
        <f>EDIFICACION!C599</f>
        <v>M3</v>
      </c>
      <c r="D232" s="1104">
        <v>68.5</v>
      </c>
      <c r="E232" s="1014">
        <f>EDIFICACION!F599</f>
        <v>25351</v>
      </c>
      <c r="F232" s="1105">
        <f>E232*D232</f>
        <v>1736543.5</v>
      </c>
      <c r="G232" s="1013">
        <f>F232/F259</f>
        <v>5.243581700473625E-3</v>
      </c>
      <c r="H232" s="1139"/>
      <c r="I232" s="1036" t="s">
        <v>3339</v>
      </c>
      <c r="J232" s="1039" t="s">
        <v>3345</v>
      </c>
      <c r="K232" s="1039" t="s">
        <v>3345</v>
      </c>
      <c r="L232" s="862" t="s">
        <v>3318</v>
      </c>
      <c r="M232" s="1040"/>
      <c r="N232" s="1041"/>
      <c r="O232" s="1041"/>
      <c r="P232" s="1041"/>
      <c r="Q232" s="1041"/>
      <c r="R232" s="1041"/>
      <c r="S232" s="1041"/>
      <c r="T232" s="1041"/>
      <c r="U232" s="1041"/>
      <c r="V232" s="1041"/>
      <c r="W232" s="1041"/>
      <c r="X232" s="1041"/>
      <c r="Y232" s="1041"/>
      <c r="Z232" s="1041"/>
      <c r="AA232" s="1063">
        <f>F232/CZ232*AA233</f>
        <v>1736543.5</v>
      </c>
      <c r="AB232" s="1041"/>
      <c r="AC232" s="1041"/>
      <c r="AD232" s="1041"/>
      <c r="AE232" s="1041"/>
      <c r="AF232" s="1041"/>
      <c r="AG232" s="1041"/>
      <c r="AH232" s="1041"/>
      <c r="AI232" s="1041"/>
      <c r="AJ232" s="1041"/>
      <c r="AK232" s="1041"/>
      <c r="AL232" s="1041"/>
      <c r="AM232" s="1041"/>
      <c r="AN232" s="1041"/>
      <c r="AO232" s="1041"/>
      <c r="AP232" s="1041"/>
      <c r="AQ232" s="1041"/>
      <c r="AR232" s="1041"/>
      <c r="AS232" s="1041"/>
      <c r="AT232" s="1041"/>
      <c r="AU232" s="1041"/>
      <c r="AV232" s="1041"/>
      <c r="AW232" s="1041"/>
      <c r="AX232" s="1041"/>
      <c r="AY232" s="1041"/>
      <c r="AZ232" s="1041"/>
      <c r="BA232" s="1041"/>
      <c r="BB232" s="1041"/>
      <c r="BC232" s="1041"/>
      <c r="BD232" s="1041"/>
      <c r="BE232" s="1041"/>
      <c r="BF232" s="1041"/>
      <c r="BG232" s="1041"/>
      <c r="BH232" s="1041"/>
      <c r="BI232" s="1041"/>
      <c r="BJ232" s="1041"/>
      <c r="BK232" s="1041"/>
      <c r="BL232" s="1041"/>
      <c r="BM232" s="1041"/>
      <c r="BN232" s="1041"/>
      <c r="BO232" s="1041"/>
      <c r="BP232" s="1041"/>
      <c r="BQ232" s="1041"/>
      <c r="BR232" s="1041"/>
      <c r="BS232" s="1041"/>
      <c r="BT232" s="1041"/>
      <c r="BU232" s="1041"/>
      <c r="BV232" s="1041"/>
      <c r="BW232" s="1041"/>
      <c r="BX232" s="1041"/>
      <c r="BY232" s="1041"/>
      <c r="BZ232" s="1041"/>
      <c r="CA232" s="1041"/>
      <c r="CB232" s="1041"/>
      <c r="CC232" s="1041"/>
      <c r="CD232" s="1041"/>
      <c r="CE232" s="1041"/>
      <c r="CF232" s="1041"/>
      <c r="CG232" s="1041"/>
      <c r="CH232" s="1041"/>
      <c r="CI232" s="1041"/>
      <c r="CJ232" s="1041"/>
      <c r="CK232" s="1041"/>
      <c r="CL232" s="1041"/>
      <c r="CM232" s="1041"/>
      <c r="CN232" s="1041"/>
      <c r="CO232" s="1041"/>
      <c r="CP232" s="1041"/>
      <c r="CQ232" s="1041"/>
      <c r="CR232" s="1041"/>
      <c r="CS232" s="1041"/>
      <c r="CT232" s="1041"/>
      <c r="CU232" s="1041"/>
      <c r="CV232" s="1041"/>
      <c r="CW232" s="1041"/>
      <c r="CX232" s="1041"/>
      <c r="CY232" s="1041"/>
      <c r="CZ232" s="954">
        <v>1</v>
      </c>
    </row>
    <row r="233" spans="1:104" ht="8.1" customHeight="1">
      <c r="A233" s="938"/>
      <c r="B233" s="940"/>
      <c r="C233" s="1046"/>
      <c r="D233" s="1045"/>
      <c r="E233" s="944"/>
      <c r="F233" s="1003"/>
      <c r="G233" s="948"/>
      <c r="H233" s="1139"/>
      <c r="I233" s="1037"/>
      <c r="J233" s="986"/>
      <c r="K233" s="986"/>
      <c r="L233" s="814" t="s">
        <v>3319</v>
      </c>
      <c r="M233" s="811">
        <v>1</v>
      </c>
      <c r="N233" s="810">
        <v>2</v>
      </c>
      <c r="O233" s="810">
        <v>3</v>
      </c>
      <c r="P233" s="810">
        <v>4</v>
      </c>
      <c r="Q233" s="810">
        <v>5</v>
      </c>
      <c r="R233" s="810">
        <v>6</v>
      </c>
      <c r="S233" s="810">
        <v>7</v>
      </c>
      <c r="T233" s="810">
        <v>1</v>
      </c>
      <c r="U233" s="810">
        <v>2</v>
      </c>
      <c r="V233" s="810">
        <v>3</v>
      </c>
      <c r="W233" s="810">
        <v>4</v>
      </c>
      <c r="X233" s="810">
        <v>5</v>
      </c>
      <c r="Y233" s="810">
        <v>6</v>
      </c>
      <c r="Z233" s="810">
        <v>7</v>
      </c>
      <c r="AA233" s="810">
        <v>1</v>
      </c>
      <c r="AB233" s="810">
        <v>2</v>
      </c>
      <c r="AC233" s="810">
        <v>3</v>
      </c>
      <c r="AD233" s="810">
        <v>4</v>
      </c>
      <c r="AE233" s="810">
        <v>5</v>
      </c>
      <c r="AF233" s="810">
        <v>6</v>
      </c>
      <c r="AG233" s="812">
        <v>7</v>
      </c>
      <c r="AH233" s="810">
        <v>1</v>
      </c>
      <c r="AI233" s="810">
        <v>2</v>
      </c>
      <c r="AJ233" s="810">
        <v>3</v>
      </c>
      <c r="AK233" s="810">
        <v>4</v>
      </c>
      <c r="AL233" s="810">
        <v>5</v>
      </c>
      <c r="AM233" s="810">
        <v>6</v>
      </c>
      <c r="AN233" s="810">
        <v>7</v>
      </c>
      <c r="AO233" s="810">
        <v>1</v>
      </c>
      <c r="AP233" s="810">
        <v>2</v>
      </c>
      <c r="AQ233" s="810">
        <v>3</v>
      </c>
      <c r="AR233" s="810">
        <v>4</v>
      </c>
      <c r="AS233" s="810">
        <v>5</v>
      </c>
      <c r="AT233" s="810">
        <v>6</v>
      </c>
      <c r="AU233" s="810">
        <v>7</v>
      </c>
      <c r="AV233" s="810">
        <v>1</v>
      </c>
      <c r="AW233" s="810">
        <v>2</v>
      </c>
      <c r="AX233" s="810">
        <v>3</v>
      </c>
      <c r="AY233" s="810">
        <v>4</v>
      </c>
      <c r="AZ233" s="810">
        <v>5</v>
      </c>
      <c r="BA233" s="810">
        <v>6</v>
      </c>
      <c r="BB233" s="810">
        <v>7</v>
      </c>
      <c r="BC233" s="810">
        <v>1</v>
      </c>
      <c r="BD233" s="810">
        <v>2</v>
      </c>
      <c r="BE233" s="810">
        <v>3</v>
      </c>
      <c r="BF233" s="810">
        <v>4</v>
      </c>
      <c r="BG233" s="810">
        <v>5</v>
      </c>
      <c r="BH233" s="810">
        <v>6</v>
      </c>
      <c r="BI233" s="810">
        <v>7</v>
      </c>
      <c r="BJ233" s="810">
        <v>1</v>
      </c>
      <c r="BK233" s="810">
        <v>2</v>
      </c>
      <c r="BL233" s="810">
        <v>3</v>
      </c>
      <c r="BM233" s="810">
        <v>4</v>
      </c>
      <c r="BN233" s="810">
        <v>5</v>
      </c>
      <c r="BO233" s="810">
        <v>6</v>
      </c>
      <c r="BP233" s="810">
        <v>7</v>
      </c>
      <c r="BQ233" s="810">
        <v>1</v>
      </c>
      <c r="BR233" s="810">
        <v>2</v>
      </c>
      <c r="BS233" s="810">
        <v>3</v>
      </c>
      <c r="BT233" s="810">
        <v>4</v>
      </c>
      <c r="BU233" s="810">
        <v>5</v>
      </c>
      <c r="BV233" s="810">
        <v>6</v>
      </c>
      <c r="BW233" s="810">
        <v>7</v>
      </c>
      <c r="BX233" s="810">
        <v>1</v>
      </c>
      <c r="BY233" s="810">
        <v>2</v>
      </c>
      <c r="BZ233" s="810">
        <v>3</v>
      </c>
      <c r="CA233" s="810">
        <v>4</v>
      </c>
      <c r="CB233" s="810">
        <v>5</v>
      </c>
      <c r="CC233" s="810">
        <v>6</v>
      </c>
      <c r="CD233" s="810">
        <v>7</v>
      </c>
      <c r="CE233" s="810">
        <v>1</v>
      </c>
      <c r="CF233" s="810">
        <v>2</v>
      </c>
      <c r="CG233" s="810">
        <v>3</v>
      </c>
      <c r="CH233" s="810">
        <v>4</v>
      </c>
      <c r="CI233" s="810">
        <v>5</v>
      </c>
      <c r="CJ233" s="810">
        <v>6</v>
      </c>
      <c r="CK233" s="810">
        <v>7</v>
      </c>
      <c r="CL233" s="810">
        <v>1</v>
      </c>
      <c r="CM233" s="810">
        <v>2</v>
      </c>
      <c r="CN233" s="810">
        <v>3</v>
      </c>
      <c r="CO233" s="810">
        <v>4</v>
      </c>
      <c r="CP233" s="810">
        <v>5</v>
      </c>
      <c r="CQ233" s="810">
        <v>6</v>
      </c>
      <c r="CR233" s="810">
        <v>7</v>
      </c>
      <c r="CS233" s="810">
        <v>1</v>
      </c>
      <c r="CT233" s="810">
        <v>2</v>
      </c>
      <c r="CU233" s="810">
        <v>3</v>
      </c>
      <c r="CV233" s="810">
        <v>4</v>
      </c>
      <c r="CW233" s="810">
        <v>5</v>
      </c>
      <c r="CX233" s="810">
        <v>6</v>
      </c>
      <c r="CY233" s="810">
        <v>7</v>
      </c>
      <c r="CZ233" s="954"/>
    </row>
    <row r="234" spans="1:104" ht="8.1" customHeight="1" thickBot="1">
      <c r="A234" s="938"/>
      <c r="B234" s="940"/>
      <c r="C234" s="1046"/>
      <c r="D234" s="1045"/>
      <c r="E234" s="944"/>
      <c r="F234" s="1003"/>
      <c r="G234" s="948"/>
      <c r="H234" s="1139"/>
      <c r="I234" s="1038"/>
      <c r="J234" s="987"/>
      <c r="K234" s="987"/>
      <c r="L234" s="815" t="s">
        <v>3320</v>
      </c>
      <c r="M234" s="1024">
        <f>M232+T232+AA232+AH232</f>
        <v>1736543.5</v>
      </c>
      <c r="N234" s="967"/>
      <c r="O234" s="967"/>
      <c r="P234" s="967"/>
      <c r="Q234" s="967"/>
      <c r="R234" s="967"/>
      <c r="S234" s="967"/>
      <c r="T234" s="967"/>
      <c r="U234" s="967"/>
      <c r="V234" s="967"/>
      <c r="W234" s="967"/>
      <c r="X234" s="967"/>
      <c r="Y234" s="967"/>
      <c r="Z234" s="967"/>
      <c r="AA234" s="967"/>
      <c r="AB234" s="967"/>
      <c r="AC234" s="967"/>
      <c r="AD234" s="967"/>
      <c r="AE234" s="967"/>
      <c r="AF234" s="967"/>
      <c r="AG234" s="967"/>
      <c r="AH234" s="967"/>
      <c r="AI234" s="967"/>
      <c r="AJ234" s="967"/>
      <c r="AK234" s="967"/>
      <c r="AL234" s="967"/>
      <c r="AM234" s="967"/>
      <c r="AN234" s="967"/>
      <c r="AO234" s="967"/>
      <c r="AP234" s="967"/>
      <c r="AQ234" s="967">
        <f>AO232+AV232+BC232+BJ232</f>
        <v>0</v>
      </c>
      <c r="AR234" s="967"/>
      <c r="AS234" s="967"/>
      <c r="AT234" s="967"/>
      <c r="AU234" s="967"/>
      <c r="AV234" s="967"/>
      <c r="AW234" s="967"/>
      <c r="AX234" s="967"/>
      <c r="AY234" s="967"/>
      <c r="AZ234" s="967"/>
      <c r="BA234" s="967"/>
      <c r="BB234" s="967"/>
      <c r="BC234" s="967"/>
      <c r="BD234" s="967"/>
      <c r="BE234" s="967"/>
      <c r="BF234" s="967"/>
      <c r="BG234" s="967"/>
      <c r="BH234" s="967"/>
      <c r="BI234" s="967"/>
      <c r="BJ234" s="967"/>
      <c r="BK234" s="967"/>
      <c r="BL234" s="967"/>
      <c r="BM234" s="967"/>
      <c r="BN234" s="967"/>
      <c r="BO234" s="967"/>
      <c r="BP234" s="967"/>
      <c r="BQ234" s="967"/>
      <c r="BR234" s="967"/>
      <c r="BS234" s="967"/>
      <c r="BT234" s="967"/>
      <c r="BU234" s="967">
        <f>BQ232+BX232+CE232+CL232+CS232</f>
        <v>0</v>
      </c>
      <c r="BV234" s="967"/>
      <c r="BW234" s="967"/>
      <c r="BX234" s="967"/>
      <c r="BY234" s="967"/>
      <c r="BZ234" s="967"/>
      <c r="CA234" s="967"/>
      <c r="CB234" s="967"/>
      <c r="CC234" s="967"/>
      <c r="CD234" s="967"/>
      <c r="CE234" s="967"/>
      <c r="CF234" s="967"/>
      <c r="CG234" s="967"/>
      <c r="CH234" s="967"/>
      <c r="CI234" s="967"/>
      <c r="CJ234" s="967"/>
      <c r="CK234" s="967"/>
      <c r="CL234" s="967"/>
      <c r="CM234" s="967"/>
      <c r="CN234" s="967"/>
      <c r="CO234" s="967"/>
      <c r="CP234" s="967"/>
      <c r="CQ234" s="967"/>
      <c r="CR234" s="967"/>
      <c r="CS234" s="967"/>
      <c r="CT234" s="967"/>
      <c r="CU234" s="967"/>
      <c r="CV234" s="967"/>
      <c r="CW234" s="967"/>
      <c r="CX234" s="967"/>
      <c r="CY234" s="967"/>
      <c r="CZ234" s="954"/>
    </row>
    <row r="235" spans="1:104" ht="8.1" customHeight="1">
      <c r="A235" s="938" t="str">
        <f>EDIFICACION!A603</f>
        <v>13.2</v>
      </c>
      <c r="B235" s="940" t="str">
        <f>EDIFICACION!B603</f>
        <v>ASEO GENERAL ENTREGA (AREAS INTERNAS MENORES DE 1000 M2)</v>
      </c>
      <c r="C235" s="1046" t="str">
        <f>EDIFICACION!C603</f>
        <v>M2</v>
      </c>
      <c r="D235" s="1045">
        <f>18*3</f>
        <v>54</v>
      </c>
      <c r="E235" s="944">
        <f>EDIFICACION!F603</f>
        <v>2197</v>
      </c>
      <c r="F235" s="1003">
        <f>E235*D235</f>
        <v>118638</v>
      </c>
      <c r="G235" s="948">
        <f>F235/F259</f>
        <v>3.5823349416861137E-4</v>
      </c>
      <c r="H235" s="1139"/>
      <c r="I235" s="982" t="s">
        <v>3339</v>
      </c>
      <c r="J235" s="985" t="s">
        <v>3358</v>
      </c>
      <c r="K235" s="985" t="s">
        <v>3358</v>
      </c>
      <c r="L235" s="806" t="s">
        <v>3318</v>
      </c>
      <c r="M235" s="1034"/>
      <c r="N235" s="1033"/>
      <c r="O235" s="1033"/>
      <c r="P235" s="1033"/>
      <c r="Q235" s="1033"/>
      <c r="R235" s="1033"/>
      <c r="S235" s="1033"/>
      <c r="T235" s="1033"/>
      <c r="U235" s="1033"/>
      <c r="V235" s="1033"/>
      <c r="W235" s="1033"/>
      <c r="X235" s="1033"/>
      <c r="Y235" s="1033"/>
      <c r="Z235" s="1033"/>
      <c r="AA235" s="1033"/>
      <c r="AB235" s="1033"/>
      <c r="AC235" s="1033"/>
      <c r="AD235" s="1033"/>
      <c r="AE235" s="1033"/>
      <c r="AF235" s="1033"/>
      <c r="AG235" s="1033"/>
      <c r="AH235" s="1033"/>
      <c r="AI235" s="1033"/>
      <c r="AJ235" s="1033"/>
      <c r="AK235" s="1033"/>
      <c r="AL235" s="1033"/>
      <c r="AM235" s="1033"/>
      <c r="AN235" s="1033"/>
      <c r="AO235" s="1033"/>
      <c r="AP235" s="1033"/>
      <c r="AQ235" s="1033"/>
      <c r="AR235" s="1033"/>
      <c r="AS235" s="1033"/>
      <c r="AT235" s="1033"/>
      <c r="AU235" s="1033"/>
      <c r="AV235" s="1033"/>
      <c r="AW235" s="1033"/>
      <c r="AX235" s="1033"/>
      <c r="AY235" s="1033"/>
      <c r="AZ235" s="1033"/>
      <c r="BA235" s="1033"/>
      <c r="BB235" s="1033"/>
      <c r="BC235" s="1033"/>
      <c r="BD235" s="1033"/>
      <c r="BE235" s="1033"/>
      <c r="BF235" s="1033"/>
      <c r="BG235" s="1033"/>
      <c r="BH235" s="1033"/>
      <c r="BI235" s="1033"/>
      <c r="BJ235" s="1033"/>
      <c r="BK235" s="1033"/>
      <c r="BL235" s="1033"/>
      <c r="BM235" s="1033"/>
      <c r="BN235" s="1033"/>
      <c r="BO235" s="1033"/>
      <c r="BP235" s="1033"/>
      <c r="BQ235" s="1033"/>
      <c r="BR235" s="1033"/>
      <c r="BS235" s="1033"/>
      <c r="BT235" s="1033"/>
      <c r="BU235" s="1033"/>
      <c r="BV235" s="1033"/>
      <c r="BW235" s="1033"/>
      <c r="BX235" s="1033"/>
      <c r="BY235" s="1033"/>
      <c r="BZ235" s="1033"/>
      <c r="CA235" s="1033"/>
      <c r="CB235" s="1033"/>
      <c r="CC235" s="1033"/>
      <c r="CD235" s="1033"/>
      <c r="CE235" s="1033"/>
      <c r="CF235" s="1033"/>
      <c r="CG235" s="1033"/>
      <c r="CH235" s="1033"/>
      <c r="CI235" s="1033"/>
      <c r="CJ235" s="1033"/>
      <c r="CK235" s="1033"/>
      <c r="CL235" s="1033"/>
      <c r="CM235" s="1033"/>
      <c r="CN235" s="1033"/>
      <c r="CO235" s="1033"/>
      <c r="CP235" s="1033"/>
      <c r="CQ235" s="1033"/>
      <c r="CR235" s="1033"/>
      <c r="CS235" s="1029">
        <f>F235/CZ235*CS236</f>
        <v>118638</v>
      </c>
      <c r="CT235" s="1030"/>
      <c r="CU235" s="1030"/>
      <c r="CV235" s="1030"/>
      <c r="CW235" s="1030"/>
      <c r="CX235" s="1030"/>
      <c r="CY235" s="1030"/>
      <c r="CZ235" s="957">
        <v>1</v>
      </c>
    </row>
    <row r="236" spans="1:104" ht="8.1" customHeight="1">
      <c r="A236" s="938"/>
      <c r="B236" s="940"/>
      <c r="C236" s="1046"/>
      <c r="D236" s="1045"/>
      <c r="E236" s="944"/>
      <c r="F236" s="1003"/>
      <c r="G236" s="948"/>
      <c r="H236" s="1139"/>
      <c r="I236" s="983"/>
      <c r="J236" s="986"/>
      <c r="K236" s="986"/>
      <c r="L236" s="807" t="s">
        <v>3319</v>
      </c>
      <c r="M236" s="811">
        <v>1</v>
      </c>
      <c r="N236" s="810">
        <v>2</v>
      </c>
      <c r="O236" s="810">
        <v>3</v>
      </c>
      <c r="P236" s="810">
        <v>4</v>
      </c>
      <c r="Q236" s="810">
        <v>5</v>
      </c>
      <c r="R236" s="810">
        <v>6</v>
      </c>
      <c r="S236" s="810">
        <v>7</v>
      </c>
      <c r="T236" s="810">
        <v>1</v>
      </c>
      <c r="U236" s="810">
        <v>2</v>
      </c>
      <c r="V236" s="810">
        <v>3</v>
      </c>
      <c r="W236" s="810">
        <v>4</v>
      </c>
      <c r="X236" s="810">
        <v>5</v>
      </c>
      <c r="Y236" s="810">
        <v>6</v>
      </c>
      <c r="Z236" s="810">
        <v>7</v>
      </c>
      <c r="AA236" s="810">
        <v>1</v>
      </c>
      <c r="AB236" s="810">
        <v>2</v>
      </c>
      <c r="AC236" s="810">
        <v>3</v>
      </c>
      <c r="AD236" s="810">
        <v>4</v>
      </c>
      <c r="AE236" s="810">
        <v>5</v>
      </c>
      <c r="AF236" s="810">
        <v>6</v>
      </c>
      <c r="AG236" s="810">
        <v>7</v>
      </c>
      <c r="AH236" s="810">
        <v>1</v>
      </c>
      <c r="AI236" s="810">
        <v>2</v>
      </c>
      <c r="AJ236" s="810">
        <v>3</v>
      </c>
      <c r="AK236" s="810">
        <v>4</v>
      </c>
      <c r="AL236" s="810">
        <v>5</v>
      </c>
      <c r="AM236" s="810">
        <v>6</v>
      </c>
      <c r="AN236" s="810">
        <v>7</v>
      </c>
      <c r="AO236" s="810">
        <v>1</v>
      </c>
      <c r="AP236" s="810">
        <v>2</v>
      </c>
      <c r="AQ236" s="810">
        <v>3</v>
      </c>
      <c r="AR236" s="810">
        <v>4</v>
      </c>
      <c r="AS236" s="810">
        <v>5</v>
      </c>
      <c r="AT236" s="810">
        <v>6</v>
      </c>
      <c r="AU236" s="810">
        <v>7</v>
      </c>
      <c r="AV236" s="810">
        <v>1</v>
      </c>
      <c r="AW236" s="810">
        <v>2</v>
      </c>
      <c r="AX236" s="810">
        <v>3</v>
      </c>
      <c r="AY236" s="810">
        <v>4</v>
      </c>
      <c r="AZ236" s="810">
        <v>5</v>
      </c>
      <c r="BA236" s="810">
        <v>6</v>
      </c>
      <c r="BB236" s="810">
        <v>7</v>
      </c>
      <c r="BC236" s="810">
        <v>1</v>
      </c>
      <c r="BD236" s="810">
        <v>2</v>
      </c>
      <c r="BE236" s="810">
        <v>3</v>
      </c>
      <c r="BF236" s="810">
        <v>4</v>
      </c>
      <c r="BG236" s="810">
        <v>5</v>
      </c>
      <c r="BH236" s="810">
        <v>6</v>
      </c>
      <c r="BI236" s="810">
        <v>7</v>
      </c>
      <c r="BJ236" s="810">
        <v>1</v>
      </c>
      <c r="BK236" s="810">
        <v>2</v>
      </c>
      <c r="BL236" s="810">
        <v>3</v>
      </c>
      <c r="BM236" s="810">
        <v>4</v>
      </c>
      <c r="BN236" s="810">
        <v>5</v>
      </c>
      <c r="BO236" s="810">
        <v>6</v>
      </c>
      <c r="BP236" s="810">
        <v>7</v>
      </c>
      <c r="BQ236" s="810">
        <v>1</v>
      </c>
      <c r="BR236" s="810">
        <v>2</v>
      </c>
      <c r="BS236" s="810">
        <v>3</v>
      </c>
      <c r="BT236" s="810">
        <v>4</v>
      </c>
      <c r="BU236" s="810">
        <v>5</v>
      </c>
      <c r="BV236" s="810">
        <v>6</v>
      </c>
      <c r="BW236" s="810">
        <v>7</v>
      </c>
      <c r="BX236" s="810">
        <v>1</v>
      </c>
      <c r="BY236" s="810">
        <v>2</v>
      </c>
      <c r="BZ236" s="810">
        <v>3</v>
      </c>
      <c r="CA236" s="810">
        <v>4</v>
      </c>
      <c r="CB236" s="810">
        <v>5</v>
      </c>
      <c r="CC236" s="810">
        <v>6</v>
      </c>
      <c r="CD236" s="810">
        <v>7</v>
      </c>
      <c r="CE236" s="810">
        <v>1</v>
      </c>
      <c r="CF236" s="810">
        <v>2</v>
      </c>
      <c r="CG236" s="810">
        <v>3</v>
      </c>
      <c r="CH236" s="810">
        <v>4</v>
      </c>
      <c r="CI236" s="810">
        <v>5</v>
      </c>
      <c r="CJ236" s="810">
        <v>6</v>
      </c>
      <c r="CK236" s="810">
        <v>7</v>
      </c>
      <c r="CL236" s="810">
        <v>1</v>
      </c>
      <c r="CM236" s="810">
        <v>2</v>
      </c>
      <c r="CN236" s="810">
        <v>3</v>
      </c>
      <c r="CO236" s="810">
        <v>4</v>
      </c>
      <c r="CP236" s="810">
        <v>5</v>
      </c>
      <c r="CQ236" s="810">
        <v>6</v>
      </c>
      <c r="CR236" s="810">
        <v>7</v>
      </c>
      <c r="CS236" s="810">
        <v>1</v>
      </c>
      <c r="CT236" s="810">
        <v>2</v>
      </c>
      <c r="CU236" s="810">
        <v>3</v>
      </c>
      <c r="CV236" s="810">
        <v>4</v>
      </c>
      <c r="CW236" s="810">
        <v>5</v>
      </c>
      <c r="CX236" s="812">
        <v>6</v>
      </c>
      <c r="CY236" s="810">
        <v>7</v>
      </c>
      <c r="CZ236" s="957"/>
    </row>
    <row r="237" spans="1:104" ht="8.1" customHeight="1" thickBot="1">
      <c r="A237" s="939"/>
      <c r="B237" s="941"/>
      <c r="C237" s="1047"/>
      <c r="D237" s="1048"/>
      <c r="E237" s="945"/>
      <c r="F237" s="1004"/>
      <c r="G237" s="949"/>
      <c r="H237" s="1139"/>
      <c r="I237" s="984"/>
      <c r="J237" s="987"/>
      <c r="K237" s="987"/>
      <c r="L237" s="808" t="s">
        <v>3320</v>
      </c>
      <c r="M237" s="1024">
        <f>M235+T235+AA235+AH235</f>
        <v>0</v>
      </c>
      <c r="N237" s="967"/>
      <c r="O237" s="967"/>
      <c r="P237" s="967"/>
      <c r="Q237" s="967"/>
      <c r="R237" s="967"/>
      <c r="S237" s="967"/>
      <c r="T237" s="967"/>
      <c r="U237" s="967"/>
      <c r="V237" s="967"/>
      <c r="W237" s="967"/>
      <c r="X237" s="967"/>
      <c r="Y237" s="967"/>
      <c r="Z237" s="967"/>
      <c r="AA237" s="967"/>
      <c r="AB237" s="967"/>
      <c r="AC237" s="967"/>
      <c r="AD237" s="967"/>
      <c r="AE237" s="967"/>
      <c r="AF237" s="967"/>
      <c r="AG237" s="967"/>
      <c r="AH237" s="967"/>
      <c r="AI237" s="967"/>
      <c r="AJ237" s="967"/>
      <c r="AK237" s="967"/>
      <c r="AL237" s="967"/>
      <c r="AM237" s="967"/>
      <c r="AN237" s="967"/>
      <c r="AO237" s="967"/>
      <c r="AP237" s="967"/>
      <c r="AQ237" s="967">
        <f>AO235+AV235+BC235+BJ235</f>
        <v>0</v>
      </c>
      <c r="AR237" s="967"/>
      <c r="AS237" s="967"/>
      <c r="AT237" s="967"/>
      <c r="AU237" s="967"/>
      <c r="AV237" s="967"/>
      <c r="AW237" s="967"/>
      <c r="AX237" s="967"/>
      <c r="AY237" s="967"/>
      <c r="AZ237" s="967"/>
      <c r="BA237" s="967"/>
      <c r="BB237" s="967"/>
      <c r="BC237" s="967"/>
      <c r="BD237" s="967"/>
      <c r="BE237" s="967"/>
      <c r="BF237" s="967"/>
      <c r="BG237" s="967"/>
      <c r="BH237" s="967"/>
      <c r="BI237" s="967"/>
      <c r="BJ237" s="967"/>
      <c r="BK237" s="967"/>
      <c r="BL237" s="967"/>
      <c r="BM237" s="967"/>
      <c r="BN237" s="967"/>
      <c r="BO237" s="967"/>
      <c r="BP237" s="967"/>
      <c r="BQ237" s="967"/>
      <c r="BR237" s="967"/>
      <c r="BS237" s="967"/>
      <c r="BT237" s="967"/>
      <c r="BU237" s="967">
        <f>BQ235+BX235+CE235+CL235+CS235</f>
        <v>118638</v>
      </c>
      <c r="BV237" s="967"/>
      <c r="BW237" s="967"/>
      <c r="BX237" s="967"/>
      <c r="BY237" s="967"/>
      <c r="BZ237" s="967"/>
      <c r="CA237" s="967"/>
      <c r="CB237" s="967"/>
      <c r="CC237" s="967"/>
      <c r="CD237" s="967"/>
      <c r="CE237" s="967"/>
      <c r="CF237" s="967"/>
      <c r="CG237" s="967"/>
      <c r="CH237" s="967"/>
      <c r="CI237" s="967"/>
      <c r="CJ237" s="967"/>
      <c r="CK237" s="967"/>
      <c r="CL237" s="967"/>
      <c r="CM237" s="967"/>
      <c r="CN237" s="967"/>
      <c r="CO237" s="967"/>
      <c r="CP237" s="967"/>
      <c r="CQ237" s="967"/>
      <c r="CR237" s="967"/>
      <c r="CS237" s="967"/>
      <c r="CT237" s="967"/>
      <c r="CU237" s="967"/>
      <c r="CV237" s="967"/>
      <c r="CW237" s="967"/>
      <c r="CX237" s="967"/>
      <c r="CY237" s="967"/>
      <c r="CZ237" s="957"/>
    </row>
    <row r="238" spans="1:104" ht="20.100000000000001" customHeight="1">
      <c r="A238" s="724"/>
      <c r="B238" s="928"/>
      <c r="C238" s="714"/>
      <c r="D238" s="759"/>
      <c r="E238" s="771"/>
      <c r="F238" s="769">
        <f>SUM(F232:F237)</f>
        <v>1855181.5</v>
      </c>
      <c r="G238" s="776">
        <f>F238/F259</f>
        <v>5.6018151946422368E-3</v>
      </c>
      <c r="H238" s="1139"/>
      <c r="I238" s="995" t="s">
        <v>3336</v>
      </c>
      <c r="J238" s="995"/>
      <c r="K238" s="995"/>
      <c r="L238" s="995"/>
      <c r="M238" s="996">
        <f>M234+M237</f>
        <v>1736543.5</v>
      </c>
      <c r="N238" s="996"/>
      <c r="O238" s="996"/>
      <c r="P238" s="996"/>
      <c r="Q238" s="996"/>
      <c r="R238" s="996"/>
      <c r="S238" s="996"/>
      <c r="T238" s="996"/>
      <c r="U238" s="996"/>
      <c r="V238" s="996"/>
      <c r="W238" s="996"/>
      <c r="X238" s="996"/>
      <c r="Y238" s="996"/>
      <c r="Z238" s="996"/>
      <c r="AA238" s="996"/>
      <c r="AB238" s="996"/>
      <c r="AC238" s="996"/>
      <c r="AD238" s="996"/>
      <c r="AE238" s="996"/>
      <c r="AF238" s="996"/>
      <c r="AG238" s="996"/>
      <c r="AH238" s="996"/>
      <c r="AI238" s="996"/>
      <c r="AJ238" s="996"/>
      <c r="AK238" s="996"/>
      <c r="AL238" s="996"/>
      <c r="AM238" s="996"/>
      <c r="AN238" s="996"/>
      <c r="AO238" s="996"/>
      <c r="AP238" s="997"/>
      <c r="AQ238" s="996">
        <f>AQ234+AQ237</f>
        <v>0</v>
      </c>
      <c r="AR238" s="996"/>
      <c r="AS238" s="996"/>
      <c r="AT238" s="996"/>
      <c r="AU238" s="996"/>
      <c r="AV238" s="996"/>
      <c r="AW238" s="996"/>
      <c r="AX238" s="996"/>
      <c r="AY238" s="996"/>
      <c r="AZ238" s="996"/>
      <c r="BA238" s="996"/>
      <c r="BB238" s="996"/>
      <c r="BC238" s="996"/>
      <c r="BD238" s="996"/>
      <c r="BE238" s="996"/>
      <c r="BF238" s="996"/>
      <c r="BG238" s="996"/>
      <c r="BH238" s="996"/>
      <c r="BI238" s="996"/>
      <c r="BJ238" s="996"/>
      <c r="BK238" s="996"/>
      <c r="BL238" s="996"/>
      <c r="BM238" s="996"/>
      <c r="BN238" s="996"/>
      <c r="BO238" s="996"/>
      <c r="BP238" s="996"/>
      <c r="BQ238" s="996"/>
      <c r="BR238" s="996"/>
      <c r="BS238" s="996"/>
      <c r="BT238" s="997"/>
      <c r="BU238" s="998">
        <f>BU234+BU237</f>
        <v>118638</v>
      </c>
      <c r="BV238" s="998"/>
      <c r="BW238" s="998"/>
      <c r="BX238" s="998"/>
      <c r="BY238" s="998"/>
      <c r="BZ238" s="998"/>
      <c r="CA238" s="998"/>
      <c r="CB238" s="998"/>
      <c r="CC238" s="998"/>
      <c r="CD238" s="998"/>
      <c r="CE238" s="998"/>
      <c r="CF238" s="998"/>
      <c r="CG238" s="998"/>
      <c r="CH238" s="998"/>
      <c r="CI238" s="998"/>
      <c r="CJ238" s="998"/>
      <c r="CK238" s="998"/>
      <c r="CL238" s="998"/>
      <c r="CM238" s="998"/>
      <c r="CN238" s="998"/>
      <c r="CO238" s="998"/>
      <c r="CP238" s="998"/>
      <c r="CQ238" s="998"/>
      <c r="CR238" s="998"/>
      <c r="CS238" s="998"/>
      <c r="CT238" s="998"/>
      <c r="CU238" s="998"/>
      <c r="CV238" s="998"/>
      <c r="CW238" s="998"/>
      <c r="CX238" s="998"/>
      <c r="CY238" s="998"/>
      <c r="CZ238" s="858">
        <f>SUM(CZ232:CZ237)</f>
        <v>2</v>
      </c>
    </row>
    <row r="239" spans="1:104" ht="20.100000000000001" customHeight="1">
      <c r="A239" s="724"/>
      <c r="B239" s="928"/>
      <c r="C239" s="714"/>
      <c r="D239" s="759"/>
      <c r="E239" s="757"/>
      <c r="F239" s="716"/>
      <c r="H239" s="1139"/>
      <c r="I239" s="958" t="s">
        <v>3324</v>
      </c>
      <c r="J239" s="958"/>
      <c r="K239" s="958"/>
      <c r="L239" s="958"/>
      <c r="M239" s="959">
        <f>M238+AQ238+BU238</f>
        <v>1855181.5</v>
      </c>
      <c r="N239" s="960"/>
      <c r="O239" s="960"/>
      <c r="P239" s="960"/>
      <c r="Q239" s="960"/>
      <c r="R239" s="960"/>
      <c r="S239" s="960"/>
      <c r="T239" s="960"/>
      <c r="U239" s="960"/>
      <c r="V239" s="960"/>
      <c r="W239" s="960"/>
      <c r="X239" s="960"/>
      <c r="Y239" s="960"/>
      <c r="Z239" s="960"/>
      <c r="AA239" s="960"/>
      <c r="AB239" s="960"/>
      <c r="AC239" s="960"/>
      <c r="AD239" s="960"/>
      <c r="AE239" s="960"/>
      <c r="AF239" s="960"/>
      <c r="AG239" s="960"/>
      <c r="AH239" s="960"/>
      <c r="AI239" s="960"/>
      <c r="AJ239" s="960"/>
      <c r="AK239" s="960"/>
      <c r="AL239" s="960"/>
      <c r="AM239" s="960"/>
      <c r="AN239" s="960"/>
      <c r="AO239" s="960"/>
      <c r="AP239" s="960"/>
      <c r="AQ239" s="960"/>
      <c r="AR239" s="960"/>
      <c r="AS239" s="960"/>
      <c r="AT239" s="960"/>
      <c r="AU239" s="960"/>
      <c r="AV239" s="960"/>
      <c r="AW239" s="960"/>
      <c r="AX239" s="960"/>
      <c r="AY239" s="960"/>
      <c r="AZ239" s="960"/>
      <c r="BA239" s="960"/>
      <c r="BB239" s="960"/>
      <c r="BC239" s="960"/>
      <c r="BD239" s="960"/>
      <c r="BE239" s="960"/>
      <c r="BF239" s="960"/>
      <c r="BG239" s="960"/>
      <c r="BH239" s="960"/>
      <c r="BI239" s="960"/>
      <c r="BJ239" s="960"/>
      <c r="BK239" s="960"/>
      <c r="BL239" s="960"/>
      <c r="BM239" s="960"/>
      <c r="BN239" s="960"/>
      <c r="BO239" s="960"/>
      <c r="BP239" s="960"/>
      <c r="BQ239" s="960"/>
      <c r="BR239" s="960"/>
      <c r="BS239" s="960"/>
      <c r="BT239" s="960"/>
      <c r="BU239" s="960"/>
      <c r="BV239" s="960"/>
      <c r="BW239" s="960"/>
      <c r="BX239" s="960"/>
      <c r="BY239" s="960"/>
      <c r="BZ239" s="960"/>
      <c r="CA239" s="960"/>
      <c r="CB239" s="960"/>
      <c r="CC239" s="960"/>
      <c r="CD239" s="960"/>
      <c r="CE239" s="960"/>
      <c r="CF239" s="960"/>
      <c r="CG239" s="960"/>
      <c r="CH239" s="960"/>
      <c r="CI239" s="960"/>
      <c r="CJ239" s="960"/>
      <c r="CK239" s="960"/>
      <c r="CL239" s="960"/>
      <c r="CM239" s="960"/>
      <c r="CN239" s="960"/>
      <c r="CO239" s="960"/>
      <c r="CP239" s="960"/>
      <c r="CQ239" s="960"/>
      <c r="CR239" s="960"/>
      <c r="CS239" s="960"/>
      <c r="CT239" s="960"/>
      <c r="CU239" s="960"/>
      <c r="CV239" s="960"/>
      <c r="CW239" s="960"/>
      <c r="CX239" s="960"/>
      <c r="CY239" s="960"/>
      <c r="CZ239" s="796"/>
    </row>
    <row r="240" spans="1:104" ht="20.100000000000001" customHeight="1">
      <c r="A240" s="720" t="s">
        <v>403</v>
      </c>
      <c r="B240" s="1106" t="str">
        <f>EDIFICACION!B608</f>
        <v>INSTALACIONES ELECTRICAS</v>
      </c>
      <c r="C240" s="1107"/>
      <c r="D240" s="1107"/>
      <c r="E240" s="1107"/>
      <c r="F240" s="1107"/>
      <c r="G240" s="1107"/>
      <c r="H240" s="1139"/>
      <c r="I240" s="863"/>
      <c r="J240" s="864"/>
      <c r="K240" s="864"/>
      <c r="L240" s="864"/>
      <c r="M240" s="865"/>
      <c r="N240" s="866"/>
      <c r="O240" s="866"/>
      <c r="P240" s="866"/>
      <c r="Q240" s="866"/>
      <c r="R240" s="866"/>
      <c r="S240" s="866"/>
      <c r="T240" s="866"/>
      <c r="U240" s="866"/>
      <c r="V240" s="866"/>
      <c r="W240" s="866"/>
      <c r="X240" s="866"/>
      <c r="Y240" s="866"/>
      <c r="Z240" s="866"/>
      <c r="AA240" s="866"/>
      <c r="AB240" s="866"/>
      <c r="AC240" s="866"/>
      <c r="AD240" s="866"/>
      <c r="AE240" s="866"/>
      <c r="AF240" s="866"/>
      <c r="AG240" s="866"/>
      <c r="AH240" s="866"/>
      <c r="AI240" s="866"/>
      <c r="AJ240" s="866"/>
      <c r="AK240" s="866"/>
      <c r="AL240" s="866"/>
      <c r="AM240" s="866"/>
      <c r="AN240" s="866"/>
      <c r="AO240" s="866"/>
      <c r="AP240" s="866"/>
      <c r="AQ240" s="866"/>
      <c r="AR240" s="866"/>
      <c r="AS240" s="866"/>
      <c r="AT240" s="866"/>
      <c r="AU240" s="866"/>
      <c r="AV240" s="866"/>
      <c r="AW240" s="866"/>
      <c r="AX240" s="866"/>
      <c r="AY240" s="866"/>
      <c r="AZ240" s="866"/>
      <c r="BA240" s="866"/>
      <c r="BB240" s="866"/>
      <c r="BC240" s="866"/>
      <c r="BD240" s="866"/>
      <c r="BE240" s="866"/>
      <c r="BF240" s="866"/>
      <c r="BG240" s="866"/>
      <c r="BH240" s="866"/>
      <c r="BI240" s="866"/>
      <c r="BJ240" s="866"/>
      <c r="BK240" s="866"/>
      <c r="BL240" s="866"/>
      <c r="BM240" s="866"/>
      <c r="BN240" s="866"/>
      <c r="BO240" s="866"/>
      <c r="BP240" s="866"/>
      <c r="BQ240" s="866"/>
      <c r="BR240" s="866"/>
      <c r="BS240" s="866"/>
      <c r="BT240" s="866"/>
      <c r="BU240" s="866"/>
      <c r="BV240" s="866"/>
      <c r="BW240" s="866"/>
      <c r="BX240" s="866"/>
      <c r="BY240" s="866"/>
      <c r="BZ240" s="866"/>
      <c r="CA240" s="866"/>
      <c r="CB240" s="866"/>
      <c r="CC240" s="866"/>
      <c r="CD240" s="866"/>
      <c r="CE240" s="866"/>
      <c r="CF240" s="866"/>
      <c r="CG240" s="866"/>
      <c r="CH240" s="866"/>
      <c r="CI240" s="866"/>
      <c r="CJ240" s="866"/>
      <c r="CK240" s="866"/>
      <c r="CL240" s="866"/>
      <c r="CM240" s="866"/>
      <c r="CN240" s="866"/>
      <c r="CO240" s="866"/>
      <c r="CP240" s="866"/>
      <c r="CQ240" s="866"/>
      <c r="CR240" s="866"/>
      <c r="CS240" s="866"/>
      <c r="CT240" s="866"/>
      <c r="CU240" s="866"/>
      <c r="CV240" s="866"/>
      <c r="CW240" s="866"/>
      <c r="CX240" s="866"/>
      <c r="CY240" s="866"/>
      <c r="CZ240" s="867"/>
    </row>
    <row r="241" spans="1:104" ht="12.75" customHeight="1" thickBot="1">
      <c r="A241" s="1045" t="str">
        <f>EDIFICACION!A609</f>
        <v>14.1</v>
      </c>
      <c r="B241" s="940" t="str">
        <f>EDIFICACION!B609</f>
        <v>SALIDA DE INTERRUPTOR SENCILLO  A 120V EN TUBERIA PVC CONDUIT DE 3/4" Y CABLE Cu THHN No 2x12 AWG EXZHELLENT (LIBRE DE HALOGENUROS)</v>
      </c>
      <c r="C241" s="1008" t="str">
        <f>EDIFICACION!C609</f>
        <v>UN</v>
      </c>
      <c r="D241" s="942">
        <v>2</v>
      </c>
      <c r="E241" s="944">
        <f>EDIFICACION!F609</f>
        <v>77616</v>
      </c>
      <c r="F241" s="946">
        <f>E241*D241</f>
        <v>155232</v>
      </c>
      <c r="G241" s="989">
        <f>F241/F259</f>
        <v>4.6873094427402583E-4</v>
      </c>
      <c r="H241" s="1139"/>
      <c r="I241" s="1146" t="s">
        <v>3340</v>
      </c>
      <c r="J241" s="1039"/>
      <c r="K241" s="1039"/>
      <c r="L241" s="835" t="s">
        <v>3318</v>
      </c>
      <c r="M241" s="1128"/>
      <c r="N241" s="965"/>
      <c r="O241" s="965"/>
      <c r="P241" s="965"/>
      <c r="Q241" s="965"/>
      <c r="R241" s="965"/>
      <c r="S241" s="965"/>
      <c r="T241" s="965"/>
      <c r="U241" s="965"/>
      <c r="V241" s="965"/>
      <c r="W241" s="965"/>
      <c r="X241" s="965"/>
      <c r="Y241" s="965"/>
      <c r="Z241" s="965"/>
      <c r="AA241" s="965"/>
      <c r="AB241" s="965"/>
      <c r="AC241" s="965"/>
      <c r="AD241" s="965"/>
      <c r="AE241" s="965"/>
      <c r="AF241" s="965"/>
      <c r="AG241" s="965"/>
      <c r="AH241" s="965"/>
      <c r="AI241" s="965"/>
      <c r="AJ241" s="965"/>
      <c r="AK241" s="965"/>
      <c r="AL241" s="965"/>
      <c r="AM241" s="965"/>
      <c r="AN241" s="965"/>
      <c r="AO241" s="1144">
        <f>F241/CZ241*2</f>
        <v>155232</v>
      </c>
      <c r="AP241" s="1144"/>
      <c r="AQ241" s="1144"/>
      <c r="AR241" s="1144"/>
      <c r="AS241" s="1144"/>
      <c r="AT241" s="1144"/>
      <c r="AU241" s="1144"/>
      <c r="AV241" s="965"/>
      <c r="AW241" s="965"/>
      <c r="AX241" s="965"/>
      <c r="AY241" s="965"/>
      <c r="AZ241" s="965"/>
      <c r="BA241" s="965"/>
      <c r="BB241" s="965"/>
      <c r="BC241" s="965"/>
      <c r="BD241" s="965"/>
      <c r="BE241" s="965"/>
      <c r="BF241" s="965"/>
      <c r="BG241" s="965"/>
      <c r="BH241" s="965"/>
      <c r="BI241" s="965"/>
      <c r="BJ241" s="965"/>
      <c r="BK241" s="965"/>
      <c r="BL241" s="965"/>
      <c r="BM241" s="965"/>
      <c r="BN241" s="965"/>
      <c r="BO241" s="965"/>
      <c r="BP241" s="965"/>
      <c r="BQ241" s="965"/>
      <c r="BR241" s="965"/>
      <c r="BS241" s="965"/>
      <c r="BT241" s="965"/>
      <c r="BU241" s="965"/>
      <c r="BV241" s="965"/>
      <c r="BW241" s="965"/>
      <c r="BX241" s="965"/>
      <c r="BY241" s="965"/>
      <c r="BZ241" s="965"/>
      <c r="CA241" s="965"/>
      <c r="CB241" s="965"/>
      <c r="CC241" s="965"/>
      <c r="CD241" s="965"/>
      <c r="CE241" s="965"/>
      <c r="CF241" s="965"/>
      <c r="CG241" s="965"/>
      <c r="CH241" s="965"/>
      <c r="CI241" s="965"/>
      <c r="CJ241" s="965"/>
      <c r="CK241" s="965"/>
      <c r="CL241" s="965"/>
      <c r="CM241" s="965"/>
      <c r="CN241" s="965"/>
      <c r="CO241" s="965"/>
      <c r="CP241" s="965"/>
      <c r="CQ241" s="965"/>
      <c r="CR241" s="965"/>
      <c r="CS241" s="1019"/>
      <c r="CT241" s="1019"/>
      <c r="CU241" s="1019"/>
      <c r="CV241" s="1019"/>
      <c r="CW241" s="1019"/>
      <c r="CX241" s="1019"/>
      <c r="CY241" s="1019"/>
      <c r="CZ241" s="954">
        <v>2</v>
      </c>
    </row>
    <row r="242" spans="1:104" ht="12.75" customHeight="1" thickBot="1">
      <c r="A242" s="1045"/>
      <c r="B242" s="940"/>
      <c r="C242" s="1008"/>
      <c r="D242" s="942"/>
      <c r="E242" s="944"/>
      <c r="F242" s="946"/>
      <c r="G242" s="989"/>
      <c r="H242" s="1139"/>
      <c r="I242" s="1117"/>
      <c r="J242" s="986"/>
      <c r="K242" s="986"/>
      <c r="L242" s="807" t="s">
        <v>3319</v>
      </c>
      <c r="M242" s="811">
        <v>1</v>
      </c>
      <c r="N242" s="810">
        <v>2</v>
      </c>
      <c r="O242" s="810">
        <v>3</v>
      </c>
      <c r="P242" s="810">
        <v>4</v>
      </c>
      <c r="Q242" s="810">
        <v>5</v>
      </c>
      <c r="R242" s="810">
        <v>6</v>
      </c>
      <c r="S242" s="810">
        <v>7</v>
      </c>
      <c r="T242" s="810">
        <v>1</v>
      </c>
      <c r="U242" s="810">
        <v>2</v>
      </c>
      <c r="V242" s="810">
        <v>3</v>
      </c>
      <c r="W242" s="810">
        <v>4</v>
      </c>
      <c r="X242" s="810">
        <v>5</v>
      </c>
      <c r="Y242" s="810">
        <v>6</v>
      </c>
      <c r="Z242" s="810">
        <v>7</v>
      </c>
      <c r="AA242" s="810">
        <v>1</v>
      </c>
      <c r="AB242" s="810">
        <v>2</v>
      </c>
      <c r="AC242" s="810">
        <v>3</v>
      </c>
      <c r="AD242" s="810">
        <v>4</v>
      </c>
      <c r="AE242" s="810">
        <v>5</v>
      </c>
      <c r="AF242" s="810">
        <v>6</v>
      </c>
      <c r="AG242" s="810">
        <v>7</v>
      </c>
      <c r="AH242" s="810">
        <v>1</v>
      </c>
      <c r="AI242" s="810">
        <v>2</v>
      </c>
      <c r="AJ242" s="810">
        <v>3</v>
      </c>
      <c r="AK242" s="810">
        <v>4</v>
      </c>
      <c r="AL242" s="810">
        <v>5</v>
      </c>
      <c r="AM242" s="810">
        <v>6</v>
      </c>
      <c r="AN242" s="810">
        <v>7</v>
      </c>
      <c r="AO242" s="810">
        <v>1</v>
      </c>
      <c r="AP242" s="810">
        <v>2</v>
      </c>
      <c r="AQ242" s="810">
        <v>3</v>
      </c>
      <c r="AR242" s="812">
        <v>4</v>
      </c>
      <c r="AS242" s="812">
        <v>5</v>
      </c>
      <c r="AT242" s="810">
        <v>6</v>
      </c>
      <c r="AU242" s="810">
        <v>7</v>
      </c>
      <c r="AV242" s="810">
        <v>1</v>
      </c>
      <c r="AW242" s="810">
        <v>2</v>
      </c>
      <c r="AX242" s="810">
        <v>3</v>
      </c>
      <c r="AY242" s="810">
        <v>4</v>
      </c>
      <c r="AZ242" s="810">
        <v>5</v>
      </c>
      <c r="BA242" s="810">
        <v>6</v>
      </c>
      <c r="BB242" s="810">
        <v>7</v>
      </c>
      <c r="BC242" s="810">
        <v>1</v>
      </c>
      <c r="BD242" s="810">
        <v>2</v>
      </c>
      <c r="BE242" s="810">
        <v>3</v>
      </c>
      <c r="BF242" s="810">
        <v>4</v>
      </c>
      <c r="BG242" s="810">
        <v>5</v>
      </c>
      <c r="BH242" s="810">
        <v>6</v>
      </c>
      <c r="BI242" s="810">
        <v>7</v>
      </c>
      <c r="BJ242" s="810">
        <v>1</v>
      </c>
      <c r="BK242" s="810">
        <v>2</v>
      </c>
      <c r="BL242" s="810">
        <v>3</v>
      </c>
      <c r="BM242" s="810">
        <v>4</v>
      </c>
      <c r="BN242" s="810">
        <v>5</v>
      </c>
      <c r="BO242" s="810">
        <v>6</v>
      </c>
      <c r="BP242" s="810">
        <v>7</v>
      </c>
      <c r="BQ242" s="810">
        <v>1</v>
      </c>
      <c r="BR242" s="810">
        <v>2</v>
      </c>
      <c r="BS242" s="810">
        <v>3</v>
      </c>
      <c r="BT242" s="810">
        <v>4</v>
      </c>
      <c r="BU242" s="810">
        <v>5</v>
      </c>
      <c r="BV242" s="810">
        <v>6</v>
      </c>
      <c r="BW242" s="810">
        <v>7</v>
      </c>
      <c r="BX242" s="810">
        <v>1</v>
      </c>
      <c r="BY242" s="810">
        <v>2</v>
      </c>
      <c r="BZ242" s="810">
        <v>3</v>
      </c>
      <c r="CA242" s="810">
        <v>4</v>
      </c>
      <c r="CB242" s="810">
        <v>5</v>
      </c>
      <c r="CC242" s="810">
        <v>6</v>
      </c>
      <c r="CD242" s="810">
        <v>7</v>
      </c>
      <c r="CE242" s="810">
        <v>1</v>
      </c>
      <c r="CF242" s="810">
        <v>2</v>
      </c>
      <c r="CG242" s="810">
        <v>3</v>
      </c>
      <c r="CH242" s="810">
        <v>4</v>
      </c>
      <c r="CI242" s="810">
        <v>5</v>
      </c>
      <c r="CJ242" s="810">
        <v>6</v>
      </c>
      <c r="CK242" s="810">
        <v>7</v>
      </c>
      <c r="CL242" s="810">
        <v>1</v>
      </c>
      <c r="CM242" s="810">
        <v>2</v>
      </c>
      <c r="CN242" s="810">
        <v>3</v>
      </c>
      <c r="CO242" s="810">
        <v>4</v>
      </c>
      <c r="CP242" s="810">
        <v>5</v>
      </c>
      <c r="CQ242" s="810">
        <v>6</v>
      </c>
      <c r="CR242" s="810">
        <v>7</v>
      </c>
      <c r="CS242" s="810">
        <v>1</v>
      </c>
      <c r="CT242" s="810">
        <v>2</v>
      </c>
      <c r="CU242" s="810">
        <v>3</v>
      </c>
      <c r="CV242" s="816">
        <v>4</v>
      </c>
      <c r="CW242" s="816">
        <v>5</v>
      </c>
      <c r="CX242" s="781">
        <v>6</v>
      </c>
      <c r="CY242" s="781">
        <v>7</v>
      </c>
      <c r="CZ242" s="954"/>
    </row>
    <row r="243" spans="1:104" ht="12.75" customHeight="1" thickBot="1">
      <c r="A243" s="1048"/>
      <c r="B243" s="941"/>
      <c r="C243" s="1112"/>
      <c r="D243" s="943"/>
      <c r="E243" s="945"/>
      <c r="F243" s="947"/>
      <c r="G243" s="1002"/>
      <c r="H243" s="1139"/>
      <c r="I243" s="1117"/>
      <c r="J243" s="987"/>
      <c r="K243" s="987"/>
      <c r="L243" s="808" t="s">
        <v>3320</v>
      </c>
      <c r="M243" s="955">
        <f>M241+T241+AA241+AH241</f>
        <v>0</v>
      </c>
      <c r="N243" s="956"/>
      <c r="O243" s="956"/>
      <c r="P243" s="956"/>
      <c r="Q243" s="956"/>
      <c r="R243" s="956"/>
      <c r="S243" s="956"/>
      <c r="T243" s="956"/>
      <c r="U243" s="956"/>
      <c r="V243" s="956"/>
      <c r="W243" s="956"/>
      <c r="X243" s="956"/>
      <c r="Y243" s="956"/>
      <c r="Z243" s="956"/>
      <c r="AA243" s="956"/>
      <c r="AB243" s="956"/>
      <c r="AC243" s="956"/>
      <c r="AD243" s="956"/>
      <c r="AE243" s="956"/>
      <c r="AF243" s="956"/>
      <c r="AG243" s="956"/>
      <c r="AH243" s="956"/>
      <c r="AI243" s="956"/>
      <c r="AJ243" s="956"/>
      <c r="AK243" s="956"/>
      <c r="AL243" s="956"/>
      <c r="AM243" s="956"/>
      <c r="AN243" s="956"/>
      <c r="AO243" s="956"/>
      <c r="AP243" s="956"/>
      <c r="AQ243" s="956">
        <f>AO241+AV241+BC241+BJ241</f>
        <v>155232</v>
      </c>
      <c r="AR243" s="956"/>
      <c r="AS243" s="956"/>
      <c r="AT243" s="956"/>
      <c r="AU243" s="956"/>
      <c r="AV243" s="956"/>
      <c r="AW243" s="956"/>
      <c r="AX243" s="956"/>
      <c r="AY243" s="956"/>
      <c r="AZ243" s="956"/>
      <c r="BA243" s="956"/>
      <c r="BB243" s="956"/>
      <c r="BC243" s="956"/>
      <c r="BD243" s="956"/>
      <c r="BE243" s="956"/>
      <c r="BF243" s="956"/>
      <c r="BG243" s="956"/>
      <c r="BH243" s="956"/>
      <c r="BI243" s="956"/>
      <c r="BJ243" s="956"/>
      <c r="BK243" s="956"/>
      <c r="BL243" s="956"/>
      <c r="BM243" s="956"/>
      <c r="BN243" s="956"/>
      <c r="BO243" s="956"/>
      <c r="BP243" s="956"/>
      <c r="BQ243" s="956"/>
      <c r="BR243" s="956"/>
      <c r="BS243" s="956"/>
      <c r="BT243" s="956"/>
      <c r="BU243" s="956">
        <f>BQ241+BX241+CE241+CL241+CS241</f>
        <v>0</v>
      </c>
      <c r="BV243" s="956"/>
      <c r="BW243" s="956"/>
      <c r="BX243" s="956"/>
      <c r="BY243" s="956"/>
      <c r="BZ243" s="956"/>
      <c r="CA243" s="956"/>
      <c r="CB243" s="956"/>
      <c r="CC243" s="956"/>
      <c r="CD243" s="956"/>
      <c r="CE243" s="956"/>
      <c r="CF243" s="956"/>
      <c r="CG243" s="956"/>
      <c r="CH243" s="956"/>
      <c r="CI243" s="956"/>
      <c r="CJ243" s="956"/>
      <c r="CK243" s="956"/>
      <c r="CL243" s="956"/>
      <c r="CM243" s="956"/>
      <c r="CN243" s="956"/>
      <c r="CO243" s="956"/>
      <c r="CP243" s="956"/>
      <c r="CQ243" s="956"/>
      <c r="CR243" s="956"/>
      <c r="CS243" s="956"/>
      <c r="CT243" s="956"/>
      <c r="CU243" s="956"/>
      <c r="CV243" s="956"/>
      <c r="CW243" s="956"/>
      <c r="CX243" s="956"/>
      <c r="CY243" s="956"/>
      <c r="CZ243" s="954"/>
    </row>
    <row r="244" spans="1:104" ht="12.75" customHeight="1" thickBot="1">
      <c r="A244" s="1045" t="str">
        <f>EDIFICACION!A621</f>
        <v>14.2</v>
      </c>
      <c r="B244" s="1119" t="str">
        <f>EDIFICACION!B621</f>
        <v>SALIDA PANEL LED RECTANGULAR P27265-41  INCRUSTAR   40W  120X30  6K  MARCA SYLVANIA O SIMILAR - 100V / 240V   EN TUBERIA METALICA EMT 3/4" Y CABLE  Cu THHN No 3X12 AWG EXZHELLENT (LIBRE DE HALOGENUROS)</v>
      </c>
      <c r="C244" s="1045" t="str">
        <f>EDIFICACION!C621</f>
        <v>UN</v>
      </c>
      <c r="D244" s="942">
        <v>6</v>
      </c>
      <c r="E244" s="944">
        <f>EDIFICACION!F621</f>
        <v>320606.67925601813</v>
      </c>
      <c r="F244" s="946">
        <f>E244*D244</f>
        <v>1923640.0755361088</v>
      </c>
      <c r="G244" s="989">
        <f>F244/F259</f>
        <v>5.8085293563788307E-3</v>
      </c>
      <c r="H244" s="1139"/>
      <c r="I244" s="1117" t="s">
        <v>3340</v>
      </c>
      <c r="J244" s="985"/>
      <c r="K244" s="985"/>
      <c r="L244" s="806" t="s">
        <v>3318</v>
      </c>
      <c r="M244" s="1005"/>
      <c r="N244" s="952"/>
      <c r="O244" s="952"/>
      <c r="P244" s="952"/>
      <c r="Q244" s="952"/>
      <c r="R244" s="952"/>
      <c r="S244" s="952"/>
      <c r="T244" s="952"/>
      <c r="U244" s="952"/>
      <c r="V244" s="952"/>
      <c r="W244" s="952"/>
      <c r="X244" s="952"/>
      <c r="Y244" s="952"/>
      <c r="Z244" s="952"/>
      <c r="AA244" s="952"/>
      <c r="AB244" s="952"/>
      <c r="AC244" s="952"/>
      <c r="AD244" s="952"/>
      <c r="AE244" s="952"/>
      <c r="AF244" s="952"/>
      <c r="AG244" s="952"/>
      <c r="AH244" s="952"/>
      <c r="AI244" s="952"/>
      <c r="AJ244" s="952"/>
      <c r="AK244" s="952"/>
      <c r="AL244" s="952"/>
      <c r="AM244" s="952"/>
      <c r="AN244" s="952"/>
      <c r="AO244" s="952"/>
      <c r="AP244" s="952"/>
      <c r="AQ244" s="952"/>
      <c r="AR244" s="952"/>
      <c r="AS244" s="952"/>
      <c r="AT244" s="952"/>
      <c r="AU244" s="952"/>
      <c r="AV244" s="952"/>
      <c r="AW244" s="952"/>
      <c r="AX244" s="952"/>
      <c r="AY244" s="952"/>
      <c r="AZ244" s="952"/>
      <c r="BA244" s="952"/>
      <c r="BB244" s="952"/>
      <c r="BC244" s="952"/>
      <c r="BD244" s="952"/>
      <c r="BE244" s="952"/>
      <c r="BF244" s="952"/>
      <c r="BG244" s="952"/>
      <c r="BH244" s="952"/>
      <c r="BI244" s="952"/>
      <c r="BJ244" s="952"/>
      <c r="BK244" s="952"/>
      <c r="BL244" s="952"/>
      <c r="BM244" s="952"/>
      <c r="BN244" s="952"/>
      <c r="BO244" s="952"/>
      <c r="BP244" s="952"/>
      <c r="BQ244" s="952"/>
      <c r="BR244" s="952"/>
      <c r="BS244" s="952"/>
      <c r="BT244" s="952"/>
      <c r="BU244" s="952"/>
      <c r="BV244" s="952"/>
      <c r="BW244" s="952"/>
      <c r="BX244" s="952"/>
      <c r="BY244" s="952"/>
      <c r="BZ244" s="952"/>
      <c r="CA244" s="952"/>
      <c r="CB244" s="952"/>
      <c r="CC244" s="952"/>
      <c r="CD244" s="952"/>
      <c r="CE244" s="952"/>
      <c r="CF244" s="952"/>
      <c r="CG244" s="952"/>
      <c r="CH244" s="952"/>
      <c r="CI244" s="952"/>
      <c r="CJ244" s="952"/>
      <c r="CK244" s="952"/>
      <c r="CL244" s="952"/>
      <c r="CM244" s="952"/>
      <c r="CN244" s="952"/>
      <c r="CO244" s="952"/>
      <c r="CP244" s="952"/>
      <c r="CQ244" s="952"/>
      <c r="CR244" s="952"/>
      <c r="CS244" s="951">
        <f>F244/CZ244*2</f>
        <v>1923640.0755361088</v>
      </c>
      <c r="CT244" s="951"/>
      <c r="CU244" s="951"/>
      <c r="CV244" s="951"/>
      <c r="CW244" s="951"/>
      <c r="CX244" s="951"/>
      <c r="CY244" s="951"/>
      <c r="CZ244" s="953">
        <v>2</v>
      </c>
    </row>
    <row r="245" spans="1:104" ht="12.75" customHeight="1" thickBot="1">
      <c r="A245" s="1045"/>
      <c r="B245" s="1119"/>
      <c r="C245" s="1045"/>
      <c r="D245" s="942"/>
      <c r="E245" s="944"/>
      <c r="F245" s="946"/>
      <c r="G245" s="989"/>
      <c r="H245" s="1139"/>
      <c r="I245" s="1117"/>
      <c r="J245" s="986"/>
      <c r="K245" s="986"/>
      <c r="L245" s="807" t="s">
        <v>3319</v>
      </c>
      <c r="M245" s="811">
        <v>1</v>
      </c>
      <c r="N245" s="810">
        <v>2</v>
      </c>
      <c r="O245" s="810">
        <v>3</v>
      </c>
      <c r="P245" s="810">
        <v>4</v>
      </c>
      <c r="Q245" s="810">
        <v>5</v>
      </c>
      <c r="R245" s="810">
        <v>6</v>
      </c>
      <c r="S245" s="810">
        <v>7</v>
      </c>
      <c r="T245" s="810">
        <v>1</v>
      </c>
      <c r="U245" s="810">
        <v>2</v>
      </c>
      <c r="V245" s="810">
        <v>3</v>
      </c>
      <c r="W245" s="810">
        <v>4</v>
      </c>
      <c r="X245" s="810">
        <v>5</v>
      </c>
      <c r="Y245" s="810">
        <v>6</v>
      </c>
      <c r="Z245" s="810">
        <v>7</v>
      </c>
      <c r="AA245" s="810">
        <v>1</v>
      </c>
      <c r="AB245" s="810">
        <v>2</v>
      </c>
      <c r="AC245" s="810">
        <v>3</v>
      </c>
      <c r="AD245" s="810">
        <v>4</v>
      </c>
      <c r="AE245" s="810">
        <v>5</v>
      </c>
      <c r="AF245" s="810">
        <v>6</v>
      </c>
      <c r="AG245" s="810">
        <v>7</v>
      </c>
      <c r="AH245" s="810">
        <v>1</v>
      </c>
      <c r="AI245" s="810">
        <v>2</v>
      </c>
      <c r="AJ245" s="810">
        <v>3</v>
      </c>
      <c r="AK245" s="810">
        <v>4</v>
      </c>
      <c r="AL245" s="810">
        <v>5</v>
      </c>
      <c r="AM245" s="810">
        <v>6</v>
      </c>
      <c r="AN245" s="810">
        <v>7</v>
      </c>
      <c r="AO245" s="810">
        <v>1</v>
      </c>
      <c r="AP245" s="810">
        <v>2</v>
      </c>
      <c r="AQ245" s="810">
        <v>3</v>
      </c>
      <c r="AR245" s="810">
        <v>4</v>
      </c>
      <c r="AS245" s="810">
        <v>5</v>
      </c>
      <c r="AT245" s="810">
        <v>6</v>
      </c>
      <c r="AU245" s="810">
        <v>7</v>
      </c>
      <c r="AV245" s="810">
        <v>1</v>
      </c>
      <c r="AW245" s="810">
        <v>2</v>
      </c>
      <c r="AX245" s="810">
        <v>3</v>
      </c>
      <c r="AY245" s="810">
        <v>4</v>
      </c>
      <c r="AZ245" s="810">
        <v>5</v>
      </c>
      <c r="BA245" s="810">
        <v>6</v>
      </c>
      <c r="BB245" s="810">
        <v>7</v>
      </c>
      <c r="BC245" s="810">
        <v>1</v>
      </c>
      <c r="BD245" s="810">
        <v>2</v>
      </c>
      <c r="BE245" s="810">
        <v>3</v>
      </c>
      <c r="BF245" s="810">
        <v>4</v>
      </c>
      <c r="BG245" s="810">
        <v>5</v>
      </c>
      <c r="BH245" s="810">
        <v>6</v>
      </c>
      <c r="BI245" s="810">
        <v>7</v>
      </c>
      <c r="BJ245" s="810">
        <v>1</v>
      </c>
      <c r="BK245" s="810">
        <v>2</v>
      </c>
      <c r="BL245" s="810">
        <v>3</v>
      </c>
      <c r="BM245" s="810">
        <v>4</v>
      </c>
      <c r="BN245" s="810">
        <v>5</v>
      </c>
      <c r="BO245" s="810">
        <v>6</v>
      </c>
      <c r="BP245" s="810">
        <v>7</v>
      </c>
      <c r="BQ245" s="810">
        <v>1</v>
      </c>
      <c r="BR245" s="810">
        <v>2</v>
      </c>
      <c r="BS245" s="810">
        <v>3</v>
      </c>
      <c r="BT245" s="810">
        <v>4</v>
      </c>
      <c r="BU245" s="810">
        <v>5</v>
      </c>
      <c r="BV245" s="810">
        <v>6</v>
      </c>
      <c r="BW245" s="810">
        <v>7</v>
      </c>
      <c r="BX245" s="810">
        <v>1</v>
      </c>
      <c r="BY245" s="810">
        <v>2</v>
      </c>
      <c r="BZ245" s="810">
        <v>3</v>
      </c>
      <c r="CA245" s="810">
        <v>4</v>
      </c>
      <c r="CB245" s="810">
        <v>5</v>
      </c>
      <c r="CC245" s="810">
        <v>6</v>
      </c>
      <c r="CD245" s="810">
        <v>7</v>
      </c>
      <c r="CE245" s="810">
        <v>1</v>
      </c>
      <c r="CF245" s="810">
        <v>2</v>
      </c>
      <c r="CG245" s="810">
        <v>3</v>
      </c>
      <c r="CH245" s="810">
        <v>4</v>
      </c>
      <c r="CI245" s="810">
        <v>5</v>
      </c>
      <c r="CJ245" s="810">
        <v>6</v>
      </c>
      <c r="CK245" s="810">
        <v>7</v>
      </c>
      <c r="CL245" s="810">
        <v>1</v>
      </c>
      <c r="CM245" s="810">
        <v>2</v>
      </c>
      <c r="CN245" s="810">
        <v>3</v>
      </c>
      <c r="CO245" s="810">
        <v>4</v>
      </c>
      <c r="CP245" s="810">
        <v>5</v>
      </c>
      <c r="CQ245" s="810">
        <v>6</v>
      </c>
      <c r="CR245" s="810">
        <v>7</v>
      </c>
      <c r="CS245" s="810">
        <v>1</v>
      </c>
      <c r="CT245" s="810">
        <v>2</v>
      </c>
      <c r="CU245" s="810">
        <v>3</v>
      </c>
      <c r="CV245" s="816">
        <v>4</v>
      </c>
      <c r="CW245" s="812">
        <v>5</v>
      </c>
      <c r="CX245" s="834">
        <v>6</v>
      </c>
      <c r="CY245" s="781">
        <v>7</v>
      </c>
      <c r="CZ245" s="954"/>
    </row>
    <row r="246" spans="1:104" ht="25.5" customHeight="1" thickBot="1">
      <c r="A246" s="1048"/>
      <c r="B246" s="1145"/>
      <c r="C246" s="1048"/>
      <c r="D246" s="943"/>
      <c r="E246" s="945"/>
      <c r="F246" s="947"/>
      <c r="G246" s="1002"/>
      <c r="H246" s="1139"/>
      <c r="I246" s="1117"/>
      <c r="J246" s="987"/>
      <c r="K246" s="987"/>
      <c r="L246" s="808" t="s">
        <v>3320</v>
      </c>
      <c r="M246" s="955">
        <f>M244+T244+AA244+AH244</f>
        <v>0</v>
      </c>
      <c r="N246" s="956"/>
      <c r="O246" s="956"/>
      <c r="P246" s="956"/>
      <c r="Q246" s="956"/>
      <c r="R246" s="956"/>
      <c r="S246" s="956"/>
      <c r="T246" s="956"/>
      <c r="U246" s="956"/>
      <c r="V246" s="956"/>
      <c r="W246" s="956"/>
      <c r="X246" s="956"/>
      <c r="Y246" s="956"/>
      <c r="Z246" s="956"/>
      <c r="AA246" s="956"/>
      <c r="AB246" s="956"/>
      <c r="AC246" s="956"/>
      <c r="AD246" s="956"/>
      <c r="AE246" s="956"/>
      <c r="AF246" s="956"/>
      <c r="AG246" s="956"/>
      <c r="AH246" s="956"/>
      <c r="AI246" s="956"/>
      <c r="AJ246" s="956"/>
      <c r="AK246" s="956"/>
      <c r="AL246" s="956"/>
      <c r="AM246" s="956"/>
      <c r="AN246" s="956"/>
      <c r="AO246" s="956"/>
      <c r="AP246" s="956"/>
      <c r="AQ246" s="956">
        <f>AO244+AV244+BC244+BJ244</f>
        <v>0</v>
      </c>
      <c r="AR246" s="956"/>
      <c r="AS246" s="956"/>
      <c r="AT246" s="956"/>
      <c r="AU246" s="956"/>
      <c r="AV246" s="956"/>
      <c r="AW246" s="956"/>
      <c r="AX246" s="956"/>
      <c r="AY246" s="956"/>
      <c r="AZ246" s="956"/>
      <c r="BA246" s="956"/>
      <c r="BB246" s="956"/>
      <c r="BC246" s="956"/>
      <c r="BD246" s="956"/>
      <c r="BE246" s="956"/>
      <c r="BF246" s="956"/>
      <c r="BG246" s="956"/>
      <c r="BH246" s="956"/>
      <c r="BI246" s="956"/>
      <c r="BJ246" s="956"/>
      <c r="BK246" s="956"/>
      <c r="BL246" s="956"/>
      <c r="BM246" s="956"/>
      <c r="BN246" s="956"/>
      <c r="BO246" s="956"/>
      <c r="BP246" s="956"/>
      <c r="BQ246" s="956"/>
      <c r="BR246" s="956"/>
      <c r="BS246" s="956"/>
      <c r="BT246" s="956"/>
      <c r="BU246" s="956">
        <f>BQ244+BX244+CE244+CL244+CS244</f>
        <v>1923640.0755361088</v>
      </c>
      <c r="BV246" s="956"/>
      <c r="BW246" s="956"/>
      <c r="BX246" s="956"/>
      <c r="BY246" s="956"/>
      <c r="BZ246" s="956"/>
      <c r="CA246" s="956"/>
      <c r="CB246" s="956"/>
      <c r="CC246" s="956"/>
      <c r="CD246" s="956"/>
      <c r="CE246" s="956"/>
      <c r="CF246" s="956"/>
      <c r="CG246" s="956"/>
      <c r="CH246" s="956"/>
      <c r="CI246" s="956"/>
      <c r="CJ246" s="956"/>
      <c r="CK246" s="956"/>
      <c r="CL246" s="956"/>
      <c r="CM246" s="956"/>
      <c r="CN246" s="956"/>
      <c r="CO246" s="956"/>
      <c r="CP246" s="956"/>
      <c r="CQ246" s="956"/>
      <c r="CR246" s="956"/>
      <c r="CS246" s="956"/>
      <c r="CT246" s="956"/>
      <c r="CU246" s="956"/>
      <c r="CV246" s="956"/>
      <c r="CW246" s="956"/>
      <c r="CX246" s="956"/>
      <c r="CY246" s="956"/>
      <c r="CZ246" s="954"/>
    </row>
    <row r="247" spans="1:104" ht="25.5" customHeight="1">
      <c r="A247" s="724"/>
      <c r="B247" s="928"/>
      <c r="C247" s="714"/>
      <c r="D247" s="759"/>
      <c r="E247" s="771" t="s">
        <v>3245</v>
      </c>
      <c r="F247" s="769">
        <f>SUM(F241:F246)</f>
        <v>2078872.0755361088</v>
      </c>
      <c r="G247" s="776">
        <f>SUM(G241:G246)</f>
        <v>6.2772603006528566E-3</v>
      </c>
      <c r="H247" s="1139"/>
      <c r="I247" s="995" t="s">
        <v>3336</v>
      </c>
      <c r="J247" s="995"/>
      <c r="K247" s="995"/>
      <c r="L247" s="995"/>
      <c r="M247" s="996">
        <f>M243+M246</f>
        <v>0</v>
      </c>
      <c r="N247" s="996"/>
      <c r="O247" s="996"/>
      <c r="P247" s="996"/>
      <c r="Q247" s="996"/>
      <c r="R247" s="996"/>
      <c r="S247" s="996"/>
      <c r="T247" s="996"/>
      <c r="U247" s="996"/>
      <c r="V247" s="996"/>
      <c r="W247" s="996"/>
      <c r="X247" s="996"/>
      <c r="Y247" s="996"/>
      <c r="Z247" s="996"/>
      <c r="AA247" s="996"/>
      <c r="AB247" s="996"/>
      <c r="AC247" s="996"/>
      <c r="AD247" s="996"/>
      <c r="AE247" s="996"/>
      <c r="AF247" s="996"/>
      <c r="AG247" s="996"/>
      <c r="AH247" s="996"/>
      <c r="AI247" s="996"/>
      <c r="AJ247" s="996"/>
      <c r="AK247" s="996"/>
      <c r="AL247" s="996"/>
      <c r="AM247" s="996"/>
      <c r="AN247" s="996"/>
      <c r="AO247" s="996"/>
      <c r="AP247" s="997"/>
      <c r="AQ247" s="996">
        <f>AQ243+AQ246</f>
        <v>155232</v>
      </c>
      <c r="AR247" s="996"/>
      <c r="AS247" s="996"/>
      <c r="AT247" s="996"/>
      <c r="AU247" s="996"/>
      <c r="AV247" s="996"/>
      <c r="AW247" s="996"/>
      <c r="AX247" s="996"/>
      <c r="AY247" s="996"/>
      <c r="AZ247" s="996"/>
      <c r="BA247" s="996"/>
      <c r="BB247" s="996"/>
      <c r="BC247" s="996"/>
      <c r="BD247" s="996"/>
      <c r="BE247" s="996"/>
      <c r="BF247" s="996"/>
      <c r="BG247" s="996"/>
      <c r="BH247" s="996"/>
      <c r="BI247" s="996"/>
      <c r="BJ247" s="996"/>
      <c r="BK247" s="996"/>
      <c r="BL247" s="996"/>
      <c r="BM247" s="996"/>
      <c r="BN247" s="996"/>
      <c r="BO247" s="996"/>
      <c r="BP247" s="996"/>
      <c r="BQ247" s="996"/>
      <c r="BR247" s="996"/>
      <c r="BS247" s="996"/>
      <c r="BT247" s="997"/>
      <c r="BU247" s="998">
        <f>BU243+BU246</f>
        <v>1923640.0755361088</v>
      </c>
      <c r="BV247" s="998"/>
      <c r="BW247" s="998"/>
      <c r="BX247" s="998"/>
      <c r="BY247" s="998"/>
      <c r="BZ247" s="998"/>
      <c r="CA247" s="998"/>
      <c r="CB247" s="998"/>
      <c r="CC247" s="998"/>
      <c r="CD247" s="998"/>
      <c r="CE247" s="998"/>
      <c r="CF247" s="998"/>
      <c r="CG247" s="998"/>
      <c r="CH247" s="998"/>
      <c r="CI247" s="998"/>
      <c r="CJ247" s="998"/>
      <c r="CK247" s="998"/>
      <c r="CL247" s="998"/>
      <c r="CM247" s="998"/>
      <c r="CN247" s="998"/>
      <c r="CO247" s="998"/>
      <c r="CP247" s="998"/>
      <c r="CQ247" s="998"/>
      <c r="CR247" s="998"/>
      <c r="CS247" s="998"/>
      <c r="CT247" s="998"/>
      <c r="CU247" s="998"/>
      <c r="CV247" s="998"/>
      <c r="CW247" s="998"/>
      <c r="CX247" s="998"/>
      <c r="CY247" s="998"/>
      <c r="CZ247" s="805">
        <f>CZ241+CZ244</f>
        <v>4</v>
      </c>
    </row>
    <row r="248" spans="1:104" ht="18.75" customHeight="1">
      <c r="A248" s="724"/>
      <c r="B248" s="928"/>
      <c r="C248" s="714"/>
      <c r="D248" s="759"/>
      <c r="E248" s="757"/>
      <c r="F248" s="716"/>
      <c r="H248" s="1139"/>
      <c r="I248" s="991" t="s">
        <v>3324</v>
      </c>
      <c r="J248" s="991"/>
      <c r="K248" s="991"/>
      <c r="L248" s="991"/>
      <c r="M248" s="992">
        <f>M247+AQ247+BU247</f>
        <v>2078872.0755361088</v>
      </c>
      <c r="N248" s="993"/>
      <c r="O248" s="993"/>
      <c r="P248" s="993"/>
      <c r="Q248" s="993"/>
      <c r="R248" s="993"/>
      <c r="S248" s="993"/>
      <c r="T248" s="993"/>
      <c r="U248" s="993"/>
      <c r="V248" s="993"/>
      <c r="W248" s="993"/>
      <c r="X248" s="993"/>
      <c r="Y248" s="993"/>
      <c r="Z248" s="993"/>
      <c r="AA248" s="993"/>
      <c r="AB248" s="993"/>
      <c r="AC248" s="993"/>
      <c r="AD248" s="993"/>
      <c r="AE248" s="993"/>
      <c r="AF248" s="993"/>
      <c r="AG248" s="993"/>
      <c r="AH248" s="993"/>
      <c r="AI248" s="993"/>
      <c r="AJ248" s="993"/>
      <c r="AK248" s="993"/>
      <c r="AL248" s="993"/>
      <c r="AM248" s="993"/>
      <c r="AN248" s="993"/>
      <c r="AO248" s="993"/>
      <c r="AP248" s="993"/>
      <c r="AQ248" s="993"/>
      <c r="AR248" s="993"/>
      <c r="AS248" s="993"/>
      <c r="AT248" s="993"/>
      <c r="AU248" s="993"/>
      <c r="AV248" s="993"/>
      <c r="AW248" s="993"/>
      <c r="AX248" s="993"/>
      <c r="AY248" s="993"/>
      <c r="AZ248" s="993"/>
      <c r="BA248" s="993"/>
      <c r="BB248" s="993"/>
      <c r="BC248" s="993"/>
      <c r="BD248" s="993"/>
      <c r="BE248" s="993"/>
      <c r="BF248" s="993"/>
      <c r="BG248" s="993"/>
      <c r="BH248" s="993"/>
      <c r="BI248" s="993"/>
      <c r="BJ248" s="993"/>
      <c r="BK248" s="993"/>
      <c r="BL248" s="993"/>
      <c r="BM248" s="993"/>
      <c r="BN248" s="993"/>
      <c r="BO248" s="993"/>
      <c r="BP248" s="993"/>
      <c r="BQ248" s="993"/>
      <c r="BR248" s="993"/>
      <c r="BS248" s="993"/>
      <c r="BT248" s="993"/>
      <c r="BU248" s="993"/>
      <c r="BV248" s="993"/>
      <c r="BW248" s="993"/>
      <c r="BX248" s="993"/>
      <c r="BY248" s="993"/>
      <c r="BZ248" s="993"/>
      <c r="CA248" s="993"/>
      <c r="CB248" s="993"/>
      <c r="CC248" s="993"/>
      <c r="CD248" s="993"/>
      <c r="CE248" s="993"/>
      <c r="CF248" s="993"/>
      <c r="CG248" s="993"/>
      <c r="CH248" s="993"/>
      <c r="CI248" s="993"/>
      <c r="CJ248" s="993"/>
      <c r="CK248" s="993"/>
      <c r="CL248" s="993"/>
      <c r="CM248" s="993"/>
      <c r="CN248" s="993"/>
      <c r="CO248" s="993"/>
      <c r="CP248" s="993"/>
      <c r="CQ248" s="993"/>
      <c r="CR248" s="993"/>
      <c r="CS248" s="993"/>
      <c r="CT248" s="993"/>
      <c r="CU248" s="993"/>
      <c r="CV248" s="993"/>
      <c r="CW248" s="993"/>
      <c r="CX248" s="993"/>
      <c r="CY248" s="993"/>
      <c r="CZ248" s="796"/>
    </row>
    <row r="249" spans="1:104" ht="18.75" customHeight="1">
      <c r="A249" s="722"/>
      <c r="B249" s="929" t="s">
        <v>3282</v>
      </c>
      <c r="C249" s="765"/>
      <c r="D249" s="766"/>
      <c r="E249" s="767"/>
      <c r="F249" s="772">
        <f>F247+F238+F229+F187+F175+F163+F151+F127+F115+F97+F85+F58+F49+F19</f>
        <v>254750048.15493611</v>
      </c>
      <c r="G249" s="778">
        <f>F249/F259</f>
        <v>0.76923076830496773</v>
      </c>
      <c r="H249" s="1139"/>
      <c r="I249" s="1134" t="s">
        <v>3282</v>
      </c>
      <c r="J249" s="1134"/>
      <c r="K249" s="1134"/>
      <c r="L249" s="1134"/>
      <c r="M249" s="1147">
        <f>M248+M239+M230+M188+M176+M164+M152+M128+M116+M98+M86+M59+M50+N20</f>
        <v>236279378.15493611</v>
      </c>
      <c r="N249" s="1147"/>
      <c r="O249" s="1147"/>
      <c r="P249" s="1147"/>
      <c r="Q249" s="1147"/>
      <c r="R249" s="1147"/>
      <c r="S249" s="1147"/>
      <c r="T249" s="1147"/>
      <c r="U249" s="1147"/>
      <c r="V249" s="1147"/>
      <c r="W249" s="1147"/>
      <c r="X249" s="1147"/>
      <c r="Y249" s="1147"/>
      <c r="Z249" s="1147"/>
      <c r="AA249" s="1147"/>
      <c r="AB249" s="1147"/>
      <c r="AC249" s="1147"/>
      <c r="AD249" s="1147"/>
      <c r="AE249" s="1147"/>
      <c r="AF249" s="1147"/>
      <c r="AG249" s="1147"/>
      <c r="AH249" s="1147"/>
      <c r="AI249" s="1147"/>
      <c r="AJ249" s="1147"/>
      <c r="AK249" s="1147"/>
      <c r="AL249" s="1147"/>
      <c r="AM249" s="1147"/>
      <c r="AN249" s="1147"/>
      <c r="AO249" s="1147"/>
      <c r="AP249" s="1147"/>
      <c r="AQ249" s="1147"/>
      <c r="AR249" s="1147"/>
      <c r="AS249" s="1147"/>
      <c r="AT249" s="1147"/>
      <c r="AU249" s="1147"/>
      <c r="AV249" s="1147"/>
      <c r="AW249" s="1147"/>
      <c r="AX249" s="1147"/>
      <c r="AY249" s="1147"/>
      <c r="AZ249" s="1147"/>
      <c r="BA249" s="1147"/>
      <c r="BB249" s="1147"/>
      <c r="BC249" s="1147"/>
      <c r="BD249" s="1147"/>
      <c r="BE249" s="1147"/>
      <c r="BF249" s="1147"/>
      <c r="BG249" s="1147"/>
      <c r="BH249" s="1147"/>
      <c r="BI249" s="1147"/>
      <c r="BJ249" s="1147"/>
      <c r="BK249" s="1147"/>
      <c r="BL249" s="1147"/>
      <c r="BM249" s="1147"/>
      <c r="BN249" s="1147"/>
      <c r="BO249" s="1147"/>
      <c r="BP249" s="1147"/>
      <c r="BQ249" s="1147"/>
      <c r="BR249" s="1147"/>
      <c r="BS249" s="1147"/>
      <c r="BT249" s="1147"/>
      <c r="BU249" s="1147"/>
      <c r="BV249" s="1147"/>
      <c r="BW249" s="1147"/>
      <c r="BX249" s="1147"/>
      <c r="BY249" s="1147"/>
      <c r="BZ249" s="1147"/>
      <c r="CA249" s="1147"/>
      <c r="CB249" s="1147"/>
      <c r="CC249" s="1147"/>
      <c r="CD249" s="1147"/>
      <c r="CE249" s="1147"/>
      <c r="CF249" s="1147"/>
      <c r="CG249" s="1147"/>
      <c r="CH249" s="1147"/>
      <c r="CI249" s="1147"/>
      <c r="CJ249" s="1147"/>
      <c r="CK249" s="1147"/>
      <c r="CL249" s="1147"/>
      <c r="CM249" s="1147"/>
      <c r="CN249" s="1147"/>
      <c r="CO249" s="1147"/>
      <c r="CP249" s="1147"/>
      <c r="CQ249" s="1147"/>
      <c r="CR249" s="1147"/>
      <c r="CS249" s="1147"/>
      <c r="CT249" s="1147"/>
      <c r="CU249" s="1147"/>
      <c r="CV249" s="1147"/>
      <c r="CW249" s="1147"/>
      <c r="CX249" s="1147"/>
      <c r="CY249" s="1147"/>
      <c r="CZ249" s="836">
        <f>CZ247+CZ238+CZ229+CZ187+CZ175+CZ163+CZ151+CZ127+CZ115+CZ97+CZ85+CZ58+CZ49+CZ19</f>
        <v>129</v>
      </c>
    </row>
    <row r="250" spans="1:104">
      <c r="A250" s="722"/>
      <c r="B250" s="930"/>
      <c r="C250" s="499"/>
      <c r="D250" s="760"/>
      <c r="E250" s="402"/>
      <c r="F250" s="773"/>
      <c r="G250" s="803"/>
      <c r="H250" s="1139"/>
      <c r="I250" s="1133"/>
      <c r="J250" s="1133"/>
      <c r="K250" s="1133"/>
      <c r="L250" s="1133"/>
      <c r="M250" s="1133"/>
      <c r="N250" s="1133"/>
      <c r="O250" s="1133"/>
      <c r="P250" s="1133"/>
      <c r="Q250" s="1133"/>
      <c r="R250" s="1133"/>
      <c r="S250" s="1133"/>
      <c r="T250" s="1133"/>
      <c r="U250" s="1133"/>
      <c r="V250" s="1133"/>
      <c r="W250" s="1133"/>
      <c r="X250" s="1133"/>
      <c r="Y250" s="1133"/>
      <c r="Z250" s="1133"/>
      <c r="AA250" s="1133"/>
      <c r="AB250" s="1133"/>
      <c r="AC250" s="1133"/>
      <c r="AD250" s="1133"/>
      <c r="AE250" s="1133"/>
      <c r="AF250" s="1133"/>
      <c r="AG250" s="1133"/>
      <c r="AH250" s="1133"/>
      <c r="AI250" s="1133"/>
      <c r="AJ250" s="1133"/>
      <c r="AK250" s="1133"/>
      <c r="AL250" s="1133"/>
      <c r="AM250" s="1133"/>
      <c r="AN250" s="1133"/>
      <c r="AO250" s="1133"/>
      <c r="AP250" s="1133"/>
      <c r="AQ250" s="1133"/>
      <c r="AR250" s="1133"/>
      <c r="AS250" s="1133"/>
      <c r="AT250" s="1133"/>
      <c r="AU250" s="1133"/>
      <c r="AV250" s="1133"/>
      <c r="AW250" s="1133"/>
      <c r="AX250" s="1133"/>
      <c r="AY250" s="1133"/>
      <c r="AZ250" s="1133"/>
      <c r="BA250" s="1133"/>
      <c r="BB250" s="1133"/>
      <c r="BC250" s="1133"/>
      <c r="BD250" s="1133"/>
      <c r="BE250" s="1133"/>
      <c r="BF250" s="1133"/>
      <c r="BG250" s="1133"/>
      <c r="BH250" s="1133"/>
      <c r="BI250" s="1133"/>
      <c r="BJ250" s="1133"/>
      <c r="BK250" s="1133"/>
      <c r="BL250" s="1133"/>
      <c r="BM250" s="1133"/>
      <c r="BN250" s="1133"/>
      <c r="BO250" s="1133"/>
      <c r="BP250" s="1133"/>
      <c r="BQ250" s="1133"/>
      <c r="BR250" s="1133"/>
      <c r="BS250" s="1133"/>
      <c r="BT250" s="1133"/>
      <c r="BU250" s="1133"/>
      <c r="BV250" s="1133"/>
      <c r="BW250" s="1133"/>
      <c r="BX250" s="1133"/>
      <c r="BY250" s="1133"/>
      <c r="BZ250" s="1133"/>
      <c r="CA250" s="1133"/>
      <c r="CB250" s="1133"/>
      <c r="CC250" s="1133"/>
      <c r="CD250" s="1133"/>
      <c r="CE250" s="1133"/>
      <c r="CF250" s="1133"/>
      <c r="CG250" s="1133"/>
      <c r="CH250" s="1133"/>
      <c r="CI250" s="1133"/>
      <c r="CJ250" s="1133"/>
      <c r="CK250" s="1133"/>
      <c r="CL250" s="1133"/>
      <c r="CM250" s="1133"/>
      <c r="CN250" s="1133"/>
      <c r="CO250" s="1133"/>
      <c r="CP250" s="1133"/>
      <c r="CQ250" s="1133"/>
      <c r="CR250" s="1133"/>
      <c r="CS250" s="1133"/>
      <c r="CT250" s="1133"/>
      <c r="CU250" s="1133"/>
      <c r="CV250" s="1133"/>
      <c r="CW250" s="1133"/>
      <c r="CX250" s="1133"/>
      <c r="CY250" s="1133"/>
      <c r="CZ250" s="794"/>
    </row>
    <row r="251" spans="1:104">
      <c r="A251" s="722"/>
      <c r="B251" s="931" t="s">
        <v>3283</v>
      </c>
      <c r="C251" s="1101">
        <v>0.24</v>
      </c>
      <c r="D251" s="1102"/>
      <c r="E251" s="1103"/>
      <c r="F251" s="768">
        <f>F249*0.24</f>
        <v>61140011.557184666</v>
      </c>
      <c r="G251" s="778">
        <f>F251/F259</f>
        <v>0.18461538439319228</v>
      </c>
      <c r="H251" s="1139"/>
      <c r="I251" s="1142" t="s">
        <v>3326</v>
      </c>
      <c r="J251" s="1142"/>
      <c r="K251" s="1142"/>
      <c r="L251" s="1142"/>
      <c r="M251" s="1122">
        <f>M229+M187+M175+M163+M151+M127+M115+M97+M85+M58+M49+M19</f>
        <v>36277503.700400002</v>
      </c>
      <c r="N251" s="1123"/>
      <c r="O251" s="1123"/>
      <c r="P251" s="1123"/>
      <c r="Q251" s="1123"/>
      <c r="R251" s="1123"/>
      <c r="S251" s="1123"/>
      <c r="T251" s="1123"/>
      <c r="U251" s="1123"/>
      <c r="V251" s="1123"/>
      <c r="W251" s="1123"/>
      <c r="X251" s="1123"/>
      <c r="Y251" s="1123"/>
      <c r="Z251" s="1123"/>
      <c r="AA251" s="1123"/>
      <c r="AB251" s="1123"/>
      <c r="AC251" s="1123"/>
      <c r="AD251" s="1123"/>
      <c r="AE251" s="1123"/>
      <c r="AF251" s="1123"/>
      <c r="AG251" s="1123"/>
      <c r="AH251" s="1123"/>
      <c r="AI251" s="1123"/>
      <c r="AJ251" s="1123"/>
      <c r="AK251" s="1123"/>
      <c r="AL251" s="1123"/>
      <c r="AM251" s="1123"/>
      <c r="AN251" s="1123"/>
      <c r="AO251" s="1123"/>
      <c r="AP251" s="1123"/>
      <c r="AQ251" s="1122">
        <f>AQ229+AQ187+AQ175+AQ163+AQ151+AQ127+AQ115+AQ97+AQ85+AQ58+AQ49+AQ19</f>
        <v>31762778.931000002</v>
      </c>
      <c r="AR251" s="1123"/>
      <c r="AS251" s="1123"/>
      <c r="AT251" s="1123"/>
      <c r="AU251" s="1123"/>
      <c r="AV251" s="1123"/>
      <c r="AW251" s="1123"/>
      <c r="AX251" s="1123"/>
      <c r="AY251" s="1123"/>
      <c r="AZ251" s="1123"/>
      <c r="BA251" s="1123"/>
      <c r="BB251" s="1123"/>
      <c r="BC251" s="1123"/>
      <c r="BD251" s="1123"/>
      <c r="BE251" s="1123"/>
      <c r="BF251" s="1123"/>
      <c r="BG251" s="1123"/>
      <c r="BH251" s="1123"/>
      <c r="BI251" s="1123"/>
      <c r="BJ251" s="1123"/>
      <c r="BK251" s="1123"/>
      <c r="BL251" s="1123"/>
      <c r="BM251" s="1123"/>
      <c r="BN251" s="1123"/>
      <c r="BO251" s="1123"/>
      <c r="BP251" s="1123"/>
      <c r="BQ251" s="1123"/>
      <c r="BR251" s="1123"/>
      <c r="BS251" s="1123"/>
      <c r="BT251" s="1123"/>
      <c r="BU251" s="1122">
        <f>BU229+BU187+BU175+BU163+BU151+BU127+BU115+BU97+BU85+BU58+BU49+BU19</f>
        <v>164305041.94800001</v>
      </c>
      <c r="BV251" s="1123"/>
      <c r="BW251" s="1123"/>
      <c r="BX251" s="1123"/>
      <c r="BY251" s="1123"/>
      <c r="BZ251" s="1123"/>
      <c r="CA251" s="1123"/>
      <c r="CB251" s="1123"/>
      <c r="CC251" s="1123"/>
      <c r="CD251" s="1123"/>
      <c r="CE251" s="1123"/>
      <c r="CF251" s="1123"/>
      <c r="CG251" s="1123"/>
      <c r="CH251" s="1123"/>
      <c r="CI251" s="1123"/>
      <c r="CJ251" s="1123"/>
      <c r="CK251" s="1123"/>
      <c r="CL251" s="1123"/>
      <c r="CM251" s="1123"/>
      <c r="CN251" s="1123"/>
      <c r="CO251" s="1123"/>
      <c r="CP251" s="1123"/>
      <c r="CQ251" s="1123"/>
      <c r="CR251" s="1123"/>
      <c r="CS251" s="1123"/>
      <c r="CT251" s="1123"/>
      <c r="CU251" s="1123"/>
      <c r="CV251" s="1123"/>
      <c r="CW251" s="1123"/>
      <c r="CX251" s="1123"/>
      <c r="CY251" s="1123"/>
      <c r="CZ251" s="795"/>
    </row>
    <row r="252" spans="1:104">
      <c r="A252" s="722"/>
      <c r="B252" s="931" t="s">
        <v>3284</v>
      </c>
      <c r="C252" s="1101">
        <v>0.01</v>
      </c>
      <c r="D252" s="1102"/>
      <c r="E252" s="1103"/>
      <c r="F252" s="768">
        <f>F249*0.01</f>
        <v>2547500.4815493613</v>
      </c>
      <c r="G252" s="778">
        <f>F252/F259</f>
        <v>7.6923076830496782E-3</v>
      </c>
      <c r="H252" s="1139"/>
      <c r="I252" s="1142" t="s">
        <v>3327</v>
      </c>
      <c r="J252" s="1142"/>
      <c r="K252" s="1142"/>
      <c r="L252" s="1142"/>
      <c r="M252" s="1124">
        <f>M251/F249</f>
        <v>0.14240430556596573</v>
      </c>
      <c r="N252" s="1124"/>
      <c r="O252" s="1124"/>
      <c r="P252" s="1124"/>
      <c r="Q252" s="1124"/>
      <c r="R252" s="1124"/>
      <c r="S252" s="1124"/>
      <c r="T252" s="1124"/>
      <c r="U252" s="1124"/>
      <c r="V252" s="1124"/>
      <c r="W252" s="1124"/>
      <c r="X252" s="1124"/>
      <c r="Y252" s="1124"/>
      <c r="Z252" s="1124"/>
      <c r="AA252" s="1124"/>
      <c r="AB252" s="1124"/>
      <c r="AC252" s="1124"/>
      <c r="AD252" s="1124"/>
      <c r="AE252" s="1124"/>
      <c r="AF252" s="1124"/>
      <c r="AG252" s="1124"/>
      <c r="AH252" s="1124"/>
      <c r="AI252" s="1124"/>
      <c r="AJ252" s="1124"/>
      <c r="AK252" s="1124"/>
      <c r="AL252" s="1124"/>
      <c r="AM252" s="1124"/>
      <c r="AN252" s="1124"/>
      <c r="AO252" s="1124"/>
      <c r="AP252" s="1124"/>
      <c r="AQ252" s="1141">
        <f>AQ251/F249</f>
        <v>0.12468213121468082</v>
      </c>
      <c r="AR252" s="1141"/>
      <c r="AS252" s="1141"/>
      <c r="AT252" s="1141"/>
      <c r="AU252" s="1141"/>
      <c r="AV252" s="1141"/>
      <c r="AW252" s="1141"/>
      <c r="AX252" s="1141"/>
      <c r="AY252" s="1141"/>
      <c r="AZ252" s="1141"/>
      <c r="BA252" s="1141"/>
      <c r="BB252" s="1141"/>
      <c r="BC252" s="1141"/>
      <c r="BD252" s="1141"/>
      <c r="BE252" s="1141"/>
      <c r="BF252" s="1141"/>
      <c r="BG252" s="1141"/>
      <c r="BH252" s="1141"/>
      <c r="BI252" s="1141"/>
      <c r="BJ252" s="1141"/>
      <c r="BK252" s="1141"/>
      <c r="BL252" s="1141"/>
      <c r="BM252" s="1141"/>
      <c r="BN252" s="1141"/>
      <c r="BO252" s="1141"/>
      <c r="BP252" s="1141"/>
      <c r="BQ252" s="1141"/>
      <c r="BR252" s="1141"/>
      <c r="BS252" s="1141"/>
      <c r="BT252" s="1141"/>
      <c r="BU252" s="1124">
        <f>BU251/F249</f>
        <v>0.64496569534727444</v>
      </c>
      <c r="BV252" s="1124"/>
      <c r="BW252" s="1124"/>
      <c r="BX252" s="1124"/>
      <c r="BY252" s="1124"/>
      <c r="BZ252" s="1124"/>
      <c r="CA252" s="1124"/>
      <c r="CB252" s="1124"/>
      <c r="CC252" s="1124"/>
      <c r="CD252" s="1124"/>
      <c r="CE252" s="1124"/>
      <c r="CF252" s="1124"/>
      <c r="CG252" s="1124"/>
      <c r="CH252" s="1124"/>
      <c r="CI252" s="1124"/>
      <c r="CJ252" s="1124"/>
      <c r="CK252" s="1124"/>
      <c r="CL252" s="1124"/>
      <c r="CM252" s="1124"/>
      <c r="CN252" s="1124"/>
      <c r="CO252" s="1124"/>
      <c r="CP252" s="1124"/>
      <c r="CQ252" s="1124"/>
      <c r="CR252" s="1124"/>
      <c r="CS252" s="1124"/>
      <c r="CT252" s="1124"/>
      <c r="CU252" s="1124"/>
      <c r="CV252" s="1124"/>
      <c r="CW252" s="1124"/>
      <c r="CX252" s="1124"/>
      <c r="CY252" s="1124"/>
      <c r="CZ252" s="795"/>
    </row>
    <row r="253" spans="1:104">
      <c r="A253" s="722"/>
      <c r="B253" s="931" t="s">
        <v>3285</v>
      </c>
      <c r="C253" s="1101">
        <v>0.05</v>
      </c>
      <c r="D253" s="1102"/>
      <c r="E253" s="1103"/>
      <c r="F253" s="768">
        <f>F249*0.05</f>
        <v>12737502.407746807</v>
      </c>
      <c r="G253" s="778">
        <f>F253/F259</f>
        <v>3.8461538415248395E-2</v>
      </c>
      <c r="H253" s="1139"/>
      <c r="I253" s="1142" t="s">
        <v>3328</v>
      </c>
      <c r="J253" s="1142"/>
      <c r="K253" s="1142"/>
      <c r="L253" s="1142"/>
      <c r="M253" s="1121">
        <f>M251</f>
        <v>36277503.700400002</v>
      </c>
      <c r="N253" s="1125"/>
      <c r="O253" s="1125"/>
      <c r="P253" s="1125"/>
      <c r="Q253" s="1125"/>
      <c r="R253" s="1125"/>
      <c r="S253" s="1125"/>
      <c r="T253" s="1125"/>
      <c r="U253" s="1125"/>
      <c r="V253" s="1125"/>
      <c r="W253" s="1125"/>
      <c r="X253" s="1125"/>
      <c r="Y253" s="1125"/>
      <c r="Z253" s="1125"/>
      <c r="AA253" s="1125"/>
      <c r="AB253" s="1125"/>
      <c r="AC253" s="1125"/>
      <c r="AD253" s="1125"/>
      <c r="AE253" s="1125"/>
      <c r="AF253" s="1125"/>
      <c r="AG253" s="1125"/>
      <c r="AH253" s="1125"/>
      <c r="AI253" s="1125"/>
      <c r="AJ253" s="1125"/>
      <c r="AK253" s="1125"/>
      <c r="AL253" s="1125"/>
      <c r="AM253" s="1125"/>
      <c r="AN253" s="1125"/>
      <c r="AO253" s="1125"/>
      <c r="AP253" s="1125"/>
      <c r="AQ253" s="1121">
        <f>AQ251+M253</f>
        <v>68040282.631400004</v>
      </c>
      <c r="AR253" s="1125"/>
      <c r="AS253" s="1125"/>
      <c r="AT253" s="1125"/>
      <c r="AU253" s="1125"/>
      <c r="AV253" s="1125"/>
      <c r="AW253" s="1125"/>
      <c r="AX253" s="1125"/>
      <c r="AY253" s="1125"/>
      <c r="AZ253" s="1125"/>
      <c r="BA253" s="1125"/>
      <c r="BB253" s="1125"/>
      <c r="BC253" s="1125"/>
      <c r="BD253" s="1125"/>
      <c r="BE253" s="1125"/>
      <c r="BF253" s="1125"/>
      <c r="BG253" s="1125"/>
      <c r="BH253" s="1125"/>
      <c r="BI253" s="1125"/>
      <c r="BJ253" s="1125"/>
      <c r="BK253" s="1125"/>
      <c r="BL253" s="1125"/>
      <c r="BM253" s="1125"/>
      <c r="BN253" s="1125"/>
      <c r="BO253" s="1125"/>
      <c r="BP253" s="1125"/>
      <c r="BQ253" s="1125"/>
      <c r="BR253" s="1125"/>
      <c r="BS253" s="1125"/>
      <c r="BT253" s="1125"/>
      <c r="BU253" s="1121">
        <f>BU251+AQ253</f>
        <v>232345324.5794</v>
      </c>
      <c r="BV253" s="1125"/>
      <c r="BW253" s="1125"/>
      <c r="BX253" s="1125"/>
      <c r="BY253" s="1125"/>
      <c r="BZ253" s="1125"/>
      <c r="CA253" s="1125"/>
      <c r="CB253" s="1125"/>
      <c r="CC253" s="1125"/>
      <c r="CD253" s="1125"/>
      <c r="CE253" s="1125"/>
      <c r="CF253" s="1125"/>
      <c r="CG253" s="1125"/>
      <c r="CH253" s="1125"/>
      <c r="CI253" s="1125"/>
      <c r="CJ253" s="1125"/>
      <c r="CK253" s="1125"/>
      <c r="CL253" s="1125"/>
      <c r="CM253" s="1125"/>
      <c r="CN253" s="1125"/>
      <c r="CO253" s="1125"/>
      <c r="CP253" s="1125"/>
      <c r="CQ253" s="1125"/>
      <c r="CR253" s="1125"/>
      <c r="CS253" s="1125"/>
      <c r="CT253" s="1125"/>
      <c r="CU253" s="1125"/>
      <c r="CV253" s="1125"/>
      <c r="CW253" s="1125"/>
      <c r="CX253" s="1125"/>
      <c r="CY253" s="1125"/>
      <c r="CZ253" s="795"/>
    </row>
    <row r="254" spans="1:104">
      <c r="A254" s="722"/>
      <c r="B254" s="930"/>
      <c r="C254" s="499"/>
      <c r="D254" s="760"/>
      <c r="E254" s="402"/>
      <c r="F254" s="773"/>
      <c r="G254" s="803"/>
      <c r="H254" s="1139"/>
      <c r="I254" s="1142" t="s">
        <v>3329</v>
      </c>
      <c r="J254" s="1142"/>
      <c r="K254" s="1142"/>
      <c r="L254" s="1142"/>
      <c r="M254" s="1122">
        <f>M253/F249</f>
        <v>0.14240430556596573</v>
      </c>
      <c r="N254" s="1122"/>
      <c r="O254" s="1122"/>
      <c r="P254" s="1122"/>
      <c r="Q254" s="1122"/>
      <c r="R254" s="1122"/>
      <c r="S254" s="1122"/>
      <c r="T254" s="1122"/>
      <c r="U254" s="1122"/>
      <c r="V254" s="1122"/>
      <c r="W254" s="1122"/>
      <c r="X254" s="1122"/>
      <c r="Y254" s="1122"/>
      <c r="Z254" s="1122"/>
      <c r="AA254" s="1122"/>
      <c r="AB254" s="1122"/>
      <c r="AC254" s="1122"/>
      <c r="AD254" s="1122"/>
      <c r="AE254" s="1122"/>
      <c r="AF254" s="1122"/>
      <c r="AG254" s="1122"/>
      <c r="AH254" s="1122"/>
      <c r="AI254" s="1122"/>
      <c r="AJ254" s="1122"/>
      <c r="AK254" s="1122"/>
      <c r="AL254" s="1122"/>
      <c r="AM254" s="1122"/>
      <c r="AN254" s="1122"/>
      <c r="AO254" s="1122"/>
      <c r="AP254" s="1122"/>
      <c r="AQ254" s="1121">
        <f>AQ253/F249</f>
        <v>0.26708643678064653</v>
      </c>
      <c r="AR254" s="1121"/>
      <c r="AS254" s="1121"/>
      <c r="AT254" s="1121"/>
      <c r="AU254" s="1121"/>
      <c r="AV254" s="1121"/>
      <c r="AW254" s="1121"/>
      <c r="AX254" s="1121"/>
      <c r="AY254" s="1121"/>
      <c r="AZ254" s="1121"/>
      <c r="BA254" s="1121"/>
      <c r="BB254" s="1121"/>
      <c r="BC254" s="1121"/>
      <c r="BD254" s="1121"/>
      <c r="BE254" s="1121"/>
      <c r="BF254" s="1121"/>
      <c r="BG254" s="1121"/>
      <c r="BH254" s="1121"/>
      <c r="BI254" s="1121"/>
      <c r="BJ254" s="1121"/>
      <c r="BK254" s="1121"/>
      <c r="BL254" s="1121"/>
      <c r="BM254" s="1121"/>
      <c r="BN254" s="1121"/>
      <c r="BO254" s="1121"/>
      <c r="BP254" s="1121"/>
      <c r="BQ254" s="1121"/>
      <c r="BR254" s="1121"/>
      <c r="BS254" s="1121"/>
      <c r="BT254" s="1121"/>
      <c r="BU254" s="1126" t="s">
        <v>3335</v>
      </c>
      <c r="BV254" s="1127"/>
      <c r="BW254" s="1127"/>
      <c r="BX254" s="1127"/>
      <c r="BY254" s="1127"/>
      <c r="BZ254" s="1127"/>
      <c r="CA254" s="1127"/>
      <c r="CB254" s="1127"/>
      <c r="CC254" s="1127"/>
      <c r="CD254" s="1127"/>
      <c r="CE254" s="1127"/>
      <c r="CF254" s="1127"/>
      <c r="CG254" s="1127"/>
      <c r="CH254" s="1127"/>
      <c r="CI254" s="1127"/>
      <c r="CJ254" s="1127"/>
      <c r="CK254" s="1127"/>
      <c r="CL254" s="1127"/>
      <c r="CM254" s="1127"/>
      <c r="CN254" s="1127"/>
      <c r="CO254" s="1127"/>
      <c r="CP254" s="1127"/>
      <c r="CQ254" s="1127"/>
      <c r="CR254" s="1127"/>
      <c r="CS254" s="1127"/>
      <c r="CT254" s="1127"/>
      <c r="CU254" s="1127"/>
      <c r="CV254" s="1127"/>
      <c r="CW254" s="1127"/>
      <c r="CX254" s="1127"/>
      <c r="CY254" s="1127"/>
      <c r="CZ254" s="795"/>
    </row>
    <row r="255" spans="1:104">
      <c r="A255" s="722"/>
      <c r="B255" s="1094" t="s">
        <v>3300</v>
      </c>
      <c r="C255" s="1095"/>
      <c r="D255" s="1095"/>
      <c r="E255" s="1096"/>
      <c r="F255" s="768">
        <f>F251+F252+F253</f>
        <v>76425014.44648084</v>
      </c>
      <c r="G255" s="778">
        <f>F255/F259</f>
        <v>0.23076923049149037</v>
      </c>
      <c r="H255" s="1139"/>
      <c r="I255" s="1133"/>
      <c r="J255" s="1133"/>
      <c r="K255" s="1133"/>
      <c r="L255" s="1133"/>
      <c r="M255" s="1133"/>
      <c r="N255" s="1133"/>
      <c r="O255" s="1133"/>
      <c r="P255" s="1133"/>
      <c r="Q255" s="1133"/>
      <c r="R255" s="1133"/>
      <c r="S255" s="1133"/>
      <c r="T255" s="1133"/>
      <c r="U255" s="1133"/>
      <c r="V255" s="1133"/>
      <c r="W255" s="1133"/>
      <c r="X255" s="1133"/>
      <c r="Y255" s="1133"/>
      <c r="Z255" s="1133"/>
      <c r="AA255" s="1133"/>
      <c r="AB255" s="1133"/>
      <c r="AC255" s="1133"/>
      <c r="AD255" s="1133"/>
      <c r="AE255" s="1133"/>
      <c r="AF255" s="1133"/>
      <c r="AG255" s="1133"/>
      <c r="AH255" s="1133"/>
      <c r="AI255" s="1133"/>
      <c r="AJ255" s="1133"/>
      <c r="AK255" s="1133"/>
      <c r="AL255" s="1133"/>
      <c r="AM255" s="1133"/>
      <c r="AN255" s="1133"/>
      <c r="AO255" s="1133"/>
      <c r="AP255" s="1133"/>
      <c r="AQ255" s="1133"/>
      <c r="AR255" s="1133"/>
      <c r="AS255" s="1133"/>
      <c r="AT255" s="1133"/>
      <c r="AU255" s="1133"/>
      <c r="AV255" s="1133"/>
      <c r="AW255" s="1133"/>
      <c r="AX255" s="1133"/>
      <c r="AY255" s="1133"/>
      <c r="AZ255" s="1133"/>
      <c r="BA255" s="1133"/>
      <c r="BB255" s="1133"/>
      <c r="BC255" s="1133"/>
      <c r="BD255" s="1133"/>
      <c r="BE255" s="1133"/>
      <c r="BF255" s="1133"/>
      <c r="BG255" s="1133"/>
      <c r="BH255" s="1133"/>
      <c r="BI255" s="1133"/>
      <c r="BJ255" s="1133"/>
      <c r="BK255" s="1133"/>
      <c r="BL255" s="1133"/>
      <c r="BM255" s="1133"/>
      <c r="BN255" s="1133"/>
      <c r="BO255" s="1133"/>
      <c r="BP255" s="1133"/>
      <c r="BQ255" s="1133"/>
      <c r="BR255" s="1133"/>
      <c r="BS255" s="1133"/>
      <c r="BT255" s="1133"/>
      <c r="BU255" s="1133"/>
      <c r="BV255" s="1133"/>
      <c r="BW255" s="1133"/>
      <c r="BX255" s="1133"/>
      <c r="BY255" s="1133"/>
      <c r="BZ255" s="1133"/>
      <c r="CA255" s="1133"/>
      <c r="CB255" s="1133"/>
      <c r="CC255" s="1133"/>
      <c r="CD255" s="1133"/>
      <c r="CE255" s="1133"/>
      <c r="CF255" s="1133"/>
      <c r="CG255" s="1133"/>
      <c r="CH255" s="1133"/>
      <c r="CI255" s="1133"/>
      <c r="CJ255" s="1133"/>
      <c r="CK255" s="1133"/>
      <c r="CL255" s="1133"/>
      <c r="CM255" s="1133"/>
      <c r="CN255" s="1133"/>
      <c r="CO255" s="1133"/>
      <c r="CP255" s="1133"/>
      <c r="CQ255" s="1133"/>
      <c r="CR255" s="1133"/>
      <c r="CS255" s="1133"/>
      <c r="CT255" s="1133"/>
      <c r="CU255" s="1133"/>
      <c r="CV255" s="1133"/>
      <c r="CW255" s="1133"/>
      <c r="CX255" s="1133"/>
      <c r="CY255" s="1133"/>
      <c r="CZ255" s="794"/>
    </row>
    <row r="256" spans="1:104">
      <c r="A256" s="722"/>
      <c r="B256" s="932"/>
      <c r="C256" s="499"/>
      <c r="D256" s="760"/>
      <c r="E256" s="402"/>
      <c r="F256" s="260"/>
      <c r="G256" s="804"/>
      <c r="H256" s="1139"/>
      <c r="I256" s="1148"/>
      <c r="J256" s="1149"/>
      <c r="K256" s="1149"/>
      <c r="L256" s="1149"/>
      <c r="M256" s="1149"/>
      <c r="N256" s="1149"/>
      <c r="O256" s="1149"/>
      <c r="P256" s="1149"/>
      <c r="Q256" s="1149"/>
      <c r="R256" s="1149"/>
      <c r="S256" s="1149"/>
      <c r="T256" s="1149"/>
      <c r="U256" s="1149"/>
      <c r="V256" s="1149"/>
      <c r="W256" s="1149"/>
      <c r="X256" s="1149"/>
      <c r="Y256" s="1149"/>
      <c r="Z256" s="1149"/>
      <c r="AA256" s="1149"/>
      <c r="AB256" s="1149"/>
      <c r="AC256" s="1149"/>
      <c r="AD256" s="1149"/>
      <c r="AE256" s="1149"/>
      <c r="AF256" s="1149"/>
      <c r="AG256" s="1149"/>
      <c r="AH256" s="1149"/>
      <c r="AI256" s="1149"/>
      <c r="AJ256" s="1149"/>
      <c r="AK256" s="1149"/>
      <c r="AL256" s="1149"/>
      <c r="AM256" s="1149"/>
      <c r="AN256" s="1149"/>
      <c r="AO256" s="1149"/>
      <c r="AP256" s="1149"/>
      <c r="AQ256" s="1149"/>
      <c r="AR256" s="1149"/>
      <c r="AS256" s="1149"/>
      <c r="AT256" s="1149"/>
      <c r="AU256" s="1149"/>
      <c r="AV256" s="1149"/>
      <c r="AW256" s="1149"/>
      <c r="AX256" s="1149"/>
      <c r="AY256" s="1149"/>
      <c r="AZ256" s="1149"/>
      <c r="BA256" s="1149"/>
      <c r="BB256" s="1149"/>
      <c r="BC256" s="1149"/>
      <c r="BD256" s="1149"/>
      <c r="BE256" s="1149"/>
      <c r="BF256" s="1149"/>
      <c r="BG256" s="1149"/>
      <c r="BH256" s="1149"/>
      <c r="BI256" s="1149"/>
      <c r="BJ256" s="1149"/>
      <c r="BK256" s="1149"/>
      <c r="BL256" s="1149"/>
      <c r="BM256" s="1149"/>
      <c r="BN256" s="1149"/>
      <c r="BO256" s="1149"/>
      <c r="BP256" s="1149"/>
      <c r="BQ256" s="1149"/>
      <c r="BR256" s="1149"/>
      <c r="BS256" s="1149"/>
      <c r="BT256" s="1149"/>
      <c r="BU256" s="1149"/>
      <c r="BV256" s="1149"/>
      <c r="BW256" s="1149"/>
      <c r="BX256" s="1149"/>
      <c r="BY256" s="1149"/>
      <c r="BZ256" s="1149"/>
      <c r="CA256" s="1149"/>
      <c r="CB256" s="1149"/>
      <c r="CC256" s="1149"/>
      <c r="CD256" s="1149"/>
      <c r="CE256" s="1149"/>
      <c r="CF256" s="1149"/>
      <c r="CG256" s="1149"/>
      <c r="CH256" s="1149"/>
      <c r="CI256" s="1149"/>
      <c r="CJ256" s="1149"/>
      <c r="CK256" s="1149"/>
      <c r="CL256" s="1149"/>
      <c r="CM256" s="1149"/>
      <c r="CN256" s="1149"/>
      <c r="CO256" s="1149"/>
      <c r="CP256" s="1149"/>
      <c r="CQ256" s="1149"/>
      <c r="CR256" s="1149"/>
      <c r="CS256" s="1149"/>
      <c r="CT256" s="1149"/>
      <c r="CU256" s="1149"/>
      <c r="CV256" s="1149"/>
      <c r="CW256" s="1149"/>
      <c r="CX256" s="1149"/>
      <c r="CY256" s="1149"/>
      <c r="CZ256" s="1150"/>
    </row>
    <row r="257" spans="1:104">
      <c r="A257" s="722"/>
      <c r="B257" s="1094" t="s">
        <v>3301</v>
      </c>
      <c r="C257" s="1095"/>
      <c r="D257" s="1095"/>
      <c r="E257" s="1096"/>
      <c r="F257" s="768">
        <f>F249+F255</f>
        <v>331175062.60141695</v>
      </c>
      <c r="G257" s="778">
        <f>F257/F259</f>
        <v>0.99999999879645818</v>
      </c>
      <c r="H257" s="1139"/>
      <c r="I257" s="1131" t="s">
        <v>3332</v>
      </c>
      <c r="J257" s="1131"/>
      <c r="K257" s="1131"/>
      <c r="L257" s="1131"/>
      <c r="M257" s="1062">
        <f>M244+M241+M235+M232+M226+M223+M214+M211+M208+M202+M199+M196+M193+M190+M181+M178+M184+M172+M166+M160+M157+M154+M148+M145+M142+M139+M136+M133+M130+M118+M109+M100+M106+M103+M88+M94+M91+M79+M76+M73+M70+M67+M61+M55+M52+M46+M43+M40+M37+M34+M31+M28+M25+M22+M16+M13+M10+M220+M217+M205+M169+M112</f>
        <v>5658996.7817000002</v>
      </c>
      <c r="N257" s="1086"/>
      <c r="O257" s="1086"/>
      <c r="P257" s="1086"/>
      <c r="Q257" s="1086"/>
      <c r="R257" s="1086"/>
      <c r="S257" s="1086"/>
      <c r="T257" s="1062">
        <f t="shared" ref="T257" si="14">T244+T241+T235+T232+T226+T223+T214+T211+T208+T202+T199+T196+T193+T190+T181+T178+T184+T172+T166+T160+T157+T154+T148+T145+T142+T139+T136+T133+T130+T118+T109+T100+T106+T103+T88+T94+T91+T79+T76+T73+T70+T67+T61+T55+T52+T46+T43+T40+T37+T34+T31+T28+T25+T22+T16+T13+T10+T220+T217+T205+T169+T112</f>
        <v>5439188.9127000002</v>
      </c>
      <c r="U257" s="1086"/>
      <c r="V257" s="1086"/>
      <c r="W257" s="1086"/>
      <c r="X257" s="1086"/>
      <c r="Y257" s="1086"/>
      <c r="Z257" s="1086"/>
      <c r="AA257" s="1062">
        <f t="shared" ref="AA257" si="15">AA244+AA241+AA235+AA232+AA226+AA223+AA214+AA211+AA208+AA202+AA199+AA196+AA193+AA190+AA181+AA178+AA184+AA172+AA166+AA160+AA157+AA154+AA148+AA145+AA142+AA139+AA136+AA133+AA130+AA118+AA109+AA100+AA106+AA103+AA88+AA94+AA91+AA79+AA76+AA73+AA70+AA67+AA61+AA55+AA52+AA46+AA43+AA40+AA37+AA34+AA31+AA28+AA25+AA22+AA16+AA13+AA10+AA220+AA217+AA205+AA169+AA112</f>
        <v>5348066.6332</v>
      </c>
      <c r="AB257" s="1086"/>
      <c r="AC257" s="1086"/>
      <c r="AD257" s="1086"/>
      <c r="AE257" s="1086"/>
      <c r="AF257" s="1086"/>
      <c r="AG257" s="1086"/>
      <c r="AH257" s="1062">
        <f t="shared" ref="AH257" si="16">AH244+AH241+AH235+AH232+AH226+AH223+AH214+AH211+AH208+AH202+AH199+AH196+AH193+AH190+AH181+AH178+AH184+AH172+AH166+AH160+AH157+AH154+AH148+AH145+AH142+AH139+AH136+AH133+AH130+AH118+AH109+AH100+AH106+AH103+AH88+AH94+AH91+AH79+AH76+AH73+AH70+AH67+AH61+AH55+AH52+AH46+AH43+AH40+AH37+AH34+AH31+AH28+AH25+AH22+AH16+AH13+AH10+AH220+AH217+AH205+AH169+AH112</f>
        <v>21567794.8728</v>
      </c>
      <c r="AI257" s="1086"/>
      <c r="AJ257" s="1086"/>
      <c r="AK257" s="1086"/>
      <c r="AL257" s="1086"/>
      <c r="AM257" s="1086"/>
      <c r="AN257" s="1086"/>
      <c r="AO257" s="1062">
        <f t="shared" ref="AO257" si="17">AO244+AO241+AO235+AO232+AO226+AO223+AO214+AO211+AO208+AO202+AO199+AO196+AO193+AO190+AO181+AO178+AO184+AO172+AO166+AO160+AO157+AO154+AO148+AO145+AO142+AO139+AO136+AO133+AO130+AO118+AO109+AO100+AO106+AO103+AO88+AO94+AO91+AO79+AO76+AO73+AO70+AO67+AO61+AO55+AO52+AO46+AO43+AO40+AO37+AO34+AO31+AO28+AO25+AO22+AO16+AO13+AO10+AO220+AO217+AO205+AO169+AO112</f>
        <v>17146187.789555557</v>
      </c>
      <c r="AP257" s="1086"/>
      <c r="AQ257" s="1086"/>
      <c r="AR257" s="1086"/>
      <c r="AS257" s="1086"/>
      <c r="AT257" s="1086"/>
      <c r="AU257" s="1086"/>
      <c r="AV257" s="1062">
        <f t="shared" ref="AV257" si="18">AV244+AV241+AV235+AV232+AV226+AV223+AV214+AV211+AV208+AV202+AV199+AV196+AV193+AV190+AV181+AV178+AV184+AV172+AV166+AV160+AV157+AV154+AV148+AV145+AV142+AV139+AV136+AV133+AV130+AV118+AV109+AV100+AV106+AV103+AV88+AV94+AV91+AV79+AV76+AV73+AV70+AV67+AV61+AV55+AV52+AV46+AV43+AV40+AV37+AV34+AV31+AV28+AV25+AV22+AV16+AV13+AV10+AV220+AV217+AV205+AV169+AV112</f>
        <v>10639913.253444444</v>
      </c>
      <c r="AW257" s="1086"/>
      <c r="AX257" s="1086"/>
      <c r="AY257" s="1086"/>
      <c r="AZ257" s="1086"/>
      <c r="BA257" s="1086"/>
      <c r="BB257" s="1086"/>
      <c r="BC257" s="1062">
        <f t="shared" ref="BC257" si="19">BC244+BC241+BC235+BC232+BC226+BC223+BC214+BC211+BC208+BC202+BC199+BC196+BC193+BC190+BC181+BC178+BC184+BC172+BC166+BC160+BC157+BC154+BC148+BC145+BC142+BC139+BC136+BC133+BC130+BC118+BC109+BC100+BC106+BC103+BC88+BC94+BC91+BC79+BC76+BC73+BC70+BC67+BC61+BC55+BC52+BC46+BC43+BC40+BC37+BC34+BC31+BC28+BC25+BC22+BC16+BC13+BC10+BC220+BC217+BC205+BC169+BC112</f>
        <v>1555974</v>
      </c>
      <c r="BD257" s="1086"/>
      <c r="BE257" s="1086"/>
      <c r="BF257" s="1086"/>
      <c r="BG257" s="1086"/>
      <c r="BH257" s="1086"/>
      <c r="BI257" s="1086"/>
      <c r="BJ257" s="1062">
        <f t="shared" ref="BJ257" si="20">BJ244+BJ241+BJ235+BJ232+BJ226+BJ223+BJ214+BJ211+BJ208+BJ202+BJ199+BJ196+BJ193+BJ190+BJ181+BJ178+BJ184+BJ172+BJ166+BJ160+BJ157+BJ154+BJ148+BJ145+BJ142+BJ139+BJ136+BJ133+BJ130+BJ118+BJ109+BJ100+BJ106+BJ103+BJ88+BJ94+BJ91+BJ79+BJ76+BJ73+BJ70+BJ67+BJ61+BJ55+BJ52+BJ46+BJ43+BJ40+BJ37+BJ34+BJ31+BJ28+BJ25+BJ22+BJ16+BJ13+BJ10+BJ220+BJ217+BJ205+BJ169+BJ112</f>
        <v>2575935.8880000003</v>
      </c>
      <c r="BK257" s="1086"/>
      <c r="BL257" s="1086"/>
      <c r="BM257" s="1086"/>
      <c r="BN257" s="1086"/>
      <c r="BO257" s="1086"/>
      <c r="BP257" s="1086"/>
      <c r="BQ257" s="1062">
        <f t="shared" ref="BQ257" si="21">BQ244+BQ241+BQ235+BQ232+BQ226+BQ223+BQ214+BQ211+BQ208+BQ202+BQ199+BQ196+BQ193+BQ190+BQ181+BQ178+BQ184+BQ172+BQ166+BQ160+BQ157+BQ154+BQ148+BQ145+BQ142+BQ139+BQ136+BQ133+BQ130+BQ118+BQ109+BQ100+BQ106+BQ103+BQ88+BQ94+BQ91+BQ79+BQ76+BQ73+BQ70+BQ67+BQ61+BQ55+BQ52+BQ46+BQ43+BQ40+BQ37+BQ34+BQ31+BQ28+BQ25+BQ22+BQ16+BQ13+BQ10+BQ220+BQ217+BQ205+BQ169+BQ112</f>
        <v>2671214.2020000005</v>
      </c>
      <c r="BR257" s="1086"/>
      <c r="BS257" s="1086"/>
      <c r="BT257" s="1086"/>
      <c r="BU257" s="1086"/>
      <c r="BV257" s="1086"/>
      <c r="BW257" s="1086"/>
      <c r="BX257" s="1062">
        <f t="shared" ref="BX257" si="22">BX244+BX241+BX235+BX232+BX226+BX223+BX214+BX211+BX208+BX202+BX199+BX196+BX193+BX190+BX181+BX178+BX184+BX172+BX166+BX160+BX157+BX154+BX148+BX145+BX142+BX139+BX136+BX133+BX130+BX118+BX109+BX100+BX106+BX103+BX88+BX94+BX91+BX79+BX76+BX73+BX70+BX67+BX61+BX55+BX52+BX46+BX43+BX40+BX37+BX34+BX31+BX28+BX25+BX22+BX16+BX13+BX10+BX220+BX217+BX205+BX169+BX112</f>
        <v>8449958.0099999998</v>
      </c>
      <c r="BY257" s="1086"/>
      <c r="BZ257" s="1086"/>
      <c r="CA257" s="1086"/>
      <c r="CB257" s="1086"/>
      <c r="CC257" s="1086"/>
      <c r="CD257" s="1086"/>
      <c r="CE257" s="1062">
        <f t="shared" ref="CE257" si="23">CE244+CE241+CE235+CE232+CE226+CE223+CE214+CE211+CE208+CE202+CE199+CE196+CE193+CE190+CE181+CE178+CE184+CE172+CE166+CE160+CE157+CE154+CE148+CE145+CE142+CE139+CE136+CE133+CE130+CE118+CE109+CE100+CE106+CE103+CE88+CE94+CE91+CE79+CE76+CE73+CE70+CE67+CE61+CE55+CE52+CE46+CE43+CE40+CE37+CE34+CE31+CE28+CE25+CE22+CE16+CE13+CE10+CE220+CE217+CE205+CE169+CE112</f>
        <v>69499563.056000009</v>
      </c>
      <c r="CF257" s="1086"/>
      <c r="CG257" s="1086"/>
      <c r="CH257" s="1086"/>
      <c r="CI257" s="1086"/>
      <c r="CJ257" s="1086"/>
      <c r="CK257" s="1086"/>
      <c r="CL257" s="1062">
        <f t="shared" ref="CL257" si="24">CL244+CL241+CL235+CL232+CL226+CL223+CL214+CL211+CL208+CL202+CL199+CL196+CL193+CL190+CL181+CL178+CL184+CL172+CL166+CL160+CL157+CL154+CL148+CL145+CL142+CL139+CL136+CL133+CL130+CL118+CL109+CL100+CL106+CL103+CL88+CL94+CL91+CL79+CL76+CL73+CL70+CL67+CL61+CL55+CL52+CL46+CL43+CL40+CL37+CL34+CL31+CL28+CL25+CL22+CL16+CL13+CL10+CL220+CL217+CL205+CL169+CL112</f>
        <v>77516306.679999992</v>
      </c>
      <c r="CM257" s="1086"/>
      <c r="CN257" s="1086"/>
      <c r="CO257" s="1086"/>
      <c r="CP257" s="1086"/>
      <c r="CQ257" s="1086"/>
      <c r="CR257" s="1086"/>
      <c r="CS257" s="1062">
        <f>CS244+CS241+CS235+CS232+CS226+CS223+CS211+CS208+CS202+CS199+CS196+CS193+CS190+CS181+CS178+CS184+CS172+CS166+CS160+CS157+CS154+CS148+CS145+CS142+CS139+CS136+CS133+CS130+CS118+CS100+CS106+CS103+CS88+CS94+CS91+CS79+CS76+CS73+CS70+CS67+CS61+CS52+CS46+CS43+CS40+CS37+CS34+CS31+CS28+CS25+CS22+CS16+CS13+CS10+CS214+CS109+CS55+CS220+CS217+CS205+CS169+CS112</f>
        <v>8210278.0755361086</v>
      </c>
      <c r="CT257" s="1086"/>
      <c r="CU257" s="1086"/>
      <c r="CV257" s="1086"/>
      <c r="CW257" s="1086"/>
      <c r="CX257" s="1086"/>
      <c r="CY257" s="1086"/>
    </row>
    <row r="258" spans="1:104">
      <c r="A258" s="722"/>
      <c r="B258" s="932"/>
      <c r="C258" s="499"/>
      <c r="D258" s="760"/>
      <c r="E258" s="402"/>
      <c r="F258" s="260"/>
      <c r="G258" s="804"/>
      <c r="H258" s="1139"/>
      <c r="I258" s="1131" t="s">
        <v>3330</v>
      </c>
      <c r="J258" s="1131"/>
      <c r="K258" s="1131"/>
      <c r="L258" s="1131"/>
      <c r="M258" s="1129">
        <f>M257/F249</f>
        <v>2.2213918398391281E-2</v>
      </c>
      <c r="N258" s="1130"/>
      <c r="O258" s="1130"/>
      <c r="P258" s="1130"/>
      <c r="Q258" s="1130"/>
      <c r="R258" s="1130"/>
      <c r="S258" s="1130"/>
      <c r="T258" s="1129">
        <f>T257/F249</f>
        <v>2.1351080999175893E-2</v>
      </c>
      <c r="U258" s="1130"/>
      <c r="V258" s="1130"/>
      <c r="W258" s="1130"/>
      <c r="X258" s="1130"/>
      <c r="Y258" s="1130"/>
      <c r="Z258" s="1130"/>
      <c r="AA258" s="1129">
        <f>AA257/F249</f>
        <v>2.0993388114876298E-2</v>
      </c>
      <c r="AB258" s="1130"/>
      <c r="AC258" s="1130"/>
      <c r="AD258" s="1130"/>
      <c r="AE258" s="1130"/>
      <c r="AF258" s="1130"/>
      <c r="AG258" s="1130"/>
      <c r="AH258" s="1129">
        <f>AH257/F249</f>
        <v>8.4662574272342084E-2</v>
      </c>
      <c r="AI258" s="1130"/>
      <c r="AJ258" s="1130"/>
      <c r="AK258" s="1130"/>
      <c r="AL258" s="1130"/>
      <c r="AM258" s="1130"/>
      <c r="AN258" s="1130"/>
      <c r="AO258" s="1129">
        <f>AO257/F249</f>
        <v>6.7305925607234585E-2</v>
      </c>
      <c r="AP258" s="1130"/>
      <c r="AQ258" s="1130"/>
      <c r="AR258" s="1130"/>
      <c r="AS258" s="1130"/>
      <c r="AT258" s="1130"/>
      <c r="AU258" s="1130"/>
      <c r="AV258" s="1129">
        <f>AV257/F249</f>
        <v>4.1766089272624471E-2</v>
      </c>
      <c r="AW258" s="1130"/>
      <c r="AX258" s="1130"/>
      <c r="AY258" s="1130"/>
      <c r="AZ258" s="1130"/>
      <c r="BA258" s="1130"/>
      <c r="BB258" s="1130"/>
      <c r="BC258" s="1129">
        <f>BC257/F249</f>
        <v>6.1078457541789127E-3</v>
      </c>
      <c r="BD258" s="1130"/>
      <c r="BE258" s="1130"/>
      <c r="BF258" s="1130"/>
      <c r="BG258" s="1130"/>
      <c r="BH258" s="1130"/>
      <c r="BI258" s="1130"/>
      <c r="BJ258" s="1129">
        <f>BJ257/F249</f>
        <v>1.0111620808932468E-2</v>
      </c>
      <c r="BK258" s="1130"/>
      <c r="BL258" s="1130"/>
      <c r="BM258" s="1130"/>
      <c r="BN258" s="1130"/>
      <c r="BO258" s="1130"/>
      <c r="BP258" s="1130"/>
      <c r="BQ258" s="1129">
        <f>BQ257/F249</f>
        <v>1.0485627858941162E-2</v>
      </c>
      <c r="BR258" s="1130"/>
      <c r="BS258" s="1130"/>
      <c r="BT258" s="1130"/>
      <c r="BU258" s="1130"/>
      <c r="BV258" s="1130"/>
      <c r="BW258" s="1130"/>
      <c r="BX258" s="1129">
        <f>BX257/F249</f>
        <v>3.3169603190264484E-2</v>
      </c>
      <c r="BY258" s="1130"/>
      <c r="BZ258" s="1130"/>
      <c r="CA258" s="1130"/>
      <c r="CB258" s="1130"/>
      <c r="CC258" s="1130"/>
      <c r="CD258" s="1130"/>
      <c r="CE258" s="1129">
        <f>CE257/F249</f>
        <v>0.272814719994601</v>
      </c>
      <c r="CF258" s="1130"/>
      <c r="CG258" s="1130"/>
      <c r="CH258" s="1130"/>
      <c r="CI258" s="1130"/>
      <c r="CJ258" s="1130"/>
      <c r="CK258" s="1130"/>
      <c r="CL258" s="1129">
        <f>CL257/F249</f>
        <v>0.3042837763581322</v>
      </c>
      <c r="CM258" s="1130"/>
      <c r="CN258" s="1130"/>
      <c r="CO258" s="1130"/>
      <c r="CP258" s="1130"/>
      <c r="CQ258" s="1130"/>
      <c r="CR258" s="1130"/>
      <c r="CS258" s="1129">
        <f>CS257/F249</f>
        <v>3.2228759660695765E-2</v>
      </c>
      <c r="CT258" s="1130"/>
      <c r="CU258" s="1130"/>
      <c r="CV258" s="1130"/>
      <c r="CW258" s="1130"/>
      <c r="CX258" s="1130"/>
      <c r="CY258" s="1130"/>
    </row>
    <row r="259" spans="1:104">
      <c r="A259" s="722"/>
      <c r="B259" s="933" t="s">
        <v>3302</v>
      </c>
      <c r="C259" s="797"/>
      <c r="D259" s="797"/>
      <c r="E259" s="798"/>
      <c r="F259" s="768">
        <f>ROUND(F257,0)</f>
        <v>331175063</v>
      </c>
      <c r="G259" s="778">
        <f>F259/F259</f>
        <v>1</v>
      </c>
      <c r="H259" s="1139"/>
      <c r="I259" s="1131" t="s">
        <v>3331</v>
      </c>
      <c r="J259" s="1131"/>
      <c r="K259" s="1131"/>
      <c r="L259" s="1131"/>
      <c r="M259" s="1129">
        <f>M258</f>
        <v>2.2213918398391281E-2</v>
      </c>
      <c r="N259" s="1130"/>
      <c r="O259" s="1130"/>
      <c r="P259" s="1130"/>
      <c r="Q259" s="1130"/>
      <c r="R259" s="1130"/>
      <c r="S259" s="1130"/>
      <c r="T259" s="1129">
        <f>M259+T258</f>
        <v>4.3564999397567174E-2</v>
      </c>
      <c r="U259" s="1130"/>
      <c r="V259" s="1130"/>
      <c r="W259" s="1130"/>
      <c r="X259" s="1130"/>
      <c r="Y259" s="1130"/>
      <c r="Z259" s="1130"/>
      <c r="AA259" s="1129">
        <f>AA258+T259</f>
        <v>6.4558387512443471E-2</v>
      </c>
      <c r="AB259" s="1130"/>
      <c r="AC259" s="1130"/>
      <c r="AD259" s="1130"/>
      <c r="AE259" s="1130"/>
      <c r="AF259" s="1130"/>
      <c r="AG259" s="1130"/>
      <c r="AH259" s="1129">
        <f>AH258+AA259</f>
        <v>0.14922096178478556</v>
      </c>
      <c r="AI259" s="1130"/>
      <c r="AJ259" s="1130"/>
      <c r="AK259" s="1130"/>
      <c r="AL259" s="1130"/>
      <c r="AM259" s="1130"/>
      <c r="AN259" s="1130"/>
      <c r="AO259" s="1129">
        <f>AO258+AH259</f>
        <v>0.21652688739202014</v>
      </c>
      <c r="AP259" s="1130"/>
      <c r="AQ259" s="1130"/>
      <c r="AR259" s="1130"/>
      <c r="AS259" s="1130"/>
      <c r="AT259" s="1130"/>
      <c r="AU259" s="1130"/>
      <c r="AV259" s="1129">
        <f>AV258+AO259</f>
        <v>0.25829297666464462</v>
      </c>
      <c r="AW259" s="1130"/>
      <c r="AX259" s="1130"/>
      <c r="AY259" s="1130"/>
      <c r="AZ259" s="1130"/>
      <c r="BA259" s="1130"/>
      <c r="BB259" s="1130"/>
      <c r="BC259" s="1129">
        <f>BC258+AV259</f>
        <v>0.26440082241882351</v>
      </c>
      <c r="BD259" s="1130"/>
      <c r="BE259" s="1130"/>
      <c r="BF259" s="1130"/>
      <c r="BG259" s="1130"/>
      <c r="BH259" s="1130"/>
      <c r="BI259" s="1130"/>
      <c r="BJ259" s="1129">
        <f>BJ258+BC259</f>
        <v>0.27451244322775598</v>
      </c>
      <c r="BK259" s="1130"/>
      <c r="BL259" s="1130"/>
      <c r="BM259" s="1130"/>
      <c r="BN259" s="1130"/>
      <c r="BO259" s="1130"/>
      <c r="BP259" s="1130"/>
      <c r="BQ259" s="1129">
        <f>BQ258+BJ259</f>
        <v>0.28499807108669711</v>
      </c>
      <c r="BR259" s="1130"/>
      <c r="BS259" s="1130"/>
      <c r="BT259" s="1130"/>
      <c r="BU259" s="1130"/>
      <c r="BV259" s="1130"/>
      <c r="BW259" s="1130"/>
      <c r="BX259" s="1129">
        <f>BX258+BQ259</f>
        <v>0.31816767427696158</v>
      </c>
      <c r="BY259" s="1130"/>
      <c r="BZ259" s="1130"/>
      <c r="CA259" s="1130"/>
      <c r="CB259" s="1130"/>
      <c r="CC259" s="1130"/>
      <c r="CD259" s="1130"/>
      <c r="CE259" s="1129">
        <f>CE258+BX259</f>
        <v>0.59098239427156263</v>
      </c>
      <c r="CF259" s="1130"/>
      <c r="CG259" s="1130"/>
      <c r="CH259" s="1130"/>
      <c r="CI259" s="1130"/>
      <c r="CJ259" s="1130"/>
      <c r="CK259" s="1130"/>
      <c r="CL259" s="1129">
        <f>CL258+CE259</f>
        <v>0.89526617062969482</v>
      </c>
      <c r="CM259" s="1130"/>
      <c r="CN259" s="1130"/>
      <c r="CO259" s="1130"/>
      <c r="CP259" s="1130"/>
      <c r="CQ259" s="1130"/>
      <c r="CR259" s="1130"/>
      <c r="CS259" s="1129">
        <f>CS258+CL259</f>
        <v>0.92749493029039054</v>
      </c>
      <c r="CT259" s="1130"/>
      <c r="CU259" s="1130"/>
      <c r="CV259" s="1130"/>
      <c r="CW259" s="1130"/>
      <c r="CX259" s="1130"/>
      <c r="CY259" s="1130"/>
    </row>
    <row r="260" spans="1:104">
      <c r="B260" s="1138"/>
      <c r="C260" s="1138"/>
      <c r="D260" s="1138"/>
      <c r="E260" s="1138"/>
      <c r="F260" s="1138"/>
      <c r="G260" s="1138"/>
      <c r="H260" s="1139"/>
      <c r="I260" s="1132" t="s">
        <v>3333</v>
      </c>
      <c r="J260" s="1132"/>
      <c r="K260" s="1132"/>
      <c r="L260" s="1132"/>
      <c r="M260" s="1062">
        <f>M257</f>
        <v>5658996.7817000002</v>
      </c>
      <c r="N260" s="1086"/>
      <c r="O260" s="1086"/>
      <c r="P260" s="1086"/>
      <c r="Q260" s="1086"/>
      <c r="R260" s="1086"/>
      <c r="S260" s="1086"/>
      <c r="T260" s="1062">
        <f>T257+M260</f>
        <v>11098185.694400001</v>
      </c>
      <c r="U260" s="1086"/>
      <c r="V260" s="1086"/>
      <c r="W260" s="1086"/>
      <c r="X260" s="1086"/>
      <c r="Y260" s="1086"/>
      <c r="Z260" s="1086"/>
      <c r="AA260" s="1062">
        <f>AA257+T260</f>
        <v>16446252.327600002</v>
      </c>
      <c r="AB260" s="1086"/>
      <c r="AC260" s="1086"/>
      <c r="AD260" s="1086"/>
      <c r="AE260" s="1086"/>
      <c r="AF260" s="1086"/>
      <c r="AG260" s="1086"/>
      <c r="AH260" s="1062">
        <f>AH257+AA260</f>
        <v>38014047.200400002</v>
      </c>
      <c r="AI260" s="1086"/>
      <c r="AJ260" s="1086"/>
      <c r="AK260" s="1086"/>
      <c r="AL260" s="1086"/>
      <c r="AM260" s="1086"/>
      <c r="AN260" s="1086"/>
      <c r="AO260" s="1062">
        <f>AO257+AH260</f>
        <v>55160234.989955559</v>
      </c>
      <c r="AP260" s="1086"/>
      <c r="AQ260" s="1086"/>
      <c r="AR260" s="1086"/>
      <c r="AS260" s="1086"/>
      <c r="AT260" s="1086"/>
      <c r="AU260" s="1086"/>
      <c r="AV260" s="1062">
        <f>AV257+AO260</f>
        <v>65800148.243400007</v>
      </c>
      <c r="AW260" s="1086"/>
      <c r="AX260" s="1086"/>
      <c r="AY260" s="1086"/>
      <c r="AZ260" s="1086"/>
      <c r="BA260" s="1086"/>
      <c r="BB260" s="1086"/>
      <c r="BC260" s="1062">
        <f>BC257+AV260</f>
        <v>67356122.243400007</v>
      </c>
      <c r="BD260" s="1086"/>
      <c r="BE260" s="1086"/>
      <c r="BF260" s="1086"/>
      <c r="BG260" s="1086"/>
      <c r="BH260" s="1086"/>
      <c r="BI260" s="1086"/>
      <c r="BJ260" s="1062">
        <f>BJ257+BC260</f>
        <v>69932058.131400004</v>
      </c>
      <c r="BK260" s="1086"/>
      <c r="BL260" s="1086"/>
      <c r="BM260" s="1086"/>
      <c r="BN260" s="1086"/>
      <c r="BO260" s="1086"/>
      <c r="BP260" s="1086"/>
      <c r="BQ260" s="1062">
        <f>BQ257+BJ260</f>
        <v>72603272.333400011</v>
      </c>
      <c r="BR260" s="1086"/>
      <c r="BS260" s="1086"/>
      <c r="BT260" s="1086"/>
      <c r="BU260" s="1086"/>
      <c r="BV260" s="1086"/>
      <c r="BW260" s="1086"/>
      <c r="BX260" s="1062">
        <f>BX257+BQ260</f>
        <v>81053230.343400016</v>
      </c>
      <c r="BY260" s="1086"/>
      <c r="BZ260" s="1086"/>
      <c r="CA260" s="1086"/>
      <c r="CB260" s="1086"/>
      <c r="CC260" s="1086"/>
      <c r="CD260" s="1086"/>
      <c r="CE260" s="1062">
        <f>CE257+BX260</f>
        <v>150552793.39940003</v>
      </c>
      <c r="CF260" s="1086"/>
      <c r="CG260" s="1086"/>
      <c r="CH260" s="1086"/>
      <c r="CI260" s="1086"/>
      <c r="CJ260" s="1086"/>
      <c r="CK260" s="1086"/>
      <c r="CL260" s="1062">
        <f>CL257+CE260</f>
        <v>228069100.0794</v>
      </c>
      <c r="CM260" s="1086"/>
      <c r="CN260" s="1086"/>
      <c r="CO260" s="1086"/>
      <c r="CP260" s="1086"/>
      <c r="CQ260" s="1086"/>
      <c r="CR260" s="1086"/>
      <c r="CS260" s="1062">
        <f>CS257+CL260</f>
        <v>236279378.15493611</v>
      </c>
      <c r="CT260" s="1086"/>
      <c r="CU260" s="1086"/>
      <c r="CV260" s="1086"/>
      <c r="CW260" s="1086"/>
      <c r="CX260" s="1086"/>
      <c r="CY260" s="1086"/>
    </row>
    <row r="261" spans="1:104">
      <c r="B261" s="1135"/>
      <c r="C261" s="1136"/>
      <c r="D261" s="1136"/>
      <c r="E261" s="1136"/>
      <c r="F261" s="1136"/>
      <c r="G261" s="1137"/>
      <c r="H261" s="1139"/>
      <c r="I261" s="1132" t="s">
        <v>3334</v>
      </c>
      <c r="J261" s="1132"/>
      <c r="K261" s="1132"/>
      <c r="L261" s="1132"/>
      <c r="M261" s="1062">
        <f>M260*(F259/F249)</f>
        <v>7356695.8250640919</v>
      </c>
      <c r="N261" s="1086"/>
      <c r="O261" s="1086"/>
      <c r="P261" s="1086"/>
      <c r="Q261" s="1086"/>
      <c r="R261" s="1086"/>
      <c r="S261" s="1086"/>
      <c r="T261" s="1062">
        <f>T260*(F259/F249)</f>
        <v>14427641.420084273</v>
      </c>
      <c r="U261" s="1086"/>
      <c r="V261" s="1086"/>
      <c r="W261" s="1086"/>
      <c r="X261" s="1086"/>
      <c r="Y261" s="1086"/>
      <c r="Z261" s="1086"/>
      <c r="AA261" s="1062">
        <f>AA260*(F259/F249)</f>
        <v>21380128.051611882</v>
      </c>
      <c r="AB261" s="1086"/>
      <c r="AC261" s="1086"/>
      <c r="AD261" s="1086"/>
      <c r="AE261" s="1086"/>
      <c r="AF261" s="1086"/>
      <c r="AG261" s="1086"/>
      <c r="AH261" s="1062">
        <f>AH260*(F259/F249)</f>
        <v>49418261.419996955</v>
      </c>
      <c r="AI261" s="1086"/>
      <c r="AJ261" s="1086"/>
      <c r="AK261" s="1086"/>
      <c r="AL261" s="1086"/>
      <c r="AM261" s="1086"/>
      <c r="AN261" s="1086"/>
      <c r="AO261" s="1062">
        <f>AO260*(F259/F249)</f>
        <v>71708305.573246181</v>
      </c>
      <c r="AP261" s="1086"/>
      <c r="AQ261" s="1086"/>
      <c r="AR261" s="1086"/>
      <c r="AS261" s="1086"/>
      <c r="AT261" s="1086"/>
      <c r="AU261" s="1086"/>
      <c r="AV261" s="1062">
        <f>AV260*(F259/F249)</f>
        <v>85540192.819371223</v>
      </c>
      <c r="AW261" s="1086"/>
      <c r="AX261" s="1086"/>
      <c r="AY261" s="1086"/>
      <c r="AZ261" s="1086"/>
      <c r="BA261" s="1086"/>
      <c r="BB261" s="1086"/>
      <c r="BC261" s="1062">
        <f>BC260*(F259/F249)</f>
        <v>87562959.021805704</v>
      </c>
      <c r="BD261" s="1086"/>
      <c r="BE261" s="1086"/>
      <c r="BF261" s="1086"/>
      <c r="BG261" s="1086"/>
      <c r="BH261" s="1086"/>
      <c r="BI261" s="1086"/>
      <c r="BJ261" s="1062">
        <f>BJ260*(F259/F249)</f>
        <v>90911675.680236012</v>
      </c>
      <c r="BK261" s="1086"/>
      <c r="BL261" s="1086"/>
      <c r="BM261" s="1086"/>
      <c r="BN261" s="1086"/>
      <c r="BO261" s="1086"/>
      <c r="BP261" s="1086"/>
      <c r="BQ261" s="1062">
        <f>BQ260*(F259/F249)</f>
        <v>94384254.147015423</v>
      </c>
      <c r="BR261" s="1086"/>
      <c r="BS261" s="1086"/>
      <c r="BT261" s="1086"/>
      <c r="BU261" s="1086"/>
      <c r="BV261" s="1086"/>
      <c r="BW261" s="1086"/>
      <c r="BX261" s="1062">
        <f>BX260*(F259/F249)</f>
        <v>105369199.57323627</v>
      </c>
      <c r="BY261" s="1086"/>
      <c r="BZ261" s="1086"/>
      <c r="CA261" s="1086"/>
      <c r="CB261" s="1086"/>
      <c r="CC261" s="1086"/>
      <c r="CD261" s="1086"/>
      <c r="CE261" s="1062">
        <f>CE260*(F259/F249)</f>
        <v>195718631.65477562</v>
      </c>
      <c r="CF261" s="1086"/>
      <c r="CG261" s="1086"/>
      <c r="CH261" s="1086"/>
      <c r="CI261" s="1086"/>
      <c r="CJ261" s="1086"/>
      <c r="CK261" s="1086"/>
      <c r="CL261" s="1062">
        <f>CL260*(F259/F249)</f>
        <v>296489830.46005791</v>
      </c>
      <c r="CM261" s="1086"/>
      <c r="CN261" s="1086"/>
      <c r="CO261" s="1086"/>
      <c r="CP261" s="1086"/>
      <c r="CQ261" s="1086"/>
      <c r="CR261" s="1086"/>
      <c r="CS261" s="1062">
        <f>CS260*(F259/F249)</f>
        <v>307163191.97110069</v>
      </c>
      <c r="CT261" s="1086"/>
      <c r="CU261" s="1086"/>
      <c r="CV261" s="1086"/>
      <c r="CW261" s="1086"/>
      <c r="CX261" s="1086"/>
      <c r="CY261" s="1086"/>
    </row>
    <row r="262" spans="1:104">
      <c r="A262" s="722"/>
      <c r="B262" s="932"/>
      <c r="C262" s="499"/>
      <c r="D262" s="760"/>
      <c r="E262" s="402"/>
      <c r="F262" s="1305">
        <f>F259*50%</f>
        <v>165587531.5</v>
      </c>
      <c r="G262" s="871"/>
      <c r="H262" s="871"/>
      <c r="I262" s="871"/>
      <c r="J262" s="871"/>
      <c r="K262" s="871"/>
      <c r="L262" s="871"/>
      <c r="M262" s="327"/>
      <c r="N262" s="327"/>
      <c r="O262" s="327"/>
      <c r="P262" s="327"/>
      <c r="Q262" s="327"/>
      <c r="R262" s="327"/>
      <c r="S262" s="327"/>
      <c r="T262" s="327"/>
      <c r="U262" s="327"/>
      <c r="V262" s="327"/>
      <c r="W262" s="327"/>
      <c r="X262" s="327"/>
      <c r="Y262" s="327"/>
      <c r="Z262" s="327"/>
      <c r="AA262" s="327"/>
      <c r="AB262" s="327"/>
      <c r="AC262" s="327"/>
      <c r="AD262" s="327"/>
      <c r="AE262" s="327"/>
      <c r="AF262" s="327"/>
      <c r="AG262" s="327"/>
      <c r="AH262" s="327"/>
      <c r="AI262" s="327"/>
      <c r="AJ262" s="327"/>
      <c r="AK262" s="327"/>
      <c r="AL262" s="327"/>
      <c r="AM262" s="327"/>
      <c r="AN262" s="327"/>
      <c r="AO262" s="327"/>
      <c r="AP262" s="327"/>
      <c r="AQ262" s="327"/>
      <c r="AR262" s="327"/>
      <c r="AS262" s="327"/>
      <c r="AT262" s="327"/>
      <c r="AU262" s="327"/>
      <c r="AV262" s="327"/>
      <c r="AW262" s="327"/>
      <c r="AX262" s="327"/>
      <c r="AY262" s="327"/>
      <c r="AZ262" s="327"/>
      <c r="BA262" s="327"/>
      <c r="BB262" s="327"/>
      <c r="BC262" s="327"/>
      <c r="BD262" s="327"/>
      <c r="BE262" s="327"/>
      <c r="BF262" s="327"/>
      <c r="BG262" s="327"/>
      <c r="BH262" s="327"/>
      <c r="BI262" s="327"/>
      <c r="BJ262" s="327"/>
      <c r="BK262" s="327"/>
      <c r="BL262" s="327"/>
      <c r="BM262" s="327"/>
      <c r="BN262" s="327"/>
      <c r="BO262" s="327"/>
      <c r="BP262" s="327"/>
      <c r="BQ262" s="327"/>
      <c r="BR262" s="327"/>
      <c r="BS262" s="327"/>
      <c r="BT262" s="327"/>
      <c r="BU262" s="327"/>
      <c r="BV262" s="327"/>
      <c r="BW262" s="327"/>
      <c r="BX262" s="327"/>
      <c r="BY262" s="327"/>
      <c r="BZ262" s="327"/>
      <c r="CA262" s="327"/>
      <c r="CB262" s="327"/>
      <c r="CC262" s="327"/>
      <c r="CD262" s="327"/>
      <c r="CE262" s="327"/>
      <c r="CF262" s="327"/>
      <c r="CG262" s="327"/>
      <c r="CH262" s="327"/>
      <c r="CI262" s="327"/>
      <c r="CJ262" s="327"/>
      <c r="CK262" s="327"/>
      <c r="CL262" s="327"/>
      <c r="CM262" s="327"/>
      <c r="CN262" s="327"/>
      <c r="CO262" s="327"/>
      <c r="CP262" s="327"/>
      <c r="CQ262" s="327"/>
      <c r="CR262" s="327"/>
      <c r="CS262" s="327"/>
      <c r="CT262" s="327"/>
      <c r="CU262" s="327"/>
      <c r="CV262" s="327"/>
      <c r="CW262" s="327"/>
      <c r="CX262" s="327"/>
      <c r="CY262" s="327"/>
      <c r="CZ262" s="327"/>
    </row>
    <row r="263" spans="1:104">
      <c r="A263" s="722"/>
      <c r="B263" s="932"/>
      <c r="C263" s="499"/>
      <c r="D263" s="760"/>
      <c r="E263" s="402"/>
      <c r="F263" s="260"/>
      <c r="G263" s="871"/>
      <c r="H263" s="871"/>
      <c r="I263" s="871"/>
      <c r="J263" s="871"/>
      <c r="K263" s="871"/>
      <c r="L263" s="871"/>
      <c r="M263" s="980">
        <f>M260*1.3</f>
        <v>7356695.8162100008</v>
      </c>
      <c r="N263" s="980"/>
      <c r="O263" s="980"/>
      <c r="P263" s="980"/>
      <c r="Q263" s="980"/>
      <c r="R263" s="980"/>
      <c r="S263" s="980"/>
      <c r="T263" s="327"/>
      <c r="U263" s="327"/>
      <c r="V263" s="327"/>
      <c r="W263" s="327"/>
      <c r="X263" s="327"/>
      <c r="Y263" s="327"/>
      <c r="Z263" s="327"/>
      <c r="AA263" s="327"/>
      <c r="AB263" s="327"/>
      <c r="AC263" s="327"/>
      <c r="AD263" s="327"/>
      <c r="AE263" s="327"/>
      <c r="AF263" s="327"/>
      <c r="AG263" s="327"/>
      <c r="AH263" s="327"/>
      <c r="AI263" s="327"/>
      <c r="AJ263" s="327"/>
      <c r="AK263" s="327"/>
      <c r="AL263" s="327"/>
      <c r="AM263" s="327"/>
      <c r="AN263" s="327"/>
      <c r="AO263" s="327"/>
      <c r="AP263" s="327"/>
      <c r="AQ263" s="327"/>
      <c r="AR263" s="327"/>
      <c r="AS263" s="327"/>
      <c r="AT263" s="327"/>
      <c r="AU263" s="327"/>
      <c r="AV263" s="327"/>
      <c r="AW263" s="327"/>
      <c r="AX263" s="327"/>
      <c r="AY263" s="327"/>
      <c r="AZ263" s="327"/>
      <c r="BA263" s="327"/>
      <c r="BB263" s="327"/>
      <c r="BC263" s="327"/>
      <c r="BD263" s="327"/>
      <c r="BE263" s="327"/>
      <c r="BF263" s="327"/>
      <c r="BG263" s="327"/>
      <c r="BH263" s="327"/>
      <c r="BI263" s="327"/>
      <c r="BJ263" s="327"/>
      <c r="BK263" s="327"/>
      <c r="BL263" s="327"/>
      <c r="BM263" s="327"/>
      <c r="BN263" s="327"/>
      <c r="BO263" s="327"/>
      <c r="BP263" s="327"/>
      <c r="BQ263" s="327"/>
      <c r="BR263" s="327"/>
      <c r="BS263" s="327"/>
      <c r="BT263" s="327"/>
      <c r="BU263" s="327"/>
      <c r="BV263" s="327"/>
      <c r="BW263" s="327"/>
      <c r="BX263" s="327"/>
      <c r="BY263" s="327"/>
      <c r="BZ263" s="327"/>
      <c r="CA263" s="327"/>
      <c r="CB263" s="327"/>
      <c r="CC263" s="327"/>
      <c r="CD263" s="327"/>
      <c r="CE263" s="327"/>
      <c r="CF263" s="327"/>
      <c r="CG263" s="327"/>
      <c r="CH263" s="327"/>
      <c r="CI263" s="327"/>
      <c r="CJ263" s="327"/>
      <c r="CK263" s="327"/>
      <c r="CL263" s="327"/>
      <c r="CM263" s="327"/>
      <c r="CN263" s="327"/>
      <c r="CO263" s="327"/>
      <c r="CP263" s="327"/>
      <c r="CQ263" s="327"/>
      <c r="CR263" s="327"/>
      <c r="CS263" s="327"/>
      <c r="CT263" s="327"/>
      <c r="CU263" s="327"/>
      <c r="CV263" s="327"/>
      <c r="CW263" s="327"/>
      <c r="CX263" s="327"/>
      <c r="CY263" s="327"/>
      <c r="CZ263" s="327"/>
    </row>
    <row r="264" spans="1:104">
      <c r="A264" s="722"/>
      <c r="B264" s="932"/>
      <c r="C264" s="499"/>
      <c r="D264" s="760"/>
      <c r="E264" s="402"/>
      <c r="F264" s="260"/>
      <c r="G264" s="871"/>
      <c r="H264" s="871"/>
      <c r="I264" s="871"/>
      <c r="J264" s="871"/>
      <c r="K264" s="871"/>
      <c r="L264" s="871"/>
      <c r="M264" s="327"/>
      <c r="N264" s="327"/>
      <c r="O264" s="327"/>
      <c r="P264" s="327"/>
      <c r="Q264" s="327"/>
      <c r="R264" s="327"/>
      <c r="S264" s="327"/>
      <c r="T264" s="327"/>
      <c r="U264" s="327"/>
      <c r="V264" s="327"/>
      <c r="W264" s="327"/>
      <c r="X264" s="327"/>
      <c r="Y264" s="327"/>
      <c r="Z264" s="327"/>
      <c r="AA264" s="327"/>
      <c r="AB264" s="327"/>
      <c r="AC264" s="327"/>
      <c r="AD264" s="327"/>
      <c r="AE264" s="327"/>
      <c r="AF264" s="327"/>
      <c r="AG264" s="327"/>
      <c r="AH264" s="327"/>
      <c r="AI264" s="327"/>
      <c r="AJ264" s="327"/>
      <c r="AK264" s="327"/>
      <c r="AL264" s="327"/>
      <c r="AM264" s="327"/>
      <c r="AN264" s="327"/>
      <c r="AO264" s="327"/>
      <c r="AP264" s="327"/>
      <c r="AQ264" s="327"/>
      <c r="AR264" s="327"/>
      <c r="AS264" s="327"/>
      <c r="AT264" s="327"/>
      <c r="AU264" s="327"/>
      <c r="AV264" s="327"/>
      <c r="AW264" s="327"/>
      <c r="AX264" s="327"/>
      <c r="AY264" s="327"/>
      <c r="AZ264" s="327"/>
      <c r="BA264" s="327"/>
      <c r="BB264" s="327"/>
      <c r="BC264" s="327"/>
      <c r="BD264" s="327"/>
      <c r="BE264" s="327"/>
      <c r="BF264" s="327"/>
      <c r="BG264" s="327"/>
      <c r="BH264" s="327"/>
      <c r="BI264" s="327"/>
      <c r="BJ264" s="327"/>
      <c r="BK264" s="327"/>
      <c r="BL264" s="327"/>
      <c r="BM264" s="327"/>
      <c r="BN264" s="327"/>
      <c r="BO264" s="327"/>
      <c r="BP264" s="327"/>
      <c r="BQ264" s="327"/>
      <c r="BR264" s="327"/>
      <c r="BS264" s="327"/>
      <c r="BT264" s="327"/>
      <c r="BU264" s="327"/>
      <c r="BV264" s="327"/>
      <c r="BW264" s="327"/>
      <c r="BX264" s="327"/>
      <c r="BY264" s="327"/>
      <c r="BZ264" s="327"/>
      <c r="CA264" s="327"/>
      <c r="CB264" s="327"/>
      <c r="CC264" s="327"/>
      <c r="CD264" s="327"/>
      <c r="CE264" s="327"/>
      <c r="CF264" s="327"/>
      <c r="CG264" s="327"/>
      <c r="CH264" s="327"/>
      <c r="CI264" s="327"/>
      <c r="CJ264" s="327"/>
      <c r="CK264" s="327"/>
      <c r="CL264" s="327"/>
      <c r="CM264" s="327"/>
      <c r="CN264" s="327"/>
      <c r="CO264" s="327"/>
      <c r="CP264" s="327"/>
      <c r="CQ264" s="327"/>
      <c r="CR264" s="327"/>
      <c r="CS264" s="327"/>
      <c r="CT264" s="327"/>
      <c r="CU264" s="327"/>
      <c r="CV264" s="327"/>
      <c r="CW264" s="327"/>
      <c r="CX264" s="327"/>
      <c r="CY264" s="327"/>
      <c r="CZ264" s="327"/>
    </row>
    <row r="265" spans="1:104">
      <c r="A265" s="722"/>
      <c r="B265" s="932"/>
      <c r="C265" s="499"/>
      <c r="D265" s="760"/>
      <c r="E265" s="402"/>
      <c r="F265" s="260"/>
      <c r="G265" s="871"/>
      <c r="H265" s="871"/>
      <c r="I265" s="871"/>
      <c r="J265" s="871"/>
      <c r="K265" s="871"/>
      <c r="L265" s="871"/>
      <c r="M265" s="327"/>
      <c r="N265" s="327"/>
      <c r="O265" s="327"/>
      <c r="P265" s="327"/>
      <c r="Q265" s="327"/>
      <c r="R265" s="327"/>
      <c r="S265" s="327"/>
      <c r="T265" s="327"/>
      <c r="U265" s="327"/>
      <c r="V265" s="327"/>
      <c r="W265" s="327"/>
      <c r="X265" s="327"/>
      <c r="Y265" s="327"/>
      <c r="Z265" s="327"/>
      <c r="AA265" s="327"/>
      <c r="AB265" s="327"/>
      <c r="AC265" s="327"/>
      <c r="AD265" s="327"/>
      <c r="AE265" s="327"/>
      <c r="AF265" s="327"/>
      <c r="AG265" s="327"/>
      <c r="AH265" s="327"/>
      <c r="AI265" s="327"/>
      <c r="AJ265" s="327"/>
      <c r="AK265" s="327"/>
      <c r="AL265" s="327"/>
      <c r="AM265" s="327"/>
      <c r="AN265" s="327"/>
      <c r="AO265" s="327"/>
      <c r="AP265" s="327"/>
      <c r="AQ265" s="327"/>
      <c r="AR265" s="327"/>
      <c r="AS265" s="327"/>
      <c r="AT265" s="327"/>
      <c r="AU265" s="327"/>
      <c r="AV265" s="327"/>
      <c r="AW265" s="327"/>
      <c r="AX265" s="327"/>
      <c r="AY265" s="327"/>
      <c r="AZ265" s="327"/>
      <c r="BA265" s="327"/>
      <c r="BB265" s="327"/>
      <c r="BC265" s="327"/>
      <c r="BD265" s="327"/>
      <c r="BE265" s="327"/>
      <c r="BF265" s="327"/>
      <c r="BG265" s="327"/>
      <c r="BH265" s="327"/>
      <c r="BI265" s="327"/>
      <c r="BJ265" s="327"/>
      <c r="BK265" s="327"/>
      <c r="BL265" s="327"/>
      <c r="BM265" s="327"/>
      <c r="BN265" s="327"/>
      <c r="BO265" s="327"/>
      <c r="BP265" s="327"/>
      <c r="BQ265" s="327"/>
      <c r="BR265" s="327"/>
      <c r="BS265" s="327"/>
      <c r="BT265" s="327"/>
      <c r="BU265" s="327"/>
      <c r="BV265" s="327"/>
      <c r="BW265" s="327"/>
      <c r="BX265" s="327"/>
      <c r="BY265" s="327"/>
      <c r="BZ265" s="327"/>
      <c r="CA265" s="327"/>
      <c r="CB265" s="327"/>
      <c r="CC265" s="327"/>
      <c r="CD265" s="327"/>
      <c r="CE265" s="327"/>
      <c r="CF265" s="327"/>
      <c r="CG265" s="327"/>
      <c r="CH265" s="327"/>
      <c r="CI265" s="327"/>
      <c r="CJ265" s="327"/>
      <c r="CK265" s="327"/>
      <c r="CL265" s="327"/>
      <c r="CM265" s="327"/>
      <c r="CN265" s="327"/>
      <c r="CO265" s="327"/>
      <c r="CP265" s="327"/>
      <c r="CQ265" s="327"/>
      <c r="CR265" s="327"/>
      <c r="CS265" s="327"/>
      <c r="CT265" s="327"/>
      <c r="CU265" s="327"/>
      <c r="CV265" s="327"/>
      <c r="CW265" s="327"/>
      <c r="CX265" s="327"/>
      <c r="CY265" s="327"/>
      <c r="CZ265" s="327"/>
    </row>
    <row r="266" spans="1:104">
      <c r="A266" s="722"/>
      <c r="B266" s="932"/>
      <c r="C266" s="499"/>
      <c r="D266" s="760"/>
      <c r="E266" s="402"/>
      <c r="F266" s="260"/>
      <c r="G266" s="871"/>
      <c r="H266" s="871"/>
      <c r="I266" s="871"/>
      <c r="J266" s="871"/>
      <c r="K266" s="871"/>
      <c r="L266" s="871"/>
      <c r="M266" s="327"/>
      <c r="N266" s="327"/>
      <c r="O266" s="327"/>
      <c r="P266" s="327"/>
      <c r="Q266" s="327"/>
      <c r="R266" s="327"/>
      <c r="S266" s="327"/>
      <c r="T266" s="327"/>
      <c r="U266" s="327"/>
      <c r="V266" s="327"/>
      <c r="W266" s="327"/>
      <c r="X266" s="327"/>
      <c r="Y266" s="327"/>
      <c r="Z266" s="327"/>
      <c r="AA266" s="327"/>
      <c r="AB266" s="327"/>
      <c r="AC266" s="327"/>
      <c r="AD266" s="327"/>
      <c r="AE266" s="327"/>
      <c r="AF266" s="327"/>
      <c r="AG266" s="327"/>
      <c r="AH266" s="327"/>
      <c r="AI266" s="327"/>
      <c r="AJ266" s="327"/>
      <c r="AK266" s="327"/>
      <c r="AL266" s="327"/>
      <c r="AM266" s="327"/>
      <c r="AN266" s="327"/>
      <c r="AO266" s="327"/>
      <c r="AP266" s="327"/>
      <c r="AQ266" s="327"/>
      <c r="AR266" s="327"/>
      <c r="AS266" s="327"/>
      <c r="AT266" s="327"/>
      <c r="AU266" s="327"/>
      <c r="AV266" s="327"/>
      <c r="AW266" s="327"/>
      <c r="AX266" s="327"/>
      <c r="AY266" s="327"/>
      <c r="AZ266" s="327"/>
      <c r="BA266" s="327"/>
      <c r="BB266" s="327"/>
      <c r="BC266" s="327"/>
      <c r="BD266" s="327"/>
      <c r="BE266" s="327"/>
      <c r="BF266" s="327"/>
      <c r="BG266" s="327"/>
      <c r="BH266" s="327"/>
      <c r="BI266" s="327"/>
      <c r="BJ266" s="327"/>
      <c r="BK266" s="327"/>
      <c r="BL266" s="327"/>
      <c r="BM266" s="327"/>
      <c r="BN266" s="327"/>
      <c r="BO266" s="327"/>
      <c r="BP266" s="327"/>
      <c r="BQ266" s="327"/>
      <c r="BR266" s="327"/>
      <c r="BS266" s="327"/>
      <c r="BT266" s="327"/>
      <c r="BU266" s="327"/>
      <c r="BV266" s="327"/>
      <c r="BW266" s="327"/>
      <c r="BX266" s="327"/>
      <c r="BY266" s="327"/>
      <c r="BZ266" s="327"/>
      <c r="CA266" s="327"/>
      <c r="CB266" s="327"/>
      <c r="CC266" s="327"/>
      <c r="CD266" s="327"/>
      <c r="CE266" s="327"/>
      <c r="CF266" s="327"/>
      <c r="CG266" s="327"/>
      <c r="CH266" s="327"/>
      <c r="CI266" s="327"/>
      <c r="CJ266" s="327"/>
      <c r="CK266" s="327"/>
      <c r="CL266" s="327"/>
      <c r="CM266" s="327"/>
      <c r="CN266" s="327"/>
      <c r="CO266" s="327"/>
      <c r="CP266" s="327"/>
      <c r="CQ266" s="327"/>
      <c r="CR266" s="327"/>
      <c r="CS266" s="327"/>
      <c r="CT266" s="327"/>
      <c r="CU266" s="327"/>
      <c r="CV266" s="327"/>
      <c r="CW266" s="327"/>
      <c r="CX266" s="327"/>
      <c r="CY266" s="327"/>
      <c r="CZ266" s="327"/>
    </row>
    <row r="267" spans="1:104" ht="12.75" customHeight="1">
      <c r="A267" s="968" t="s">
        <v>3539</v>
      </c>
      <c r="B267" s="968"/>
      <c r="C267" s="859"/>
      <c r="D267" s="760"/>
      <c r="E267" s="978" t="s">
        <v>3540</v>
      </c>
      <c r="F267" s="978"/>
      <c r="G267" s="978"/>
      <c r="H267" s="872"/>
      <c r="I267" s="872"/>
      <c r="J267" s="871"/>
      <c r="K267" s="871"/>
      <c r="L267" s="871"/>
      <c r="M267" s="327"/>
      <c r="N267" s="327"/>
      <c r="O267" s="327"/>
      <c r="P267" s="327"/>
      <c r="Q267" s="327"/>
      <c r="R267" s="327"/>
      <c r="S267" s="327"/>
      <c r="T267" s="327"/>
      <c r="U267" s="327"/>
      <c r="V267" s="327"/>
      <c r="W267" s="327"/>
      <c r="X267" s="327"/>
      <c r="Y267" s="327"/>
      <c r="Z267" s="327"/>
      <c r="AA267" s="327"/>
      <c r="AB267" s="327"/>
      <c r="AC267" s="327"/>
      <c r="AD267" s="327"/>
      <c r="AE267" s="327"/>
      <c r="AF267" s="327"/>
      <c r="AG267" s="327"/>
      <c r="AH267" s="327"/>
      <c r="AI267" s="327"/>
      <c r="AJ267" s="327"/>
      <c r="AK267" s="327"/>
      <c r="AL267" s="327"/>
      <c r="AM267" s="327"/>
      <c r="AN267" s="327"/>
      <c r="AO267" s="327"/>
      <c r="AP267" s="327"/>
      <c r="AQ267" s="327"/>
      <c r="AR267" s="327"/>
      <c r="AS267" s="327"/>
      <c r="AT267" s="327"/>
      <c r="AU267" s="327"/>
      <c r="AV267" s="327"/>
      <c r="AW267" s="327"/>
      <c r="AX267" s="327"/>
      <c r="AY267" s="327"/>
      <c r="AZ267" s="327"/>
      <c r="BA267" s="327"/>
      <c r="BB267" s="327"/>
      <c r="BC267" s="327"/>
      <c r="BD267" s="327"/>
      <c r="BE267" s="327"/>
      <c r="BF267" s="327"/>
      <c r="BG267" s="327"/>
      <c r="BH267" s="327"/>
      <c r="BI267" s="327"/>
      <c r="BJ267" s="327"/>
      <c r="BK267" s="327"/>
      <c r="BL267" s="327"/>
      <c r="BM267" s="327"/>
      <c r="BN267" s="327"/>
      <c r="BO267" s="327"/>
      <c r="BP267" s="327"/>
      <c r="BQ267" s="327"/>
      <c r="BR267" s="327"/>
      <c r="BS267" s="327"/>
      <c r="BT267" s="327"/>
      <c r="BU267" s="327"/>
      <c r="BV267" s="327"/>
      <c r="BW267" s="327"/>
      <c r="BX267" s="327"/>
      <c r="BY267" s="327"/>
      <c r="BZ267" s="327"/>
      <c r="CA267" s="327"/>
      <c r="CB267" s="327"/>
      <c r="CC267" s="327"/>
      <c r="CD267" s="327"/>
      <c r="CE267" s="327"/>
      <c r="CF267" s="327"/>
      <c r="CG267" s="327"/>
      <c r="CH267" s="327"/>
      <c r="CI267" s="327"/>
      <c r="CJ267" s="327"/>
      <c r="CK267" s="327"/>
      <c r="CL267" s="327"/>
      <c r="CM267" s="327"/>
      <c r="CN267" s="327"/>
      <c r="CO267" s="327"/>
      <c r="CP267" s="327"/>
      <c r="CQ267" s="327"/>
      <c r="CR267" s="327"/>
      <c r="CS267" s="327"/>
      <c r="CT267" s="327"/>
      <c r="CU267" s="327"/>
      <c r="CV267" s="327"/>
      <c r="CW267" s="327"/>
      <c r="CX267" s="327"/>
      <c r="CY267" s="327"/>
      <c r="CZ267" s="327"/>
    </row>
    <row r="268" spans="1:104">
      <c r="A268" s="969" t="s">
        <v>3475</v>
      </c>
      <c r="B268" s="969"/>
      <c r="C268" s="859"/>
      <c r="D268" s="760"/>
      <c r="E268" s="979" t="s">
        <v>3476</v>
      </c>
      <c r="F268" s="979"/>
      <c r="G268" s="979"/>
      <c r="H268" s="873"/>
      <c r="I268" s="873"/>
      <c r="J268" s="871"/>
      <c r="K268" s="871"/>
      <c r="L268" s="871"/>
      <c r="M268" s="327"/>
      <c r="N268" s="327"/>
      <c r="O268" s="327"/>
      <c r="P268" s="327"/>
      <c r="Q268" s="327"/>
      <c r="R268" s="327"/>
      <c r="S268" s="327"/>
      <c r="T268" s="327"/>
      <c r="U268" s="327"/>
      <c r="V268" s="327"/>
      <c r="W268" s="327"/>
      <c r="X268" s="327"/>
      <c r="Y268" s="327"/>
      <c r="Z268" s="327"/>
      <c r="AA268" s="327"/>
      <c r="AB268" s="327"/>
      <c r="AC268" s="327"/>
      <c r="AD268" s="327"/>
      <c r="AE268" s="327"/>
      <c r="AF268" s="327"/>
      <c r="AG268" s="327"/>
      <c r="AH268" s="327"/>
      <c r="AI268" s="327"/>
      <c r="AJ268" s="327"/>
      <c r="AK268" s="327"/>
      <c r="AL268" s="327"/>
      <c r="AM268" s="327"/>
      <c r="AN268" s="327"/>
      <c r="AO268" s="327"/>
      <c r="AP268" s="327"/>
      <c r="AQ268" s="327"/>
      <c r="AR268" s="327"/>
      <c r="AS268" s="327"/>
      <c r="AT268" s="327"/>
      <c r="AU268" s="327"/>
      <c r="AV268" s="327"/>
      <c r="AW268" s="327"/>
      <c r="AX268" s="327"/>
      <c r="AY268" s="327"/>
      <c r="AZ268" s="327"/>
      <c r="BA268" s="327"/>
      <c r="BB268" s="327"/>
      <c r="BC268" s="327"/>
      <c r="BD268" s="327"/>
      <c r="BE268" s="327"/>
      <c r="BF268" s="327"/>
      <c r="BG268" s="327"/>
      <c r="BH268" s="327"/>
      <c r="BI268" s="327"/>
      <c r="BJ268" s="327"/>
      <c r="BK268" s="327"/>
      <c r="BL268" s="327"/>
      <c r="BM268" s="327"/>
      <c r="BN268" s="327"/>
      <c r="BO268" s="327"/>
      <c r="BP268" s="327"/>
      <c r="BQ268" s="327"/>
      <c r="BR268" s="327"/>
      <c r="BS268" s="327"/>
      <c r="BT268" s="327"/>
      <c r="BU268" s="327"/>
      <c r="BV268" s="327"/>
      <c r="BW268" s="327"/>
      <c r="BX268" s="327"/>
      <c r="BY268" s="327"/>
      <c r="BZ268" s="327"/>
      <c r="CA268" s="327"/>
      <c r="CB268" s="327"/>
      <c r="CC268" s="327"/>
      <c r="CD268" s="327"/>
      <c r="CE268" s="327"/>
      <c r="CF268" s="327"/>
      <c r="CG268" s="327"/>
      <c r="CH268" s="327"/>
      <c r="CI268" s="327"/>
      <c r="CJ268" s="327"/>
      <c r="CK268" s="327"/>
      <c r="CL268" s="327"/>
      <c r="CM268" s="327"/>
      <c r="CN268" s="327"/>
      <c r="CO268" s="327"/>
      <c r="CP268" s="327"/>
      <c r="CQ268" s="327"/>
      <c r="CR268" s="327"/>
      <c r="CS268" s="327"/>
      <c r="CT268" s="327"/>
      <c r="CU268" s="327"/>
      <c r="CV268" s="327"/>
      <c r="CW268" s="327"/>
      <c r="CX268" s="327"/>
      <c r="CY268" s="327"/>
      <c r="CZ268" s="327"/>
    </row>
    <row r="269" spans="1:104">
      <c r="A269" s="722"/>
      <c r="B269" s="934"/>
      <c r="C269" s="859"/>
      <c r="D269" s="860"/>
      <c r="E269" s="861"/>
      <c r="F269" s="861"/>
      <c r="G269" s="871"/>
      <c r="H269" s="871"/>
      <c r="I269" s="871"/>
      <c r="J269" s="871"/>
      <c r="K269" s="871"/>
      <c r="L269" s="871"/>
      <c r="M269" s="327"/>
      <c r="N269" s="327"/>
      <c r="O269" s="327"/>
      <c r="P269" s="327"/>
      <c r="Q269" s="327"/>
      <c r="R269" s="327"/>
      <c r="S269" s="327"/>
      <c r="T269" s="327"/>
      <c r="U269" s="327"/>
      <c r="V269" s="327"/>
      <c r="W269" s="327"/>
      <c r="X269" s="327"/>
      <c r="Y269" s="327"/>
      <c r="Z269" s="327"/>
      <c r="AA269" s="327"/>
      <c r="AB269" s="327"/>
      <c r="AC269" s="327"/>
      <c r="AD269" s="327"/>
      <c r="AE269" s="327"/>
      <c r="AF269" s="327"/>
      <c r="AG269" s="327"/>
      <c r="AH269" s="327"/>
      <c r="AI269" s="327"/>
      <c r="AJ269" s="327"/>
      <c r="AK269" s="327"/>
      <c r="AL269" s="327"/>
      <c r="AM269" s="327"/>
      <c r="AN269" s="327"/>
      <c r="AO269" s="327"/>
      <c r="AP269" s="327"/>
      <c r="AQ269" s="327"/>
      <c r="AR269" s="327"/>
      <c r="AS269" s="327"/>
      <c r="AT269" s="327"/>
      <c r="AU269" s="327"/>
      <c r="AV269" s="327"/>
      <c r="AW269" s="327"/>
      <c r="AX269" s="327"/>
      <c r="AY269" s="327"/>
      <c r="AZ269" s="327"/>
      <c r="BA269" s="327"/>
      <c r="BB269" s="327"/>
      <c r="BC269" s="327"/>
      <c r="BD269" s="327"/>
      <c r="BE269" s="327"/>
      <c r="BF269" s="327"/>
      <c r="BG269" s="327"/>
      <c r="BH269" s="327"/>
      <c r="BI269" s="327"/>
      <c r="BJ269" s="327"/>
      <c r="BK269" s="327"/>
      <c r="BL269" s="327"/>
      <c r="BM269" s="327"/>
      <c r="BN269" s="327"/>
      <c r="BO269" s="327"/>
      <c r="BP269" s="327"/>
      <c r="BQ269" s="327"/>
      <c r="BR269" s="327"/>
      <c r="BS269" s="327"/>
      <c r="BT269" s="327"/>
      <c r="BU269" s="327"/>
      <c r="BV269" s="327"/>
      <c r="BW269" s="327"/>
      <c r="BX269" s="327"/>
      <c r="BY269" s="327"/>
      <c r="BZ269" s="327"/>
      <c r="CA269" s="327"/>
      <c r="CB269" s="327"/>
      <c r="CC269" s="327"/>
      <c r="CD269" s="327"/>
      <c r="CE269" s="327"/>
      <c r="CF269" s="327"/>
      <c r="CG269" s="327"/>
      <c r="CH269" s="327"/>
      <c r="CI269" s="327"/>
      <c r="CJ269" s="327"/>
      <c r="CK269" s="327"/>
      <c r="CL269" s="327"/>
      <c r="CM269" s="327"/>
      <c r="CN269" s="327"/>
      <c r="CO269" s="327"/>
      <c r="CP269" s="327"/>
      <c r="CQ269" s="327"/>
      <c r="CR269" s="327"/>
      <c r="CS269" s="327"/>
      <c r="CT269" s="327"/>
      <c r="CU269" s="327"/>
      <c r="CV269" s="327"/>
      <c r="CW269" s="327"/>
      <c r="CX269" s="327"/>
      <c r="CY269" s="327"/>
      <c r="CZ269" s="327"/>
    </row>
    <row r="270" spans="1:104">
      <c r="A270" s="722"/>
      <c r="B270" s="932"/>
      <c r="C270" s="499"/>
      <c r="D270" s="760"/>
      <c r="E270" s="402"/>
      <c r="F270" s="260"/>
      <c r="G270" s="871"/>
      <c r="H270" s="871"/>
      <c r="I270" s="871"/>
      <c r="J270" s="871"/>
      <c r="K270" s="871"/>
      <c r="L270" s="871"/>
      <c r="M270" s="327"/>
      <c r="N270" s="327"/>
      <c r="O270" s="327"/>
      <c r="P270" s="327"/>
      <c r="Q270" s="327"/>
      <c r="R270" s="327"/>
      <c r="S270" s="327"/>
      <c r="T270" s="327"/>
      <c r="U270" s="327"/>
      <c r="V270" s="327"/>
      <c r="W270" s="327"/>
      <c r="X270" s="327"/>
      <c r="Y270" s="327"/>
      <c r="Z270" s="327"/>
      <c r="AA270" s="327"/>
      <c r="AB270" s="327"/>
      <c r="AC270" s="327"/>
      <c r="AD270" s="327"/>
      <c r="AE270" s="327"/>
      <c r="AF270" s="327"/>
      <c r="AG270" s="327"/>
      <c r="AH270" s="327"/>
      <c r="AI270" s="327"/>
      <c r="AJ270" s="327"/>
      <c r="AK270" s="327"/>
      <c r="AL270" s="327"/>
      <c r="AM270" s="327"/>
      <c r="AN270" s="327"/>
      <c r="AO270" s="327"/>
      <c r="AP270" s="327"/>
      <c r="AQ270" s="327"/>
      <c r="AR270" s="327"/>
      <c r="AS270" s="327"/>
      <c r="AT270" s="327"/>
      <c r="AU270" s="327"/>
      <c r="AV270" s="327"/>
      <c r="AW270" s="327"/>
      <c r="AX270" s="327"/>
      <c r="AY270" s="327"/>
      <c r="AZ270" s="327"/>
      <c r="BA270" s="327"/>
      <c r="BB270" s="327"/>
      <c r="BC270" s="327"/>
      <c r="BD270" s="327"/>
      <c r="BE270" s="327"/>
      <c r="BF270" s="327"/>
      <c r="BG270" s="327"/>
      <c r="BH270" s="327"/>
      <c r="BI270" s="327"/>
      <c r="BJ270" s="327"/>
      <c r="BK270" s="327"/>
      <c r="BL270" s="327"/>
      <c r="BM270" s="327"/>
      <c r="BN270" s="327"/>
      <c r="BO270" s="327"/>
      <c r="BP270" s="327"/>
      <c r="BQ270" s="327"/>
      <c r="BR270" s="327"/>
      <c r="BS270" s="327"/>
      <c r="BT270" s="327"/>
      <c r="BU270" s="327"/>
      <c r="BV270" s="327"/>
      <c r="BW270" s="327"/>
      <c r="BX270" s="327"/>
      <c r="BY270" s="327"/>
      <c r="BZ270" s="327"/>
      <c r="CA270" s="327"/>
      <c r="CB270" s="327"/>
      <c r="CC270" s="327"/>
      <c r="CD270" s="327"/>
      <c r="CE270" s="327"/>
      <c r="CF270" s="327"/>
      <c r="CG270" s="327"/>
      <c r="CH270" s="327"/>
      <c r="CI270" s="327"/>
      <c r="CJ270" s="327"/>
      <c r="CK270" s="327"/>
      <c r="CL270" s="327"/>
      <c r="CM270" s="327"/>
      <c r="CN270" s="327"/>
      <c r="CO270" s="327"/>
      <c r="CP270" s="327"/>
      <c r="CQ270" s="327"/>
      <c r="CR270" s="327"/>
      <c r="CS270" s="327"/>
      <c r="CT270" s="327"/>
      <c r="CU270" s="327"/>
      <c r="CV270" s="327"/>
      <c r="CW270" s="327"/>
      <c r="CX270" s="327"/>
      <c r="CY270" s="327"/>
      <c r="CZ270" s="327"/>
    </row>
    <row r="271" spans="1:104">
      <c r="A271" s="722"/>
      <c r="B271" s="932"/>
      <c r="C271" s="499"/>
      <c r="D271" s="760"/>
      <c r="E271" s="402"/>
      <c r="F271" s="260"/>
      <c r="G271" s="871"/>
      <c r="H271" s="871"/>
      <c r="I271" s="871"/>
      <c r="J271" s="871"/>
      <c r="K271" s="871"/>
      <c r="L271" s="871"/>
      <c r="M271" s="327"/>
      <c r="N271" s="327"/>
      <c r="O271" s="327"/>
      <c r="P271" s="327"/>
      <c r="Q271" s="327"/>
      <c r="R271" s="327"/>
      <c r="S271" s="327"/>
      <c r="T271" s="327"/>
      <c r="U271" s="327"/>
      <c r="V271" s="327"/>
      <c r="W271" s="327"/>
      <c r="X271" s="327"/>
      <c r="Y271" s="327"/>
      <c r="Z271" s="327"/>
      <c r="AA271" s="327"/>
      <c r="AB271" s="327"/>
      <c r="AC271" s="327"/>
      <c r="AD271" s="327"/>
      <c r="AE271" s="327"/>
      <c r="AF271" s="327"/>
      <c r="AG271" s="327"/>
      <c r="AH271" s="327"/>
      <c r="AI271" s="327"/>
      <c r="AJ271" s="327"/>
      <c r="AK271" s="327"/>
      <c r="AL271" s="327"/>
      <c r="AM271" s="327"/>
      <c r="AN271" s="327"/>
      <c r="AO271" s="327"/>
      <c r="AP271" s="327"/>
      <c r="AQ271" s="327"/>
      <c r="AR271" s="327"/>
      <c r="AS271" s="327"/>
      <c r="AT271" s="327"/>
      <c r="AU271" s="327"/>
      <c r="AV271" s="327"/>
      <c r="AW271" s="327"/>
      <c r="AX271" s="327"/>
      <c r="AY271" s="327"/>
      <c r="AZ271" s="327"/>
      <c r="BA271" s="327"/>
      <c r="BB271" s="327"/>
      <c r="BC271" s="327"/>
      <c r="BD271" s="327"/>
      <c r="BE271" s="327"/>
      <c r="BF271" s="327"/>
      <c r="BG271" s="327"/>
      <c r="BH271" s="327"/>
      <c r="BI271" s="327"/>
      <c r="BJ271" s="327"/>
      <c r="BK271" s="327"/>
      <c r="BL271" s="327"/>
      <c r="BM271" s="327"/>
      <c r="BN271" s="327"/>
      <c r="BO271" s="327"/>
      <c r="BP271" s="327"/>
      <c r="BQ271" s="327"/>
      <c r="BR271" s="327"/>
      <c r="BS271" s="327"/>
      <c r="BT271" s="327"/>
      <c r="BU271" s="327"/>
      <c r="BV271" s="327"/>
      <c r="BW271" s="327"/>
      <c r="BX271" s="327"/>
      <c r="BY271" s="327"/>
      <c r="BZ271" s="327"/>
      <c r="CA271" s="327"/>
      <c r="CB271" s="327"/>
      <c r="CC271" s="327"/>
      <c r="CD271" s="327"/>
      <c r="CE271" s="327"/>
      <c r="CF271" s="327"/>
      <c r="CG271" s="327"/>
      <c r="CH271" s="327"/>
      <c r="CI271" s="327"/>
      <c r="CJ271" s="327"/>
      <c r="CK271" s="327"/>
      <c r="CL271" s="327"/>
      <c r="CM271" s="327"/>
      <c r="CN271" s="327"/>
      <c r="CO271" s="327"/>
      <c r="CP271" s="327"/>
      <c r="CQ271" s="327"/>
      <c r="CR271" s="327"/>
      <c r="CS271" s="327"/>
      <c r="CT271" s="327"/>
      <c r="CU271" s="327"/>
      <c r="CV271" s="327"/>
      <c r="CW271" s="327"/>
      <c r="CX271" s="327"/>
      <c r="CY271" s="327"/>
      <c r="CZ271" s="327"/>
    </row>
    <row r="272" spans="1:104">
      <c r="A272" s="722"/>
      <c r="B272" s="932"/>
      <c r="C272" s="499"/>
      <c r="D272" s="760"/>
      <c r="E272" s="402"/>
      <c r="F272" s="260"/>
      <c r="G272" s="871"/>
      <c r="H272" s="871"/>
      <c r="I272" s="871"/>
      <c r="J272" s="871"/>
      <c r="K272" s="871"/>
      <c r="L272" s="871"/>
      <c r="M272" s="327"/>
      <c r="N272" s="327"/>
      <c r="O272" s="327"/>
      <c r="P272" s="327"/>
      <c r="Q272" s="327"/>
      <c r="R272" s="327"/>
      <c r="S272" s="327"/>
      <c r="T272" s="327"/>
      <c r="U272" s="327"/>
      <c r="V272" s="327"/>
      <c r="W272" s="327"/>
      <c r="X272" s="327"/>
      <c r="Y272" s="327"/>
      <c r="Z272" s="327"/>
      <c r="AA272" s="327"/>
      <c r="AB272" s="327"/>
      <c r="AC272" s="327"/>
      <c r="AD272" s="327"/>
      <c r="AE272" s="327"/>
      <c r="AF272" s="327"/>
      <c r="AG272" s="327"/>
      <c r="AH272" s="327"/>
      <c r="AI272" s="327"/>
      <c r="AJ272" s="327"/>
      <c r="AK272" s="327"/>
      <c r="AL272" s="327"/>
      <c r="AM272" s="327"/>
      <c r="AN272" s="327"/>
      <c r="AO272" s="327"/>
      <c r="AP272" s="327"/>
      <c r="AQ272" s="327"/>
      <c r="AR272" s="327"/>
      <c r="AS272" s="327"/>
      <c r="AT272" s="327"/>
      <c r="AU272" s="327"/>
      <c r="AV272" s="327"/>
      <c r="AW272" s="327"/>
      <c r="AX272" s="327"/>
      <c r="AY272" s="327"/>
      <c r="AZ272" s="327"/>
      <c r="BA272" s="327"/>
      <c r="BB272" s="327"/>
      <c r="BC272" s="327"/>
      <c r="BD272" s="327"/>
      <c r="BE272" s="327"/>
      <c r="BF272" s="327"/>
      <c r="BG272" s="327"/>
      <c r="BH272" s="327"/>
      <c r="BI272" s="327"/>
      <c r="BJ272" s="327"/>
      <c r="BK272" s="327"/>
      <c r="BL272" s="327"/>
      <c r="BM272" s="327"/>
      <c r="BN272" s="327"/>
      <c r="BO272" s="327"/>
      <c r="BP272" s="327"/>
      <c r="BQ272" s="327"/>
      <c r="BR272" s="327"/>
      <c r="BS272" s="327"/>
      <c r="BT272" s="327"/>
      <c r="BU272" s="327"/>
      <c r="BV272" s="327"/>
      <c r="BW272" s="327"/>
      <c r="BX272" s="327"/>
      <c r="BY272" s="327"/>
      <c r="BZ272" s="327"/>
      <c r="CA272" s="327"/>
      <c r="CB272" s="327"/>
      <c r="CC272" s="327"/>
      <c r="CD272" s="327"/>
      <c r="CE272" s="327"/>
      <c r="CF272" s="327"/>
      <c r="CG272" s="327"/>
      <c r="CH272" s="327"/>
      <c r="CI272" s="327"/>
      <c r="CJ272" s="327"/>
      <c r="CK272" s="327"/>
      <c r="CL272" s="327"/>
      <c r="CM272" s="327"/>
      <c r="CN272" s="327"/>
      <c r="CO272" s="327"/>
      <c r="CP272" s="327"/>
      <c r="CQ272" s="327"/>
      <c r="CR272" s="327"/>
      <c r="CS272" s="327"/>
      <c r="CT272" s="327"/>
      <c r="CU272" s="327"/>
      <c r="CV272" s="327"/>
      <c r="CW272" s="327"/>
      <c r="CX272" s="327"/>
      <c r="CY272" s="327"/>
      <c r="CZ272" s="327"/>
    </row>
    <row r="273" spans="1:104">
      <c r="A273" s="970" t="s">
        <v>3541</v>
      </c>
      <c r="B273" s="970"/>
      <c r="C273" s="499"/>
      <c r="D273" s="760"/>
      <c r="E273" s="402"/>
      <c r="F273" s="260"/>
      <c r="G273" s="871"/>
      <c r="H273" s="871"/>
      <c r="I273" s="871"/>
      <c r="J273" s="871"/>
      <c r="K273" s="871"/>
      <c r="L273" s="871"/>
      <c r="M273" s="327"/>
      <c r="N273" s="327"/>
      <c r="O273" s="327"/>
      <c r="P273" s="327"/>
      <c r="Q273" s="327"/>
      <c r="R273" s="327"/>
      <c r="S273" s="327"/>
      <c r="T273" s="327"/>
      <c r="U273" s="327"/>
      <c r="V273" s="327"/>
      <c r="W273" s="327"/>
      <c r="X273" s="327"/>
      <c r="Y273" s="327"/>
      <c r="Z273" s="327"/>
      <c r="AA273" s="327"/>
      <c r="AB273" s="327"/>
      <c r="AC273" s="327"/>
      <c r="AD273" s="327"/>
      <c r="AE273" s="327"/>
      <c r="AF273" s="327"/>
      <c r="AG273" s="327"/>
      <c r="AH273" s="327"/>
      <c r="AI273" s="327"/>
      <c r="AJ273" s="327"/>
      <c r="AK273" s="327"/>
      <c r="AL273" s="327"/>
      <c r="AM273" s="327"/>
      <c r="AN273" s="327"/>
      <c r="AO273" s="327"/>
      <c r="AP273" s="327"/>
      <c r="AQ273" s="327"/>
      <c r="AR273" s="327"/>
      <c r="AS273" s="327"/>
      <c r="AT273" s="327"/>
      <c r="AU273" s="327"/>
      <c r="AV273" s="327"/>
      <c r="AW273" s="327"/>
      <c r="AX273" s="327"/>
      <c r="AY273" s="327"/>
      <c r="AZ273" s="327"/>
      <c r="BA273" s="327"/>
      <c r="BB273" s="327"/>
      <c r="BC273" s="327"/>
      <c r="BD273" s="327"/>
      <c r="BE273" s="327"/>
      <c r="BF273" s="327"/>
      <c r="BG273" s="327"/>
      <c r="BH273" s="327"/>
      <c r="BI273" s="327"/>
      <c r="BJ273" s="327"/>
      <c r="BK273" s="327"/>
      <c r="BL273" s="327"/>
      <c r="BM273" s="327"/>
      <c r="BN273" s="327"/>
      <c r="BO273" s="327"/>
      <c r="BP273" s="327"/>
      <c r="BQ273" s="327"/>
      <c r="BR273" s="327"/>
      <c r="BS273" s="327"/>
      <c r="BT273" s="327"/>
      <c r="BU273" s="327"/>
      <c r="BV273" s="327"/>
      <c r="BW273" s="327"/>
      <c r="BX273" s="327"/>
      <c r="BY273" s="327"/>
      <c r="BZ273" s="327"/>
      <c r="CA273" s="327"/>
      <c r="CB273" s="327"/>
      <c r="CC273" s="327"/>
      <c r="CD273" s="327"/>
      <c r="CE273" s="327"/>
      <c r="CF273" s="327"/>
      <c r="CG273" s="327"/>
      <c r="CH273" s="327"/>
      <c r="CI273" s="327"/>
      <c r="CJ273" s="327"/>
      <c r="CK273" s="327"/>
      <c r="CL273" s="327"/>
      <c r="CM273" s="327"/>
      <c r="CN273" s="327"/>
      <c r="CO273" s="327"/>
      <c r="CP273" s="327"/>
      <c r="CQ273" s="327"/>
      <c r="CR273" s="327"/>
      <c r="CS273" s="327"/>
      <c r="CT273" s="327"/>
      <c r="CU273" s="327"/>
      <c r="CV273" s="327"/>
      <c r="CW273" s="327"/>
      <c r="CX273" s="327"/>
      <c r="CY273" s="327"/>
      <c r="CZ273" s="327"/>
    </row>
  </sheetData>
  <sheetProtection formatCells="0" formatColumns="0" formatRows="0" insertColumns="0" insertRows="0" insertHyperlinks="0" deleteColumns="0" deleteRows="0" sort="0" autoFilter="0" pivotTables="0"/>
  <mergeCells count="1953">
    <mergeCell ref="E220:E222"/>
    <mergeCell ref="F220:F222"/>
    <mergeCell ref="G220:G222"/>
    <mergeCell ref="I217:I219"/>
    <mergeCell ref="J217:J219"/>
    <mergeCell ref="K217:K219"/>
    <mergeCell ref="M217:S217"/>
    <mergeCell ref="T217:Z217"/>
    <mergeCell ref="AA217:AG217"/>
    <mergeCell ref="AH217:AN217"/>
    <mergeCell ref="AO217:AU217"/>
    <mergeCell ref="AV217:BB217"/>
    <mergeCell ref="BC217:BI217"/>
    <mergeCell ref="BJ217:BP217"/>
    <mergeCell ref="BQ217:BW217"/>
    <mergeCell ref="BX217:CD217"/>
    <mergeCell ref="CE217:CK217"/>
    <mergeCell ref="M219:AP219"/>
    <mergeCell ref="AQ219:BT219"/>
    <mergeCell ref="BU219:CY219"/>
    <mergeCell ref="I220:I222"/>
    <mergeCell ref="J220:J222"/>
    <mergeCell ref="K220:K222"/>
    <mergeCell ref="M220:S220"/>
    <mergeCell ref="T220:Z220"/>
    <mergeCell ref="AA220:AG220"/>
    <mergeCell ref="AH220:AN220"/>
    <mergeCell ref="AO220:AU220"/>
    <mergeCell ref="AV220:BB220"/>
    <mergeCell ref="BC220:BI220"/>
    <mergeCell ref="BJ220:BP220"/>
    <mergeCell ref="BQ220:BW220"/>
    <mergeCell ref="BJ169:BP169"/>
    <mergeCell ref="BQ169:BW169"/>
    <mergeCell ref="BX169:CD169"/>
    <mergeCell ref="CE169:CK169"/>
    <mergeCell ref="CL169:CR169"/>
    <mergeCell ref="CS169:CY169"/>
    <mergeCell ref="CZ169:CZ171"/>
    <mergeCell ref="M171:AP171"/>
    <mergeCell ref="AQ171:BT171"/>
    <mergeCell ref="BU171:CY171"/>
    <mergeCell ref="A205:A207"/>
    <mergeCell ref="B205:B207"/>
    <mergeCell ref="C205:C207"/>
    <mergeCell ref="D205:D207"/>
    <mergeCell ref="E205:E207"/>
    <mergeCell ref="F205:F207"/>
    <mergeCell ref="G205:G207"/>
    <mergeCell ref="I205:I207"/>
    <mergeCell ref="J205:J207"/>
    <mergeCell ref="K205:K207"/>
    <mergeCell ref="M205:S205"/>
    <mergeCell ref="T205:Z205"/>
    <mergeCell ref="AA205:AG205"/>
    <mergeCell ref="AH205:AN205"/>
    <mergeCell ref="AO205:AU205"/>
    <mergeCell ref="AV205:BB205"/>
    <mergeCell ref="BC205:BI205"/>
    <mergeCell ref="BJ205:BP205"/>
    <mergeCell ref="BQ205:BW205"/>
    <mergeCell ref="BX205:CD205"/>
    <mergeCell ref="CE205:CK205"/>
    <mergeCell ref="CL205:CR205"/>
    <mergeCell ref="A169:A171"/>
    <mergeCell ref="B169:B171"/>
    <mergeCell ref="C169:C171"/>
    <mergeCell ref="D169:D171"/>
    <mergeCell ref="E169:E171"/>
    <mergeCell ref="F169:F171"/>
    <mergeCell ref="G169:G171"/>
    <mergeCell ref="I169:I171"/>
    <mergeCell ref="J169:J171"/>
    <mergeCell ref="K169:K171"/>
    <mergeCell ref="M169:S169"/>
    <mergeCell ref="T169:Z169"/>
    <mergeCell ref="AA169:AG169"/>
    <mergeCell ref="AH169:AN169"/>
    <mergeCell ref="AO169:AU169"/>
    <mergeCell ref="AV169:BB169"/>
    <mergeCell ref="BC169:BI169"/>
    <mergeCell ref="A55:A57"/>
    <mergeCell ref="B55:B57"/>
    <mergeCell ref="C55:C57"/>
    <mergeCell ref="D55:D57"/>
    <mergeCell ref="E55:E57"/>
    <mergeCell ref="F55:F57"/>
    <mergeCell ref="G55:G57"/>
    <mergeCell ref="I55:I57"/>
    <mergeCell ref="J55:J57"/>
    <mergeCell ref="K55:K57"/>
    <mergeCell ref="M55:S55"/>
    <mergeCell ref="T55:Z55"/>
    <mergeCell ref="AA55:AG55"/>
    <mergeCell ref="AH55:AN55"/>
    <mergeCell ref="AO55:AU55"/>
    <mergeCell ref="AV55:BB55"/>
    <mergeCell ref="BC55:BI55"/>
    <mergeCell ref="BQ109:BW109"/>
    <mergeCell ref="BX109:CD109"/>
    <mergeCell ref="CE109:CK109"/>
    <mergeCell ref="CL109:CR109"/>
    <mergeCell ref="CS109:CY109"/>
    <mergeCell ref="CZ109:CZ111"/>
    <mergeCell ref="M111:AP111"/>
    <mergeCell ref="AQ111:BT111"/>
    <mergeCell ref="BU111:CY111"/>
    <mergeCell ref="CZ55:CZ57"/>
    <mergeCell ref="M57:AP57"/>
    <mergeCell ref="AQ57:BT57"/>
    <mergeCell ref="BU57:CY57"/>
    <mergeCell ref="BQ100:BW100"/>
    <mergeCell ref="BX100:CD100"/>
    <mergeCell ref="CE100:CK100"/>
    <mergeCell ref="CL100:CR100"/>
    <mergeCell ref="CS100:CY100"/>
    <mergeCell ref="CZ100:CZ102"/>
    <mergeCell ref="M102:AP102"/>
    <mergeCell ref="AQ102:BT102"/>
    <mergeCell ref="BU102:CY102"/>
    <mergeCell ref="CE94:CK94"/>
    <mergeCell ref="CL94:CR94"/>
    <mergeCell ref="CS94:CY94"/>
    <mergeCell ref="BQ106:BW106"/>
    <mergeCell ref="BX106:CD106"/>
    <mergeCell ref="CE106:CK106"/>
    <mergeCell ref="CL106:CR106"/>
    <mergeCell ref="CS106:CY106"/>
    <mergeCell ref="CZ106:CZ108"/>
    <mergeCell ref="M108:AP108"/>
    <mergeCell ref="I109:I111"/>
    <mergeCell ref="J109:J111"/>
    <mergeCell ref="K109:K111"/>
    <mergeCell ref="AO261:AU261"/>
    <mergeCell ref="AV257:BB257"/>
    <mergeCell ref="AV258:BB258"/>
    <mergeCell ref="AV259:BB259"/>
    <mergeCell ref="AV260:BB260"/>
    <mergeCell ref="AV261:BB261"/>
    <mergeCell ref="BC257:BI257"/>
    <mergeCell ref="M261:S261"/>
    <mergeCell ref="T257:Z257"/>
    <mergeCell ref="T258:Z258"/>
    <mergeCell ref="T259:Z259"/>
    <mergeCell ref="T260:Z260"/>
    <mergeCell ref="T261:Z261"/>
    <mergeCell ref="AA257:AG257"/>
    <mergeCell ref="AA258:AG258"/>
    <mergeCell ref="K244:K246"/>
    <mergeCell ref="M244:S244"/>
    <mergeCell ref="T244:Z244"/>
    <mergeCell ref="AA244:AG244"/>
    <mergeCell ref="AH244:AN244"/>
    <mergeCell ref="M247:AP247"/>
    <mergeCell ref="AQ247:BT247"/>
    <mergeCell ref="T109:Z109"/>
    <mergeCell ref="AA109:AG109"/>
    <mergeCell ref="AH109:AN109"/>
    <mergeCell ref="AO109:AU109"/>
    <mergeCell ref="AV109:BB109"/>
    <mergeCell ref="BC109:BI109"/>
    <mergeCell ref="BJ109:BP109"/>
    <mergeCell ref="AA261:AG261"/>
    <mergeCell ref="AH257:AN257"/>
    <mergeCell ref="I255:CY255"/>
    <mergeCell ref="M249:CY249"/>
    <mergeCell ref="I256:CZ256"/>
    <mergeCell ref="M257:S257"/>
    <mergeCell ref="M258:S258"/>
    <mergeCell ref="CL257:CR257"/>
    <mergeCell ref="BX258:CD258"/>
    <mergeCell ref="CE258:CK258"/>
    <mergeCell ref="CL258:CR258"/>
    <mergeCell ref="AV244:BB244"/>
    <mergeCell ref="BC244:BI244"/>
    <mergeCell ref="BJ244:BP244"/>
    <mergeCell ref="BQ244:BW244"/>
    <mergeCell ref="BX244:CD244"/>
    <mergeCell ref="CE244:CK244"/>
    <mergeCell ref="CL244:CR244"/>
    <mergeCell ref="CS244:CY244"/>
    <mergeCell ref="CZ244:CZ246"/>
    <mergeCell ref="M246:AP246"/>
    <mergeCell ref="AQ246:BT246"/>
    <mergeCell ref="BU246:CY246"/>
    <mergeCell ref="I247:L247"/>
    <mergeCell ref="I244:I246"/>
    <mergeCell ref="J244:J246"/>
    <mergeCell ref="I259:L259"/>
    <mergeCell ref="BJ258:BP258"/>
    <mergeCell ref="BQ258:BW258"/>
    <mergeCell ref="BC259:BI259"/>
    <mergeCell ref="BJ259:BP259"/>
    <mergeCell ref="BQ259:BW259"/>
    <mergeCell ref="CZ31:CZ33"/>
    <mergeCell ref="M33:AP33"/>
    <mergeCell ref="AQ33:BT33"/>
    <mergeCell ref="BU33:CY33"/>
    <mergeCell ref="BX226:CD226"/>
    <mergeCell ref="CE226:CK226"/>
    <mergeCell ref="CL226:CR226"/>
    <mergeCell ref="CS226:CY226"/>
    <mergeCell ref="CZ226:CZ228"/>
    <mergeCell ref="BC223:BI223"/>
    <mergeCell ref="BJ223:BP223"/>
    <mergeCell ref="BQ223:BW223"/>
    <mergeCell ref="BX223:CD223"/>
    <mergeCell ref="CE223:CK223"/>
    <mergeCell ref="CL223:CR223"/>
    <mergeCell ref="CS223:CY223"/>
    <mergeCell ref="BX211:CD211"/>
    <mergeCell ref="CE211:CK211"/>
    <mergeCell ref="CL211:CR211"/>
    <mergeCell ref="CS211:CY211"/>
    <mergeCell ref="CZ211:CZ213"/>
    <mergeCell ref="BJ199:BP199"/>
    <mergeCell ref="BQ199:BW199"/>
    <mergeCell ref="BX199:CD199"/>
    <mergeCell ref="CE199:CK199"/>
    <mergeCell ref="CL199:CR199"/>
    <mergeCell ref="CS199:CY199"/>
    <mergeCell ref="CZ199:CZ201"/>
    <mergeCell ref="M201:AP201"/>
    <mergeCell ref="AQ201:BT201"/>
    <mergeCell ref="BU201:CY201"/>
    <mergeCell ref="M109:S109"/>
    <mergeCell ref="A241:A243"/>
    <mergeCell ref="B241:B243"/>
    <mergeCell ref="C241:C243"/>
    <mergeCell ref="D241:D243"/>
    <mergeCell ref="E241:E243"/>
    <mergeCell ref="F241:F243"/>
    <mergeCell ref="B231:G231"/>
    <mergeCell ref="CZ241:CZ243"/>
    <mergeCell ref="M243:AP243"/>
    <mergeCell ref="AQ243:BT243"/>
    <mergeCell ref="BU243:CY243"/>
    <mergeCell ref="T241:Z241"/>
    <mergeCell ref="AA241:AG241"/>
    <mergeCell ref="I229:L229"/>
    <mergeCell ref="M229:AP229"/>
    <mergeCell ref="AQ229:BT229"/>
    <mergeCell ref="BU229:CY229"/>
    <mergeCell ref="I230:L230"/>
    <mergeCell ref="M230:CY230"/>
    <mergeCell ref="I238:L238"/>
    <mergeCell ref="M238:AP238"/>
    <mergeCell ref="AQ238:BT238"/>
    <mergeCell ref="BU238:CY238"/>
    <mergeCell ref="CS241:CY241"/>
    <mergeCell ref="A244:A246"/>
    <mergeCell ref="B244:B246"/>
    <mergeCell ref="C244:C246"/>
    <mergeCell ref="D244:D246"/>
    <mergeCell ref="E244:E246"/>
    <mergeCell ref="F244:F246"/>
    <mergeCell ref="G244:G246"/>
    <mergeCell ref="BC226:BI226"/>
    <mergeCell ref="BC211:BI211"/>
    <mergeCell ref="BC208:BI208"/>
    <mergeCell ref="B226:B228"/>
    <mergeCell ref="C226:C228"/>
    <mergeCell ref="M228:AP228"/>
    <mergeCell ref="AQ228:BT228"/>
    <mergeCell ref="I226:I228"/>
    <mergeCell ref="I241:I243"/>
    <mergeCell ref="J226:J228"/>
    <mergeCell ref="K226:K228"/>
    <mergeCell ref="M226:S226"/>
    <mergeCell ref="T226:Z226"/>
    <mergeCell ref="AA226:AG226"/>
    <mergeCell ref="AH226:AN226"/>
    <mergeCell ref="AO226:AU226"/>
    <mergeCell ref="AV226:BB226"/>
    <mergeCell ref="A226:A228"/>
    <mergeCell ref="BJ211:BP211"/>
    <mergeCell ref="BQ211:BW211"/>
    <mergeCell ref="M213:AP213"/>
    <mergeCell ref="AQ213:BT213"/>
    <mergeCell ref="BU213:CY213"/>
    <mergeCell ref="I211:I213"/>
    <mergeCell ref="J211:J213"/>
    <mergeCell ref="C31:C33"/>
    <mergeCell ref="BC261:BI261"/>
    <mergeCell ref="BJ261:BP261"/>
    <mergeCell ref="BQ261:BW261"/>
    <mergeCell ref="I261:L261"/>
    <mergeCell ref="I31:I33"/>
    <mergeCell ref="J31:J33"/>
    <mergeCell ref="K31:K33"/>
    <mergeCell ref="M31:S31"/>
    <mergeCell ref="T31:Z31"/>
    <mergeCell ref="AA31:AG31"/>
    <mergeCell ref="AH31:AN31"/>
    <mergeCell ref="AO31:AU31"/>
    <mergeCell ref="AV31:BB31"/>
    <mergeCell ref="BC31:BI31"/>
    <mergeCell ref="BC202:BI202"/>
    <mergeCell ref="BC199:BI199"/>
    <mergeCell ref="AQ192:BT192"/>
    <mergeCell ref="BJ226:BP226"/>
    <mergeCell ref="BQ226:BW226"/>
    <mergeCell ref="BU228:CY228"/>
    <mergeCell ref="B240:G240"/>
    <mergeCell ref="AH241:AN241"/>
    <mergeCell ref="AO241:AU241"/>
    <mergeCell ref="AV241:BB241"/>
    <mergeCell ref="BC241:BI241"/>
    <mergeCell ref="BJ241:BP241"/>
    <mergeCell ref="BQ241:BW241"/>
    <mergeCell ref="BX241:CD241"/>
    <mergeCell ref="CE241:CK241"/>
    <mergeCell ref="BC258:BI258"/>
    <mergeCell ref="G241:G243"/>
    <mergeCell ref="B261:G261"/>
    <mergeCell ref="B260:G260"/>
    <mergeCell ref="H1:H261"/>
    <mergeCell ref="BX261:CD261"/>
    <mergeCell ref="CE261:CK261"/>
    <mergeCell ref="CL261:CR261"/>
    <mergeCell ref="CS257:CY257"/>
    <mergeCell ref="CS258:CY258"/>
    <mergeCell ref="CS259:CY259"/>
    <mergeCell ref="CS260:CY260"/>
    <mergeCell ref="CS261:CY261"/>
    <mergeCell ref="M251:AP251"/>
    <mergeCell ref="M252:AP252"/>
    <mergeCell ref="M253:AP253"/>
    <mergeCell ref="M254:AP254"/>
    <mergeCell ref="AQ251:BT251"/>
    <mergeCell ref="AQ252:BT252"/>
    <mergeCell ref="AQ253:BT253"/>
    <mergeCell ref="AH261:AN261"/>
    <mergeCell ref="AO257:AU257"/>
    <mergeCell ref="AO258:AU258"/>
    <mergeCell ref="I252:L252"/>
    <mergeCell ref="I253:L253"/>
    <mergeCell ref="I254:L254"/>
    <mergeCell ref="I258:L258"/>
    <mergeCell ref="I251:L251"/>
    <mergeCell ref="AH258:AN258"/>
    <mergeCell ref="AH259:AN259"/>
    <mergeCell ref="AH260:AN260"/>
    <mergeCell ref="M259:S259"/>
    <mergeCell ref="M260:S260"/>
    <mergeCell ref="B31:B33"/>
    <mergeCell ref="AQ254:BT254"/>
    <mergeCell ref="BU251:CY251"/>
    <mergeCell ref="BU252:CY252"/>
    <mergeCell ref="BU253:CY253"/>
    <mergeCell ref="BU254:CY254"/>
    <mergeCell ref="J241:J243"/>
    <mergeCell ref="K241:K243"/>
    <mergeCell ref="M241:S241"/>
    <mergeCell ref="BJ260:BP260"/>
    <mergeCell ref="BQ260:BW260"/>
    <mergeCell ref="AA259:AG259"/>
    <mergeCell ref="AA260:AG260"/>
    <mergeCell ref="BX259:CD259"/>
    <mergeCell ref="CE259:CK259"/>
    <mergeCell ref="CL259:CR259"/>
    <mergeCell ref="BX260:CD260"/>
    <mergeCell ref="CE260:CK260"/>
    <mergeCell ref="CL260:CR260"/>
    <mergeCell ref="I257:L257"/>
    <mergeCell ref="I260:L260"/>
    <mergeCell ref="AO259:AU259"/>
    <mergeCell ref="AO260:AU260"/>
    <mergeCell ref="BX257:CD257"/>
    <mergeCell ref="CE257:CK257"/>
    <mergeCell ref="BJ257:BP257"/>
    <mergeCell ref="BQ257:BW257"/>
    <mergeCell ref="I250:CY250"/>
    <mergeCell ref="BC260:BI260"/>
    <mergeCell ref="I249:L249"/>
    <mergeCell ref="I248:L248"/>
    <mergeCell ref="M248:CY248"/>
    <mergeCell ref="AO244:AU244"/>
    <mergeCell ref="BU247:CY247"/>
    <mergeCell ref="K211:K213"/>
    <mergeCell ref="M211:S211"/>
    <mergeCell ref="T211:Z211"/>
    <mergeCell ref="AA211:AG211"/>
    <mergeCell ref="AH211:AN211"/>
    <mergeCell ref="AO211:AU211"/>
    <mergeCell ref="AV211:BB211"/>
    <mergeCell ref="CL217:CR217"/>
    <mergeCell ref="CS217:CY217"/>
    <mergeCell ref="M225:AP225"/>
    <mergeCell ref="AQ225:BT225"/>
    <mergeCell ref="BU225:CY225"/>
    <mergeCell ref="I223:I225"/>
    <mergeCell ref="J223:J225"/>
    <mergeCell ref="K223:K225"/>
    <mergeCell ref="M223:S223"/>
    <mergeCell ref="T223:Z223"/>
    <mergeCell ref="AA223:AG223"/>
    <mergeCell ref="AH223:AN223"/>
    <mergeCell ref="AO223:AU223"/>
    <mergeCell ref="AV223:BB223"/>
    <mergeCell ref="BX220:CD220"/>
    <mergeCell ref="CE220:CK220"/>
    <mergeCell ref="CL220:CR220"/>
    <mergeCell ref="BU234:CY234"/>
    <mergeCell ref="BQ232:BW232"/>
    <mergeCell ref="BJ235:BP235"/>
    <mergeCell ref="BQ235:BW235"/>
    <mergeCell ref="BX235:CD235"/>
    <mergeCell ref="CE235:CK235"/>
    <mergeCell ref="CL241:CR241"/>
    <mergeCell ref="CZ223:CZ225"/>
    <mergeCell ref="CZ217:CZ219"/>
    <mergeCell ref="CS220:CY220"/>
    <mergeCell ref="CZ220:CZ222"/>
    <mergeCell ref="M222:AP222"/>
    <mergeCell ref="AQ222:BT222"/>
    <mergeCell ref="BU222:CY222"/>
    <mergeCell ref="BQ208:BW208"/>
    <mergeCell ref="BX208:CD208"/>
    <mergeCell ref="CE208:CK208"/>
    <mergeCell ref="CL208:CR208"/>
    <mergeCell ref="CS208:CY208"/>
    <mergeCell ref="CZ208:CZ210"/>
    <mergeCell ref="M210:AP210"/>
    <mergeCell ref="AQ210:BT210"/>
    <mergeCell ref="J199:J201"/>
    <mergeCell ref="K199:K201"/>
    <mergeCell ref="M199:S199"/>
    <mergeCell ref="T199:Z199"/>
    <mergeCell ref="AA199:AG199"/>
    <mergeCell ref="AH199:AN199"/>
    <mergeCell ref="AO199:AU199"/>
    <mergeCell ref="AV199:BB199"/>
    <mergeCell ref="BU210:CY210"/>
    <mergeCell ref="AH208:AN208"/>
    <mergeCell ref="AO208:AU208"/>
    <mergeCell ref="AV208:BB208"/>
    <mergeCell ref="I202:I204"/>
    <mergeCell ref="J202:J204"/>
    <mergeCell ref="K202:K204"/>
    <mergeCell ref="M202:S202"/>
    <mergeCell ref="I199:I201"/>
    <mergeCell ref="BU207:CY207"/>
    <mergeCell ref="BJ208:BP208"/>
    <mergeCell ref="CS205:CY205"/>
    <mergeCell ref="CZ205:CZ207"/>
    <mergeCell ref="M207:AP207"/>
    <mergeCell ref="AQ207:BT207"/>
    <mergeCell ref="CZ202:CZ204"/>
    <mergeCell ref="M204:AP204"/>
    <mergeCell ref="AQ204:BT204"/>
    <mergeCell ref="BJ202:BP202"/>
    <mergeCell ref="BQ202:BW202"/>
    <mergeCell ref="BX202:CD202"/>
    <mergeCell ref="CE202:CK202"/>
    <mergeCell ref="CL202:CR202"/>
    <mergeCell ref="CS202:CY202"/>
    <mergeCell ref="T202:Z202"/>
    <mergeCell ref="AA202:AG202"/>
    <mergeCell ref="AH202:AN202"/>
    <mergeCell ref="AO202:AU202"/>
    <mergeCell ref="AV202:BB202"/>
    <mergeCell ref="BU204:CY204"/>
    <mergeCell ref="I208:I210"/>
    <mergeCell ref="J208:J210"/>
    <mergeCell ref="K208:K210"/>
    <mergeCell ref="M208:S208"/>
    <mergeCell ref="T208:Z208"/>
    <mergeCell ref="AA208:AG208"/>
    <mergeCell ref="CZ193:CZ195"/>
    <mergeCell ref="M195:AP195"/>
    <mergeCell ref="AQ195:BT195"/>
    <mergeCell ref="BU195:CY195"/>
    <mergeCell ref="I193:I195"/>
    <mergeCell ref="J193:J195"/>
    <mergeCell ref="K193:K195"/>
    <mergeCell ref="M193:S193"/>
    <mergeCell ref="T193:Z193"/>
    <mergeCell ref="AA193:AG193"/>
    <mergeCell ref="AH193:AN193"/>
    <mergeCell ref="AO193:AU193"/>
    <mergeCell ref="AV193:BB193"/>
    <mergeCell ref="BC196:BI196"/>
    <mergeCell ref="BJ196:BP196"/>
    <mergeCell ref="BQ196:BW196"/>
    <mergeCell ref="BX196:CD196"/>
    <mergeCell ref="CE196:CK196"/>
    <mergeCell ref="CL196:CR196"/>
    <mergeCell ref="CS196:CY196"/>
    <mergeCell ref="CZ196:CZ198"/>
    <mergeCell ref="M198:AP198"/>
    <mergeCell ref="AQ198:BT198"/>
    <mergeCell ref="BU198:CY198"/>
    <mergeCell ref="I196:I198"/>
    <mergeCell ref="J196:J198"/>
    <mergeCell ref="BX193:CD193"/>
    <mergeCell ref="CE193:CK193"/>
    <mergeCell ref="CL193:CR193"/>
    <mergeCell ref="CS193:CY193"/>
    <mergeCell ref="AV196:BB196"/>
    <mergeCell ref="A223:A225"/>
    <mergeCell ref="B223:B225"/>
    <mergeCell ref="C223:C225"/>
    <mergeCell ref="D223:D225"/>
    <mergeCell ref="E223:E225"/>
    <mergeCell ref="F223:F225"/>
    <mergeCell ref="G223:G225"/>
    <mergeCell ref="A208:A210"/>
    <mergeCell ref="B208:B210"/>
    <mergeCell ref="C208:C210"/>
    <mergeCell ref="D208:D210"/>
    <mergeCell ref="E208:E210"/>
    <mergeCell ref="F208:F210"/>
    <mergeCell ref="G208:G210"/>
    <mergeCell ref="B211:B213"/>
    <mergeCell ref="C211:C213"/>
    <mergeCell ref="D211:D213"/>
    <mergeCell ref="E211:E213"/>
    <mergeCell ref="F211:F213"/>
    <mergeCell ref="G211:G213"/>
    <mergeCell ref="A211:A213"/>
    <mergeCell ref="A217:A219"/>
    <mergeCell ref="B217:B219"/>
    <mergeCell ref="C217:C219"/>
    <mergeCell ref="D217:D219"/>
    <mergeCell ref="E217:E219"/>
    <mergeCell ref="F217:F219"/>
    <mergeCell ref="G217:G219"/>
    <mergeCell ref="A220:A222"/>
    <mergeCell ref="B220:B222"/>
    <mergeCell ref="C220:C222"/>
    <mergeCell ref="D220:D222"/>
    <mergeCell ref="G199:G201"/>
    <mergeCell ref="A202:A204"/>
    <mergeCell ref="B202:B204"/>
    <mergeCell ref="C202:C204"/>
    <mergeCell ref="D202:D204"/>
    <mergeCell ref="E202:E204"/>
    <mergeCell ref="F202:F204"/>
    <mergeCell ref="G202:G204"/>
    <mergeCell ref="A199:A201"/>
    <mergeCell ref="A193:A195"/>
    <mergeCell ref="B193:B195"/>
    <mergeCell ref="C193:C195"/>
    <mergeCell ref="D193:D195"/>
    <mergeCell ref="E193:E195"/>
    <mergeCell ref="F193:F195"/>
    <mergeCell ref="G193:G195"/>
    <mergeCell ref="A196:A198"/>
    <mergeCell ref="B196:B198"/>
    <mergeCell ref="C196:C198"/>
    <mergeCell ref="D196:D198"/>
    <mergeCell ref="E196:E198"/>
    <mergeCell ref="F196:F198"/>
    <mergeCell ref="G196:G198"/>
    <mergeCell ref="B199:B201"/>
    <mergeCell ref="C199:C201"/>
    <mergeCell ref="D199:D201"/>
    <mergeCell ref="E199:E201"/>
    <mergeCell ref="F199:F201"/>
    <mergeCell ref="I187:L187"/>
    <mergeCell ref="M187:AP187"/>
    <mergeCell ref="AQ187:BT187"/>
    <mergeCell ref="BC193:BI193"/>
    <mergeCell ref="BJ193:BP193"/>
    <mergeCell ref="BQ193:BW193"/>
    <mergeCell ref="K196:K198"/>
    <mergeCell ref="M196:S196"/>
    <mergeCell ref="T196:Z196"/>
    <mergeCell ref="AA196:AG196"/>
    <mergeCell ref="AH196:AN196"/>
    <mergeCell ref="AO196:AU196"/>
    <mergeCell ref="BU187:CY187"/>
    <mergeCell ref="I188:L188"/>
    <mergeCell ref="M188:CY188"/>
    <mergeCell ref="I189:CZ189"/>
    <mergeCell ref="A190:A192"/>
    <mergeCell ref="B190:B192"/>
    <mergeCell ref="C190:C192"/>
    <mergeCell ref="D190:D192"/>
    <mergeCell ref="E190:E192"/>
    <mergeCell ref="F190:F192"/>
    <mergeCell ref="G190:G192"/>
    <mergeCell ref="I190:I192"/>
    <mergeCell ref="J190:J192"/>
    <mergeCell ref="K190:K192"/>
    <mergeCell ref="M190:S190"/>
    <mergeCell ref="T190:Z190"/>
    <mergeCell ref="AA190:AG190"/>
    <mergeCell ref="AH190:AN190"/>
    <mergeCell ref="AO190:AU190"/>
    <mergeCell ref="AV190:BB190"/>
    <mergeCell ref="BC190:BI190"/>
    <mergeCell ref="BJ190:BP190"/>
    <mergeCell ref="BQ190:BW190"/>
    <mergeCell ref="BX190:CD190"/>
    <mergeCell ref="CE190:CK190"/>
    <mergeCell ref="CL190:CR190"/>
    <mergeCell ref="CS190:CY190"/>
    <mergeCell ref="CZ190:CZ192"/>
    <mergeCell ref="M192:AP192"/>
    <mergeCell ref="BU192:CY192"/>
    <mergeCell ref="AA178:AG178"/>
    <mergeCell ref="AH178:AN178"/>
    <mergeCell ref="AO178:AU178"/>
    <mergeCell ref="AV178:BB178"/>
    <mergeCell ref="BC181:BI181"/>
    <mergeCell ref="BJ181:BP181"/>
    <mergeCell ref="BQ181:BW181"/>
    <mergeCell ref="BX181:CD181"/>
    <mergeCell ref="CE181:CK181"/>
    <mergeCell ref="CL181:CR181"/>
    <mergeCell ref="CS181:CY181"/>
    <mergeCell ref="CZ181:CZ183"/>
    <mergeCell ref="M183:AP183"/>
    <mergeCell ref="AQ183:BT183"/>
    <mergeCell ref="BU183:CY183"/>
    <mergeCell ref="I181:I183"/>
    <mergeCell ref="J181:J183"/>
    <mergeCell ref="K181:K183"/>
    <mergeCell ref="M181:S181"/>
    <mergeCell ref="T181:Z181"/>
    <mergeCell ref="AA181:AG181"/>
    <mergeCell ref="AH181:AN181"/>
    <mergeCell ref="AO181:AU181"/>
    <mergeCell ref="AV181:BB181"/>
    <mergeCell ref="BQ184:BW184"/>
    <mergeCell ref="BX184:CD184"/>
    <mergeCell ref="CE184:CK184"/>
    <mergeCell ref="CL184:CR184"/>
    <mergeCell ref="CS184:CY184"/>
    <mergeCell ref="CZ184:CZ186"/>
    <mergeCell ref="M186:AP186"/>
    <mergeCell ref="AQ186:BT186"/>
    <mergeCell ref="BU186:CY186"/>
    <mergeCell ref="A178:A180"/>
    <mergeCell ref="B178:B180"/>
    <mergeCell ref="C178:C180"/>
    <mergeCell ref="D178:D180"/>
    <mergeCell ref="E178:E180"/>
    <mergeCell ref="F178:F180"/>
    <mergeCell ref="G178:G180"/>
    <mergeCell ref="BC178:BI178"/>
    <mergeCell ref="BJ178:BP178"/>
    <mergeCell ref="BQ178:BW178"/>
    <mergeCell ref="BX178:CD178"/>
    <mergeCell ref="CE178:CK178"/>
    <mergeCell ref="CL178:CR178"/>
    <mergeCell ref="CS178:CY178"/>
    <mergeCell ref="CZ178:CZ180"/>
    <mergeCell ref="M180:AP180"/>
    <mergeCell ref="AQ180:BT180"/>
    <mergeCell ref="BU180:CY180"/>
    <mergeCell ref="I178:I180"/>
    <mergeCell ref="J178:J180"/>
    <mergeCell ref="K178:K180"/>
    <mergeCell ref="M178:S178"/>
    <mergeCell ref="T178:Z178"/>
    <mergeCell ref="A181:A183"/>
    <mergeCell ref="B181:B183"/>
    <mergeCell ref="C181:C183"/>
    <mergeCell ref="D181:D183"/>
    <mergeCell ref="E181:E183"/>
    <mergeCell ref="F181:F183"/>
    <mergeCell ref="G181:G183"/>
    <mergeCell ref="I175:L175"/>
    <mergeCell ref="M175:AP175"/>
    <mergeCell ref="AQ175:BT175"/>
    <mergeCell ref="BU175:CY175"/>
    <mergeCell ref="I176:L176"/>
    <mergeCell ref="M176:CY176"/>
    <mergeCell ref="I177:CZ177"/>
    <mergeCell ref="A184:A186"/>
    <mergeCell ref="B184:B186"/>
    <mergeCell ref="C184:C186"/>
    <mergeCell ref="D184:D186"/>
    <mergeCell ref="E184:E186"/>
    <mergeCell ref="F184:F186"/>
    <mergeCell ref="G184:G186"/>
    <mergeCell ref="I184:I186"/>
    <mergeCell ref="J184:J186"/>
    <mergeCell ref="K184:K186"/>
    <mergeCell ref="M184:S184"/>
    <mergeCell ref="T184:Z184"/>
    <mergeCell ref="AA184:AG184"/>
    <mergeCell ref="AH184:AN184"/>
    <mergeCell ref="AO184:AU184"/>
    <mergeCell ref="AV184:BB184"/>
    <mergeCell ref="BC184:BI184"/>
    <mergeCell ref="BJ184:BP184"/>
    <mergeCell ref="K172:K174"/>
    <mergeCell ref="M172:S172"/>
    <mergeCell ref="T172:Z172"/>
    <mergeCell ref="AA172:AG172"/>
    <mergeCell ref="AH172:AN172"/>
    <mergeCell ref="AO172:AU172"/>
    <mergeCell ref="AV172:BB172"/>
    <mergeCell ref="BC172:BI172"/>
    <mergeCell ref="BJ172:BP172"/>
    <mergeCell ref="BQ172:BW172"/>
    <mergeCell ref="BX172:CD172"/>
    <mergeCell ref="CE172:CK172"/>
    <mergeCell ref="CL172:CR172"/>
    <mergeCell ref="CS172:CY172"/>
    <mergeCell ref="CZ172:CZ174"/>
    <mergeCell ref="M174:AP174"/>
    <mergeCell ref="AQ174:BT174"/>
    <mergeCell ref="BU174:CY174"/>
    <mergeCell ref="I166:I168"/>
    <mergeCell ref="J166:J168"/>
    <mergeCell ref="A172:A174"/>
    <mergeCell ref="B172:B174"/>
    <mergeCell ref="C172:C174"/>
    <mergeCell ref="D172:D174"/>
    <mergeCell ref="E172:E174"/>
    <mergeCell ref="F172:F174"/>
    <mergeCell ref="G172:G174"/>
    <mergeCell ref="I172:I174"/>
    <mergeCell ref="J172:J174"/>
    <mergeCell ref="I163:L163"/>
    <mergeCell ref="M163:AP163"/>
    <mergeCell ref="AQ163:BT163"/>
    <mergeCell ref="BU163:CY163"/>
    <mergeCell ref="I164:L164"/>
    <mergeCell ref="M164:CY164"/>
    <mergeCell ref="I165:CZ165"/>
    <mergeCell ref="A166:A168"/>
    <mergeCell ref="B166:B168"/>
    <mergeCell ref="C166:C168"/>
    <mergeCell ref="D166:D168"/>
    <mergeCell ref="E166:E168"/>
    <mergeCell ref="F166:F168"/>
    <mergeCell ref="G166:G168"/>
    <mergeCell ref="K166:K168"/>
    <mergeCell ref="M166:S166"/>
    <mergeCell ref="T166:Z166"/>
    <mergeCell ref="AA166:AG166"/>
    <mergeCell ref="AH166:AN166"/>
    <mergeCell ref="AO166:AU166"/>
    <mergeCell ref="AV166:BB166"/>
    <mergeCell ref="BC166:BI166"/>
    <mergeCell ref="BJ166:BP166"/>
    <mergeCell ref="BQ166:BW166"/>
    <mergeCell ref="BX166:CD166"/>
    <mergeCell ref="CE166:CK166"/>
    <mergeCell ref="CL166:CR166"/>
    <mergeCell ref="CS166:CY166"/>
    <mergeCell ref="CZ166:CZ168"/>
    <mergeCell ref="M168:AP168"/>
    <mergeCell ref="AQ168:BT168"/>
    <mergeCell ref="BU168:CY168"/>
    <mergeCell ref="BC160:BI160"/>
    <mergeCell ref="BJ160:BP160"/>
    <mergeCell ref="BQ160:BW160"/>
    <mergeCell ref="BX160:CD160"/>
    <mergeCell ref="CE160:CK160"/>
    <mergeCell ref="CL160:CR160"/>
    <mergeCell ref="CS160:CY160"/>
    <mergeCell ref="CZ160:CZ162"/>
    <mergeCell ref="M162:AP162"/>
    <mergeCell ref="AQ162:BT162"/>
    <mergeCell ref="BU162:CY162"/>
    <mergeCell ref="I160:I162"/>
    <mergeCell ref="J160:J162"/>
    <mergeCell ref="K160:K162"/>
    <mergeCell ref="M160:S160"/>
    <mergeCell ref="T160:Z160"/>
    <mergeCell ref="AA160:AG160"/>
    <mergeCell ref="AH160:AN160"/>
    <mergeCell ref="AO160:AU160"/>
    <mergeCell ref="AV160:BB160"/>
    <mergeCell ref="BC157:BI157"/>
    <mergeCell ref="BJ157:BP157"/>
    <mergeCell ref="BQ157:BW157"/>
    <mergeCell ref="BX157:CD157"/>
    <mergeCell ref="CE157:CK157"/>
    <mergeCell ref="CL157:CR157"/>
    <mergeCell ref="CS157:CY157"/>
    <mergeCell ref="CZ157:CZ159"/>
    <mergeCell ref="M159:AP159"/>
    <mergeCell ref="AQ159:BT159"/>
    <mergeCell ref="BU159:CY159"/>
    <mergeCell ref="I157:I159"/>
    <mergeCell ref="J157:J159"/>
    <mergeCell ref="K157:K159"/>
    <mergeCell ref="M157:S157"/>
    <mergeCell ref="T157:Z157"/>
    <mergeCell ref="AA157:AG157"/>
    <mergeCell ref="AH157:AN157"/>
    <mergeCell ref="AO157:AU157"/>
    <mergeCell ref="AV157:BB157"/>
    <mergeCell ref="BC154:BI154"/>
    <mergeCell ref="BJ154:BP154"/>
    <mergeCell ref="BQ154:BW154"/>
    <mergeCell ref="BX154:CD154"/>
    <mergeCell ref="CE154:CK154"/>
    <mergeCell ref="CL154:CR154"/>
    <mergeCell ref="CS154:CY154"/>
    <mergeCell ref="CZ154:CZ156"/>
    <mergeCell ref="M156:AP156"/>
    <mergeCell ref="AQ156:BT156"/>
    <mergeCell ref="BU156:CY156"/>
    <mergeCell ref="I154:I156"/>
    <mergeCell ref="J154:J156"/>
    <mergeCell ref="K154:K156"/>
    <mergeCell ref="M154:S154"/>
    <mergeCell ref="T154:Z154"/>
    <mergeCell ref="AA154:AG154"/>
    <mergeCell ref="AH154:AN154"/>
    <mergeCell ref="AO154:AU154"/>
    <mergeCell ref="AV154:BB154"/>
    <mergeCell ref="A157:A159"/>
    <mergeCell ref="B157:B159"/>
    <mergeCell ref="C157:C159"/>
    <mergeCell ref="D157:D159"/>
    <mergeCell ref="E157:E159"/>
    <mergeCell ref="F157:F159"/>
    <mergeCell ref="G157:G159"/>
    <mergeCell ref="A160:A162"/>
    <mergeCell ref="B160:B162"/>
    <mergeCell ref="C160:C162"/>
    <mergeCell ref="D160:D162"/>
    <mergeCell ref="E160:E162"/>
    <mergeCell ref="F160:F162"/>
    <mergeCell ref="G160:G162"/>
    <mergeCell ref="A154:A156"/>
    <mergeCell ref="B154:B156"/>
    <mergeCell ref="C154:C156"/>
    <mergeCell ref="D154:D156"/>
    <mergeCell ref="E154:E156"/>
    <mergeCell ref="F154:F156"/>
    <mergeCell ref="G154:G156"/>
    <mergeCell ref="BX148:CD148"/>
    <mergeCell ref="CE148:CK148"/>
    <mergeCell ref="CL148:CR148"/>
    <mergeCell ref="CS148:CY148"/>
    <mergeCell ref="CZ148:CZ150"/>
    <mergeCell ref="M150:AP150"/>
    <mergeCell ref="AQ150:BT150"/>
    <mergeCell ref="BU150:CY150"/>
    <mergeCell ref="K148:K150"/>
    <mergeCell ref="M148:S148"/>
    <mergeCell ref="T148:Z148"/>
    <mergeCell ref="AA148:AG148"/>
    <mergeCell ref="AH148:AN148"/>
    <mergeCell ref="AO148:AU148"/>
    <mergeCell ref="AV148:BB148"/>
    <mergeCell ref="BC148:BI148"/>
    <mergeCell ref="BJ148:BP148"/>
    <mergeCell ref="BQ148:BW148"/>
    <mergeCell ref="BX145:CD145"/>
    <mergeCell ref="CE145:CK145"/>
    <mergeCell ref="CL145:CR145"/>
    <mergeCell ref="CS145:CY145"/>
    <mergeCell ref="CZ145:CZ147"/>
    <mergeCell ref="M147:AP147"/>
    <mergeCell ref="AQ147:BT147"/>
    <mergeCell ref="BU147:CY147"/>
    <mergeCell ref="K145:K147"/>
    <mergeCell ref="M145:S145"/>
    <mergeCell ref="T145:Z145"/>
    <mergeCell ref="AA145:AG145"/>
    <mergeCell ref="AH145:AN145"/>
    <mergeCell ref="AO145:AU145"/>
    <mergeCell ref="AV145:BB145"/>
    <mergeCell ref="BC145:BI145"/>
    <mergeCell ref="BJ145:BP145"/>
    <mergeCell ref="BQ145:BW145"/>
    <mergeCell ref="BX142:CD142"/>
    <mergeCell ref="CE142:CK142"/>
    <mergeCell ref="CL142:CR142"/>
    <mergeCell ref="CS142:CY142"/>
    <mergeCell ref="CZ142:CZ144"/>
    <mergeCell ref="M144:AP144"/>
    <mergeCell ref="AQ144:BT144"/>
    <mergeCell ref="BU144:CY144"/>
    <mergeCell ref="K142:K144"/>
    <mergeCell ref="M142:S142"/>
    <mergeCell ref="T142:Z142"/>
    <mergeCell ref="AA142:AG142"/>
    <mergeCell ref="AH142:AN142"/>
    <mergeCell ref="AO142:AU142"/>
    <mergeCell ref="AV142:BB142"/>
    <mergeCell ref="BC142:BI142"/>
    <mergeCell ref="BJ142:BP142"/>
    <mergeCell ref="BQ142:BW142"/>
    <mergeCell ref="BX139:CD139"/>
    <mergeCell ref="CE139:CK139"/>
    <mergeCell ref="CL139:CR139"/>
    <mergeCell ref="CS139:CY139"/>
    <mergeCell ref="CZ139:CZ141"/>
    <mergeCell ref="M141:AP141"/>
    <mergeCell ref="AQ141:BT141"/>
    <mergeCell ref="BU141:CY141"/>
    <mergeCell ref="K139:K141"/>
    <mergeCell ref="M139:S139"/>
    <mergeCell ref="T139:Z139"/>
    <mergeCell ref="AA139:AG139"/>
    <mergeCell ref="AH139:AN139"/>
    <mergeCell ref="AO139:AU139"/>
    <mergeCell ref="AV139:BB139"/>
    <mergeCell ref="BC139:BI139"/>
    <mergeCell ref="BJ139:BP139"/>
    <mergeCell ref="BQ139:BW139"/>
    <mergeCell ref="AO133:AU133"/>
    <mergeCell ref="AV133:BB133"/>
    <mergeCell ref="BC133:BI133"/>
    <mergeCell ref="BJ133:BP133"/>
    <mergeCell ref="BQ136:BW136"/>
    <mergeCell ref="BX136:CD136"/>
    <mergeCell ref="CE136:CK136"/>
    <mergeCell ref="CL136:CR136"/>
    <mergeCell ref="CS136:CY136"/>
    <mergeCell ref="CZ136:CZ138"/>
    <mergeCell ref="M138:AP138"/>
    <mergeCell ref="AQ138:BT138"/>
    <mergeCell ref="BU138:CY138"/>
    <mergeCell ref="K136:K138"/>
    <mergeCell ref="M136:S136"/>
    <mergeCell ref="T136:Z136"/>
    <mergeCell ref="AA136:AG136"/>
    <mergeCell ref="AH136:AN136"/>
    <mergeCell ref="AO136:AU136"/>
    <mergeCell ref="AV136:BB136"/>
    <mergeCell ref="BC136:BI136"/>
    <mergeCell ref="BJ136:BP136"/>
    <mergeCell ref="C148:C150"/>
    <mergeCell ref="D148:D150"/>
    <mergeCell ref="E148:E150"/>
    <mergeCell ref="F148:F150"/>
    <mergeCell ref="G148:G150"/>
    <mergeCell ref="BQ130:BW130"/>
    <mergeCell ref="BX130:CD130"/>
    <mergeCell ref="CE130:CK130"/>
    <mergeCell ref="CL130:CR130"/>
    <mergeCell ref="CS130:CY130"/>
    <mergeCell ref="CZ130:CZ132"/>
    <mergeCell ref="M132:AP132"/>
    <mergeCell ref="AQ132:BT132"/>
    <mergeCell ref="BU132:CY132"/>
    <mergeCell ref="K130:K132"/>
    <mergeCell ref="M130:S130"/>
    <mergeCell ref="T130:Z130"/>
    <mergeCell ref="AA130:AG130"/>
    <mergeCell ref="AH130:AN130"/>
    <mergeCell ref="AO130:AU130"/>
    <mergeCell ref="AV130:BB130"/>
    <mergeCell ref="BC130:BI130"/>
    <mergeCell ref="BJ130:BP130"/>
    <mergeCell ref="BQ133:BW133"/>
    <mergeCell ref="BX133:CD133"/>
    <mergeCell ref="CE133:CK133"/>
    <mergeCell ref="CL133:CR133"/>
    <mergeCell ref="CS133:CY133"/>
    <mergeCell ref="CZ133:CZ135"/>
    <mergeCell ref="M135:AP135"/>
    <mergeCell ref="AQ135:BT135"/>
    <mergeCell ref="BU135:CY135"/>
    <mergeCell ref="A142:A144"/>
    <mergeCell ref="B142:B144"/>
    <mergeCell ref="C142:C144"/>
    <mergeCell ref="D142:D144"/>
    <mergeCell ref="E142:E144"/>
    <mergeCell ref="F142:F144"/>
    <mergeCell ref="G142:G144"/>
    <mergeCell ref="A145:A147"/>
    <mergeCell ref="B145:B147"/>
    <mergeCell ref="C145:C147"/>
    <mergeCell ref="D145:D147"/>
    <mergeCell ref="A139:A141"/>
    <mergeCell ref="B139:B141"/>
    <mergeCell ref="C139:C141"/>
    <mergeCell ref="D139:D141"/>
    <mergeCell ref="E139:E141"/>
    <mergeCell ref="F139:F141"/>
    <mergeCell ref="G139:G141"/>
    <mergeCell ref="BU151:CY151"/>
    <mergeCell ref="I128:L128"/>
    <mergeCell ref="M128:CY128"/>
    <mergeCell ref="I129:CZ129"/>
    <mergeCell ref="I127:L127"/>
    <mergeCell ref="M127:AP127"/>
    <mergeCell ref="AQ127:BT127"/>
    <mergeCell ref="BU127:CY127"/>
    <mergeCell ref="M120:AP120"/>
    <mergeCell ref="AQ120:BT120"/>
    <mergeCell ref="BU120:CY120"/>
    <mergeCell ref="M118:S118"/>
    <mergeCell ref="T118:Z118"/>
    <mergeCell ref="I130:I132"/>
    <mergeCell ref="J130:J132"/>
    <mergeCell ref="I133:I135"/>
    <mergeCell ref="J133:J135"/>
    <mergeCell ref="I136:I138"/>
    <mergeCell ref="J136:J138"/>
    <mergeCell ref="I139:I141"/>
    <mergeCell ref="J139:J141"/>
    <mergeCell ref="I142:I144"/>
    <mergeCell ref="J142:J144"/>
    <mergeCell ref="I145:I147"/>
    <mergeCell ref="J145:J147"/>
    <mergeCell ref="I148:I150"/>
    <mergeCell ref="J148:J150"/>
    <mergeCell ref="K133:K135"/>
    <mergeCell ref="M133:S133"/>
    <mergeCell ref="T133:Z133"/>
    <mergeCell ref="AA133:AG133"/>
    <mergeCell ref="AH133:AN133"/>
    <mergeCell ref="I152:L152"/>
    <mergeCell ref="M152:CY152"/>
    <mergeCell ref="I153:CZ153"/>
    <mergeCell ref="A130:A132"/>
    <mergeCell ref="B130:B132"/>
    <mergeCell ref="C130:C132"/>
    <mergeCell ref="D130:D132"/>
    <mergeCell ref="E130:E132"/>
    <mergeCell ref="F130:F132"/>
    <mergeCell ref="G130:G132"/>
    <mergeCell ref="A133:A135"/>
    <mergeCell ref="B133:B135"/>
    <mergeCell ref="C133:C135"/>
    <mergeCell ref="D133:D135"/>
    <mergeCell ref="E133:E135"/>
    <mergeCell ref="F133:F135"/>
    <mergeCell ref="G133:G135"/>
    <mergeCell ref="A136:A138"/>
    <mergeCell ref="B136:B138"/>
    <mergeCell ref="C136:C138"/>
    <mergeCell ref="E145:E147"/>
    <mergeCell ref="F145:F147"/>
    <mergeCell ref="G145:G147"/>
    <mergeCell ref="D136:D138"/>
    <mergeCell ref="E136:E138"/>
    <mergeCell ref="F136:F138"/>
    <mergeCell ref="G136:G138"/>
    <mergeCell ref="I151:L151"/>
    <mergeCell ref="M151:AP151"/>
    <mergeCell ref="AQ151:BT151"/>
    <mergeCell ref="A148:A150"/>
    <mergeCell ref="B148:B150"/>
    <mergeCell ref="CE118:CK118"/>
    <mergeCell ref="CL118:CR118"/>
    <mergeCell ref="CS118:CY118"/>
    <mergeCell ref="CZ118:CZ120"/>
    <mergeCell ref="I115:L115"/>
    <mergeCell ref="M115:AP115"/>
    <mergeCell ref="AQ115:BT115"/>
    <mergeCell ref="BU115:CY115"/>
    <mergeCell ref="I116:L116"/>
    <mergeCell ref="M116:CY116"/>
    <mergeCell ref="I117:CZ117"/>
    <mergeCell ref="A118:A120"/>
    <mergeCell ref="B118:B120"/>
    <mergeCell ref="C118:C120"/>
    <mergeCell ref="D118:D120"/>
    <mergeCell ref="E118:E120"/>
    <mergeCell ref="F118:F120"/>
    <mergeCell ref="G118:G120"/>
    <mergeCell ref="I118:I120"/>
    <mergeCell ref="J118:J120"/>
    <mergeCell ref="K118:K120"/>
    <mergeCell ref="AA118:AG118"/>
    <mergeCell ref="AH118:AN118"/>
    <mergeCell ref="AO118:AU118"/>
    <mergeCell ref="AV118:BB118"/>
    <mergeCell ref="AQ108:BT108"/>
    <mergeCell ref="BU108:CY108"/>
    <mergeCell ref="M106:S106"/>
    <mergeCell ref="T106:Z106"/>
    <mergeCell ref="AA106:AG106"/>
    <mergeCell ref="AH106:AN106"/>
    <mergeCell ref="AO106:AU106"/>
    <mergeCell ref="AV106:BB106"/>
    <mergeCell ref="BC106:BI106"/>
    <mergeCell ref="BJ106:BP106"/>
    <mergeCell ref="I106:I108"/>
    <mergeCell ref="J106:J108"/>
    <mergeCell ref="I100:I102"/>
    <mergeCell ref="J100:J102"/>
    <mergeCell ref="A106:A108"/>
    <mergeCell ref="B106:B108"/>
    <mergeCell ref="C106:C108"/>
    <mergeCell ref="D106:D108"/>
    <mergeCell ref="E106:E108"/>
    <mergeCell ref="F106:F108"/>
    <mergeCell ref="G106:G108"/>
    <mergeCell ref="A103:A105"/>
    <mergeCell ref="I103:I105"/>
    <mergeCell ref="J103:J105"/>
    <mergeCell ref="K103:K105"/>
    <mergeCell ref="M103:S103"/>
    <mergeCell ref="T103:Z103"/>
    <mergeCell ref="K106:K108"/>
    <mergeCell ref="M105:AP105"/>
    <mergeCell ref="B103:B105"/>
    <mergeCell ref="C103:C105"/>
    <mergeCell ref="D103:D105"/>
    <mergeCell ref="AH100:AN100"/>
    <mergeCell ref="AO100:AU100"/>
    <mergeCell ref="I97:L97"/>
    <mergeCell ref="M97:AP97"/>
    <mergeCell ref="AQ97:BT97"/>
    <mergeCell ref="BU97:CY97"/>
    <mergeCell ref="I98:L98"/>
    <mergeCell ref="M98:CY98"/>
    <mergeCell ref="I99:CZ99"/>
    <mergeCell ref="AA103:AG103"/>
    <mergeCell ref="AH103:AN103"/>
    <mergeCell ref="AO103:AU103"/>
    <mergeCell ref="AV103:BB103"/>
    <mergeCell ref="BC103:BI103"/>
    <mergeCell ref="BJ103:BP103"/>
    <mergeCell ref="BQ103:BW103"/>
    <mergeCell ref="BX103:CD103"/>
    <mergeCell ref="CE103:CK103"/>
    <mergeCell ref="CL103:CR103"/>
    <mergeCell ref="CS103:CY103"/>
    <mergeCell ref="CZ103:CZ105"/>
    <mergeCell ref="AQ105:BT105"/>
    <mergeCell ref="BU105:CY105"/>
    <mergeCell ref="AV100:BB100"/>
    <mergeCell ref="BC100:BI100"/>
    <mergeCell ref="BJ100:BP100"/>
    <mergeCell ref="K100:K102"/>
    <mergeCell ref="M100:S100"/>
    <mergeCell ref="T100:Z100"/>
    <mergeCell ref="AA100:AG100"/>
    <mergeCell ref="M96:AP96"/>
    <mergeCell ref="AQ96:BT96"/>
    <mergeCell ref="BU96:CY96"/>
    <mergeCell ref="K94:K96"/>
    <mergeCell ref="M94:S94"/>
    <mergeCell ref="T94:Z94"/>
    <mergeCell ref="AA94:AG94"/>
    <mergeCell ref="BJ94:BP94"/>
    <mergeCell ref="BQ88:BW88"/>
    <mergeCell ref="BX88:CD88"/>
    <mergeCell ref="CE88:CK88"/>
    <mergeCell ref="CL88:CR88"/>
    <mergeCell ref="CS88:CY88"/>
    <mergeCell ref="CZ88:CZ90"/>
    <mergeCell ref="M90:AP90"/>
    <mergeCell ref="AQ90:BT90"/>
    <mergeCell ref="BU90:CY90"/>
    <mergeCell ref="K88:K90"/>
    <mergeCell ref="M88:S88"/>
    <mergeCell ref="T88:Z88"/>
    <mergeCell ref="AA88:AG88"/>
    <mergeCell ref="AH88:AN88"/>
    <mergeCell ref="AO88:AU88"/>
    <mergeCell ref="AV88:BB88"/>
    <mergeCell ref="BC88:BI88"/>
    <mergeCell ref="BJ88:BP88"/>
    <mergeCell ref="CS91:CY91"/>
    <mergeCell ref="A4:G4"/>
    <mergeCell ref="B9:G9"/>
    <mergeCell ref="B21:G21"/>
    <mergeCell ref="B51:G51"/>
    <mergeCell ref="F25:F27"/>
    <mergeCell ref="C232:C234"/>
    <mergeCell ref="D232:D234"/>
    <mergeCell ref="E232:E234"/>
    <mergeCell ref="B34:B36"/>
    <mergeCell ref="B28:B30"/>
    <mergeCell ref="C28:C30"/>
    <mergeCell ref="A88:A90"/>
    <mergeCell ref="B88:B90"/>
    <mergeCell ref="C88:C90"/>
    <mergeCell ref="D88:D90"/>
    <mergeCell ref="E88:E90"/>
    <mergeCell ref="F88:F90"/>
    <mergeCell ref="G88:G90"/>
    <mergeCell ref="A91:A93"/>
    <mergeCell ref="B91:B93"/>
    <mergeCell ref="C91:C93"/>
    <mergeCell ref="D91:D93"/>
    <mergeCell ref="E91:E93"/>
    <mergeCell ref="F91:F93"/>
    <mergeCell ref="A13:A15"/>
    <mergeCell ref="G91:G93"/>
    <mergeCell ref="A94:A96"/>
    <mergeCell ref="B94:B96"/>
    <mergeCell ref="C94:C96"/>
    <mergeCell ref="D94:D96"/>
    <mergeCell ref="E94:E96"/>
    <mergeCell ref="F94:F96"/>
    <mergeCell ref="B257:E257"/>
    <mergeCell ref="A3:G3"/>
    <mergeCell ref="A10:A12"/>
    <mergeCell ref="B10:B12"/>
    <mergeCell ref="C10:C12"/>
    <mergeCell ref="C251:E251"/>
    <mergeCell ref="C252:E252"/>
    <mergeCell ref="C253:E253"/>
    <mergeCell ref="B255:E255"/>
    <mergeCell ref="D10:D12"/>
    <mergeCell ref="E10:E12"/>
    <mergeCell ref="F10:F12"/>
    <mergeCell ref="G10:G12"/>
    <mergeCell ref="F13:F15"/>
    <mergeCell ref="G13:G15"/>
    <mergeCell ref="F16:F18"/>
    <mergeCell ref="G16:G18"/>
    <mergeCell ref="B153:G153"/>
    <mergeCell ref="B165:G165"/>
    <mergeCell ref="B177:G177"/>
    <mergeCell ref="B189:G189"/>
    <mergeCell ref="F232:F234"/>
    <mergeCell ref="G232:G234"/>
    <mergeCell ref="A25:A27"/>
    <mergeCell ref="B25:B27"/>
    <mergeCell ref="C25:C27"/>
    <mergeCell ref="D25:D27"/>
    <mergeCell ref="E25:E27"/>
    <mergeCell ref="A232:A234"/>
    <mergeCell ref="B232:B234"/>
    <mergeCell ref="B60:G60"/>
    <mergeCell ref="B87:G87"/>
    <mergeCell ref="B13:B15"/>
    <mergeCell ref="C13:C15"/>
    <mergeCell ref="D13:D15"/>
    <mergeCell ref="E13:E15"/>
    <mergeCell ref="BQ7:BW7"/>
    <mergeCell ref="BX7:CD7"/>
    <mergeCell ref="AO7:AU7"/>
    <mergeCell ref="I10:I12"/>
    <mergeCell ref="J10:J12"/>
    <mergeCell ref="K10:K12"/>
    <mergeCell ref="K13:K15"/>
    <mergeCell ref="M15:AP15"/>
    <mergeCell ref="AQ15:BT15"/>
    <mergeCell ref="BU15:CY15"/>
    <mergeCell ref="L6:L8"/>
    <mergeCell ref="K6:K8"/>
    <mergeCell ref="J6:J8"/>
    <mergeCell ref="I6:I8"/>
    <mergeCell ref="AV7:BB7"/>
    <mergeCell ref="BC7:BI7"/>
    <mergeCell ref="BJ7:BP7"/>
    <mergeCell ref="I9:L9"/>
    <mergeCell ref="AO13:AU13"/>
    <mergeCell ref="AV13:BB13"/>
    <mergeCell ref="BC13:BI13"/>
    <mergeCell ref="BX10:CD10"/>
    <mergeCell ref="CE10:CK10"/>
    <mergeCell ref="CL10:CR10"/>
    <mergeCell ref="BU12:CY12"/>
    <mergeCell ref="B1:F1"/>
    <mergeCell ref="B2:F2"/>
    <mergeCell ref="I19:L19"/>
    <mergeCell ref="M12:AP12"/>
    <mergeCell ref="AQ12:BT12"/>
    <mergeCell ref="M10:S10"/>
    <mergeCell ref="T10:Z10"/>
    <mergeCell ref="AA10:AG10"/>
    <mergeCell ref="AH10:AN10"/>
    <mergeCell ref="AO10:AU10"/>
    <mergeCell ref="AV10:BB10"/>
    <mergeCell ref="BC10:BI10"/>
    <mergeCell ref="BJ10:BP10"/>
    <mergeCell ref="BQ10:BW10"/>
    <mergeCell ref="K1:CE3"/>
    <mergeCell ref="M5:AP5"/>
    <mergeCell ref="AQ5:BT5"/>
    <mergeCell ref="BU5:CX5"/>
    <mergeCell ref="CE7:CK7"/>
    <mergeCell ref="CL7:CR7"/>
    <mergeCell ref="CS7:CY7"/>
    <mergeCell ref="BU19:CY19"/>
    <mergeCell ref="M13:S13"/>
    <mergeCell ref="T13:Z13"/>
    <mergeCell ref="I13:I15"/>
    <mergeCell ref="J13:J15"/>
    <mergeCell ref="CS10:CY10"/>
    <mergeCell ref="BX13:CD13"/>
    <mergeCell ref="CE13:CK13"/>
    <mergeCell ref="CL13:CR13"/>
    <mergeCell ref="AA13:AG13"/>
    <mergeCell ref="AH13:AN13"/>
    <mergeCell ref="I5:K5"/>
    <mergeCell ref="M7:S7"/>
    <mergeCell ref="T7:Z7"/>
    <mergeCell ref="AA7:AG7"/>
    <mergeCell ref="AH7:AN7"/>
    <mergeCell ref="CS13:CY13"/>
    <mergeCell ref="M16:S16"/>
    <mergeCell ref="T16:Z16"/>
    <mergeCell ref="AA16:AG16"/>
    <mergeCell ref="AH16:AN16"/>
    <mergeCell ref="AO16:AU16"/>
    <mergeCell ref="AV16:BB16"/>
    <mergeCell ref="BC16:BI16"/>
    <mergeCell ref="BJ16:BP16"/>
    <mergeCell ref="BQ16:BW16"/>
    <mergeCell ref="BX16:CD16"/>
    <mergeCell ref="CL232:CR232"/>
    <mergeCell ref="CS232:CY232"/>
    <mergeCell ref="BJ13:BP13"/>
    <mergeCell ref="BQ13:BW13"/>
    <mergeCell ref="M9:CZ9"/>
    <mergeCell ref="CZ10:CZ12"/>
    <mergeCell ref="CZ13:CZ15"/>
    <mergeCell ref="CZ16:CZ18"/>
    <mergeCell ref="I91:I93"/>
    <mergeCell ref="J91:J93"/>
    <mergeCell ref="I94:I96"/>
    <mergeCell ref="J94:J96"/>
    <mergeCell ref="I88:I90"/>
    <mergeCell ref="J88:J90"/>
    <mergeCell ref="CZ94:CZ96"/>
    <mergeCell ref="AH94:AN94"/>
    <mergeCell ref="M18:AP18"/>
    <mergeCell ref="AQ18:BT18"/>
    <mergeCell ref="BU18:CY18"/>
    <mergeCell ref="M19:AP19"/>
    <mergeCell ref="AQ19:BT19"/>
    <mergeCell ref="CE16:CK16"/>
    <mergeCell ref="CE232:CK232"/>
    <mergeCell ref="BX232:CD232"/>
    <mergeCell ref="AH232:AN232"/>
    <mergeCell ref="AO232:AU232"/>
    <mergeCell ref="AV232:BB232"/>
    <mergeCell ref="BC232:BI232"/>
    <mergeCell ref="BJ232:BP232"/>
    <mergeCell ref="I28:I30"/>
    <mergeCell ref="J28:J30"/>
    <mergeCell ref="K28:K30"/>
    <mergeCell ref="M28:S28"/>
    <mergeCell ref="T28:Z28"/>
    <mergeCell ref="CL25:CR25"/>
    <mergeCell ref="CS25:CY25"/>
    <mergeCell ref="BX25:CD25"/>
    <mergeCell ref="CS16:CY16"/>
    <mergeCell ref="T232:Z232"/>
    <mergeCell ref="AA232:AG232"/>
    <mergeCell ref="M30:AP30"/>
    <mergeCell ref="AQ30:BT30"/>
    <mergeCell ref="BU30:CY30"/>
    <mergeCell ref="AO94:AU94"/>
    <mergeCell ref="AV94:BB94"/>
    <mergeCell ref="BC94:BI94"/>
    <mergeCell ref="CE25:CK25"/>
    <mergeCell ref="AA34:AG34"/>
    <mergeCell ref="I16:I18"/>
    <mergeCell ref="J16:J18"/>
    <mergeCell ref="K16:K18"/>
    <mergeCell ref="A46:A48"/>
    <mergeCell ref="E40:E42"/>
    <mergeCell ref="F37:F39"/>
    <mergeCell ref="F28:F30"/>
    <mergeCell ref="G28:G30"/>
    <mergeCell ref="G34:G36"/>
    <mergeCell ref="F34:F36"/>
    <mergeCell ref="E34:E36"/>
    <mergeCell ref="G37:G39"/>
    <mergeCell ref="F40:F42"/>
    <mergeCell ref="E43:E45"/>
    <mergeCell ref="E37:E39"/>
    <mergeCell ref="G40:G42"/>
    <mergeCell ref="F43:F45"/>
    <mergeCell ref="G43:G45"/>
    <mergeCell ref="I34:I36"/>
    <mergeCell ref="J34:J36"/>
    <mergeCell ref="K34:K36"/>
    <mergeCell ref="I46:I48"/>
    <mergeCell ref="J46:J48"/>
    <mergeCell ref="K46:K48"/>
    <mergeCell ref="E22:E24"/>
    <mergeCell ref="F22:F24"/>
    <mergeCell ref="G22:G24"/>
    <mergeCell ref="G25:G27"/>
    <mergeCell ref="A31:A33"/>
    <mergeCell ref="D31:D33"/>
    <mergeCell ref="E31:E33"/>
    <mergeCell ref="E46:E48"/>
    <mergeCell ref="A16:A18"/>
    <mergeCell ref="B16:B18"/>
    <mergeCell ref="C16:C18"/>
    <mergeCell ref="C43:C45"/>
    <mergeCell ref="D40:D42"/>
    <mergeCell ref="D37:D39"/>
    <mergeCell ref="D34:D36"/>
    <mergeCell ref="C34:C36"/>
    <mergeCell ref="A22:A24"/>
    <mergeCell ref="B22:B24"/>
    <mergeCell ref="C22:C24"/>
    <mergeCell ref="D22:D24"/>
    <mergeCell ref="D16:D18"/>
    <mergeCell ref="B99:G99"/>
    <mergeCell ref="B117:G117"/>
    <mergeCell ref="B129:G129"/>
    <mergeCell ref="E235:E237"/>
    <mergeCell ref="E16:E18"/>
    <mergeCell ref="G235:G237"/>
    <mergeCell ref="F46:F48"/>
    <mergeCell ref="G46:G48"/>
    <mergeCell ref="B43:B45"/>
    <mergeCell ref="B40:B42"/>
    <mergeCell ref="B37:B39"/>
    <mergeCell ref="G94:G96"/>
    <mergeCell ref="A100:A102"/>
    <mergeCell ref="B100:B102"/>
    <mergeCell ref="C100:C102"/>
    <mergeCell ref="D100:D102"/>
    <mergeCell ref="E100:E102"/>
    <mergeCell ref="F100:F102"/>
    <mergeCell ref="G100:G102"/>
    <mergeCell ref="F31:F33"/>
    <mergeCell ref="G31:G33"/>
    <mergeCell ref="BJ28:BP28"/>
    <mergeCell ref="BQ28:BW28"/>
    <mergeCell ref="A235:A237"/>
    <mergeCell ref="B235:B237"/>
    <mergeCell ref="C235:C237"/>
    <mergeCell ref="D235:D237"/>
    <mergeCell ref="B46:B48"/>
    <mergeCell ref="C46:C48"/>
    <mergeCell ref="D46:D48"/>
    <mergeCell ref="A28:A30"/>
    <mergeCell ref="A34:A36"/>
    <mergeCell ref="A37:A39"/>
    <mergeCell ref="A40:A42"/>
    <mergeCell ref="A43:A45"/>
    <mergeCell ref="C37:C39"/>
    <mergeCell ref="C40:C42"/>
    <mergeCell ref="D43:D45"/>
    <mergeCell ref="M93:AP93"/>
    <mergeCell ref="AQ93:BT93"/>
    <mergeCell ref="BU93:CY93"/>
    <mergeCell ref="K91:K93"/>
    <mergeCell ref="M91:S91"/>
    <mergeCell ref="T91:Z91"/>
    <mergeCell ref="AA91:AG91"/>
    <mergeCell ref="AH91:AN91"/>
    <mergeCell ref="AO91:AU91"/>
    <mergeCell ref="AV91:BB91"/>
    <mergeCell ref="BC91:BI91"/>
    <mergeCell ref="BJ91:BP91"/>
    <mergeCell ref="BQ94:BW94"/>
    <mergeCell ref="D28:D30"/>
    <mergeCell ref="E28:E30"/>
    <mergeCell ref="M27:AP27"/>
    <mergeCell ref="AQ27:BT27"/>
    <mergeCell ref="BU27:CY27"/>
    <mergeCell ref="I25:I27"/>
    <mergeCell ref="J25:J27"/>
    <mergeCell ref="K25:K27"/>
    <mergeCell ref="M25:S25"/>
    <mergeCell ref="T25:Z25"/>
    <mergeCell ref="AA25:AG25"/>
    <mergeCell ref="AH25:AN25"/>
    <mergeCell ref="AO25:AU25"/>
    <mergeCell ref="AV25:BB25"/>
    <mergeCell ref="BC25:BI25"/>
    <mergeCell ref="BJ25:BP25"/>
    <mergeCell ref="BQ25:BW25"/>
    <mergeCell ref="CS28:CY28"/>
    <mergeCell ref="BX28:CD28"/>
    <mergeCell ref="CE28:CK28"/>
    <mergeCell ref="CL28:CR28"/>
    <mergeCell ref="AA28:AG28"/>
    <mergeCell ref="AH28:AN28"/>
    <mergeCell ref="AO28:AU28"/>
    <mergeCell ref="AV28:BB28"/>
    <mergeCell ref="BC28:BI28"/>
    <mergeCell ref="BJ31:BP31"/>
    <mergeCell ref="BQ31:BW31"/>
    <mergeCell ref="BX31:CD31"/>
    <mergeCell ref="CE31:CK31"/>
    <mergeCell ref="CL31:CR31"/>
    <mergeCell ref="M34:S34"/>
    <mergeCell ref="T34:Z34"/>
    <mergeCell ref="CS31:CY31"/>
    <mergeCell ref="CL34:CR34"/>
    <mergeCell ref="CS34:CY34"/>
    <mergeCell ref="BC34:BI34"/>
    <mergeCell ref="BJ34:BP34"/>
    <mergeCell ref="BQ34:BW34"/>
    <mergeCell ref="AH34:AN34"/>
    <mergeCell ref="AO34:AU34"/>
    <mergeCell ref="AV34:BB34"/>
    <mergeCell ref="BX34:CD34"/>
    <mergeCell ref="CE34:CK34"/>
    <mergeCell ref="M36:AP36"/>
    <mergeCell ref="AQ36:BT36"/>
    <mergeCell ref="I37:I39"/>
    <mergeCell ref="J37:J39"/>
    <mergeCell ref="K37:K39"/>
    <mergeCell ref="M37:S37"/>
    <mergeCell ref="T37:Z37"/>
    <mergeCell ref="CL40:CR40"/>
    <mergeCell ref="CS40:CY40"/>
    <mergeCell ref="M42:AP42"/>
    <mergeCell ref="AQ42:BT42"/>
    <mergeCell ref="BU42:CY42"/>
    <mergeCell ref="CS37:CY37"/>
    <mergeCell ref="M39:AP39"/>
    <mergeCell ref="AQ39:BT39"/>
    <mergeCell ref="BU39:CY39"/>
    <mergeCell ref="M40:S40"/>
    <mergeCell ref="T40:Z40"/>
    <mergeCell ref="AA40:AG40"/>
    <mergeCell ref="AH40:AN40"/>
    <mergeCell ref="AO40:AU40"/>
    <mergeCell ref="AV40:BB40"/>
    <mergeCell ref="BC40:BI40"/>
    <mergeCell ref="BJ40:BP40"/>
    <mergeCell ref="BQ40:BW40"/>
    <mergeCell ref="BJ37:BP37"/>
    <mergeCell ref="BU36:CY36"/>
    <mergeCell ref="BC46:BI46"/>
    <mergeCell ref="BJ46:BP46"/>
    <mergeCell ref="I51:CZ51"/>
    <mergeCell ref="I52:I54"/>
    <mergeCell ref="J52:J54"/>
    <mergeCell ref="K52:K54"/>
    <mergeCell ref="CL43:CR43"/>
    <mergeCell ref="AA43:AG43"/>
    <mergeCell ref="AH43:AN43"/>
    <mergeCell ref="AO43:AU43"/>
    <mergeCell ref="AA37:AG37"/>
    <mergeCell ref="AV43:BB43"/>
    <mergeCell ref="BC43:BI43"/>
    <mergeCell ref="I43:I45"/>
    <mergeCell ref="J43:J45"/>
    <mergeCell ref="K43:K45"/>
    <mergeCell ref="M43:S43"/>
    <mergeCell ref="T43:Z43"/>
    <mergeCell ref="BX40:CD40"/>
    <mergeCell ref="CE40:CK40"/>
    <mergeCell ref="I40:I42"/>
    <mergeCell ref="J40:J42"/>
    <mergeCell ref="K40:K42"/>
    <mergeCell ref="BQ37:BW37"/>
    <mergeCell ref="BX37:CD37"/>
    <mergeCell ref="CE37:CK37"/>
    <mergeCell ref="BJ43:BP43"/>
    <mergeCell ref="BQ43:BW43"/>
    <mergeCell ref="BX43:CD43"/>
    <mergeCell ref="CE43:CK43"/>
    <mergeCell ref="M48:AP48"/>
    <mergeCell ref="AQ48:BT48"/>
    <mergeCell ref="BU48:CY48"/>
    <mergeCell ref="AQ49:BT49"/>
    <mergeCell ref="BU49:CY49"/>
    <mergeCell ref="BQ46:BW46"/>
    <mergeCell ref="CL235:CR235"/>
    <mergeCell ref="AA235:AG235"/>
    <mergeCell ref="AH235:AN235"/>
    <mergeCell ref="AO235:AU235"/>
    <mergeCell ref="AV235:BB235"/>
    <mergeCell ref="BC235:BI235"/>
    <mergeCell ref="CL37:CR37"/>
    <mergeCell ref="CS43:CY43"/>
    <mergeCell ref="M45:AP45"/>
    <mergeCell ref="AQ45:BT45"/>
    <mergeCell ref="BU45:CY45"/>
    <mergeCell ref="AH37:AN37"/>
    <mergeCell ref="AO37:AU37"/>
    <mergeCell ref="AV37:BB37"/>
    <mergeCell ref="BC37:BI37"/>
    <mergeCell ref="M235:S235"/>
    <mergeCell ref="T235:Z235"/>
    <mergeCell ref="BX46:CD46"/>
    <mergeCell ref="CE46:CK46"/>
    <mergeCell ref="CL46:CR46"/>
    <mergeCell ref="M46:S46"/>
    <mergeCell ref="T46:Z46"/>
    <mergeCell ref="AA46:AG46"/>
    <mergeCell ref="AH46:AN46"/>
    <mergeCell ref="AO46:AU46"/>
    <mergeCell ref="AV46:BB46"/>
    <mergeCell ref="T61:Z61"/>
    <mergeCell ref="AA61:AG61"/>
    <mergeCell ref="I49:L49"/>
    <mergeCell ref="M49:AP49"/>
    <mergeCell ref="I235:I237"/>
    <mergeCell ref="J235:J237"/>
    <mergeCell ref="K235:K237"/>
    <mergeCell ref="I58:L58"/>
    <mergeCell ref="I4:CZ4"/>
    <mergeCell ref="CZ5:CZ8"/>
    <mergeCell ref="CE22:CK22"/>
    <mergeCell ref="CL22:CR22"/>
    <mergeCell ref="CS22:CY22"/>
    <mergeCell ref="AV22:BB22"/>
    <mergeCell ref="BC22:BI22"/>
    <mergeCell ref="BJ22:BP22"/>
    <mergeCell ref="BQ22:BW22"/>
    <mergeCell ref="BX22:CD22"/>
    <mergeCell ref="M22:S22"/>
    <mergeCell ref="T22:Z22"/>
    <mergeCell ref="AA22:AG22"/>
    <mergeCell ref="AH22:AN22"/>
    <mergeCell ref="AO22:AU22"/>
    <mergeCell ref="M234:AP234"/>
    <mergeCell ref="AQ234:BT234"/>
    <mergeCell ref="CL16:CR16"/>
    <mergeCell ref="I22:I24"/>
    <mergeCell ref="J22:J24"/>
    <mergeCell ref="K22:K24"/>
    <mergeCell ref="I232:I234"/>
    <mergeCell ref="J232:J234"/>
    <mergeCell ref="K232:K234"/>
    <mergeCell ref="M232:S232"/>
    <mergeCell ref="CS46:CY46"/>
    <mergeCell ref="CZ52:CZ54"/>
    <mergeCell ref="M54:AP54"/>
    <mergeCell ref="AQ54:BT54"/>
    <mergeCell ref="BU54:CY54"/>
    <mergeCell ref="AV52:BB52"/>
    <mergeCell ref="BC52:BI52"/>
    <mergeCell ref="BJ52:BP52"/>
    <mergeCell ref="F52:F54"/>
    <mergeCell ref="G52:G54"/>
    <mergeCell ref="A52:A54"/>
    <mergeCell ref="B52:B54"/>
    <mergeCell ref="CZ46:CZ48"/>
    <mergeCell ref="CZ235:CZ237"/>
    <mergeCell ref="I20:L20"/>
    <mergeCell ref="I50:L50"/>
    <mergeCell ref="M50:CY50"/>
    <mergeCell ref="N20:CY20"/>
    <mergeCell ref="CZ28:CZ30"/>
    <mergeCell ref="CZ34:CZ36"/>
    <mergeCell ref="CZ37:CZ39"/>
    <mergeCell ref="CZ40:CZ42"/>
    <mergeCell ref="CZ43:CZ45"/>
    <mergeCell ref="I21:CZ21"/>
    <mergeCell ref="CZ232:CZ234"/>
    <mergeCell ref="CZ22:CZ24"/>
    <mergeCell ref="CZ25:CZ27"/>
    <mergeCell ref="M24:AP24"/>
    <mergeCell ref="AQ24:BT24"/>
    <mergeCell ref="BU24:CY24"/>
    <mergeCell ref="CS235:CY235"/>
    <mergeCell ref="M237:AP237"/>
    <mergeCell ref="AQ237:BT237"/>
    <mergeCell ref="BC61:BI61"/>
    <mergeCell ref="BJ61:BP61"/>
    <mergeCell ref="BQ61:BW61"/>
    <mergeCell ref="BX61:CD61"/>
    <mergeCell ref="CE61:CK61"/>
    <mergeCell ref="CL61:CR61"/>
    <mergeCell ref="CS61:CY61"/>
    <mergeCell ref="M58:AP58"/>
    <mergeCell ref="AQ58:BT58"/>
    <mergeCell ref="BU58:CY58"/>
    <mergeCell ref="CE52:CK52"/>
    <mergeCell ref="CL52:CR52"/>
    <mergeCell ref="CS52:CY52"/>
    <mergeCell ref="BJ55:BP55"/>
    <mergeCell ref="BQ55:BW55"/>
    <mergeCell ref="BX55:CD55"/>
    <mergeCell ref="CE55:CK55"/>
    <mergeCell ref="CL55:CR55"/>
    <mergeCell ref="CS55:CY55"/>
    <mergeCell ref="BQ52:BW52"/>
    <mergeCell ref="BX52:CD52"/>
    <mergeCell ref="M52:S52"/>
    <mergeCell ref="T52:Z52"/>
    <mergeCell ref="AA52:AG52"/>
    <mergeCell ref="AH52:AN52"/>
    <mergeCell ref="AO52:AU52"/>
    <mergeCell ref="E67:E69"/>
    <mergeCell ref="F67:F69"/>
    <mergeCell ref="G67:G69"/>
    <mergeCell ref="A61:A63"/>
    <mergeCell ref="B61:B63"/>
    <mergeCell ref="C61:C63"/>
    <mergeCell ref="D61:D63"/>
    <mergeCell ref="E61:E63"/>
    <mergeCell ref="M67:S67"/>
    <mergeCell ref="T67:Z67"/>
    <mergeCell ref="AA67:AG67"/>
    <mergeCell ref="AH67:AN67"/>
    <mergeCell ref="AO67:AU67"/>
    <mergeCell ref="M61:S61"/>
    <mergeCell ref="AH61:AN61"/>
    <mergeCell ref="AO61:AU61"/>
    <mergeCell ref="AV61:BB61"/>
    <mergeCell ref="A64:A66"/>
    <mergeCell ref="B64:B66"/>
    <mergeCell ref="C64:C66"/>
    <mergeCell ref="D64:D66"/>
    <mergeCell ref="E64:E66"/>
    <mergeCell ref="F64:F66"/>
    <mergeCell ref="G64:G66"/>
    <mergeCell ref="E52:E54"/>
    <mergeCell ref="D52:D54"/>
    <mergeCell ref="C52:C54"/>
    <mergeCell ref="I59:L59"/>
    <mergeCell ref="M59:CY59"/>
    <mergeCell ref="I60:CZ60"/>
    <mergeCell ref="A73:A75"/>
    <mergeCell ref="B73:B75"/>
    <mergeCell ref="C73:C75"/>
    <mergeCell ref="D73:D75"/>
    <mergeCell ref="E73:E75"/>
    <mergeCell ref="F73:F75"/>
    <mergeCell ref="G73:G75"/>
    <mergeCell ref="A70:A72"/>
    <mergeCell ref="B70:B72"/>
    <mergeCell ref="C70:C72"/>
    <mergeCell ref="D70:D72"/>
    <mergeCell ref="E70:E72"/>
    <mergeCell ref="K67:K69"/>
    <mergeCell ref="I70:I72"/>
    <mergeCell ref="J70:J72"/>
    <mergeCell ref="K70:K72"/>
    <mergeCell ref="CS67:CY67"/>
    <mergeCell ref="CZ67:CZ69"/>
    <mergeCell ref="CZ61:CZ63"/>
    <mergeCell ref="M63:AP63"/>
    <mergeCell ref="AQ63:BT63"/>
    <mergeCell ref="BU63:CY63"/>
    <mergeCell ref="BC67:BI67"/>
    <mergeCell ref="BJ67:BP67"/>
    <mergeCell ref="A67:A69"/>
    <mergeCell ref="B67:B69"/>
    <mergeCell ref="A79:A81"/>
    <mergeCell ref="B79:B81"/>
    <mergeCell ref="C79:C81"/>
    <mergeCell ref="D79:D81"/>
    <mergeCell ref="E79:E81"/>
    <mergeCell ref="F79:F81"/>
    <mergeCell ref="G79:G81"/>
    <mergeCell ref="A76:A78"/>
    <mergeCell ref="B76:B78"/>
    <mergeCell ref="C76:C78"/>
    <mergeCell ref="D76:D78"/>
    <mergeCell ref="E76:E78"/>
    <mergeCell ref="I61:I63"/>
    <mergeCell ref="J61:J63"/>
    <mergeCell ref="K61:K63"/>
    <mergeCell ref="I73:I75"/>
    <mergeCell ref="J73:J75"/>
    <mergeCell ref="K73:K75"/>
    <mergeCell ref="I76:I78"/>
    <mergeCell ref="J76:J78"/>
    <mergeCell ref="K76:K78"/>
    <mergeCell ref="I79:I81"/>
    <mergeCell ref="J79:J81"/>
    <mergeCell ref="K79:K81"/>
    <mergeCell ref="F70:F72"/>
    <mergeCell ref="G70:G72"/>
    <mergeCell ref="F61:F63"/>
    <mergeCell ref="G61:G63"/>
    <mergeCell ref="I67:I69"/>
    <mergeCell ref="J67:J69"/>
    <mergeCell ref="C67:C69"/>
    <mergeCell ref="D67:D69"/>
    <mergeCell ref="BQ67:BW67"/>
    <mergeCell ref="M70:S70"/>
    <mergeCell ref="T70:Z70"/>
    <mergeCell ref="AA70:AG70"/>
    <mergeCell ref="AH70:AN70"/>
    <mergeCell ref="AO70:AU70"/>
    <mergeCell ref="AV70:BB70"/>
    <mergeCell ref="CE70:CK70"/>
    <mergeCell ref="CL70:CR70"/>
    <mergeCell ref="CS70:CY70"/>
    <mergeCell ref="CZ70:CZ72"/>
    <mergeCell ref="M72:AP72"/>
    <mergeCell ref="AQ72:BT72"/>
    <mergeCell ref="BU72:CY72"/>
    <mergeCell ref="M69:AP69"/>
    <mergeCell ref="AQ69:BT69"/>
    <mergeCell ref="BU69:CY69"/>
    <mergeCell ref="BC70:BI70"/>
    <mergeCell ref="BJ70:BP70"/>
    <mergeCell ref="BQ70:BW70"/>
    <mergeCell ref="BX70:CD70"/>
    <mergeCell ref="CE67:CK67"/>
    <mergeCell ref="CL67:CR67"/>
    <mergeCell ref="AV67:BB67"/>
    <mergeCell ref="BX67:CD67"/>
    <mergeCell ref="CE73:CK73"/>
    <mergeCell ref="CL73:CR73"/>
    <mergeCell ref="CS73:CY73"/>
    <mergeCell ref="CZ73:CZ75"/>
    <mergeCell ref="M75:AP75"/>
    <mergeCell ref="AQ75:BT75"/>
    <mergeCell ref="BU75:CY75"/>
    <mergeCell ref="AV73:BB73"/>
    <mergeCell ref="BC73:BI73"/>
    <mergeCell ref="BJ73:BP73"/>
    <mergeCell ref="BQ73:BW73"/>
    <mergeCell ref="BX73:CD73"/>
    <mergeCell ref="M73:S73"/>
    <mergeCell ref="T73:Z73"/>
    <mergeCell ref="AA73:AG73"/>
    <mergeCell ref="AH73:AN73"/>
    <mergeCell ref="AO73:AU73"/>
    <mergeCell ref="D226:D228"/>
    <mergeCell ref="E226:E228"/>
    <mergeCell ref="F226:F228"/>
    <mergeCell ref="G226:G228"/>
    <mergeCell ref="F235:F237"/>
    <mergeCell ref="BU216:CY216"/>
    <mergeCell ref="BC79:BI79"/>
    <mergeCell ref="BJ79:BP79"/>
    <mergeCell ref="BQ79:BW79"/>
    <mergeCell ref="BX79:CD79"/>
    <mergeCell ref="M79:S79"/>
    <mergeCell ref="T79:Z79"/>
    <mergeCell ref="AA79:AG79"/>
    <mergeCell ref="AH79:AN79"/>
    <mergeCell ref="AO79:AU79"/>
    <mergeCell ref="CZ76:CZ78"/>
    <mergeCell ref="M78:AP78"/>
    <mergeCell ref="AQ78:BT78"/>
    <mergeCell ref="BU78:CY78"/>
    <mergeCell ref="AV76:BB76"/>
    <mergeCell ref="BC76:BI76"/>
    <mergeCell ref="BJ76:BP76"/>
    <mergeCell ref="BQ76:BW76"/>
    <mergeCell ref="BX76:CD76"/>
    <mergeCell ref="M76:S76"/>
    <mergeCell ref="T76:Z76"/>
    <mergeCell ref="AA76:AG76"/>
    <mergeCell ref="AH76:AN76"/>
    <mergeCell ref="AO76:AU76"/>
    <mergeCell ref="F76:F78"/>
    <mergeCell ref="G76:G78"/>
    <mergeCell ref="BX94:CD94"/>
    <mergeCell ref="CE76:CK76"/>
    <mergeCell ref="CL76:CR76"/>
    <mergeCell ref="CS76:CY76"/>
    <mergeCell ref="A214:A216"/>
    <mergeCell ref="B214:B216"/>
    <mergeCell ref="C214:C216"/>
    <mergeCell ref="D214:D216"/>
    <mergeCell ref="E214:E216"/>
    <mergeCell ref="I86:L86"/>
    <mergeCell ref="M86:CY86"/>
    <mergeCell ref="I87:CZ87"/>
    <mergeCell ref="I85:L85"/>
    <mergeCell ref="M85:AP85"/>
    <mergeCell ref="AQ85:BT85"/>
    <mergeCell ref="BU85:CY85"/>
    <mergeCell ref="CZ91:CZ93"/>
    <mergeCell ref="CE79:CK79"/>
    <mergeCell ref="CL79:CR79"/>
    <mergeCell ref="CS79:CY79"/>
    <mergeCell ref="CZ79:CZ81"/>
    <mergeCell ref="M81:AP81"/>
    <mergeCell ref="AQ81:BT81"/>
    <mergeCell ref="BU81:CY81"/>
    <mergeCell ref="AV79:BB79"/>
    <mergeCell ref="BQ214:BW214"/>
    <mergeCell ref="BX214:CD214"/>
    <mergeCell ref="CE214:CK214"/>
    <mergeCell ref="CL214:CR214"/>
    <mergeCell ref="CS214:CY214"/>
    <mergeCell ref="M216:AP216"/>
    <mergeCell ref="AQ216:BT216"/>
    <mergeCell ref="AA112:AG112"/>
    <mergeCell ref="A267:B267"/>
    <mergeCell ref="A268:B268"/>
    <mergeCell ref="A273:B273"/>
    <mergeCell ref="G5:G8"/>
    <mergeCell ref="F5:F8"/>
    <mergeCell ref="E5:E8"/>
    <mergeCell ref="D5:D8"/>
    <mergeCell ref="C5:C8"/>
    <mergeCell ref="B5:B8"/>
    <mergeCell ref="A5:A8"/>
    <mergeCell ref="E267:G267"/>
    <mergeCell ref="E268:G268"/>
    <mergeCell ref="M263:S263"/>
    <mergeCell ref="BQ91:BW91"/>
    <mergeCell ref="BX91:CD91"/>
    <mergeCell ref="CE91:CK91"/>
    <mergeCell ref="CL91:CR91"/>
    <mergeCell ref="A112:A114"/>
    <mergeCell ref="B112:B114"/>
    <mergeCell ref="C112:C114"/>
    <mergeCell ref="D112:D114"/>
    <mergeCell ref="E112:E114"/>
    <mergeCell ref="F112:F114"/>
    <mergeCell ref="G112:G114"/>
    <mergeCell ref="I112:I114"/>
    <mergeCell ref="J112:J114"/>
    <mergeCell ref="K112:K114"/>
    <mergeCell ref="M112:S112"/>
    <mergeCell ref="T112:Z112"/>
    <mergeCell ref="F214:F216"/>
    <mergeCell ref="G214:G216"/>
    <mergeCell ref="I214:I216"/>
    <mergeCell ref="AH112:AN112"/>
    <mergeCell ref="AO112:AU112"/>
    <mergeCell ref="AV112:BB112"/>
    <mergeCell ref="BC112:BI112"/>
    <mergeCell ref="BJ112:BP112"/>
    <mergeCell ref="BQ112:BW112"/>
    <mergeCell ref="BX112:CD112"/>
    <mergeCell ref="CE112:CK112"/>
    <mergeCell ref="CL112:CR112"/>
    <mergeCell ref="CS112:CY112"/>
    <mergeCell ref="CZ112:CZ114"/>
    <mergeCell ref="M114:AP114"/>
    <mergeCell ref="AQ114:BT114"/>
    <mergeCell ref="BU114:CY114"/>
    <mergeCell ref="CZ214:CZ216"/>
    <mergeCell ref="I239:L239"/>
    <mergeCell ref="M239:CY239"/>
    <mergeCell ref="J214:J216"/>
    <mergeCell ref="K214:K216"/>
    <mergeCell ref="M214:S214"/>
    <mergeCell ref="T214:Z214"/>
    <mergeCell ref="AA214:AG214"/>
    <mergeCell ref="AH214:AN214"/>
    <mergeCell ref="AO214:AU214"/>
    <mergeCell ref="AV214:BB214"/>
    <mergeCell ref="BC214:BI214"/>
    <mergeCell ref="BJ214:BP214"/>
    <mergeCell ref="BU237:CY237"/>
    <mergeCell ref="BC118:BI118"/>
    <mergeCell ref="BJ118:BP118"/>
    <mergeCell ref="BQ118:BW118"/>
    <mergeCell ref="BX118:CD118"/>
    <mergeCell ref="A82:A84"/>
    <mergeCell ref="B82:B84"/>
    <mergeCell ref="C82:C84"/>
    <mergeCell ref="D82:D84"/>
    <mergeCell ref="E82:E84"/>
    <mergeCell ref="F82:F84"/>
    <mergeCell ref="G82:G84"/>
    <mergeCell ref="A121:A123"/>
    <mergeCell ref="B121:B123"/>
    <mergeCell ref="C121:C123"/>
    <mergeCell ref="D121:D123"/>
    <mergeCell ref="E121:E123"/>
    <mergeCell ref="F121:F123"/>
    <mergeCell ref="G121:G123"/>
    <mergeCell ref="A124:A126"/>
    <mergeCell ref="B124:B126"/>
    <mergeCell ref="C124:C126"/>
    <mergeCell ref="D124:D126"/>
    <mergeCell ref="E124:E126"/>
    <mergeCell ref="F124:F126"/>
    <mergeCell ref="G124:G126"/>
    <mergeCell ref="A109:A111"/>
    <mergeCell ref="B109:B111"/>
    <mergeCell ref="C109:C111"/>
    <mergeCell ref="D109:D111"/>
    <mergeCell ref="E109:E111"/>
    <mergeCell ref="F109:F111"/>
    <mergeCell ref="G109:G111"/>
    <mergeCell ref="E103:E105"/>
    <mergeCell ref="F103:F105"/>
    <mergeCell ref="G103:G105"/>
  </mergeCells>
  <phoneticPr fontId="4" type="noConversion"/>
  <printOptions horizontalCentered="1"/>
  <pageMargins left="0.39370078740157483" right="0.39370078740157483" top="0.78740157480314965" bottom="0.78740157480314965" header="0" footer="0.39370078740157483"/>
  <pageSetup scale="85" orientation="portrait" errors="NA" r:id="rId1"/>
  <headerFooter alignWithMargins="0">
    <oddFooter>&amp;R&amp;P/&amp;N</oddFooter>
  </headerFooter>
  <rowBreaks count="3" manualBreakCount="3">
    <brk id="85" max="6" man="1"/>
    <brk id="162" max="6" man="1"/>
    <brk id="249" max="6"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tabColor rgb="FFFF0000"/>
  </sheetPr>
  <dimension ref="A1:AK645"/>
  <sheetViews>
    <sheetView view="pageBreakPreview" zoomScale="85" zoomScaleNormal="90" zoomScaleSheetLayoutView="85" workbookViewId="0">
      <selection activeCell="X4" sqref="X4"/>
    </sheetView>
  </sheetViews>
  <sheetFormatPr baseColWidth="10" defaultColWidth="11.42578125" defaultRowHeight="12.75"/>
  <cols>
    <col min="1" max="1" width="8.7109375" style="750" customWidth="1"/>
    <col min="2" max="2" width="70.7109375" style="385" customWidth="1"/>
    <col min="3" max="3" width="9" style="18" customWidth="1"/>
    <col min="4" max="4" width="11.42578125" style="3" bestFit="1" customWidth="1"/>
    <col min="5" max="5" width="15" style="259" bestFit="1" customWidth="1"/>
    <col min="6" max="6" width="17.7109375" style="259" bestFit="1" customWidth="1"/>
    <col min="7" max="7" width="14.7109375" style="2" hidden="1" customWidth="1"/>
    <col min="8" max="8" width="11" style="2" hidden="1" customWidth="1"/>
    <col min="9" max="9" width="12.28515625" style="2" hidden="1" customWidth="1"/>
    <col min="10" max="10" width="13.5703125" style="244" hidden="1" customWidth="1"/>
    <col min="11" max="11" width="17.42578125" style="244" hidden="1" customWidth="1"/>
    <col min="12" max="12" width="14.5703125" style="244" hidden="1" customWidth="1"/>
    <col min="13" max="13" width="13.28515625" style="3" hidden="1" customWidth="1"/>
    <col min="14" max="14" width="15.7109375" style="3" hidden="1" customWidth="1"/>
    <col min="15" max="15" width="66.42578125" style="64" hidden="1" customWidth="1"/>
    <col min="16" max="16" width="17.28515625" style="64" hidden="1" customWidth="1"/>
    <col min="17" max="17" width="19.42578125" style="64" hidden="1" customWidth="1"/>
    <col min="18" max="18" width="15.28515625" style="64" hidden="1" customWidth="1"/>
    <col min="19" max="19" width="16.7109375" style="3" hidden="1" customWidth="1"/>
    <col min="20" max="20" width="16.28515625" style="3" hidden="1" customWidth="1"/>
    <col min="21" max="22" width="0" style="3" hidden="1" customWidth="1"/>
    <col min="23" max="23" width="15.5703125" style="3" bestFit="1" customWidth="1"/>
    <col min="24" max="27" width="11.42578125" style="3"/>
    <col min="28" max="28" width="11.42578125" style="3" customWidth="1"/>
    <col min="29" max="30" width="11.42578125" style="3" hidden="1" customWidth="1"/>
    <col min="31" max="31" width="28.7109375" style="3" hidden="1" customWidth="1"/>
    <col min="32" max="37" width="11.42578125" style="3" hidden="1" customWidth="1"/>
    <col min="38" max="39" width="0" style="3" hidden="1" customWidth="1"/>
    <col min="40" max="16384" width="11.42578125" style="3"/>
  </cols>
  <sheetData>
    <row r="1" spans="1:36" s="242" customFormat="1" ht="42" customHeight="1">
      <c r="A1" s="799"/>
      <c r="B1" s="1075" t="s">
        <v>3243</v>
      </c>
      <c r="C1" s="1075"/>
      <c r="D1" s="1075"/>
      <c r="E1" s="1075"/>
      <c r="F1" s="1075"/>
      <c r="G1" s="801"/>
      <c r="O1" s="243"/>
      <c r="P1" s="243"/>
      <c r="Q1" s="243"/>
      <c r="R1" s="243"/>
      <c r="W1"/>
    </row>
    <row r="2" spans="1:36" s="242" customFormat="1" ht="21.6" customHeight="1">
      <c r="A2" s="800"/>
      <c r="B2" s="1076" t="s">
        <v>3244</v>
      </c>
      <c r="C2" s="1076"/>
      <c r="D2" s="1076"/>
      <c r="E2" s="1076"/>
      <c r="F2" s="1076"/>
      <c r="G2" s="774"/>
      <c r="O2" s="243"/>
      <c r="P2" s="243"/>
      <c r="Q2" s="243"/>
      <c r="R2" s="243"/>
    </row>
    <row r="3" spans="1:36" s="242" customFormat="1" ht="72" customHeight="1">
      <c r="A3" s="1097" t="s">
        <v>3547</v>
      </c>
      <c r="B3" s="1098"/>
      <c r="C3" s="1098"/>
      <c r="D3" s="1098"/>
      <c r="E3" s="1098"/>
      <c r="F3" s="1098"/>
      <c r="G3" s="1098"/>
      <c r="O3" s="243"/>
      <c r="P3" s="243"/>
      <c r="Q3" s="243"/>
      <c r="R3" s="243"/>
      <c r="W3"/>
    </row>
    <row r="4" spans="1:36" ht="24" customHeight="1">
      <c r="A4" s="1153" t="s">
        <v>3546</v>
      </c>
      <c r="B4" s="1154"/>
      <c r="C4" s="1154"/>
      <c r="D4" s="1154"/>
      <c r="E4" s="1154"/>
      <c r="F4" s="1155"/>
      <c r="G4" s="3"/>
      <c r="H4" s="3"/>
      <c r="I4" s="3"/>
      <c r="J4" s="3"/>
      <c r="K4" s="3"/>
      <c r="L4" s="3"/>
    </row>
    <row r="5" spans="1:36" ht="19.899999999999999" customHeight="1">
      <c r="A5" s="717" t="s">
        <v>201</v>
      </c>
      <c r="B5" s="87" t="s">
        <v>205</v>
      </c>
      <c r="C5" s="85" t="s">
        <v>3083</v>
      </c>
      <c r="D5" s="88" t="s">
        <v>2965</v>
      </c>
      <c r="E5" s="89" t="s">
        <v>532</v>
      </c>
      <c r="F5" s="86" t="s">
        <v>291</v>
      </c>
    </row>
    <row r="6" spans="1:36" ht="19.899999999999999" customHeight="1" thickBot="1">
      <c r="A6" s="718" t="s">
        <v>395</v>
      </c>
      <c r="B6" s="454" t="s">
        <v>2710</v>
      </c>
      <c r="C6" s="455"/>
      <c r="D6" s="456"/>
      <c r="E6" s="457"/>
      <c r="F6" s="457"/>
      <c r="G6" s="245"/>
    </row>
    <row r="7" spans="1:36" ht="20.100000000000001" customHeight="1" thickBot="1">
      <c r="A7" s="719">
        <v>1.1000000000000001</v>
      </c>
      <c r="B7" s="83" t="s">
        <v>3115</v>
      </c>
      <c r="C7" s="76" t="s">
        <v>21</v>
      </c>
      <c r="D7" s="73"/>
      <c r="E7" s="74"/>
      <c r="F7" s="75">
        <f>ROUND(SUM(F8:F16),0)</f>
        <v>28915</v>
      </c>
      <c r="M7" s="369">
        <f>SUM(F8:F16)</f>
        <v>28915.09430126605</v>
      </c>
      <c r="W7" s="3">
        <v>26999</v>
      </c>
      <c r="AD7" s="604" t="s">
        <v>3131</v>
      </c>
      <c r="AE7" s="1160" t="s">
        <v>3144</v>
      </c>
      <c r="AF7" s="1161"/>
      <c r="AG7" s="605" t="s">
        <v>3132</v>
      </c>
      <c r="AH7" s="606"/>
      <c r="AI7" s="604" t="s">
        <v>3133</v>
      </c>
      <c r="AJ7" s="606" t="s">
        <v>21</v>
      </c>
    </row>
    <row r="8" spans="1:36">
      <c r="A8" s="749"/>
      <c r="B8" s="165" t="str">
        <f>INSUMOS!B27</f>
        <v>TELA VERDE ESTABILIZADA 2.1</v>
      </c>
      <c r="C8" s="77" t="s">
        <v>21</v>
      </c>
      <c r="D8" s="78">
        <v>1</v>
      </c>
      <c r="E8" s="79">
        <f>+INSUMOS!D27</f>
        <v>1666</v>
      </c>
      <c r="F8" s="79">
        <f t="shared" ref="F8:F16" si="0">+D8*E8</f>
        <v>1666</v>
      </c>
      <c r="AD8" s="607" t="s">
        <v>3134</v>
      </c>
      <c r="AE8" s="607"/>
      <c r="AF8" s="608"/>
      <c r="AG8" s="609"/>
      <c r="AH8" s="607"/>
      <c r="AI8" s="607"/>
      <c r="AJ8" s="610"/>
    </row>
    <row r="9" spans="1:36">
      <c r="A9" s="749"/>
      <c r="B9" s="165" t="str">
        <f>INSUMOS!B42</f>
        <v>PUNTILLA CON CABEZA 3/4 a 1"</v>
      </c>
      <c r="C9" s="77" t="s">
        <v>17</v>
      </c>
      <c r="D9" s="78">
        <v>2.7E-2</v>
      </c>
      <c r="E9" s="79">
        <f>INSUMOS!D42</f>
        <v>5261.1799999999994</v>
      </c>
      <c r="F9" s="79">
        <f t="shared" si="0"/>
        <v>142.05185999999998</v>
      </c>
      <c r="AD9" s="611" t="s">
        <v>3135</v>
      </c>
      <c r="AE9" s="611"/>
      <c r="AF9" s="608"/>
      <c r="AG9" s="609"/>
      <c r="AH9" s="607"/>
      <c r="AI9" s="607"/>
      <c r="AJ9" s="610"/>
    </row>
    <row r="10" spans="1:36" ht="13.5" thickBot="1">
      <c r="A10" s="749"/>
      <c r="B10" s="165" t="str">
        <f>INSUMOS!B6</f>
        <v>ALGARROBILLO 4"X2"X3.00MT</v>
      </c>
      <c r="C10" s="77" t="s">
        <v>26</v>
      </c>
      <c r="D10" s="78">
        <v>0.8</v>
      </c>
      <c r="E10" s="79">
        <f>+INSUMOS!D6</f>
        <v>15470</v>
      </c>
      <c r="F10" s="79">
        <f t="shared" si="0"/>
        <v>12376</v>
      </c>
      <c r="AD10" s="607"/>
      <c r="AE10" s="607"/>
      <c r="AF10" s="608"/>
      <c r="AG10" s="609"/>
      <c r="AH10" s="607"/>
      <c r="AI10" s="607"/>
      <c r="AJ10" s="610"/>
    </row>
    <row r="11" spans="1:36" ht="13.5" thickBot="1">
      <c r="A11" s="749"/>
      <c r="B11" s="165" t="s">
        <v>769</v>
      </c>
      <c r="C11" s="77" t="s">
        <v>26</v>
      </c>
      <c r="D11" s="78">
        <v>0.8</v>
      </c>
      <c r="E11" s="79">
        <f>INSUMOS!D7</f>
        <v>8050.35</v>
      </c>
      <c r="F11" s="79">
        <f t="shared" si="0"/>
        <v>6440.2800000000007</v>
      </c>
      <c r="AD11" s="1162" t="s">
        <v>3136</v>
      </c>
      <c r="AE11" s="1163"/>
      <c r="AF11" s="612" t="s">
        <v>3137</v>
      </c>
      <c r="AG11" s="613" t="s">
        <v>2965</v>
      </c>
      <c r="AH11" s="614" t="s">
        <v>3138</v>
      </c>
      <c r="AI11" s="614" t="s">
        <v>291</v>
      </c>
      <c r="AJ11" s="615"/>
    </row>
    <row r="12" spans="1:36">
      <c r="A12" s="749"/>
      <c r="B12" s="165" t="s">
        <v>2637</v>
      </c>
      <c r="C12" s="77" t="s">
        <v>75</v>
      </c>
      <c r="D12" s="78">
        <v>8.0000000000000002E-3</v>
      </c>
      <c r="E12" s="79">
        <f>BASICOS!E144</f>
        <v>39201.446992068493</v>
      </c>
      <c r="F12" s="79">
        <f t="shared" ref="F12" si="1">D12*E12</f>
        <v>313.61157593654798</v>
      </c>
      <c r="AD12" s="1164" t="s">
        <v>3139</v>
      </c>
      <c r="AE12" s="1165"/>
      <c r="AF12" s="616" t="str">
        <f>IFERROR(INDEX([2]ListaInsumos!$B$11:$D$195,MATCH(AD12,[2]ListaInsumos!$B$11:$B$195,0),2),"")</f>
        <v>un</v>
      </c>
      <c r="AG12" s="617">
        <v>1.35</v>
      </c>
      <c r="AH12" s="618">
        <f>IFERROR(INDEX([2]ListaInsumos!$B$11:$D$195,MATCH(AD12,[2]ListaInsumos!$B$11:$B$195,0),3),0)</f>
        <v>16100</v>
      </c>
      <c r="AI12" s="619">
        <f t="shared" ref="AI12:AI17" si="2">+ROUNDUP(AH12*AG12,0)</f>
        <v>21735</v>
      </c>
      <c r="AJ12" s="610"/>
    </row>
    <row r="13" spans="1:36">
      <c r="A13" s="749"/>
      <c r="B13" s="165" t="s">
        <v>229</v>
      </c>
      <c r="C13" s="77" t="s">
        <v>68</v>
      </c>
      <c r="D13" s="78">
        <v>0.05</v>
      </c>
      <c r="E13" s="79">
        <f>SUM(F8:F10)</f>
        <v>14184.05186</v>
      </c>
      <c r="F13" s="79">
        <f t="shared" si="0"/>
        <v>709.20259299999998</v>
      </c>
      <c r="AD13" s="1156" t="s">
        <v>3140</v>
      </c>
      <c r="AE13" s="1157"/>
      <c r="AF13" s="620" t="str">
        <f>IFERROR(INDEX([2]ListaInsumos!$B$11:$D$195,MATCH(AD13,[2]ListaInsumos!$B$11:$B$195,0),2),"")</f>
        <v>un</v>
      </c>
      <c r="AG13" s="621">
        <v>0.5</v>
      </c>
      <c r="AH13" s="622">
        <f>IFERROR(INDEX([2]ListaInsumos!$B$11:$D$195,MATCH(AD13,[2]ListaInsumos!$B$11:$B$195,0),3),0)</f>
        <v>29900</v>
      </c>
      <c r="AI13" s="623">
        <f t="shared" si="2"/>
        <v>14950</v>
      </c>
      <c r="AJ13" s="610"/>
    </row>
    <row r="14" spans="1:36">
      <c r="A14" s="749"/>
      <c r="B14" s="165" t="s">
        <v>136</v>
      </c>
      <c r="C14" s="77" t="s">
        <v>68</v>
      </c>
      <c r="D14" s="78"/>
      <c r="E14" s="79">
        <f>SUM(F8:F13)</f>
        <v>21647.14602893655</v>
      </c>
      <c r="F14" s="79">
        <f t="shared" si="0"/>
        <v>0</v>
      </c>
      <c r="AD14" s="1156" t="s">
        <v>3141</v>
      </c>
      <c r="AE14" s="1157"/>
      <c r="AF14" s="620" t="str">
        <f>IFERROR(INDEX([2]ListaInsumos!$B$11:$D$195,MATCH(AD14,[2]ListaInsumos!$B$11:$B$195,0),2),"")</f>
        <v>un</v>
      </c>
      <c r="AG14" s="621">
        <v>0.5</v>
      </c>
      <c r="AH14" s="622">
        <f>IFERROR(INDEX([2]ListaInsumos!$B$11:$D$195,MATCH(AD14,[2]ListaInsumos!$B$11:$B$195,0),3),0)</f>
        <v>18000</v>
      </c>
      <c r="AI14" s="623">
        <f t="shared" si="2"/>
        <v>9000</v>
      </c>
      <c r="AJ14" s="610"/>
    </row>
    <row r="15" spans="1:36">
      <c r="A15" s="749"/>
      <c r="B15" s="165" t="s">
        <v>11</v>
      </c>
      <c r="C15" s="77" t="s">
        <v>284</v>
      </c>
      <c r="D15" s="78">
        <v>0.03</v>
      </c>
      <c r="E15" s="79">
        <f>+F16</f>
        <v>7056.2604585723302</v>
      </c>
      <c r="F15" s="79">
        <f t="shared" si="0"/>
        <v>211.68781375716989</v>
      </c>
      <c r="AD15" s="1156" t="s">
        <v>3114</v>
      </c>
      <c r="AE15" s="1157"/>
      <c r="AF15" s="620" t="str">
        <f>IFERROR(INDEX([2]ListaInsumos!$B$11:$D$195,MATCH(AD15,[2]ListaInsumos!$B$11:$B$195,0),2),"")</f>
        <v>kg</v>
      </c>
      <c r="AG15" s="621">
        <v>0.1</v>
      </c>
      <c r="AH15" s="622">
        <f>IFERROR(INDEX([2]ListaInsumos!$B$11:$D$195,MATCH(AD15,[2]ListaInsumos!$B$11:$B$195,0),3),0)</f>
        <v>3616</v>
      </c>
      <c r="AI15" s="623">
        <f t="shared" si="2"/>
        <v>362</v>
      </c>
      <c r="AJ15" s="610"/>
    </row>
    <row r="16" spans="1:36">
      <c r="A16" s="749"/>
      <c r="B16" s="165" t="s">
        <v>9</v>
      </c>
      <c r="C16" s="77" t="s">
        <v>10</v>
      </c>
      <c r="D16" s="78">
        <v>0.27</v>
      </c>
      <c r="E16" s="79">
        <f>+'VALOR CUADRILLAS MO'!D75</f>
        <v>26134.297994712331</v>
      </c>
      <c r="F16" s="79">
        <f t="shared" si="0"/>
        <v>7056.2604585723302</v>
      </c>
      <c r="AD16" s="1156" t="s">
        <v>3142</v>
      </c>
      <c r="AE16" s="1157"/>
      <c r="AF16" s="620" t="str">
        <f>IFERROR(INDEX([2]ListaInsumos!$B$11:$D$195,MATCH(AD16,[2]ListaInsumos!$B$11:$B$195,0),2),"")</f>
        <v>kg</v>
      </c>
      <c r="AG16" s="621">
        <v>0.05</v>
      </c>
      <c r="AH16" s="622">
        <f>IFERROR(INDEX([2]ListaInsumos!$B$11:$D$195,MATCH(AD16,[2]ListaInsumos!$B$11:$B$195,0),3),0)</f>
        <v>4700</v>
      </c>
      <c r="AI16" s="623">
        <f t="shared" si="2"/>
        <v>235</v>
      </c>
      <c r="AJ16" s="610"/>
    </row>
    <row r="17" spans="1:36" ht="13.5" thickBot="1">
      <c r="A17" s="749"/>
      <c r="B17" s="165"/>
      <c r="C17" s="77"/>
      <c r="D17" s="78"/>
      <c r="E17" s="79"/>
      <c r="F17" s="79"/>
      <c r="AD17" s="1158" t="s">
        <v>3143</v>
      </c>
      <c r="AE17" s="1159"/>
      <c r="AF17" s="624" t="str">
        <f>IFERROR(INDEX([2]ListaInsumos!$B$11:$D$195,MATCH(AD17,[2]ListaInsumos!$B$11:$B$195,0),2),"")</f>
        <v>m3</v>
      </c>
      <c r="AG17" s="625">
        <v>8.0000000000000002E-3</v>
      </c>
      <c r="AH17" s="626">
        <f>IFERROR(INDEX([2]ListaInsumos!$B$11:$D$195,MATCH(AD17,[2]ListaInsumos!$B$11:$B$195,0),3),0)</f>
        <v>251712</v>
      </c>
      <c r="AI17" s="627">
        <f t="shared" si="2"/>
        <v>2014</v>
      </c>
      <c r="AJ17" s="610"/>
    </row>
    <row r="18" spans="1:36" ht="30" customHeight="1">
      <c r="A18" s="719">
        <v>1.2</v>
      </c>
      <c r="B18" s="83" t="s">
        <v>3322</v>
      </c>
      <c r="C18" s="76" t="s">
        <v>121</v>
      </c>
      <c r="D18" s="73"/>
      <c r="E18" s="74"/>
      <c r="F18" s="75">
        <f>ROUND(SUM(F19:F20),0)</f>
        <v>34994</v>
      </c>
    </row>
    <row r="19" spans="1:36">
      <c r="A19" s="749"/>
      <c r="B19" s="165" t="s">
        <v>11</v>
      </c>
      <c r="C19" s="77" t="s">
        <v>284</v>
      </c>
      <c r="D19" s="78">
        <v>0.03</v>
      </c>
      <c r="E19" s="79">
        <f>+F20</f>
        <v>33974.587393126028</v>
      </c>
      <c r="F19" s="79">
        <f>(D19*E19)</f>
        <v>1019.2376217937808</v>
      </c>
    </row>
    <row r="20" spans="1:36">
      <c r="A20" s="749"/>
      <c r="B20" s="165" t="s">
        <v>9</v>
      </c>
      <c r="C20" s="77" t="s">
        <v>10</v>
      </c>
      <c r="D20" s="78">
        <v>1.3</v>
      </c>
      <c r="E20" s="79">
        <f>+'VALOR CUADRILLAS MO'!D75</f>
        <v>26134.297994712331</v>
      </c>
      <c r="F20" s="79">
        <f>+D20*E20</f>
        <v>33974.587393126028</v>
      </c>
      <c r="G20" s="2" t="s">
        <v>780</v>
      </c>
      <c r="I20" s="2">
        <v>15000</v>
      </c>
      <c r="J20" s="244">
        <f>I20-F19</f>
        <v>13980.762378206218</v>
      </c>
    </row>
    <row r="21" spans="1:36">
      <c r="A21" s="749"/>
      <c r="B21" s="165"/>
      <c r="C21" s="77"/>
      <c r="D21" s="78"/>
      <c r="E21" s="79"/>
      <c r="F21" s="79"/>
    </row>
    <row r="22" spans="1:36" ht="22.9" customHeight="1">
      <c r="A22" s="719">
        <v>1.3</v>
      </c>
      <c r="B22" s="83" t="s">
        <v>139</v>
      </c>
      <c r="C22" s="76" t="s">
        <v>121</v>
      </c>
      <c r="D22" s="73"/>
      <c r="E22" s="74"/>
      <c r="F22" s="75">
        <f>ROUND(SUM(F23:F28),0)</f>
        <v>52398</v>
      </c>
    </row>
    <row r="23" spans="1:36">
      <c r="A23" s="749"/>
      <c r="B23" s="165" t="s">
        <v>161</v>
      </c>
      <c r="C23" s="77" t="s">
        <v>121</v>
      </c>
      <c r="D23" s="78">
        <v>1</v>
      </c>
      <c r="E23" s="542">
        <f>BASICOS!D18</f>
        <v>14280</v>
      </c>
      <c r="F23" s="79">
        <f>+D23*E23</f>
        <v>14280</v>
      </c>
      <c r="H23" s="59"/>
      <c r="I23" s="59"/>
      <c r="J23" s="59"/>
    </row>
    <row r="24" spans="1:36">
      <c r="A24" s="749"/>
      <c r="B24" s="165" t="s">
        <v>228</v>
      </c>
      <c r="C24" s="77" t="s">
        <v>121</v>
      </c>
      <c r="D24" s="78">
        <v>0.3</v>
      </c>
      <c r="E24" s="79">
        <f>E23</f>
        <v>14280</v>
      </c>
      <c r="F24" s="79">
        <f>+D24*E24</f>
        <v>4284</v>
      </c>
      <c r="H24" s="59"/>
      <c r="I24" s="59"/>
      <c r="J24" s="59"/>
    </row>
    <row r="25" spans="1:36">
      <c r="A25" s="749"/>
      <c r="B25" s="165" t="s">
        <v>136</v>
      </c>
      <c r="C25" s="77" t="s">
        <v>2431</v>
      </c>
      <c r="D25" s="78">
        <f>1.3*10</f>
        <v>13</v>
      </c>
      <c r="E25" s="79">
        <f>+INSUMOS!D23</f>
        <v>1094.8912</v>
      </c>
      <c r="F25" s="79">
        <f>+D25*E25</f>
        <v>14233.5856</v>
      </c>
      <c r="H25" s="59"/>
      <c r="I25" s="59"/>
      <c r="J25" s="59"/>
    </row>
    <row r="26" spans="1:36">
      <c r="A26" s="749"/>
      <c r="B26" s="165" t="s">
        <v>18</v>
      </c>
      <c r="C26" s="77" t="s">
        <v>12</v>
      </c>
      <c r="D26" s="80">
        <v>4.4999999999999998E-2</v>
      </c>
      <c r="E26" s="79">
        <f>+BASICOS!D42</f>
        <v>136480.47829830134</v>
      </c>
      <c r="F26" s="79">
        <f>+D26*E26</f>
        <v>6141.6215234235606</v>
      </c>
      <c r="H26" s="59"/>
      <c r="I26" s="59"/>
      <c r="J26" s="59"/>
    </row>
    <row r="27" spans="1:36">
      <c r="A27" s="749"/>
      <c r="B27" s="165" t="s">
        <v>11</v>
      </c>
      <c r="C27" s="77" t="s">
        <v>284</v>
      </c>
      <c r="D27" s="78">
        <v>0.03</v>
      </c>
      <c r="E27" s="79">
        <f>+F28</f>
        <v>13067.148997356166</v>
      </c>
      <c r="F27" s="79">
        <f>(D27*E27)</f>
        <v>392.01446992068497</v>
      </c>
      <c r="H27" s="59"/>
      <c r="I27" s="59"/>
      <c r="J27" s="59"/>
    </row>
    <row r="28" spans="1:36">
      <c r="A28" s="749"/>
      <c r="B28" s="165" t="s">
        <v>9</v>
      </c>
      <c r="C28" s="77" t="s">
        <v>10</v>
      </c>
      <c r="D28" s="78">
        <v>0.5</v>
      </c>
      <c r="E28" s="79">
        <f>+'VALOR CUADRILLAS MO'!D75</f>
        <v>26134.297994712331</v>
      </c>
      <c r="F28" s="79">
        <f>+D28*E28</f>
        <v>13067.148997356166</v>
      </c>
      <c r="G28" s="2">
        <f>F28/0.3</f>
        <v>43557.163324520552</v>
      </c>
      <c r="H28" s="59"/>
      <c r="I28" s="59"/>
      <c r="J28" s="59"/>
      <c r="M28" s="249">
        <f>F28*0.15</f>
        <v>1960.0723496034248</v>
      </c>
    </row>
    <row r="29" spans="1:36">
      <c r="A29" s="749"/>
      <c r="B29" s="165"/>
      <c r="C29" s="77"/>
      <c r="D29" s="78"/>
      <c r="E29" s="79"/>
      <c r="F29" s="79"/>
      <c r="H29" s="59"/>
      <c r="I29" s="59"/>
      <c r="J29" s="59"/>
    </row>
    <row r="30" spans="1:36" ht="19.899999999999999" customHeight="1">
      <c r="A30" s="718" t="s">
        <v>396</v>
      </c>
      <c r="B30" s="454" t="s">
        <v>281</v>
      </c>
      <c r="C30" s="455"/>
      <c r="D30" s="456"/>
      <c r="E30" s="457"/>
      <c r="F30" s="457"/>
      <c r="G30" s="245"/>
    </row>
    <row r="31" spans="1:36">
      <c r="A31" s="719">
        <v>2.1</v>
      </c>
      <c r="B31" s="83" t="s">
        <v>250</v>
      </c>
      <c r="C31" s="76" t="s">
        <v>119</v>
      </c>
      <c r="D31" s="73"/>
      <c r="E31" s="74"/>
      <c r="F31" s="75">
        <f>ROUND(SUM(F32:F33),0)</f>
        <v>14805</v>
      </c>
    </row>
    <row r="32" spans="1:36">
      <c r="A32" s="782"/>
      <c r="B32" s="165" t="s">
        <v>11</v>
      </c>
      <c r="C32" s="77" t="s">
        <v>284</v>
      </c>
      <c r="D32" s="78">
        <v>0.03</v>
      </c>
      <c r="E32" s="79">
        <f>+F33</f>
        <v>14373.863897091784</v>
      </c>
      <c r="F32" s="79">
        <f>(D32*E32)</f>
        <v>431.21591691275347</v>
      </c>
    </row>
    <row r="33" spans="1:8">
      <c r="A33" s="783"/>
      <c r="B33" s="165" t="s">
        <v>9</v>
      </c>
      <c r="C33" s="77" t="s">
        <v>10</v>
      </c>
      <c r="D33" s="78">
        <v>0.55000000000000004</v>
      </c>
      <c r="E33" s="79">
        <f>'VALOR CUADRILLAS MO'!D75</f>
        <v>26134.297994712331</v>
      </c>
      <c r="F33" s="79">
        <f>+D33*E33</f>
        <v>14373.863897091784</v>
      </c>
    </row>
    <row r="34" spans="1:8">
      <c r="B34" s="165"/>
      <c r="C34" s="77"/>
      <c r="D34" s="78"/>
      <c r="E34" s="79"/>
      <c r="F34" s="79"/>
    </row>
    <row r="35" spans="1:8" ht="24.6" customHeight="1">
      <c r="A35" s="719">
        <v>2.2000000000000002</v>
      </c>
      <c r="B35" s="83" t="s">
        <v>212</v>
      </c>
      <c r="C35" s="76" t="s">
        <v>119</v>
      </c>
      <c r="D35" s="73"/>
      <c r="E35" s="74"/>
      <c r="F35" s="75">
        <f>ROUND(SUM(F36:F37),0)</f>
        <v>9421</v>
      </c>
    </row>
    <row r="36" spans="1:8">
      <c r="B36" s="165" t="s">
        <v>11</v>
      </c>
      <c r="C36" s="77" t="s">
        <v>284</v>
      </c>
      <c r="D36" s="78">
        <v>0.03</v>
      </c>
      <c r="E36" s="79">
        <f>+F37</f>
        <v>9147.0042981493152</v>
      </c>
      <c r="F36" s="79">
        <f>(D36*E36)</f>
        <v>274.41012894447942</v>
      </c>
    </row>
    <row r="37" spans="1:8">
      <c r="A37" s="749"/>
      <c r="B37" s="165" t="s">
        <v>9</v>
      </c>
      <c r="C37" s="77" t="s">
        <v>10</v>
      </c>
      <c r="D37" s="78">
        <v>0.35</v>
      </c>
      <c r="E37" s="79">
        <f>+'VALOR CUADRILLAS MO'!D75</f>
        <v>26134.297994712331</v>
      </c>
      <c r="F37" s="79">
        <f>+D37*E37</f>
        <v>9147.0042981493152</v>
      </c>
    </row>
    <row r="38" spans="1:8">
      <c r="A38" s="749"/>
      <c r="B38" s="165"/>
      <c r="C38" s="77"/>
      <c r="D38" s="78"/>
      <c r="E38" s="79"/>
      <c r="F38" s="79"/>
    </row>
    <row r="39" spans="1:8">
      <c r="B39" s="165"/>
      <c r="C39" s="77"/>
      <c r="D39" s="78"/>
      <c r="E39" s="79"/>
      <c r="F39" s="79"/>
      <c r="H39" s="250"/>
    </row>
    <row r="40" spans="1:8">
      <c r="A40" s="719">
        <v>2.2999999999999998</v>
      </c>
      <c r="B40" s="83" t="s">
        <v>520</v>
      </c>
      <c r="C40" s="76" t="s">
        <v>26</v>
      </c>
      <c r="D40" s="73"/>
      <c r="E40" s="74"/>
      <c r="F40" s="75">
        <f>ROUND(SUM(F41:F42),0)</f>
        <v>26649</v>
      </c>
    </row>
    <row r="41" spans="1:8">
      <c r="B41" s="165" t="s">
        <v>521</v>
      </c>
      <c r="C41" s="77" t="s">
        <v>284</v>
      </c>
      <c r="D41" s="265">
        <v>0.03</v>
      </c>
      <c r="E41" s="266">
        <f>+F42</f>
        <v>25872.955014765208</v>
      </c>
      <c r="F41" s="266">
        <f>+D41*E41</f>
        <v>776.18865044295626</v>
      </c>
    </row>
    <row r="42" spans="1:8">
      <c r="A42" s="749"/>
      <c r="B42" s="165" t="s">
        <v>38</v>
      </c>
      <c r="C42" s="77" t="s">
        <v>10</v>
      </c>
      <c r="D42" s="267">
        <v>0.9</v>
      </c>
      <c r="E42" s="79">
        <f>+BASICOS!D55</f>
        <v>28747.727794183564</v>
      </c>
      <c r="F42" s="79">
        <f>+D42*E42</f>
        <v>25872.955014765208</v>
      </c>
    </row>
    <row r="43" spans="1:8">
      <c r="B43" s="165"/>
      <c r="C43" s="77"/>
      <c r="D43" s="267"/>
      <c r="E43" s="79"/>
      <c r="F43" s="79"/>
    </row>
    <row r="44" spans="1:8">
      <c r="A44" s="719">
        <v>2.4</v>
      </c>
      <c r="B44" s="83" t="s">
        <v>3428</v>
      </c>
      <c r="C44" s="76" t="s">
        <v>26</v>
      </c>
      <c r="D44" s="73"/>
      <c r="E44" s="74"/>
      <c r="F44" s="75">
        <f>ROUND(SUM(F45:F46),0)</f>
        <v>29610</v>
      </c>
    </row>
    <row r="45" spans="1:8">
      <c r="B45" s="165" t="s">
        <v>521</v>
      </c>
      <c r="C45" s="77" t="s">
        <v>284</v>
      </c>
      <c r="D45" s="265">
        <v>0.03</v>
      </c>
      <c r="E45" s="266">
        <f>+F46</f>
        <v>28747.727794183564</v>
      </c>
      <c r="F45" s="266">
        <f>+D45*E45</f>
        <v>862.43183382550683</v>
      </c>
    </row>
    <row r="46" spans="1:8">
      <c r="A46" s="749"/>
      <c r="B46" s="165" t="s">
        <v>38</v>
      </c>
      <c r="C46" s="77" t="s">
        <v>10</v>
      </c>
      <c r="D46" s="267">
        <v>1</v>
      </c>
      <c r="E46" s="79">
        <f>E42</f>
        <v>28747.727794183564</v>
      </c>
      <c r="F46" s="79">
        <f>+D46*E46</f>
        <v>28747.727794183564</v>
      </c>
    </row>
    <row r="47" spans="1:8">
      <c r="B47" s="165"/>
      <c r="C47" s="77"/>
      <c r="D47" s="267"/>
      <c r="E47" s="79"/>
      <c r="F47" s="79"/>
    </row>
    <row r="48" spans="1:8">
      <c r="A48" s="719">
        <v>2.5</v>
      </c>
      <c r="B48" s="83" t="s">
        <v>63</v>
      </c>
      <c r="C48" s="76" t="s">
        <v>119</v>
      </c>
      <c r="D48" s="73"/>
      <c r="E48" s="74"/>
      <c r="F48" s="75">
        <f>ROUND(SUM(F49:F50),0)</f>
        <v>10767</v>
      </c>
      <c r="G48" s="2" t="s">
        <v>739</v>
      </c>
    </row>
    <row r="49" spans="1:6">
      <c r="B49" s="165" t="s">
        <v>11</v>
      </c>
      <c r="C49" s="77" t="s">
        <v>284</v>
      </c>
      <c r="D49" s="78">
        <v>0.03</v>
      </c>
      <c r="E49" s="79">
        <f>+F50</f>
        <v>10453.719197884933</v>
      </c>
      <c r="F49" s="79">
        <f>(D49*E49)</f>
        <v>313.61157593654798</v>
      </c>
    </row>
    <row r="50" spans="1:6">
      <c r="A50" s="749"/>
      <c r="B50" s="165" t="s">
        <v>9</v>
      </c>
      <c r="C50" s="77" t="s">
        <v>10</v>
      </c>
      <c r="D50" s="78">
        <f>0.4</f>
        <v>0.4</v>
      </c>
      <c r="E50" s="79">
        <f>+'VALOR CUADRILLAS MO'!D75</f>
        <v>26134.297994712331</v>
      </c>
      <c r="F50" s="79">
        <f>+D50*E50</f>
        <v>10453.719197884933</v>
      </c>
    </row>
    <row r="51" spans="1:6">
      <c r="B51" s="165"/>
      <c r="C51" s="77"/>
      <c r="D51" s="78"/>
      <c r="E51" s="79"/>
      <c r="F51" s="79"/>
    </row>
    <row r="52" spans="1:6" ht="25.5">
      <c r="A52" s="719">
        <v>2.6</v>
      </c>
      <c r="B52" s="83" t="s">
        <v>3321</v>
      </c>
      <c r="C52" s="76" t="s">
        <v>119</v>
      </c>
      <c r="D52" s="73"/>
      <c r="E52" s="74"/>
      <c r="F52" s="75">
        <f>ROUND(SUM(F53:F56),0)</f>
        <v>10716</v>
      </c>
    </row>
    <row r="53" spans="1:6">
      <c r="A53" s="749"/>
      <c r="B53" s="165" t="s">
        <v>22</v>
      </c>
      <c r="C53" s="77" t="s">
        <v>12</v>
      </c>
      <c r="D53" s="78">
        <v>0.5</v>
      </c>
      <c r="E53" s="79">
        <f>+BASICOS!D33</f>
        <v>2856</v>
      </c>
      <c r="F53" s="79">
        <f>+D53*E53</f>
        <v>1428</v>
      </c>
    </row>
    <row r="54" spans="1:6">
      <c r="A54" s="749"/>
      <c r="B54" s="165" t="str">
        <f>INSUMOS!B260</f>
        <v>TAPAGOTERA SUPER EPOXICO METALICO 1/8</v>
      </c>
      <c r="C54" s="77"/>
      <c r="D54" s="78">
        <v>0.05</v>
      </c>
      <c r="E54" s="79">
        <f>INSUMOS!D260</f>
        <v>13474.37</v>
      </c>
      <c r="F54" s="79">
        <f>+D54*E54</f>
        <v>673.71850000000006</v>
      </c>
    </row>
    <row r="55" spans="1:6">
      <c r="A55" s="749"/>
      <c r="B55" s="165" t="s">
        <v>11</v>
      </c>
      <c r="C55" s="77" t="s">
        <v>284</v>
      </c>
      <c r="D55" s="78">
        <v>0.03</v>
      </c>
      <c r="E55" s="79">
        <f>+F56</f>
        <v>8362.9753583079455</v>
      </c>
      <c r="F55" s="79">
        <f>(D55*E55)</f>
        <v>250.88926074923836</v>
      </c>
    </row>
    <row r="56" spans="1:6">
      <c r="A56" s="749"/>
      <c r="B56" s="165" t="s">
        <v>9</v>
      </c>
      <c r="C56" s="77" t="s">
        <v>10</v>
      </c>
      <c r="D56" s="78">
        <v>0.32</v>
      </c>
      <c r="E56" s="79">
        <f>+'VALOR CUADRILLAS MO'!D75</f>
        <v>26134.297994712331</v>
      </c>
      <c r="F56" s="79">
        <f>+D56*E56</f>
        <v>8362.9753583079455</v>
      </c>
    </row>
    <row r="57" spans="1:6">
      <c r="B57" s="165"/>
      <c r="C57" s="77"/>
      <c r="D57" s="78"/>
      <c r="E57" s="79"/>
      <c r="F57" s="79"/>
    </row>
    <row r="58" spans="1:6">
      <c r="A58" s="719">
        <v>2.7</v>
      </c>
      <c r="B58" s="83" t="s">
        <v>213</v>
      </c>
      <c r="C58" s="76" t="s">
        <v>21</v>
      </c>
      <c r="D58" s="73"/>
      <c r="E58" s="74"/>
      <c r="F58" s="75">
        <f>ROUND(SUM(F59:F60),0)</f>
        <v>5114</v>
      </c>
    </row>
    <row r="59" spans="1:6">
      <c r="A59" s="749"/>
      <c r="B59" s="165" t="s">
        <v>11</v>
      </c>
      <c r="C59" s="77" t="s">
        <v>284</v>
      </c>
      <c r="D59" s="78">
        <v>0.03</v>
      </c>
      <c r="E59" s="79">
        <f>+F60</f>
        <v>4965.5166189953434</v>
      </c>
      <c r="F59" s="79">
        <f>(D59*E59)</f>
        <v>148.9654985698603</v>
      </c>
    </row>
    <row r="60" spans="1:6">
      <c r="A60" s="749"/>
      <c r="B60" s="165" t="s">
        <v>9</v>
      </c>
      <c r="C60" s="77" t="s">
        <v>10</v>
      </c>
      <c r="D60" s="78">
        <f>0.19</f>
        <v>0.19</v>
      </c>
      <c r="E60" s="79">
        <f>+'VALOR CUADRILLAS MO'!D75</f>
        <v>26134.297994712331</v>
      </c>
      <c r="F60" s="79">
        <f>+D60*E60</f>
        <v>4965.5166189953434</v>
      </c>
    </row>
    <row r="61" spans="1:6">
      <c r="B61" s="165"/>
      <c r="C61" s="77"/>
      <c r="D61" s="78"/>
      <c r="E61" s="79"/>
      <c r="F61" s="79"/>
    </row>
    <row r="62" spans="1:6" ht="19.899999999999999" customHeight="1">
      <c r="A62" s="719">
        <v>2.8</v>
      </c>
      <c r="B62" s="83" t="s">
        <v>3085</v>
      </c>
      <c r="C62" s="76" t="s">
        <v>119</v>
      </c>
      <c r="D62" s="73"/>
      <c r="E62" s="308"/>
      <c r="F62" s="309">
        <f>ROUND(SUM(F63:F64),0)</f>
        <v>9421</v>
      </c>
    </row>
    <row r="63" spans="1:6">
      <c r="A63" s="749"/>
      <c r="B63" s="36" t="s">
        <v>11</v>
      </c>
      <c r="C63" s="77" t="s">
        <v>284</v>
      </c>
      <c r="D63" s="368">
        <v>0.03</v>
      </c>
      <c r="E63" s="303">
        <f>F64</f>
        <v>9147.0042981493152</v>
      </c>
      <c r="F63" s="303">
        <f>D63*E63</f>
        <v>274.41012894447942</v>
      </c>
    </row>
    <row r="64" spans="1:6">
      <c r="A64" s="749"/>
      <c r="B64" s="36" t="s">
        <v>9</v>
      </c>
      <c r="C64" s="77" t="s">
        <v>10</v>
      </c>
      <c r="D64" s="367">
        <v>0.35</v>
      </c>
      <c r="E64" s="303">
        <f>+'VALOR CUADRILLAS MO'!D75</f>
        <v>26134.297994712331</v>
      </c>
      <c r="F64" s="303">
        <f>D64*E64</f>
        <v>9147.0042981493152</v>
      </c>
    </row>
    <row r="65" spans="1:14">
      <c r="A65" s="749"/>
      <c r="B65" s="165"/>
      <c r="C65" s="77"/>
      <c r="D65" s="80"/>
      <c r="E65" s="79"/>
      <c r="F65" s="79"/>
    </row>
    <row r="66" spans="1:14" ht="19.899999999999999" customHeight="1">
      <c r="A66" s="719">
        <v>2.9</v>
      </c>
      <c r="B66" s="83" t="s">
        <v>3086</v>
      </c>
      <c r="C66" s="76" t="s">
        <v>119</v>
      </c>
      <c r="D66" s="578"/>
      <c r="E66" s="467"/>
      <c r="F66" s="468">
        <f>ROUND(SUM(F67:F68),0)</f>
        <v>4576</v>
      </c>
    </row>
    <row r="67" spans="1:14">
      <c r="A67" s="749"/>
      <c r="B67" s="165" t="s">
        <v>11</v>
      </c>
      <c r="C67" s="77" t="s">
        <v>284</v>
      </c>
      <c r="D67" s="579">
        <v>0.03</v>
      </c>
      <c r="E67" s="390">
        <f>+F68</f>
        <v>4442.8306591010969</v>
      </c>
      <c r="F67" s="390">
        <f>(D67*E67)</f>
        <v>133.2849197730329</v>
      </c>
    </row>
    <row r="68" spans="1:14">
      <c r="A68" s="749"/>
      <c r="B68" s="165" t="s">
        <v>9</v>
      </c>
      <c r="C68" s="77" t="s">
        <v>10</v>
      </c>
      <c r="D68" s="579">
        <v>0.17</v>
      </c>
      <c r="E68" s="390">
        <f>+'VALOR CUADRILLAS MO'!D75</f>
        <v>26134.297994712331</v>
      </c>
      <c r="F68" s="390">
        <f>+D68*E68</f>
        <v>4442.8306591010969</v>
      </c>
    </row>
    <row r="69" spans="1:14">
      <c r="A69" s="749"/>
      <c r="B69" s="165"/>
      <c r="C69" s="77"/>
      <c r="D69" s="80"/>
      <c r="E69" s="79"/>
      <c r="F69" s="79"/>
    </row>
    <row r="70" spans="1:14" ht="19.899999999999999" customHeight="1">
      <c r="A70" s="718" t="s">
        <v>397</v>
      </c>
      <c r="B70" s="454" t="s">
        <v>280</v>
      </c>
      <c r="C70" s="455"/>
      <c r="D70" s="456"/>
      <c r="E70" s="457"/>
      <c r="F70" s="457"/>
      <c r="G70" s="245"/>
    </row>
    <row r="71" spans="1:14" ht="19.5" customHeight="1">
      <c r="A71" s="719">
        <v>3.1</v>
      </c>
      <c r="B71" s="83" t="s">
        <v>2874</v>
      </c>
      <c r="C71" s="76" t="s">
        <v>121</v>
      </c>
      <c r="D71" s="73"/>
      <c r="E71" s="74"/>
      <c r="F71" s="75">
        <f>ROUND(SUM(F72:F76),0)</f>
        <v>509326</v>
      </c>
      <c r="M71" s="251" t="s">
        <v>119</v>
      </c>
      <c r="N71" s="252">
        <f>F71*0.05</f>
        <v>25466.300000000003</v>
      </c>
    </row>
    <row r="72" spans="1:14">
      <c r="A72" s="749"/>
      <c r="B72" s="165" t="s">
        <v>2637</v>
      </c>
      <c r="C72" s="77" t="s">
        <v>121</v>
      </c>
      <c r="D72" s="78">
        <v>1</v>
      </c>
      <c r="E72" s="79">
        <f>+BASICOS!E156</f>
        <v>367144</v>
      </c>
      <c r="F72" s="79">
        <f>+D72*E72</f>
        <v>367144</v>
      </c>
    </row>
    <row r="73" spans="1:14">
      <c r="A73" s="749"/>
      <c r="B73" s="165" t="s">
        <v>229</v>
      </c>
      <c r="C73" s="77" t="s">
        <v>68</v>
      </c>
      <c r="D73" s="78">
        <v>0.05</v>
      </c>
      <c r="E73" s="79">
        <f>SUM(F72)</f>
        <v>367144</v>
      </c>
      <c r="F73" s="79">
        <f>+D73*E73</f>
        <v>18357.2</v>
      </c>
    </row>
    <row r="74" spans="1:14">
      <c r="A74" s="749"/>
      <c r="B74" s="165" t="s">
        <v>136</v>
      </c>
      <c r="C74" s="77" t="s">
        <v>68</v>
      </c>
      <c r="D74" s="78"/>
      <c r="E74" s="79">
        <f>SUM(F72:F73)</f>
        <v>385501.2</v>
      </c>
      <c r="F74" s="79">
        <f>+D74*E74</f>
        <v>0</v>
      </c>
    </row>
    <row r="75" spans="1:14">
      <c r="A75" s="749"/>
      <c r="B75" s="165" t="s">
        <v>11</v>
      </c>
      <c r="C75" s="77" t="s">
        <v>284</v>
      </c>
      <c r="D75" s="78">
        <v>0.03</v>
      </c>
      <c r="E75" s="79">
        <f>+F76</f>
        <v>120217.77077567672</v>
      </c>
      <c r="F75" s="79">
        <f>(D75*E75)</f>
        <v>3606.5331232703015</v>
      </c>
    </row>
    <row r="76" spans="1:14">
      <c r="A76" s="749"/>
      <c r="B76" s="165" t="s">
        <v>9</v>
      </c>
      <c r="C76" s="77" t="s">
        <v>10</v>
      </c>
      <c r="D76" s="78">
        <v>4.5999999999999996</v>
      </c>
      <c r="E76" s="79">
        <f>+'VALOR CUADRILLAS MO'!D75</f>
        <v>26134.297994712331</v>
      </c>
      <c r="F76" s="79">
        <f>+D76*E76</f>
        <v>120217.77077567672</v>
      </c>
      <c r="G76" s="2" t="s">
        <v>766</v>
      </c>
      <c r="H76" s="2">
        <f>4050/0.05</f>
        <v>81000</v>
      </c>
      <c r="I76" s="2">
        <f>F76*0.05</f>
        <v>6010.8885387838363</v>
      </c>
    </row>
    <row r="77" spans="1:14">
      <c r="B77" s="165"/>
      <c r="C77" s="77"/>
      <c r="D77" s="78"/>
      <c r="E77" s="79"/>
      <c r="F77" s="79"/>
    </row>
    <row r="78" spans="1:14">
      <c r="A78" s="719">
        <v>3.2</v>
      </c>
      <c r="B78" s="83" t="s">
        <v>3504</v>
      </c>
      <c r="C78" s="76" t="s">
        <v>121</v>
      </c>
      <c r="D78" s="73"/>
      <c r="E78" s="74"/>
      <c r="F78" s="75">
        <v>444423</v>
      </c>
    </row>
    <row r="79" spans="1:14">
      <c r="A79" s="783"/>
      <c r="B79" s="165" t="s">
        <v>2636</v>
      </c>
      <c r="C79" s="77" t="s">
        <v>121</v>
      </c>
      <c r="D79" s="78">
        <v>0.6</v>
      </c>
      <c r="E79" s="79">
        <v>373121</v>
      </c>
      <c r="F79" s="79">
        <v>223872.6</v>
      </c>
    </row>
    <row r="80" spans="1:14">
      <c r="A80" s="783"/>
      <c r="B80" s="165" t="s">
        <v>28</v>
      </c>
      <c r="C80" s="77" t="s">
        <v>121</v>
      </c>
      <c r="D80" s="78">
        <v>0.4</v>
      </c>
      <c r="E80" s="79">
        <v>65000</v>
      </c>
      <c r="F80" s="79">
        <v>26000</v>
      </c>
    </row>
    <row r="81" spans="1:7">
      <c r="A81" s="783"/>
      <c r="B81" s="165" t="s">
        <v>229</v>
      </c>
      <c r="C81" s="77" t="s">
        <v>68</v>
      </c>
      <c r="D81" s="78">
        <v>0.05</v>
      </c>
      <c r="E81" s="79">
        <v>249872.6</v>
      </c>
      <c r="F81" s="79">
        <v>12493.630000000001</v>
      </c>
    </row>
    <row r="82" spans="1:7">
      <c r="A82" s="783"/>
      <c r="B82" s="165" t="s">
        <v>136</v>
      </c>
      <c r="C82" s="77" t="s">
        <v>68</v>
      </c>
      <c r="D82" s="78"/>
      <c r="E82" s="79">
        <v>262366.23</v>
      </c>
      <c r="F82" s="79">
        <v>0</v>
      </c>
    </row>
    <row r="83" spans="1:7">
      <c r="A83" s="783"/>
      <c r="B83" s="165" t="s">
        <v>11</v>
      </c>
      <c r="C83" s="77" t="s">
        <v>284</v>
      </c>
      <c r="D83" s="78">
        <v>0.03</v>
      </c>
      <c r="E83" s="79">
        <v>176753.72667217808</v>
      </c>
      <c r="F83" s="79">
        <v>5302.6118001653422</v>
      </c>
    </row>
    <row r="84" spans="1:7">
      <c r="A84" s="783"/>
      <c r="B84" s="165" t="s">
        <v>9</v>
      </c>
      <c r="C84" s="77" t="s">
        <v>10</v>
      </c>
      <c r="D84" s="78">
        <v>7</v>
      </c>
      <c r="E84" s="79">
        <v>25250.532381739726</v>
      </c>
      <c r="F84" s="79">
        <v>176753.72667217808</v>
      </c>
    </row>
    <row r="85" spans="1:7">
      <c r="A85" s="783"/>
      <c r="B85" s="165"/>
      <c r="C85" s="77"/>
      <c r="D85" s="78"/>
      <c r="E85" s="79"/>
      <c r="F85" s="79"/>
    </row>
    <row r="86" spans="1:7">
      <c r="A86" s="719">
        <v>3.3</v>
      </c>
      <c r="B86" s="83" t="s">
        <v>64</v>
      </c>
      <c r="C86" s="76" t="s">
        <v>121</v>
      </c>
      <c r="D86" s="73"/>
      <c r="E86" s="74"/>
      <c r="F86" s="75">
        <f>ROUND(SUM(F87:F92),0)</f>
        <v>582236</v>
      </c>
    </row>
    <row r="87" spans="1:7">
      <c r="A87" s="783"/>
      <c r="B87" s="165" t="s">
        <v>2636</v>
      </c>
      <c r="C87" s="77" t="s">
        <v>121</v>
      </c>
      <c r="D87" s="78">
        <v>1</v>
      </c>
      <c r="E87" s="79">
        <f>BASICOS!E146</f>
        <v>392821</v>
      </c>
      <c r="F87" s="79">
        <f>+D87*E87</f>
        <v>392821</v>
      </c>
    </row>
    <row r="88" spans="1:7">
      <c r="A88" s="783"/>
      <c r="B88" s="165" t="s">
        <v>229</v>
      </c>
      <c r="C88" s="77" t="s">
        <v>68</v>
      </c>
      <c r="D88" s="78">
        <v>0.05</v>
      </c>
      <c r="E88" s="79">
        <f>SUM(F87)</f>
        <v>392821</v>
      </c>
      <c r="F88" s="79">
        <f>+D88*E88</f>
        <v>19641.05</v>
      </c>
    </row>
    <row r="89" spans="1:7">
      <c r="A89" s="783"/>
      <c r="B89" s="165" t="s">
        <v>187</v>
      </c>
      <c r="C89" s="77" t="s">
        <v>12</v>
      </c>
      <c r="D89" s="78">
        <v>0.1</v>
      </c>
      <c r="E89" s="79">
        <f>BASICOS!D42</f>
        <v>136480.47829830134</v>
      </c>
      <c r="F89" s="79">
        <f>+D89*E89</f>
        <v>13648.047829830135</v>
      </c>
    </row>
    <row r="90" spans="1:7">
      <c r="A90" s="783"/>
      <c r="B90" s="165" t="s">
        <v>136</v>
      </c>
      <c r="C90" s="77" t="s">
        <v>68</v>
      </c>
      <c r="D90" s="78"/>
      <c r="E90" s="79">
        <f>SUM(F87:F89)</f>
        <v>426110.09782983013</v>
      </c>
      <c r="F90" s="79">
        <f>+D90*E90</f>
        <v>0</v>
      </c>
    </row>
    <row r="91" spans="1:7">
      <c r="A91" s="783"/>
      <c r="B91" s="165" t="s">
        <v>11</v>
      </c>
      <c r="C91" s="77" t="s">
        <v>284</v>
      </c>
      <c r="D91" s="78">
        <v>0.03</v>
      </c>
      <c r="E91" s="79">
        <f>+F92</f>
        <v>151578.92836933152</v>
      </c>
      <c r="F91" s="79">
        <f>(D91*E91)</f>
        <v>4547.3678510799455</v>
      </c>
    </row>
    <row r="92" spans="1:7">
      <c r="A92" s="783"/>
      <c r="B92" s="165" t="s">
        <v>9</v>
      </c>
      <c r="C92" s="77" t="s">
        <v>10</v>
      </c>
      <c r="D92" s="78">
        <f>5.8</f>
        <v>5.8</v>
      </c>
      <c r="E92" s="79">
        <f>'VALOR CUADRILLAS MO'!D75</f>
        <v>26134.297994712331</v>
      </c>
      <c r="F92" s="79">
        <f>+D92*E92</f>
        <v>151578.92836933152</v>
      </c>
    </row>
    <row r="93" spans="1:7">
      <c r="A93" s="749"/>
      <c r="B93" s="165"/>
      <c r="C93" s="77"/>
      <c r="D93" s="78"/>
      <c r="E93" s="79"/>
      <c r="F93" s="79"/>
    </row>
    <row r="94" spans="1:7" ht="19.899999999999999" customHeight="1">
      <c r="A94" s="718" t="s">
        <v>398</v>
      </c>
      <c r="B94" s="454" t="s">
        <v>279</v>
      </c>
      <c r="C94" s="455"/>
      <c r="D94" s="456"/>
      <c r="E94" s="457"/>
      <c r="F94" s="457"/>
      <c r="G94" s="245"/>
    </row>
    <row r="95" spans="1:7" ht="51">
      <c r="A95" s="719">
        <v>4.0999999999999996</v>
      </c>
      <c r="B95" s="83" t="s">
        <v>617</v>
      </c>
      <c r="C95" s="76" t="s">
        <v>26</v>
      </c>
      <c r="D95" s="73"/>
      <c r="E95" s="74"/>
      <c r="F95" s="75">
        <f>ROUND(SUM(F96:F105),0)</f>
        <v>287179</v>
      </c>
    </row>
    <row r="96" spans="1:7">
      <c r="A96" s="749"/>
      <c r="B96" s="165" t="s">
        <v>2666</v>
      </c>
      <c r="C96" s="77" t="s">
        <v>121</v>
      </c>
      <c r="D96" s="78">
        <v>0.17</v>
      </c>
      <c r="E96" s="79">
        <f>+BASICOS!E135</f>
        <v>425444</v>
      </c>
      <c r="F96" s="79">
        <f t="shared" ref="F96:F103" si="3">+D96*E96</f>
        <v>72325.48000000001</v>
      </c>
    </row>
    <row r="97" spans="1:23">
      <c r="A97" s="749"/>
      <c r="B97" s="165" t="s">
        <v>607</v>
      </c>
      <c r="C97" s="77" t="s">
        <v>121</v>
      </c>
      <c r="D97" s="78">
        <v>0.02</v>
      </c>
      <c r="E97" s="79">
        <f>+BASICOS!E96</f>
        <v>405781</v>
      </c>
      <c r="F97" s="79">
        <f t="shared" si="3"/>
        <v>8115.62</v>
      </c>
    </row>
    <row r="98" spans="1:23">
      <c r="A98" s="749"/>
      <c r="B98" s="165" t="s">
        <v>37</v>
      </c>
      <c r="C98" s="77" t="s">
        <v>32</v>
      </c>
      <c r="D98" s="78">
        <v>6.72</v>
      </c>
      <c r="E98" s="79">
        <f>+INSUMOS!D46</f>
        <v>5600</v>
      </c>
      <c r="F98" s="79">
        <f t="shared" si="3"/>
        <v>37632</v>
      </c>
    </row>
    <row r="99" spans="1:23">
      <c r="A99" s="749"/>
      <c r="B99" s="165" t="s">
        <v>33</v>
      </c>
      <c r="C99" s="77" t="s">
        <v>32</v>
      </c>
      <c r="D99" s="78">
        <f>+D98*3%</f>
        <v>0.20159999999999997</v>
      </c>
      <c r="E99" s="79">
        <f>+INSUMOS!D44</f>
        <v>7066.22</v>
      </c>
      <c r="F99" s="79">
        <f t="shared" si="3"/>
        <v>1424.5499519999998</v>
      </c>
    </row>
    <row r="100" spans="1:23" ht="38.25">
      <c r="A100" s="749"/>
      <c r="B100" s="165" t="s">
        <v>615</v>
      </c>
      <c r="C100" s="77" t="s">
        <v>26</v>
      </c>
      <c r="D100" s="78">
        <v>1</v>
      </c>
      <c r="E100" s="79">
        <f>+INSUMOS!D194</f>
        <v>75000</v>
      </c>
      <c r="F100" s="79">
        <f t="shared" si="3"/>
        <v>75000</v>
      </c>
    </row>
    <row r="101" spans="1:23">
      <c r="A101" s="749"/>
      <c r="B101" s="165" t="s">
        <v>229</v>
      </c>
      <c r="C101" s="77" t="s">
        <v>68</v>
      </c>
      <c r="D101" s="78">
        <v>0.05</v>
      </c>
      <c r="E101" s="79">
        <f>SUM(F96:F99)</f>
        <v>119497.64995200001</v>
      </c>
      <c r="F101" s="79">
        <f t="shared" si="3"/>
        <v>5974.8824976000005</v>
      </c>
    </row>
    <row r="102" spans="1:23">
      <c r="A102" s="749"/>
      <c r="B102" s="165" t="s">
        <v>126</v>
      </c>
      <c r="C102" s="77" t="s">
        <v>26</v>
      </c>
      <c r="D102" s="78">
        <v>0.53</v>
      </c>
      <c r="E102" s="79">
        <f>+INSUMOS!D8</f>
        <v>21387.87</v>
      </c>
      <c r="F102" s="79">
        <f t="shared" si="3"/>
        <v>11335.571099999999</v>
      </c>
    </row>
    <row r="103" spans="1:23">
      <c r="A103" s="749"/>
      <c r="B103" s="165" t="s">
        <v>136</v>
      </c>
      <c r="C103" s="77" t="s">
        <v>68</v>
      </c>
      <c r="D103" s="78"/>
      <c r="E103" s="79">
        <f>SUM(F96:F102)</f>
        <v>211808.1035496</v>
      </c>
      <c r="F103" s="79">
        <f t="shared" si="3"/>
        <v>0</v>
      </c>
    </row>
    <row r="104" spans="1:23">
      <c r="A104" s="749"/>
      <c r="B104" s="165" t="s">
        <v>11</v>
      </c>
      <c r="C104" s="77" t="s">
        <v>284</v>
      </c>
      <c r="D104" s="78">
        <v>0.03</v>
      </c>
      <c r="E104" s="79">
        <f>+F105</f>
        <v>73176.034385194522</v>
      </c>
      <c r="F104" s="79">
        <f>(D104*E104)</f>
        <v>2195.2810315558354</v>
      </c>
    </row>
    <row r="105" spans="1:23">
      <c r="A105" s="749"/>
      <c r="B105" s="165" t="s">
        <v>9</v>
      </c>
      <c r="C105" s="77" t="s">
        <v>10</v>
      </c>
      <c r="D105" s="78">
        <f>2.8</f>
        <v>2.8</v>
      </c>
      <c r="E105" s="79">
        <f>+'VALOR CUADRILLAS MO'!D75</f>
        <v>26134.297994712331</v>
      </c>
      <c r="F105" s="79">
        <f>+D105*E105</f>
        <v>73176.034385194522</v>
      </c>
    </row>
    <row r="106" spans="1:23">
      <c r="A106" s="749"/>
      <c r="B106" s="165"/>
      <c r="C106" s="77"/>
      <c r="D106" s="78"/>
      <c r="E106" s="79"/>
      <c r="F106" s="79"/>
    </row>
    <row r="107" spans="1:23" ht="89.25">
      <c r="A107" s="719">
        <v>4.2</v>
      </c>
      <c r="B107" s="83" t="s">
        <v>3537</v>
      </c>
      <c r="C107" s="76" t="s">
        <v>21</v>
      </c>
      <c r="D107" s="73"/>
      <c r="E107" s="74"/>
      <c r="F107" s="75">
        <f>ROUND(SUM(F108:F122),0)</f>
        <v>827381</v>
      </c>
      <c r="W107" s="905"/>
    </row>
    <row r="108" spans="1:23">
      <c r="A108" s="749"/>
      <c r="B108" s="165" t="s">
        <v>2666</v>
      </c>
      <c r="C108" s="77" t="s">
        <v>121</v>
      </c>
      <c r="D108" s="78">
        <v>0.21</v>
      </c>
      <c r="E108" s="79">
        <f>BASICOS!E135</f>
        <v>425444</v>
      </c>
      <c r="F108" s="79">
        <f t="shared" ref="F108:F120" si="4">+D108*E108</f>
        <v>89343.239999999991</v>
      </c>
      <c r="W108" s="905"/>
    </row>
    <row r="109" spans="1:23">
      <c r="A109" s="749"/>
      <c r="B109" s="165" t="s">
        <v>607</v>
      </c>
      <c r="C109" s="77" t="s">
        <v>121</v>
      </c>
      <c r="D109" s="78">
        <f>(0.4+0.4+0.3)*0.02</f>
        <v>2.2000000000000002E-2</v>
      </c>
      <c r="E109" s="79">
        <f>BASICOS!E96</f>
        <v>405781</v>
      </c>
      <c r="F109" s="79">
        <f t="shared" si="4"/>
        <v>8927.1820000000007</v>
      </c>
    </row>
    <row r="110" spans="1:23">
      <c r="A110" s="749"/>
      <c r="B110" s="165" t="s">
        <v>37</v>
      </c>
      <c r="C110" s="77" t="s">
        <v>32</v>
      </c>
      <c r="D110" s="78">
        <v>6.72</v>
      </c>
      <c r="E110" s="79">
        <f>+INSUMOS!D58</f>
        <v>4678.1175000000003</v>
      </c>
      <c r="F110" s="79">
        <f t="shared" si="4"/>
        <v>31436.9496</v>
      </c>
    </row>
    <row r="111" spans="1:23">
      <c r="A111" s="749"/>
      <c r="B111" s="165" t="s">
        <v>33</v>
      </c>
      <c r="C111" s="77" t="s">
        <v>32</v>
      </c>
      <c r="D111" s="78">
        <v>25.11</v>
      </c>
      <c r="E111" s="79">
        <f>INSUMOS!D44</f>
        <v>7066.22</v>
      </c>
      <c r="F111" s="79">
        <f t="shared" si="4"/>
        <v>177432.78419999999</v>
      </c>
    </row>
    <row r="112" spans="1:23">
      <c r="A112" s="749"/>
      <c r="B112" s="165" t="s">
        <v>3522</v>
      </c>
      <c r="C112" s="77" t="s">
        <v>26</v>
      </c>
      <c r="D112" s="78">
        <v>2.1</v>
      </c>
      <c r="E112" s="79">
        <f>INSUMOS!D62</f>
        <v>17324.416666666668</v>
      </c>
      <c r="F112" s="79">
        <f t="shared" si="4"/>
        <v>36381.275000000001</v>
      </c>
    </row>
    <row r="113" spans="1:19">
      <c r="A113" s="749"/>
      <c r="B113" s="165" t="str">
        <f>INSUMOS!B272</f>
        <v>SOLD. W/ARCO 6010 X 1/8  504195</v>
      </c>
      <c r="C113" s="77" t="s">
        <v>2454</v>
      </c>
      <c r="D113" s="78">
        <v>5</v>
      </c>
      <c r="E113" s="79">
        <f>INSUMOS!D272</f>
        <v>15232</v>
      </c>
      <c r="F113" s="79">
        <f>E113*D113</f>
        <v>76160</v>
      </c>
    </row>
    <row r="114" spans="1:19">
      <c r="A114" s="749"/>
      <c r="B114" s="165" t="str">
        <f>BASICOS!A52</f>
        <v>EQUIPO DE SOLDADURA</v>
      </c>
      <c r="C114" s="77" t="s">
        <v>169</v>
      </c>
      <c r="D114" s="78">
        <v>0.5</v>
      </c>
      <c r="E114" s="79">
        <f>BASICOS!D52</f>
        <v>350000</v>
      </c>
      <c r="F114" s="79">
        <f>E114*D114</f>
        <v>175000</v>
      </c>
    </row>
    <row r="115" spans="1:19">
      <c r="A115" s="749"/>
      <c r="B115" s="165" t="s">
        <v>3527</v>
      </c>
      <c r="C115" s="77" t="s">
        <v>26</v>
      </c>
      <c r="D115" s="78">
        <v>0.3</v>
      </c>
      <c r="E115" s="79">
        <f>INSUMOS!D273</f>
        <v>19523.14</v>
      </c>
      <c r="F115" s="79">
        <f>E115*D115</f>
        <v>5856.942</v>
      </c>
    </row>
    <row r="116" spans="1:19">
      <c r="A116" s="749"/>
      <c r="B116" s="165" t="s">
        <v>126</v>
      </c>
      <c r="C116" s="77" t="s">
        <v>26</v>
      </c>
      <c r="D116" s="78">
        <v>0.53</v>
      </c>
      <c r="E116" s="79">
        <f>INSUMOS!D8</f>
        <v>21387.87</v>
      </c>
      <c r="F116" s="79">
        <f t="shared" si="4"/>
        <v>11335.571099999999</v>
      </c>
    </row>
    <row r="117" spans="1:19">
      <c r="A117" s="749"/>
      <c r="B117" s="165" t="s">
        <v>3524</v>
      </c>
      <c r="C117" s="77" t="s">
        <v>124</v>
      </c>
      <c r="D117" s="78">
        <v>0.1</v>
      </c>
      <c r="E117" s="79">
        <f>INSUMOS!D197</f>
        <v>71899.8</v>
      </c>
      <c r="F117" s="79">
        <f t="shared" si="4"/>
        <v>7189.9800000000005</v>
      </c>
    </row>
    <row r="118" spans="1:19">
      <c r="A118" s="749"/>
      <c r="B118" s="165" t="s">
        <v>3525</v>
      </c>
      <c r="C118" s="77" t="s">
        <v>124</v>
      </c>
      <c r="D118" s="78">
        <v>0.1</v>
      </c>
      <c r="E118" s="79">
        <f>INSUMOS!D198</f>
        <v>42899.5</v>
      </c>
      <c r="F118" s="79">
        <f t="shared" si="4"/>
        <v>4289.95</v>
      </c>
    </row>
    <row r="119" spans="1:19">
      <c r="A119" s="749"/>
      <c r="B119" s="165" t="s">
        <v>3526</v>
      </c>
      <c r="C119" s="77" t="s">
        <v>124</v>
      </c>
      <c r="D119" s="78">
        <v>0.1</v>
      </c>
      <c r="E119" s="79">
        <f>INSUMOS!D199</f>
        <v>20857.13</v>
      </c>
      <c r="F119" s="79">
        <f t="shared" si="4"/>
        <v>2085.7130000000002</v>
      </c>
    </row>
    <row r="120" spans="1:19">
      <c r="A120" s="749"/>
      <c r="B120" s="165" t="s">
        <v>136</v>
      </c>
      <c r="C120" s="77" t="s">
        <v>68</v>
      </c>
      <c r="D120" s="78">
        <v>0.03</v>
      </c>
      <c r="E120" s="79">
        <f>F108+F109+F110+F111+F112+F113+F116+F117+F118+F119+F115</f>
        <v>450439.58689999994</v>
      </c>
      <c r="F120" s="79">
        <f t="shared" si="4"/>
        <v>13513.187606999998</v>
      </c>
    </row>
    <row r="121" spans="1:19">
      <c r="A121" s="749"/>
      <c r="B121" s="165" t="s">
        <v>11</v>
      </c>
      <c r="C121" s="77" t="s">
        <v>284</v>
      </c>
      <c r="D121" s="78">
        <v>0.03</v>
      </c>
      <c r="E121" s="79">
        <f>+F122</f>
        <v>182940.08596298631</v>
      </c>
      <c r="F121" s="79">
        <f>(D121*E121)</f>
        <v>5488.2025788895889</v>
      </c>
    </row>
    <row r="122" spans="1:19">
      <c r="A122" s="749"/>
      <c r="B122" s="165" t="s">
        <v>9</v>
      </c>
      <c r="C122" s="77" t="s">
        <v>10</v>
      </c>
      <c r="D122" s="78">
        <v>7</v>
      </c>
      <c r="E122" s="79">
        <f>'VALOR CUADRILLAS MO'!D75</f>
        <v>26134.297994712331</v>
      </c>
      <c r="F122" s="79">
        <f>+D122*E122</f>
        <v>182940.08596298631</v>
      </c>
    </row>
    <row r="123" spans="1:19">
      <c r="A123" s="749"/>
      <c r="B123" s="165"/>
      <c r="C123" s="77"/>
      <c r="D123" s="78"/>
      <c r="E123" s="79"/>
      <c r="F123" s="79"/>
    </row>
    <row r="124" spans="1:19" ht="20.100000000000001" customHeight="1">
      <c r="A124" s="719">
        <v>4.3</v>
      </c>
      <c r="B124" s="83" t="s">
        <v>2968</v>
      </c>
      <c r="C124" s="76" t="s">
        <v>26</v>
      </c>
      <c r="D124" s="73"/>
      <c r="E124" s="74"/>
      <c r="F124" s="75">
        <f>ROUND(SUM(F125:F133),0)</f>
        <v>101742</v>
      </c>
      <c r="I124" s="66"/>
      <c r="O124" s="83"/>
      <c r="P124" s="76"/>
      <c r="Q124" s="73"/>
      <c r="R124" s="74"/>
      <c r="S124" s="75"/>
    </row>
    <row r="125" spans="1:19">
      <c r="A125" s="749"/>
      <c r="B125" s="165" t="s">
        <v>96</v>
      </c>
      <c r="C125" s="77" t="s">
        <v>26</v>
      </c>
      <c r="D125" s="78">
        <v>0.5</v>
      </c>
      <c r="E125" s="79">
        <f>+INSUMOS!D67</f>
        <v>21323.61</v>
      </c>
      <c r="F125" s="79">
        <f t="shared" ref="F125:F131" si="5">+D125*E125</f>
        <v>10661.805</v>
      </c>
      <c r="O125" s="36"/>
      <c r="P125" s="77"/>
      <c r="Q125" s="78"/>
      <c r="R125" s="79"/>
      <c r="S125" s="79"/>
    </row>
    <row r="126" spans="1:19">
      <c r="A126" s="749"/>
      <c r="B126" s="165" t="s">
        <v>44</v>
      </c>
      <c r="C126" s="77" t="s">
        <v>21</v>
      </c>
      <c r="D126" s="78">
        <v>1.6</v>
      </c>
      <c r="E126" s="79">
        <f>+INSUMOS!D68</f>
        <v>23460.85</v>
      </c>
      <c r="F126" s="79">
        <f t="shared" si="5"/>
        <v>37537.360000000001</v>
      </c>
      <c r="O126" s="36"/>
      <c r="P126" s="77"/>
      <c r="Q126" s="78"/>
      <c r="R126" s="79"/>
      <c r="S126" s="79"/>
    </row>
    <row r="127" spans="1:19">
      <c r="A127" s="749"/>
      <c r="B127" s="165" t="s">
        <v>97</v>
      </c>
      <c r="C127" s="77" t="s">
        <v>26</v>
      </c>
      <c r="D127" s="78">
        <v>1</v>
      </c>
      <c r="E127" s="79">
        <f>+INSUMOS!D69</f>
        <v>13552</v>
      </c>
      <c r="F127" s="79">
        <f t="shared" si="5"/>
        <v>13552</v>
      </c>
      <c r="O127" s="36"/>
      <c r="P127" s="77"/>
      <c r="Q127" s="78"/>
      <c r="R127" s="79"/>
      <c r="S127" s="79"/>
    </row>
    <row r="128" spans="1:19">
      <c r="A128" s="749"/>
      <c r="B128" s="165" t="s">
        <v>39</v>
      </c>
      <c r="C128" s="77" t="s">
        <v>26</v>
      </c>
      <c r="D128" s="78">
        <v>0.08</v>
      </c>
      <c r="E128" s="79">
        <f>+INSUMOS!D73</f>
        <v>94253.95</v>
      </c>
      <c r="F128" s="79">
        <f t="shared" si="5"/>
        <v>7540.3159999999998</v>
      </c>
      <c r="O128" s="36"/>
      <c r="P128" s="77"/>
      <c r="Q128" s="78"/>
      <c r="R128" s="79"/>
      <c r="S128" s="79"/>
    </row>
    <row r="129" spans="1:19">
      <c r="A129" s="749"/>
      <c r="B129" s="165" t="s">
        <v>0</v>
      </c>
      <c r="C129" s="77" t="s">
        <v>26</v>
      </c>
      <c r="D129" s="78">
        <v>0.08</v>
      </c>
      <c r="E129" s="79">
        <f>+INSUMOS!D74</f>
        <v>45447.29</v>
      </c>
      <c r="F129" s="79">
        <f t="shared" si="5"/>
        <v>3635.7832000000003</v>
      </c>
      <c r="O129" s="36"/>
      <c r="P129" s="77"/>
      <c r="Q129" s="78"/>
      <c r="R129" s="79"/>
      <c r="S129" s="79"/>
    </row>
    <row r="130" spans="1:19">
      <c r="A130" s="749"/>
      <c r="B130" s="165" t="s">
        <v>229</v>
      </c>
      <c r="C130" s="77" t="s">
        <v>68</v>
      </c>
      <c r="D130" s="78">
        <v>0.05</v>
      </c>
      <c r="E130" s="79">
        <f>SUM(F125:F129)</f>
        <v>72927.264200000005</v>
      </c>
      <c r="F130" s="79">
        <f t="shared" si="5"/>
        <v>3646.3632100000004</v>
      </c>
      <c r="H130" s="59"/>
      <c r="O130" s="36"/>
      <c r="P130" s="77"/>
      <c r="Q130" s="78"/>
      <c r="R130" s="79"/>
      <c r="S130" s="79"/>
    </row>
    <row r="131" spans="1:19">
      <c r="A131" s="749"/>
      <c r="B131" s="165" t="s">
        <v>136</v>
      </c>
      <c r="C131" s="77" t="s">
        <v>68</v>
      </c>
      <c r="D131" s="78"/>
      <c r="E131" s="79">
        <f>SUM(F125:F130)</f>
        <v>76573.627410000001</v>
      </c>
      <c r="F131" s="79">
        <f t="shared" si="5"/>
        <v>0</v>
      </c>
      <c r="H131" s="59"/>
      <c r="O131" s="36"/>
      <c r="P131" s="77"/>
      <c r="Q131" s="78"/>
      <c r="R131" s="79"/>
      <c r="S131" s="79"/>
    </row>
    <row r="132" spans="1:19">
      <c r="A132" s="749"/>
      <c r="B132" s="165" t="s">
        <v>11</v>
      </c>
      <c r="C132" s="77" t="s">
        <v>284</v>
      </c>
      <c r="D132" s="78">
        <v>0.03</v>
      </c>
      <c r="E132" s="79">
        <f>+F133</f>
        <v>24435.568625056028</v>
      </c>
      <c r="F132" s="79">
        <f>(D132*E132)</f>
        <v>733.06705875168086</v>
      </c>
      <c r="O132" s="36"/>
      <c r="P132" s="77"/>
      <c r="Q132" s="78"/>
      <c r="R132" s="79"/>
      <c r="S132" s="79"/>
    </row>
    <row r="133" spans="1:19">
      <c r="A133" s="749"/>
      <c r="B133" s="165" t="s">
        <v>38</v>
      </c>
      <c r="C133" s="77" t="s">
        <v>10</v>
      </c>
      <c r="D133" s="78">
        <v>0.85</v>
      </c>
      <c r="E133" s="79">
        <f>+'VALOR CUADRILLAS MO'!D89</f>
        <v>28747.727794183564</v>
      </c>
      <c r="F133" s="79">
        <f>+D133*E133</f>
        <v>24435.568625056028</v>
      </c>
    </row>
    <row r="134" spans="1:19">
      <c r="B134" s="165"/>
      <c r="C134" s="77"/>
      <c r="D134" s="78"/>
      <c r="E134" s="79"/>
      <c r="F134" s="79"/>
    </row>
    <row r="135" spans="1:19" ht="19.899999999999999" customHeight="1">
      <c r="A135" s="719">
        <v>4.4000000000000004</v>
      </c>
      <c r="B135" s="83" t="s">
        <v>2969</v>
      </c>
      <c r="C135" s="76" t="s">
        <v>26</v>
      </c>
      <c r="D135" s="73"/>
      <c r="E135" s="74"/>
      <c r="F135" s="75">
        <f>ROUND(SUM(F136:F144),0)</f>
        <v>62115</v>
      </c>
    </row>
    <row r="136" spans="1:19">
      <c r="A136" s="749"/>
      <c r="B136" s="165" t="s">
        <v>39</v>
      </c>
      <c r="C136" s="77" t="s">
        <v>26</v>
      </c>
      <c r="D136" s="78">
        <v>0.04</v>
      </c>
      <c r="E136" s="79">
        <f>+INSUMOS!D73</f>
        <v>94253.95</v>
      </c>
      <c r="F136" s="79">
        <f t="shared" ref="F136:F142" si="6">+D136*E136</f>
        <v>3770.1579999999999</v>
      </c>
    </row>
    <row r="137" spans="1:19">
      <c r="A137" s="749"/>
      <c r="B137" s="165" t="s">
        <v>0</v>
      </c>
      <c r="C137" s="77" t="s">
        <v>26</v>
      </c>
      <c r="D137" s="78">
        <v>0.04</v>
      </c>
      <c r="E137" s="79">
        <f>+INSUMOS!D74</f>
        <v>45447.29</v>
      </c>
      <c r="F137" s="79">
        <f t="shared" si="6"/>
        <v>1817.8916000000002</v>
      </c>
    </row>
    <row r="138" spans="1:19">
      <c r="A138" s="749"/>
      <c r="B138" s="165" t="s">
        <v>2456</v>
      </c>
      <c r="C138" s="77" t="s">
        <v>26</v>
      </c>
      <c r="D138" s="78">
        <v>2</v>
      </c>
      <c r="E138" s="79">
        <f>+INSUMOS!D78</f>
        <v>3297</v>
      </c>
      <c r="F138" s="79">
        <f t="shared" si="6"/>
        <v>6594</v>
      </c>
    </row>
    <row r="139" spans="1:19">
      <c r="A139" s="749"/>
      <c r="B139" s="165" t="s">
        <v>41</v>
      </c>
      <c r="C139" s="77" t="s">
        <v>21</v>
      </c>
      <c r="D139" s="78">
        <v>2</v>
      </c>
      <c r="E139" s="79">
        <f>+INSUMOS!D75</f>
        <v>11159.026666666667</v>
      </c>
      <c r="F139" s="79">
        <f t="shared" si="6"/>
        <v>22318.053333333333</v>
      </c>
    </row>
    <row r="140" spans="1:19">
      <c r="A140" s="749"/>
      <c r="B140" s="165" t="s">
        <v>42</v>
      </c>
      <c r="C140" s="77" t="s">
        <v>26</v>
      </c>
      <c r="D140" s="78">
        <v>0.5</v>
      </c>
      <c r="E140" s="79">
        <f>+INSUMOS!D76</f>
        <v>7013.86</v>
      </c>
      <c r="F140" s="79">
        <f t="shared" si="6"/>
        <v>3506.93</v>
      </c>
    </row>
    <row r="141" spans="1:19">
      <c r="A141" s="749"/>
      <c r="B141" s="165" t="s">
        <v>229</v>
      </c>
      <c r="C141" s="77" t="s">
        <v>68</v>
      </c>
      <c r="D141" s="78">
        <v>0.05</v>
      </c>
      <c r="E141" s="79">
        <f>SUM(F136:F140)</f>
        <v>38007.032933333336</v>
      </c>
      <c r="F141" s="79">
        <f t="shared" si="6"/>
        <v>1900.351646666667</v>
      </c>
    </row>
    <row r="142" spans="1:19">
      <c r="A142" s="749"/>
      <c r="B142" s="165" t="s">
        <v>136</v>
      </c>
      <c r="C142" s="77" t="s">
        <v>68</v>
      </c>
      <c r="D142" s="78"/>
      <c r="E142" s="79">
        <f>SUM(F136:F141)</f>
        <v>39907.384580000005</v>
      </c>
      <c r="F142" s="79">
        <f t="shared" si="6"/>
        <v>0</v>
      </c>
    </row>
    <row r="143" spans="1:19">
      <c r="A143" s="749"/>
      <c r="B143" s="165" t="s">
        <v>11</v>
      </c>
      <c r="C143" s="77" t="s">
        <v>284</v>
      </c>
      <c r="D143" s="78">
        <v>0.03</v>
      </c>
      <c r="E143" s="79">
        <f>+F144</f>
        <v>21560.795845637673</v>
      </c>
      <c r="F143" s="79">
        <f>(D143*E143)</f>
        <v>646.82387536913018</v>
      </c>
    </row>
    <row r="144" spans="1:19">
      <c r="A144" s="749"/>
      <c r="B144" s="165" t="s">
        <v>38</v>
      </c>
      <c r="C144" s="77" t="s">
        <v>10</v>
      </c>
      <c r="D144" s="78">
        <v>0.75</v>
      </c>
      <c r="E144" s="79">
        <f>+'VALOR CUADRILLAS MO'!D89</f>
        <v>28747.727794183564</v>
      </c>
      <c r="F144" s="79">
        <f>+D144*E144</f>
        <v>21560.795845637673</v>
      </c>
    </row>
    <row r="145" spans="1:18">
      <c r="A145" s="749"/>
      <c r="B145" s="165"/>
      <c r="C145" s="77"/>
      <c r="D145" s="78"/>
      <c r="E145" s="79"/>
      <c r="F145" s="79"/>
    </row>
    <row r="146" spans="1:18" ht="20.100000000000001" customHeight="1">
      <c r="A146" s="719">
        <v>4.5</v>
      </c>
      <c r="B146" s="83" t="s">
        <v>2970</v>
      </c>
      <c r="C146" s="76" t="s">
        <v>21</v>
      </c>
      <c r="D146" s="73"/>
      <c r="E146" s="74"/>
      <c r="F146" s="75">
        <f>ROUND(SUM(F147:F155),0)</f>
        <v>31519</v>
      </c>
    </row>
    <row r="147" spans="1:18">
      <c r="A147" s="749"/>
      <c r="B147" s="165" t="s">
        <v>155</v>
      </c>
      <c r="C147" s="77" t="s">
        <v>26</v>
      </c>
      <c r="D147" s="78">
        <v>0.16699999999999998</v>
      </c>
      <c r="E147" s="79">
        <f>+INSUMOS!D80</f>
        <v>3559.29</v>
      </c>
      <c r="F147" s="79">
        <f t="shared" ref="F147:F153" si="7">+D147*E147</f>
        <v>594.40142999999989</v>
      </c>
    </row>
    <row r="148" spans="1:18">
      <c r="A148" s="749"/>
      <c r="B148" s="165" t="s">
        <v>39</v>
      </c>
      <c r="C148" s="77" t="s">
        <v>26</v>
      </c>
      <c r="D148" s="78">
        <v>0.01</v>
      </c>
      <c r="E148" s="79">
        <f>+INSUMOS!D73</f>
        <v>94253.95</v>
      </c>
      <c r="F148" s="79">
        <f t="shared" si="7"/>
        <v>942.53949999999998</v>
      </c>
    </row>
    <row r="149" spans="1:18">
      <c r="A149" s="749"/>
      <c r="B149" s="165" t="s">
        <v>0</v>
      </c>
      <c r="C149" s="77" t="s">
        <v>26</v>
      </c>
      <c r="D149" s="78">
        <v>0.01</v>
      </c>
      <c r="E149" s="79">
        <f>+INSUMOS!D74</f>
        <v>45447.29</v>
      </c>
      <c r="F149" s="79">
        <f t="shared" si="7"/>
        <v>454.47290000000004</v>
      </c>
    </row>
    <row r="150" spans="1:18">
      <c r="A150" s="749"/>
      <c r="B150" s="165" t="s">
        <v>156</v>
      </c>
      <c r="C150" s="77" t="s">
        <v>26</v>
      </c>
      <c r="D150" s="78">
        <v>0.01</v>
      </c>
      <c r="E150" s="79">
        <f>+INSUMOS!D86</f>
        <v>7865.9</v>
      </c>
      <c r="F150" s="79">
        <f t="shared" si="7"/>
        <v>78.658999999999992</v>
      </c>
    </row>
    <row r="151" spans="1:18">
      <c r="A151" s="749"/>
      <c r="B151" s="165" t="s">
        <v>157</v>
      </c>
      <c r="C151" s="77" t="s">
        <v>21</v>
      </c>
      <c r="D151" s="78">
        <v>1</v>
      </c>
      <c r="E151" s="79">
        <f>+INSUMOS!D85</f>
        <v>16667.536666666667</v>
      </c>
      <c r="F151" s="79">
        <f t="shared" si="7"/>
        <v>16667.536666666667</v>
      </c>
    </row>
    <row r="152" spans="1:18">
      <c r="A152" s="749"/>
      <c r="B152" s="165" t="s">
        <v>229</v>
      </c>
      <c r="C152" s="77" t="s">
        <v>68</v>
      </c>
      <c r="D152" s="78">
        <v>0.05</v>
      </c>
      <c r="E152" s="79">
        <f>SUM(F147:F151)</f>
        <v>18737.609496666668</v>
      </c>
      <c r="F152" s="79">
        <f t="shared" si="7"/>
        <v>936.88047483333344</v>
      </c>
    </row>
    <row r="153" spans="1:18">
      <c r="A153" s="749"/>
      <c r="B153" s="165" t="s">
        <v>136</v>
      </c>
      <c r="C153" s="77" t="s">
        <v>68</v>
      </c>
      <c r="D153" s="78"/>
      <c r="E153" s="79">
        <f>SUM(F147:F152)</f>
        <v>19674.489971500003</v>
      </c>
      <c r="F153" s="79">
        <f t="shared" si="7"/>
        <v>0</v>
      </c>
    </row>
    <row r="154" spans="1:18">
      <c r="A154" s="749"/>
      <c r="B154" s="165" t="s">
        <v>11</v>
      </c>
      <c r="C154" s="77" t="s">
        <v>284</v>
      </c>
      <c r="D154" s="78">
        <v>0.03</v>
      </c>
      <c r="E154" s="79">
        <f>+F155</f>
        <v>11499.091117673426</v>
      </c>
      <c r="F154" s="79">
        <f>(D154*E154)</f>
        <v>344.97273353020279</v>
      </c>
    </row>
    <row r="155" spans="1:18">
      <c r="A155" s="749"/>
      <c r="B155" s="165" t="s">
        <v>38</v>
      </c>
      <c r="C155" s="77" t="s">
        <v>10</v>
      </c>
      <c r="D155" s="78">
        <v>0.4</v>
      </c>
      <c r="E155" s="79">
        <f>+'VALOR CUADRILLAS MO'!D89</f>
        <v>28747.727794183564</v>
      </c>
      <c r="F155" s="79">
        <f>+D155*E155</f>
        <v>11499.091117673426</v>
      </c>
    </row>
    <row r="156" spans="1:18">
      <c r="A156" s="749"/>
      <c r="B156" s="165"/>
      <c r="C156" s="77"/>
      <c r="D156" s="78"/>
      <c r="E156" s="79"/>
      <c r="F156" s="79"/>
    </row>
    <row r="157" spans="1:18" ht="20.100000000000001" customHeight="1">
      <c r="A157" s="719">
        <v>4.5999999999999996</v>
      </c>
      <c r="B157" s="83" t="s">
        <v>2971</v>
      </c>
      <c r="C157" s="76" t="s">
        <v>21</v>
      </c>
      <c r="D157" s="73"/>
      <c r="E157" s="74"/>
      <c r="F157" s="75">
        <f>ROUND(SUM(F158:F166),0)</f>
        <v>25495</v>
      </c>
    </row>
    <row r="158" spans="1:18">
      <c r="A158" s="749"/>
      <c r="B158" s="165" t="s">
        <v>43</v>
      </c>
      <c r="C158" s="77" t="s">
        <v>26</v>
      </c>
      <c r="D158" s="78">
        <v>0.16699999999999998</v>
      </c>
      <c r="E158" s="79">
        <f>+INSUMOS!D77</f>
        <v>2465.6799999999998</v>
      </c>
      <c r="F158" s="79">
        <f t="shared" ref="F158:F164" si="8">+D158*E158</f>
        <v>411.76855999999992</v>
      </c>
      <c r="O158" s="253" t="s">
        <v>2457</v>
      </c>
      <c r="P158" s="253" t="s">
        <v>2458</v>
      </c>
      <c r="Q158" s="253" t="s">
        <v>2459</v>
      </c>
      <c r="R158" s="253" t="s">
        <v>2460</v>
      </c>
    </row>
    <row r="159" spans="1:18">
      <c r="A159" s="749"/>
      <c r="B159" s="165" t="s">
        <v>39</v>
      </c>
      <c r="C159" s="77" t="s">
        <v>26</v>
      </c>
      <c r="D159" s="78">
        <v>0.01</v>
      </c>
      <c r="E159" s="79">
        <f>+INSUMOS!D73</f>
        <v>94253.95</v>
      </c>
      <c r="F159" s="79">
        <f t="shared" si="8"/>
        <v>942.53949999999998</v>
      </c>
      <c r="O159" s="253">
        <v>2900322</v>
      </c>
      <c r="P159" s="253">
        <v>2</v>
      </c>
      <c r="Q159" s="254">
        <v>60.933</v>
      </c>
      <c r="R159" s="254">
        <v>70.682000000000002</v>
      </c>
    </row>
    <row r="160" spans="1:18">
      <c r="A160" s="749"/>
      <c r="B160" s="165" t="s">
        <v>0</v>
      </c>
      <c r="C160" s="77" t="s">
        <v>26</v>
      </c>
      <c r="D160" s="78">
        <v>0.01</v>
      </c>
      <c r="E160" s="79">
        <f>+INSUMOS!D74</f>
        <v>45447.29</v>
      </c>
      <c r="F160" s="79">
        <f t="shared" si="8"/>
        <v>454.47290000000004</v>
      </c>
      <c r="O160" s="253">
        <v>2900325</v>
      </c>
      <c r="P160" s="253">
        <v>3</v>
      </c>
      <c r="Q160" s="254">
        <v>91.028000000000006</v>
      </c>
      <c r="R160" s="254">
        <v>105.592</v>
      </c>
    </row>
    <row r="161" spans="1:18">
      <c r="A161" s="749"/>
      <c r="B161" s="165" t="s">
        <v>40</v>
      </c>
      <c r="C161" s="77" t="s">
        <v>26</v>
      </c>
      <c r="D161" s="78">
        <v>0.01</v>
      </c>
      <c r="E161" s="79">
        <f>+INSUMOS!D78</f>
        <v>3297</v>
      </c>
      <c r="F161" s="79">
        <f t="shared" si="8"/>
        <v>32.97</v>
      </c>
      <c r="O161" s="253">
        <v>2900329</v>
      </c>
      <c r="P161" s="253">
        <v>4</v>
      </c>
      <c r="Q161" s="254">
        <v>126.85599999999999</v>
      </c>
      <c r="R161" s="254">
        <v>147.15299999999999</v>
      </c>
    </row>
    <row r="162" spans="1:18">
      <c r="A162" s="749"/>
      <c r="B162" s="165" t="s">
        <v>41</v>
      </c>
      <c r="C162" s="77" t="s">
        <v>21</v>
      </c>
      <c r="D162" s="78">
        <v>1</v>
      </c>
      <c r="E162" s="79">
        <f>+INSUMOS!D75</f>
        <v>11159.026666666667</v>
      </c>
      <c r="F162" s="79">
        <f t="shared" si="8"/>
        <v>11159.026666666667</v>
      </c>
      <c r="O162" s="253">
        <v>2900334</v>
      </c>
      <c r="P162" s="253">
        <v>6</v>
      </c>
      <c r="Q162" s="254">
        <v>268.62900000000002</v>
      </c>
      <c r="R162" s="254">
        <v>311.61</v>
      </c>
    </row>
    <row r="163" spans="1:18">
      <c r="A163" s="749"/>
      <c r="B163" s="165" t="s">
        <v>229</v>
      </c>
      <c r="C163" s="77" t="s">
        <v>68</v>
      </c>
      <c r="D163" s="78">
        <v>0.05</v>
      </c>
      <c r="E163" s="79">
        <f>SUM(F158:F162)</f>
        <v>13000.777626666666</v>
      </c>
      <c r="F163" s="79">
        <f t="shared" si="8"/>
        <v>650.03888133333339</v>
      </c>
    </row>
    <row r="164" spans="1:18">
      <c r="A164" s="749"/>
      <c r="B164" s="165" t="s">
        <v>136</v>
      </c>
      <c r="C164" s="77" t="s">
        <v>68</v>
      </c>
      <c r="D164" s="78"/>
      <c r="E164" s="79">
        <f>SUM(F158:F163)</f>
        <v>13650.816508</v>
      </c>
      <c r="F164" s="79">
        <f t="shared" si="8"/>
        <v>0</v>
      </c>
    </row>
    <row r="165" spans="1:18">
      <c r="A165" s="749"/>
      <c r="B165" s="165" t="s">
        <v>11</v>
      </c>
      <c r="C165" s="77" t="s">
        <v>284</v>
      </c>
      <c r="D165" s="78">
        <v>0.03</v>
      </c>
      <c r="E165" s="79">
        <f>+F166</f>
        <v>11499.091117673426</v>
      </c>
      <c r="F165" s="79">
        <f>(D165*E165)</f>
        <v>344.97273353020279</v>
      </c>
    </row>
    <row r="166" spans="1:18">
      <c r="A166" s="749"/>
      <c r="B166" s="165" t="s">
        <v>38</v>
      </c>
      <c r="C166" s="77" t="s">
        <v>10</v>
      </c>
      <c r="D166" s="78">
        <v>0.4</v>
      </c>
      <c r="E166" s="79">
        <f>+'VALOR CUADRILLAS MO'!D89</f>
        <v>28747.727794183564</v>
      </c>
      <c r="F166" s="79">
        <f>+D166*E166</f>
        <v>11499.091117673426</v>
      </c>
    </row>
    <row r="167" spans="1:18">
      <c r="A167" s="749"/>
      <c r="B167" s="165"/>
      <c r="C167" s="77"/>
      <c r="D167" s="78"/>
      <c r="E167" s="79"/>
      <c r="F167" s="79"/>
    </row>
    <row r="168" spans="1:18" ht="20.100000000000001" customHeight="1">
      <c r="A168" s="719">
        <v>4.7</v>
      </c>
      <c r="B168" s="83" t="s">
        <v>2972</v>
      </c>
      <c r="C168" s="76" t="s">
        <v>21</v>
      </c>
      <c r="D168" s="73"/>
      <c r="E168" s="74"/>
      <c r="F168" s="75">
        <f>ROUND(SUM(F169:F177),0)</f>
        <v>42283</v>
      </c>
    </row>
    <row r="169" spans="1:18">
      <c r="A169" s="749"/>
      <c r="B169" s="165" t="s">
        <v>39</v>
      </c>
      <c r="C169" s="77" t="s">
        <v>26</v>
      </c>
      <c r="D169" s="78">
        <v>0.02</v>
      </c>
      <c r="E169" s="79">
        <f>+INSUMOS!D73</f>
        <v>94253.95</v>
      </c>
      <c r="F169" s="79">
        <f t="shared" ref="F169:F175" si="9">+D169*E169</f>
        <v>1885.079</v>
      </c>
    </row>
    <row r="170" spans="1:18">
      <c r="A170" s="749"/>
      <c r="B170" s="165" t="s">
        <v>0</v>
      </c>
      <c r="C170" s="77" t="s">
        <v>26</v>
      </c>
      <c r="D170" s="78">
        <v>0.02</v>
      </c>
      <c r="E170" s="79">
        <f>+INSUMOS!D74</f>
        <v>45447.29</v>
      </c>
      <c r="F170" s="79">
        <f t="shared" si="9"/>
        <v>908.94580000000008</v>
      </c>
    </row>
    <row r="171" spans="1:18">
      <c r="A171" s="749"/>
      <c r="B171" s="165" t="s">
        <v>44</v>
      </c>
      <c r="C171" s="77" t="s">
        <v>21</v>
      </c>
      <c r="D171" s="78">
        <v>1</v>
      </c>
      <c r="E171" s="79">
        <f>+INSUMOS!D68</f>
        <v>23460.85</v>
      </c>
      <c r="F171" s="79">
        <f t="shared" si="9"/>
        <v>23460.85</v>
      </c>
    </row>
    <row r="172" spans="1:18">
      <c r="A172" s="749"/>
      <c r="B172" s="165" t="s">
        <v>45</v>
      </c>
      <c r="C172" s="77" t="s">
        <v>26</v>
      </c>
      <c r="D172" s="78">
        <v>0.01</v>
      </c>
      <c r="E172" s="79">
        <f>+INSUMOS!D70</f>
        <v>13727.84</v>
      </c>
      <c r="F172" s="79">
        <f t="shared" si="9"/>
        <v>137.2784</v>
      </c>
    </row>
    <row r="173" spans="1:18">
      <c r="A173" s="749"/>
      <c r="B173" s="165" t="s">
        <v>46</v>
      </c>
      <c r="C173" s="77" t="s">
        <v>26</v>
      </c>
      <c r="D173" s="78">
        <v>0.16699999999999998</v>
      </c>
      <c r="E173" s="79">
        <f>+INSUMOS!D71</f>
        <v>7109.06</v>
      </c>
      <c r="F173" s="79">
        <f t="shared" si="9"/>
        <v>1187.2130199999999</v>
      </c>
    </row>
    <row r="174" spans="1:18">
      <c r="A174" s="749"/>
      <c r="B174" s="165" t="s">
        <v>229</v>
      </c>
      <c r="C174" s="77" t="s">
        <v>68</v>
      </c>
      <c r="D174" s="78">
        <v>0.05</v>
      </c>
      <c r="E174" s="79">
        <f>SUM(F169:F173)</f>
        <v>27579.366219999996</v>
      </c>
      <c r="F174" s="79">
        <f t="shared" si="9"/>
        <v>1378.9683109999999</v>
      </c>
    </row>
    <row r="175" spans="1:18">
      <c r="A175" s="749"/>
      <c r="B175" s="165" t="s">
        <v>136</v>
      </c>
      <c r="C175" s="77" t="s">
        <v>68</v>
      </c>
      <c r="D175" s="78"/>
      <c r="E175" s="79">
        <f>SUM(F169:F174)</f>
        <v>28958.334530999997</v>
      </c>
      <c r="F175" s="79">
        <f t="shared" si="9"/>
        <v>0</v>
      </c>
    </row>
    <row r="176" spans="1:18">
      <c r="A176" s="749"/>
      <c r="B176" s="165" t="s">
        <v>11</v>
      </c>
      <c r="C176" s="77" t="s">
        <v>284</v>
      </c>
      <c r="D176" s="78">
        <v>0.03</v>
      </c>
      <c r="E176" s="79">
        <f>+F177</f>
        <v>12936.477507382604</v>
      </c>
      <c r="F176" s="79">
        <f>(D176*E176)</f>
        <v>388.09432522147813</v>
      </c>
    </row>
    <row r="177" spans="1:7">
      <c r="A177" s="749"/>
      <c r="B177" s="165" t="s">
        <v>612</v>
      </c>
      <c r="C177" s="77" t="s">
        <v>10</v>
      </c>
      <c r="D177" s="78">
        <v>0.45</v>
      </c>
      <c r="E177" s="79">
        <f>+'VALOR CUADRILLAS MO'!D89</f>
        <v>28747.727794183564</v>
      </c>
      <c r="F177" s="79">
        <f>+D177*E177</f>
        <v>12936.477507382604</v>
      </c>
    </row>
    <row r="178" spans="1:7">
      <c r="A178" s="749"/>
      <c r="B178" s="165"/>
      <c r="C178" s="77"/>
      <c r="D178" s="78"/>
      <c r="E178" s="79"/>
      <c r="F178" s="79"/>
    </row>
    <row r="179" spans="1:7">
      <c r="A179" s="719">
        <v>4.8</v>
      </c>
      <c r="B179" s="83" t="s">
        <v>765</v>
      </c>
      <c r="C179" s="76" t="s">
        <v>21</v>
      </c>
      <c r="D179" s="73"/>
      <c r="E179" s="74"/>
      <c r="F179" s="75">
        <f>ROUND(SUM(F180:F187),0)</f>
        <v>58046</v>
      </c>
    </row>
    <row r="180" spans="1:7">
      <c r="A180" s="529"/>
      <c r="B180" s="165" t="s">
        <v>761</v>
      </c>
      <c r="C180" s="77" t="s">
        <v>21</v>
      </c>
      <c r="D180" s="78">
        <v>1</v>
      </c>
      <c r="E180" s="79">
        <f>INSUMOS!D274</f>
        <v>34038.958333333336</v>
      </c>
      <c r="F180" s="79">
        <f>E180*D180</f>
        <v>34038.958333333336</v>
      </c>
    </row>
    <row r="181" spans="1:7">
      <c r="A181" s="529"/>
      <c r="B181" s="165" t="s">
        <v>609</v>
      </c>
      <c r="C181" s="77" t="s">
        <v>26</v>
      </c>
      <c r="D181" s="78">
        <v>0.33</v>
      </c>
      <c r="E181" s="79">
        <f>INSUMOS!D275</f>
        <v>7695.73</v>
      </c>
      <c r="F181" s="79">
        <f t="shared" ref="F181:F187" si="10">E181*D181</f>
        <v>2539.5909000000001</v>
      </c>
    </row>
    <row r="182" spans="1:7">
      <c r="A182" s="529"/>
      <c r="B182" s="165" t="s">
        <v>610</v>
      </c>
      <c r="C182" s="77" t="s">
        <v>124</v>
      </c>
      <c r="D182" s="80">
        <v>2E-3</v>
      </c>
      <c r="E182" s="79">
        <f>INSUMOS!D276</f>
        <v>94025</v>
      </c>
      <c r="F182" s="79">
        <f t="shared" si="10"/>
        <v>188.05</v>
      </c>
    </row>
    <row r="183" spans="1:7">
      <c r="A183" s="529"/>
      <c r="B183" s="165" t="s">
        <v>611</v>
      </c>
      <c r="C183" s="77" t="s">
        <v>124</v>
      </c>
      <c r="D183" s="80">
        <v>2E-3</v>
      </c>
      <c r="E183" s="79">
        <f>INSUMOS!D277</f>
        <v>92566.84</v>
      </c>
      <c r="F183" s="79">
        <f t="shared" si="10"/>
        <v>185.13368</v>
      </c>
    </row>
    <row r="184" spans="1:7">
      <c r="A184" s="529"/>
      <c r="B184" s="165" t="s">
        <v>229</v>
      </c>
      <c r="C184" s="77" t="s">
        <v>68</v>
      </c>
      <c r="D184" s="78">
        <v>0.05</v>
      </c>
      <c r="E184" s="79">
        <f>F180+F181+F182+F183</f>
        <v>36951.732913333341</v>
      </c>
      <c r="F184" s="79">
        <f t="shared" si="10"/>
        <v>1847.5866456666672</v>
      </c>
    </row>
    <row r="185" spans="1:7">
      <c r="A185" s="529"/>
      <c r="B185" s="165" t="s">
        <v>136</v>
      </c>
      <c r="C185" s="77" t="s">
        <v>68</v>
      </c>
      <c r="D185" s="78"/>
      <c r="E185" s="79">
        <v>36175.340404000002</v>
      </c>
      <c r="F185" s="79">
        <f t="shared" si="10"/>
        <v>0</v>
      </c>
    </row>
    <row r="186" spans="1:7">
      <c r="A186" s="529"/>
      <c r="B186" s="165" t="s">
        <v>11</v>
      </c>
      <c r="C186" s="77" t="s">
        <v>284</v>
      </c>
      <c r="D186" s="78">
        <v>0.03</v>
      </c>
      <c r="E186" s="79">
        <f>F187</f>
        <v>18686.023066219317</v>
      </c>
      <c r="F186" s="79">
        <f t="shared" si="10"/>
        <v>560.5806919865795</v>
      </c>
    </row>
    <row r="187" spans="1:7">
      <c r="A187" s="529"/>
      <c r="B187" s="165" t="s">
        <v>612</v>
      </c>
      <c r="C187" s="77" t="s">
        <v>10</v>
      </c>
      <c r="D187" s="78">
        <v>0.65</v>
      </c>
      <c r="E187" s="79">
        <f>'VALOR CUADRILLAS MO'!D89</f>
        <v>28747.727794183564</v>
      </c>
      <c r="F187" s="79">
        <f t="shared" si="10"/>
        <v>18686.023066219317</v>
      </c>
    </row>
    <row r="188" spans="1:7">
      <c r="A188" s="749"/>
      <c r="B188" s="165"/>
      <c r="C188" s="77"/>
      <c r="D188" s="78"/>
      <c r="E188" s="79"/>
      <c r="F188" s="79"/>
    </row>
    <row r="189" spans="1:7" ht="19.899999999999999" customHeight="1">
      <c r="A189" s="718" t="s">
        <v>399</v>
      </c>
      <c r="B189" s="454" t="s">
        <v>274</v>
      </c>
      <c r="C189" s="455"/>
      <c r="D189" s="456"/>
      <c r="E189" s="457"/>
      <c r="F189" s="457"/>
      <c r="G189" s="245"/>
    </row>
    <row r="190" spans="1:7" ht="19.899999999999999" customHeight="1">
      <c r="A190" s="719">
        <v>5.0999999999999996</v>
      </c>
      <c r="B190" s="83" t="s">
        <v>131</v>
      </c>
      <c r="C190" s="76" t="s">
        <v>119</v>
      </c>
      <c r="D190" s="73"/>
      <c r="E190" s="74"/>
      <c r="F190" s="75">
        <f>ROUND(SUM(F191:F196),0)</f>
        <v>20431</v>
      </c>
      <c r="G190" s="881"/>
    </row>
    <row r="191" spans="1:7" ht="15" customHeight="1">
      <c r="A191" s="749"/>
      <c r="B191" s="165" t="s">
        <v>22</v>
      </c>
      <c r="C191" s="77" t="s">
        <v>12</v>
      </c>
      <c r="D191" s="78">
        <v>0.4</v>
      </c>
      <c r="E191" s="79">
        <f>+BASICOS!D33</f>
        <v>2856</v>
      </c>
      <c r="F191" s="79">
        <f>+D191*E191</f>
        <v>1142.4000000000001</v>
      </c>
      <c r="G191" s="881"/>
    </row>
    <row r="192" spans="1:7" ht="15" customHeight="1">
      <c r="A192" s="749"/>
      <c r="B192" s="165" t="s">
        <v>132</v>
      </c>
      <c r="C192" s="77" t="s">
        <v>121</v>
      </c>
      <c r="D192" s="78">
        <v>0.02</v>
      </c>
      <c r="E192" s="79">
        <f>+BASICOS!E96</f>
        <v>405781</v>
      </c>
      <c r="F192" s="79">
        <f>+D192*E192</f>
        <v>8115.62</v>
      </c>
      <c r="G192" s="881"/>
    </row>
    <row r="193" spans="1:7" ht="15" customHeight="1">
      <c r="A193" s="749"/>
      <c r="B193" s="165" t="s">
        <v>229</v>
      </c>
      <c r="C193" s="77" t="s">
        <v>68</v>
      </c>
      <c r="D193" s="78">
        <v>0.05</v>
      </c>
      <c r="E193" s="79">
        <f>SUM(F192)</f>
        <v>8115.62</v>
      </c>
      <c r="F193" s="79">
        <f>+D193*E193</f>
        <v>405.78100000000001</v>
      </c>
      <c r="G193" s="881"/>
    </row>
    <row r="194" spans="1:7" ht="15" customHeight="1">
      <c r="A194" s="749"/>
      <c r="B194" s="165" t="s">
        <v>136</v>
      </c>
      <c r="C194" s="77" t="s">
        <v>68</v>
      </c>
      <c r="D194" s="78"/>
      <c r="E194" s="79">
        <f>SUM(F191:F193)</f>
        <v>9663.8010000000013</v>
      </c>
      <c r="F194" s="79">
        <f>+D194*E194</f>
        <v>0</v>
      </c>
      <c r="G194" s="881"/>
    </row>
    <row r="195" spans="1:7" ht="15" customHeight="1">
      <c r="A195" s="749"/>
      <c r="B195" s="165" t="s">
        <v>11</v>
      </c>
      <c r="C195" s="77" t="s">
        <v>284</v>
      </c>
      <c r="D195" s="78">
        <v>0.03</v>
      </c>
      <c r="E195" s="79">
        <f>+F196</f>
        <v>10453.719197884933</v>
      </c>
      <c r="F195" s="79">
        <f>(D195*E195)</f>
        <v>313.61157593654798</v>
      </c>
      <c r="G195" s="881"/>
    </row>
    <row r="196" spans="1:7" ht="15" customHeight="1">
      <c r="A196" s="749"/>
      <c r="B196" s="165" t="s">
        <v>9</v>
      </c>
      <c r="C196" s="77" t="s">
        <v>10</v>
      </c>
      <c r="D196" s="78">
        <v>0.4</v>
      </c>
      <c r="E196" s="79">
        <f>+'VALOR CUADRILLAS MO'!D75</f>
        <v>26134.297994712331</v>
      </c>
      <c r="F196" s="79">
        <f>+D196*E196</f>
        <v>10453.719197884933</v>
      </c>
      <c r="G196" s="881"/>
    </row>
    <row r="197" spans="1:7" ht="15" customHeight="1">
      <c r="A197" s="749"/>
      <c r="B197" s="165"/>
      <c r="C197" s="77"/>
      <c r="D197" s="78"/>
      <c r="E197" s="79"/>
      <c r="F197" s="79"/>
      <c r="G197" s="881"/>
    </row>
    <row r="198" spans="1:7" ht="15" customHeight="1">
      <c r="A198" s="719">
        <v>5.2</v>
      </c>
      <c r="B198" s="83" t="s">
        <v>3505</v>
      </c>
      <c r="C198" s="76" t="s">
        <v>21</v>
      </c>
      <c r="D198" s="73"/>
      <c r="E198" s="74"/>
      <c r="F198" s="75">
        <v>9902</v>
      </c>
      <c r="G198" s="881"/>
    </row>
    <row r="199" spans="1:7" ht="15" customHeight="1">
      <c r="A199" s="882"/>
      <c r="B199" s="165" t="s">
        <v>47</v>
      </c>
      <c r="C199" s="77" t="s">
        <v>121</v>
      </c>
      <c r="D199" s="78">
        <v>1.0000000000000002E-2</v>
      </c>
      <c r="E199" s="79">
        <v>315421</v>
      </c>
      <c r="F199" s="79">
        <v>3154.2100000000005</v>
      </c>
      <c r="G199" s="881"/>
    </row>
    <row r="200" spans="1:7" ht="15" customHeight="1">
      <c r="A200" s="882"/>
      <c r="B200" s="165" t="s">
        <v>229</v>
      </c>
      <c r="C200" s="77" t="s">
        <v>68</v>
      </c>
      <c r="D200" s="78">
        <v>0.05</v>
      </c>
      <c r="E200" s="79">
        <v>3154.2100000000005</v>
      </c>
      <c r="F200" s="79">
        <v>157.71050000000002</v>
      </c>
      <c r="G200" s="881"/>
    </row>
    <row r="201" spans="1:7" ht="15" customHeight="1">
      <c r="A201" s="882"/>
      <c r="B201" s="165" t="s">
        <v>136</v>
      </c>
      <c r="C201" s="77" t="s">
        <v>68</v>
      </c>
      <c r="D201" s="78"/>
      <c r="E201" s="79">
        <v>3311.9205000000006</v>
      </c>
      <c r="F201" s="79">
        <v>0</v>
      </c>
      <c r="G201" s="881"/>
    </row>
    <row r="202" spans="1:7" ht="15" customHeight="1">
      <c r="A202" s="882"/>
      <c r="B202" s="165" t="s">
        <v>22</v>
      </c>
      <c r="C202" s="77" t="s">
        <v>12</v>
      </c>
      <c r="D202" s="78">
        <v>0.4</v>
      </c>
      <c r="E202" s="79">
        <v>1000</v>
      </c>
      <c r="F202" s="79">
        <v>400</v>
      </c>
      <c r="G202" s="881"/>
    </row>
    <row r="203" spans="1:7" ht="15" customHeight="1">
      <c r="A203" s="882"/>
      <c r="B203" s="165" t="s">
        <v>11</v>
      </c>
      <c r="C203" s="77" t="s">
        <v>284</v>
      </c>
      <c r="D203" s="78">
        <v>0.03</v>
      </c>
      <c r="E203" s="79">
        <v>6009.6267068540546</v>
      </c>
      <c r="F203" s="79">
        <v>180.28880120562164</v>
      </c>
      <c r="G203" s="881"/>
    </row>
    <row r="204" spans="1:7" ht="15" customHeight="1">
      <c r="A204" s="882"/>
      <c r="B204" s="165" t="s">
        <v>9</v>
      </c>
      <c r="C204" s="77" t="s">
        <v>10</v>
      </c>
      <c r="D204" s="78">
        <v>0.23799999999999999</v>
      </c>
      <c r="E204" s="79">
        <v>25250.532381739726</v>
      </c>
      <c r="F204" s="79">
        <v>6009.6267068540546</v>
      </c>
      <c r="G204" s="881"/>
    </row>
    <row r="205" spans="1:7" ht="15" customHeight="1">
      <c r="A205" s="882"/>
      <c r="B205" s="165"/>
      <c r="C205" s="77"/>
      <c r="D205" s="78"/>
      <c r="E205" s="79"/>
      <c r="F205" s="79"/>
      <c r="G205" s="881"/>
    </row>
    <row r="206" spans="1:7" ht="15" customHeight="1">
      <c r="A206" s="719">
        <v>5.3</v>
      </c>
      <c r="B206" s="83" t="s">
        <v>3506</v>
      </c>
      <c r="C206" s="76" t="s">
        <v>21</v>
      </c>
      <c r="D206" s="73"/>
      <c r="E206" s="74"/>
      <c r="F206" s="75">
        <v>4132</v>
      </c>
      <c r="G206" s="881"/>
    </row>
    <row r="207" spans="1:7" ht="15" customHeight="1">
      <c r="A207" s="882"/>
      <c r="B207" s="165" t="s">
        <v>47</v>
      </c>
      <c r="C207" s="77" t="s">
        <v>121</v>
      </c>
      <c r="D207" s="80">
        <v>4.1999999999999997E-3</v>
      </c>
      <c r="E207" s="79">
        <v>315421</v>
      </c>
      <c r="F207" s="79">
        <v>1324.7682</v>
      </c>
      <c r="G207" s="881"/>
    </row>
    <row r="208" spans="1:7" ht="15" customHeight="1">
      <c r="A208" s="783"/>
      <c r="B208" s="165" t="s">
        <v>229</v>
      </c>
      <c r="C208" s="77" t="s">
        <v>68</v>
      </c>
      <c r="D208" s="78">
        <v>0.05</v>
      </c>
      <c r="E208" s="79">
        <v>1324.7682</v>
      </c>
      <c r="F208" s="79">
        <v>66.238410000000002</v>
      </c>
      <c r="G208" s="881"/>
    </row>
    <row r="209" spans="1:7" ht="15" customHeight="1">
      <c r="A209" s="783"/>
      <c r="B209" s="165" t="s">
        <v>136</v>
      </c>
      <c r="C209" s="77" t="s">
        <v>68</v>
      </c>
      <c r="D209" s="78"/>
      <c r="E209" s="79">
        <v>1391.0066099999999</v>
      </c>
      <c r="F209" s="79">
        <v>0</v>
      </c>
      <c r="G209" s="881"/>
    </row>
    <row r="210" spans="1:7" ht="15" customHeight="1">
      <c r="A210" s="783"/>
      <c r="B210" s="165" t="s">
        <v>22</v>
      </c>
      <c r="C210" s="77" t="s">
        <v>12</v>
      </c>
      <c r="D210" s="78">
        <v>0.4</v>
      </c>
      <c r="E210" s="79">
        <v>1000</v>
      </c>
      <c r="F210" s="79">
        <v>400</v>
      </c>
      <c r="G210" s="881"/>
    </row>
    <row r="211" spans="1:7" ht="15" customHeight="1">
      <c r="A211" s="783"/>
      <c r="B211" s="165" t="s">
        <v>11</v>
      </c>
      <c r="C211" s="77" t="s">
        <v>284</v>
      </c>
      <c r="D211" s="78">
        <v>0.03</v>
      </c>
      <c r="E211" s="79">
        <v>2272.5479143565753</v>
      </c>
      <c r="F211" s="79">
        <v>68.176437430697263</v>
      </c>
      <c r="G211" s="881"/>
    </row>
    <row r="212" spans="1:7" ht="15" customHeight="1">
      <c r="A212" s="783"/>
      <c r="B212" s="165" t="s">
        <v>9</v>
      </c>
      <c r="C212" s="77" t="s">
        <v>10</v>
      </c>
      <c r="D212" s="78">
        <v>0.09</v>
      </c>
      <c r="E212" s="79">
        <v>25250.532381739726</v>
      </c>
      <c r="F212" s="79">
        <v>2272.5479143565753</v>
      </c>
      <c r="G212" s="881"/>
    </row>
    <row r="213" spans="1:7" ht="15" customHeight="1">
      <c r="A213" s="749"/>
      <c r="B213" s="165"/>
      <c r="C213" s="77"/>
      <c r="D213" s="78"/>
      <c r="E213" s="79"/>
      <c r="F213" s="79"/>
      <c r="G213" s="881"/>
    </row>
    <row r="214" spans="1:7" ht="27" customHeight="1">
      <c r="A214" s="719">
        <v>5.4</v>
      </c>
      <c r="B214" s="83" t="s">
        <v>3089</v>
      </c>
      <c r="C214" s="76" t="s">
        <v>138</v>
      </c>
      <c r="D214" s="73"/>
      <c r="E214" s="74"/>
      <c r="F214" s="75">
        <f>ROUND(SUM(F215:F221),0)</f>
        <v>16437</v>
      </c>
    </row>
    <row r="215" spans="1:7">
      <c r="A215" s="749"/>
      <c r="B215" s="165" t="s">
        <v>3087</v>
      </c>
      <c r="C215" s="77" t="s">
        <v>26</v>
      </c>
      <c r="D215" s="78">
        <v>8</v>
      </c>
      <c r="E215" s="79">
        <f>+BASICOS!D19</f>
        <v>400</v>
      </c>
      <c r="F215" s="79">
        <f>+D215*E215</f>
        <v>3200</v>
      </c>
    </row>
    <row r="216" spans="1:7">
      <c r="A216" s="749"/>
      <c r="B216" s="165" t="s">
        <v>47</v>
      </c>
      <c r="C216" s="77" t="s">
        <v>121</v>
      </c>
      <c r="D216" s="78">
        <v>5.1999999999999998E-3</v>
      </c>
      <c r="E216" s="79">
        <f>+BASICOS!E80</f>
        <v>318331</v>
      </c>
      <c r="F216" s="79">
        <f>+D216*E216</f>
        <v>1655.3211999999999</v>
      </c>
    </row>
    <row r="217" spans="1:7">
      <c r="A217" s="749"/>
      <c r="B217" s="165" t="s">
        <v>229</v>
      </c>
      <c r="C217" s="77" t="s">
        <v>68</v>
      </c>
      <c r="D217" s="78">
        <v>0.05</v>
      </c>
      <c r="E217" s="79">
        <f>SUM(F215:F216)</f>
        <v>4855.3212000000003</v>
      </c>
      <c r="F217" s="79">
        <f>+D217*E217</f>
        <v>242.76606000000004</v>
      </c>
    </row>
    <row r="218" spans="1:7">
      <c r="A218" s="749"/>
      <c r="B218" s="165" t="s">
        <v>136</v>
      </c>
      <c r="C218" s="77" t="s">
        <v>68</v>
      </c>
      <c r="D218" s="78"/>
      <c r="E218" s="79">
        <f>SUM(F215:F217)</f>
        <v>5098.0872600000002</v>
      </c>
      <c r="F218" s="79">
        <f>+D218*E218</f>
        <v>0</v>
      </c>
    </row>
    <row r="219" spans="1:7">
      <c r="A219" s="749"/>
      <c r="B219" s="165" t="s">
        <v>22</v>
      </c>
      <c r="C219" s="77" t="s">
        <v>12</v>
      </c>
      <c r="D219" s="78">
        <v>0.2</v>
      </c>
      <c r="E219" s="79">
        <f>+BASICOS!D33</f>
        <v>2856</v>
      </c>
      <c r="F219" s="79">
        <f>+D219*E219</f>
        <v>571.20000000000005</v>
      </c>
    </row>
    <row r="220" spans="1:7">
      <c r="A220" s="749"/>
      <c r="B220" s="165" t="s">
        <v>11</v>
      </c>
      <c r="C220" s="77" t="s">
        <v>284</v>
      </c>
      <c r="D220" s="78">
        <v>0.03</v>
      </c>
      <c r="E220" s="79">
        <f>+F221</f>
        <v>10453.719197884933</v>
      </c>
      <c r="F220" s="79">
        <f>(D220*E220)</f>
        <v>313.61157593654798</v>
      </c>
    </row>
    <row r="221" spans="1:7">
      <c r="A221" s="749"/>
      <c r="B221" s="165" t="s">
        <v>9</v>
      </c>
      <c r="C221" s="77" t="s">
        <v>10</v>
      </c>
      <c r="D221" s="78">
        <v>0.4</v>
      </c>
      <c r="E221" s="79">
        <f>+'VALOR CUADRILLAS MO'!D75</f>
        <v>26134.297994712331</v>
      </c>
      <c r="F221" s="79">
        <f>+D221*E221</f>
        <v>10453.719197884933</v>
      </c>
    </row>
    <row r="222" spans="1:7">
      <c r="A222" s="749"/>
      <c r="B222" s="165"/>
      <c r="C222" s="77"/>
      <c r="D222" s="78"/>
      <c r="E222" s="79"/>
      <c r="F222" s="79"/>
    </row>
    <row r="223" spans="1:7" ht="20.100000000000001" customHeight="1">
      <c r="A223" s="719">
        <v>5.5</v>
      </c>
      <c r="B223" s="83" t="s">
        <v>3441</v>
      </c>
      <c r="C223" s="76" t="s">
        <v>26</v>
      </c>
      <c r="D223" s="73"/>
      <c r="E223" s="74"/>
      <c r="F223" s="75">
        <f>ROUND(SUM(F224:F229),0)</f>
        <v>41503</v>
      </c>
    </row>
    <row r="224" spans="1:7">
      <c r="A224" s="749"/>
      <c r="B224" s="165" t="s">
        <v>34</v>
      </c>
      <c r="C224" s="77" t="s">
        <v>26</v>
      </c>
      <c r="D224" s="78">
        <v>23</v>
      </c>
      <c r="E224" s="79">
        <f>+BASICOS!D19</f>
        <v>400</v>
      </c>
      <c r="F224" s="79">
        <f t="shared" ref="F224:F227" si="11">+D224*E224</f>
        <v>9200</v>
      </c>
    </row>
    <row r="225" spans="1:7">
      <c r="A225" s="749"/>
      <c r="B225" s="165" t="s">
        <v>47</v>
      </c>
      <c r="C225" s="77" t="s">
        <v>121</v>
      </c>
      <c r="D225" s="78">
        <v>5.5E-2</v>
      </c>
      <c r="E225" s="79">
        <f>+BASICOS!E80</f>
        <v>318331</v>
      </c>
      <c r="F225" s="79">
        <f t="shared" si="11"/>
        <v>17508.205000000002</v>
      </c>
    </row>
    <row r="226" spans="1:7">
      <c r="A226" s="749"/>
      <c r="B226" s="165" t="s">
        <v>229</v>
      </c>
      <c r="C226" s="77" t="s">
        <v>68</v>
      </c>
      <c r="D226" s="78">
        <v>0.05</v>
      </c>
      <c r="E226" s="79">
        <f>SUM(F224:F225)</f>
        <v>26708.205000000002</v>
      </c>
      <c r="F226" s="79">
        <f t="shared" si="11"/>
        <v>1335.4102500000001</v>
      </c>
    </row>
    <row r="227" spans="1:7">
      <c r="A227" s="749"/>
      <c r="B227" s="165" t="s">
        <v>136</v>
      </c>
      <c r="C227" s="77" t="s">
        <v>68</v>
      </c>
      <c r="D227" s="78"/>
      <c r="E227" s="79">
        <f>SUM(F224:F226)</f>
        <v>28043.615250000003</v>
      </c>
      <c r="F227" s="79">
        <f t="shared" si="11"/>
        <v>0</v>
      </c>
    </row>
    <row r="228" spans="1:7">
      <c r="A228" s="749"/>
      <c r="B228" s="165" t="s">
        <v>11</v>
      </c>
      <c r="C228" s="77" t="s">
        <v>284</v>
      </c>
      <c r="D228" s="78">
        <v>0.03</v>
      </c>
      <c r="E228" s="79">
        <f>+F229</f>
        <v>13067.148997356166</v>
      </c>
      <c r="F228" s="79">
        <f>(D228*E228)</f>
        <v>392.01446992068497</v>
      </c>
    </row>
    <row r="229" spans="1:7">
      <c r="A229" s="749"/>
      <c r="B229" s="165" t="s">
        <v>9</v>
      </c>
      <c r="C229" s="77" t="s">
        <v>10</v>
      </c>
      <c r="D229" s="78">
        <v>0.5</v>
      </c>
      <c r="E229" s="79">
        <f>+'VALOR CUADRILLAS MO'!D75</f>
        <v>26134.297994712331</v>
      </c>
      <c r="F229" s="79">
        <f>+D229*E229</f>
        <v>13067.148997356166</v>
      </c>
    </row>
    <row r="230" spans="1:7">
      <c r="A230" s="749"/>
      <c r="B230" s="165"/>
      <c r="C230" s="77"/>
      <c r="D230" s="268"/>
      <c r="E230" s="79"/>
      <c r="F230" s="79"/>
    </row>
    <row r="231" spans="1:7" ht="25.5">
      <c r="A231" s="719">
        <v>5.6</v>
      </c>
      <c r="B231" s="83" t="s">
        <v>3507</v>
      </c>
      <c r="C231" s="76" t="s">
        <v>119</v>
      </c>
      <c r="D231" s="73"/>
      <c r="E231" s="74"/>
      <c r="F231" s="75">
        <v>93816</v>
      </c>
    </row>
    <row r="232" spans="1:7">
      <c r="A232" s="783"/>
      <c r="B232" s="165" t="s">
        <v>3087</v>
      </c>
      <c r="C232" s="77" t="s">
        <v>26</v>
      </c>
      <c r="D232" s="78">
        <v>76</v>
      </c>
      <c r="E232" s="79">
        <v>700</v>
      </c>
      <c r="F232" s="79">
        <v>53200</v>
      </c>
    </row>
    <row r="233" spans="1:7">
      <c r="A233" s="783"/>
      <c r="B233" s="165" t="s">
        <v>47</v>
      </c>
      <c r="C233" s="77" t="s">
        <v>121</v>
      </c>
      <c r="D233" s="78">
        <v>6.0600000000000001E-2</v>
      </c>
      <c r="E233" s="79">
        <v>315421</v>
      </c>
      <c r="F233" s="79">
        <v>19114.512600000002</v>
      </c>
    </row>
    <row r="234" spans="1:7">
      <c r="A234" s="783"/>
      <c r="B234" s="165" t="s">
        <v>229</v>
      </c>
      <c r="C234" s="77" t="s">
        <v>68</v>
      </c>
      <c r="D234" s="78">
        <v>0.05</v>
      </c>
      <c r="E234" s="79">
        <v>72314.512600000002</v>
      </c>
      <c r="F234" s="79">
        <v>3615.7256300000004</v>
      </c>
    </row>
    <row r="235" spans="1:7">
      <c r="A235" s="783"/>
      <c r="B235" s="165" t="s">
        <v>136</v>
      </c>
      <c r="C235" s="77" t="s">
        <v>68</v>
      </c>
      <c r="D235" s="78"/>
      <c r="E235" s="79">
        <v>75930.238230000003</v>
      </c>
      <c r="F235" s="79">
        <v>0</v>
      </c>
    </row>
    <row r="236" spans="1:7">
      <c r="A236" s="783"/>
      <c r="B236" s="165" t="s">
        <v>22</v>
      </c>
      <c r="C236" s="77" t="s">
        <v>12</v>
      </c>
      <c r="D236" s="78">
        <v>0.2</v>
      </c>
      <c r="E236" s="79">
        <v>1000</v>
      </c>
      <c r="F236" s="79">
        <v>200</v>
      </c>
    </row>
    <row r="237" spans="1:7">
      <c r="A237" s="783"/>
      <c r="B237" s="165" t="s">
        <v>11</v>
      </c>
      <c r="C237" s="77" t="s">
        <v>284</v>
      </c>
      <c r="D237" s="78">
        <v>0.03</v>
      </c>
      <c r="E237" s="79">
        <v>17170.362019583015</v>
      </c>
      <c r="F237" s="79">
        <v>515.11086058749049</v>
      </c>
    </row>
    <row r="238" spans="1:7">
      <c r="A238" s="783"/>
      <c r="B238" s="165" t="s">
        <v>9</v>
      </c>
      <c r="C238" s="77" t="s">
        <v>10</v>
      </c>
      <c r="D238" s="78">
        <v>0.68</v>
      </c>
      <c r="E238" s="79">
        <v>25250.532381739726</v>
      </c>
      <c r="F238" s="79">
        <v>17170.362019583015</v>
      </c>
    </row>
    <row r="239" spans="1:7">
      <c r="A239" s="783"/>
      <c r="B239" s="165"/>
      <c r="C239" s="77"/>
      <c r="D239" s="78"/>
      <c r="E239" s="79"/>
      <c r="F239" s="79"/>
    </row>
    <row r="240" spans="1:7" ht="19.899999999999999" customHeight="1">
      <c r="A240" s="718" t="s">
        <v>400</v>
      </c>
      <c r="B240" s="454" t="s">
        <v>273</v>
      </c>
      <c r="C240" s="455"/>
      <c r="D240" s="456"/>
      <c r="E240" s="457"/>
      <c r="F240" s="457"/>
      <c r="G240" s="245"/>
    </row>
    <row r="241" spans="1:7" ht="24" customHeight="1">
      <c r="A241" s="854">
        <v>6.1</v>
      </c>
      <c r="B241" s="729" t="s">
        <v>3442</v>
      </c>
      <c r="C241" s="730" t="s">
        <v>26</v>
      </c>
      <c r="D241" s="841"/>
      <c r="E241" s="732"/>
      <c r="F241" s="733">
        <f>ROUND(SUM(F242:F249),0)</f>
        <v>10263964</v>
      </c>
      <c r="G241" s="881"/>
    </row>
    <row r="242" spans="1:7" ht="15" customHeight="1">
      <c r="A242" s="842"/>
      <c r="B242" s="843" t="s">
        <v>2636</v>
      </c>
      <c r="C242" s="734" t="s">
        <v>121</v>
      </c>
      <c r="D242" s="844">
        <v>5.12</v>
      </c>
      <c r="E242" s="736">
        <f>BASICOS!E146</f>
        <v>392821</v>
      </c>
      <c r="F242" s="736">
        <f>+D242*E242</f>
        <v>2011243.52</v>
      </c>
      <c r="G242" s="881"/>
    </row>
    <row r="243" spans="1:7" ht="15" customHeight="1">
      <c r="A243" s="842"/>
      <c r="B243" s="843" t="s">
        <v>3443</v>
      </c>
      <c r="C243" s="734" t="s">
        <v>121</v>
      </c>
      <c r="D243" s="844">
        <v>0.17199999999999999</v>
      </c>
      <c r="E243" s="736">
        <f>BASICOS!E80</f>
        <v>318331</v>
      </c>
      <c r="F243" s="736">
        <f>E243*D243</f>
        <v>54752.931999999993</v>
      </c>
      <c r="G243" s="881"/>
    </row>
    <row r="244" spans="1:7" ht="15" customHeight="1">
      <c r="A244" s="842"/>
      <c r="B244" s="843" t="s">
        <v>3444</v>
      </c>
      <c r="C244" s="734" t="s">
        <v>2454</v>
      </c>
      <c r="D244" s="844">
        <v>844</v>
      </c>
      <c r="E244" s="736">
        <f>F261</f>
        <v>7437</v>
      </c>
      <c r="F244" s="736">
        <f>E244*D244</f>
        <v>6276828</v>
      </c>
      <c r="G244" s="881"/>
    </row>
    <row r="245" spans="1:7" ht="15" customHeight="1">
      <c r="A245" s="842"/>
      <c r="B245" s="747" t="s">
        <v>229</v>
      </c>
      <c r="C245" s="734" t="s">
        <v>68</v>
      </c>
      <c r="D245" s="844">
        <v>0.03</v>
      </c>
      <c r="E245" s="736">
        <f>SUM(F242:F244)</f>
        <v>8342824.4519999996</v>
      </c>
      <c r="F245" s="736">
        <f>+D245*E245</f>
        <v>250284.73355999996</v>
      </c>
      <c r="G245" s="881"/>
    </row>
    <row r="246" spans="1:7" ht="15" customHeight="1">
      <c r="A246" s="842"/>
      <c r="B246" s="843" t="s">
        <v>3445</v>
      </c>
      <c r="C246" s="734" t="s">
        <v>121</v>
      </c>
      <c r="D246" s="844">
        <f>D242</f>
        <v>5.12</v>
      </c>
      <c r="E246" s="736">
        <f>BASICOS!E206</f>
        <v>257844</v>
      </c>
      <c r="F246" s="736">
        <f>+D246*E246</f>
        <v>1320161.28</v>
      </c>
      <c r="G246" s="881"/>
    </row>
    <row r="247" spans="1:7" ht="15" customHeight="1">
      <c r="A247" s="842"/>
      <c r="B247" s="843" t="s">
        <v>187</v>
      </c>
      <c r="C247" s="734" t="s">
        <v>12</v>
      </c>
      <c r="D247" s="844">
        <v>0.4</v>
      </c>
      <c r="E247" s="736">
        <f>BASICOS!D42</f>
        <v>136480.47829830134</v>
      </c>
      <c r="F247" s="736">
        <f>+D247*E247</f>
        <v>54592.19131932054</v>
      </c>
      <c r="G247" s="881"/>
    </row>
    <row r="248" spans="1:7" ht="15" customHeight="1">
      <c r="A248" s="842"/>
      <c r="B248" s="843" t="s">
        <v>11</v>
      </c>
      <c r="C248" s="734" t="s">
        <v>284</v>
      </c>
      <c r="D248" s="844">
        <v>0.03</v>
      </c>
      <c r="E248" s="736">
        <f>+F249</f>
        <v>287477.27794183564</v>
      </c>
      <c r="F248" s="736">
        <f>(D248*E248)</f>
        <v>8624.3183382550687</v>
      </c>
      <c r="G248" s="881"/>
    </row>
    <row r="249" spans="1:7" ht="15" customHeight="1">
      <c r="A249" s="842"/>
      <c r="B249" s="843" t="s">
        <v>9</v>
      </c>
      <c r="C249" s="734" t="s">
        <v>10</v>
      </c>
      <c r="D249" s="844">
        <v>11</v>
      </c>
      <c r="E249" s="736">
        <f>'VALOR CUADRILLAS MO'!D75</f>
        <v>26134.297994712331</v>
      </c>
      <c r="F249" s="736">
        <f>+D249*E249</f>
        <v>287477.27794183564</v>
      </c>
      <c r="G249" s="881"/>
    </row>
    <row r="250" spans="1:7" ht="15" customHeight="1">
      <c r="A250" s="842"/>
      <c r="B250" s="843"/>
      <c r="C250" s="734"/>
      <c r="D250" s="844"/>
      <c r="E250" s="736"/>
      <c r="F250" s="736"/>
      <c r="G250" s="881"/>
    </row>
    <row r="251" spans="1:7" ht="21.75" customHeight="1">
      <c r="A251" s="719">
        <v>6.2</v>
      </c>
      <c r="B251" s="83" t="s">
        <v>3446</v>
      </c>
      <c r="C251" s="76" t="s">
        <v>21</v>
      </c>
      <c r="D251" s="73"/>
      <c r="E251" s="74"/>
      <c r="F251" s="75">
        <f>ROUND(SUM(F252:F259),0)</f>
        <v>88777</v>
      </c>
    </row>
    <row r="252" spans="1:7">
      <c r="A252" s="749"/>
      <c r="B252" s="165" t="s">
        <v>2648</v>
      </c>
      <c r="C252" s="77" t="s">
        <v>121</v>
      </c>
      <c r="D252" s="78">
        <v>7.0000000000000007E-2</v>
      </c>
      <c r="E252" s="79">
        <f>+BASICOS!E146</f>
        <v>392821</v>
      </c>
      <c r="F252" s="79">
        <f t="shared" ref="F252:F257" si="12">+D252*E252</f>
        <v>27497.47</v>
      </c>
    </row>
    <row r="253" spans="1:7" ht="13.5" customHeight="1">
      <c r="A253" s="749"/>
      <c r="B253" s="165" t="str">
        <f>BASICOS!A96</f>
        <v>MORTERO 1:4 IMPERMEABILIZADO</v>
      </c>
      <c r="C253" s="845" t="str">
        <f>BASICOS!B96</f>
        <v>M3</v>
      </c>
      <c r="D253" s="78">
        <f>1*0.6*0.02</f>
        <v>1.2E-2</v>
      </c>
      <c r="E253" s="79">
        <f>BASICOS!E96</f>
        <v>405781</v>
      </c>
      <c r="F253" s="79">
        <f t="shared" si="12"/>
        <v>4869.3720000000003</v>
      </c>
    </row>
    <row r="254" spans="1:7">
      <c r="A254" s="749"/>
      <c r="B254" s="165" t="s">
        <v>229</v>
      </c>
      <c r="C254" s="77" t="s">
        <v>68</v>
      </c>
      <c r="D254" s="78">
        <v>0.05</v>
      </c>
      <c r="E254" s="79">
        <f>SUM(F252)</f>
        <v>27497.47</v>
      </c>
      <c r="F254" s="79">
        <f t="shared" si="12"/>
        <v>1374.8735000000001</v>
      </c>
    </row>
    <row r="255" spans="1:7">
      <c r="A255" s="749"/>
      <c r="B255" s="165" t="s">
        <v>136</v>
      </c>
      <c r="C255" s="77" t="s">
        <v>68</v>
      </c>
      <c r="D255" s="78"/>
      <c r="E255" s="79">
        <f>SUM(F252:F254)</f>
        <v>33741.715499999998</v>
      </c>
      <c r="F255" s="79">
        <f t="shared" si="12"/>
        <v>0</v>
      </c>
    </row>
    <row r="256" spans="1:7">
      <c r="A256" s="749"/>
      <c r="B256" s="165" t="s">
        <v>199</v>
      </c>
      <c r="C256" s="77" t="s">
        <v>21</v>
      </c>
      <c r="D256" s="78">
        <v>1</v>
      </c>
      <c r="E256" s="79">
        <f>+BASICOS!E238</f>
        <v>22858</v>
      </c>
      <c r="F256" s="79">
        <f t="shared" si="12"/>
        <v>22858</v>
      </c>
    </row>
    <row r="257" spans="1:23">
      <c r="A257" s="749"/>
      <c r="B257" s="165" t="s">
        <v>187</v>
      </c>
      <c r="C257" s="77" t="s">
        <v>12</v>
      </c>
      <c r="D257" s="78">
        <v>5.0000000000000001E-3</v>
      </c>
      <c r="E257" s="79">
        <f>+BASICOS!D42</f>
        <v>136480.47829830134</v>
      </c>
      <c r="F257" s="79">
        <f t="shared" si="12"/>
        <v>682.40239149150671</v>
      </c>
    </row>
    <row r="258" spans="1:23">
      <c r="A258" s="749"/>
      <c r="B258" s="165" t="s">
        <v>11</v>
      </c>
      <c r="C258" s="77" t="s">
        <v>284</v>
      </c>
      <c r="D258" s="78">
        <v>0.03</v>
      </c>
      <c r="E258" s="79">
        <f>+F259</f>
        <v>30577.128653813426</v>
      </c>
      <c r="F258" s="79">
        <f>(D258*E258)</f>
        <v>917.31385961440276</v>
      </c>
    </row>
    <row r="259" spans="1:23">
      <c r="A259" s="749"/>
      <c r="B259" s="165" t="s">
        <v>9</v>
      </c>
      <c r="C259" s="77" t="s">
        <v>10</v>
      </c>
      <c r="D259" s="78">
        <f>1.17</f>
        <v>1.17</v>
      </c>
      <c r="E259" s="79">
        <f>+'VALOR CUADRILLAS MO'!D75</f>
        <v>26134.297994712331</v>
      </c>
      <c r="F259" s="79">
        <f>+D259*E259</f>
        <v>30577.128653813426</v>
      </c>
    </row>
    <row r="260" spans="1:23">
      <c r="A260" s="749"/>
      <c r="B260" s="165"/>
      <c r="C260" s="77"/>
      <c r="D260" s="78"/>
      <c r="E260" s="79"/>
      <c r="F260" s="79"/>
    </row>
    <row r="261" spans="1:23" ht="20.100000000000001" customHeight="1">
      <c r="A261" s="719">
        <v>6.3</v>
      </c>
      <c r="B261" s="83" t="s">
        <v>80</v>
      </c>
      <c r="C261" s="76" t="s">
        <v>120</v>
      </c>
      <c r="D261" s="73"/>
      <c r="E261" s="74"/>
      <c r="F261" s="75">
        <f>ROUND(SUM(F262:F268),0)</f>
        <v>7437</v>
      </c>
      <c r="I261" s="257"/>
      <c r="O261" s="163"/>
      <c r="P261" s="164"/>
      <c r="Q261" s="299"/>
      <c r="R261" s="300"/>
      <c r="S261" s="301"/>
      <c r="W261" s="3">
        <v>4834</v>
      </c>
    </row>
    <row r="262" spans="1:23">
      <c r="A262" s="749"/>
      <c r="B262" s="165" t="s">
        <v>51</v>
      </c>
      <c r="C262" s="77" t="s">
        <v>32</v>
      </c>
      <c r="D262" s="80">
        <v>2.7E-2</v>
      </c>
      <c r="E262" s="79">
        <f>INSUMOS!D44</f>
        <v>7066.22</v>
      </c>
      <c r="F262" s="79">
        <f>+D262*E262</f>
        <v>190.78793999999999</v>
      </c>
      <c r="O262" s="36"/>
      <c r="P262" s="77"/>
      <c r="Q262" s="302"/>
      <c r="R262" s="303"/>
      <c r="S262" s="303"/>
    </row>
    <row r="263" spans="1:23">
      <c r="A263" s="749"/>
      <c r="B263" s="165" t="s">
        <v>37</v>
      </c>
      <c r="C263" s="77" t="s">
        <v>32</v>
      </c>
      <c r="D263" s="78">
        <v>1</v>
      </c>
      <c r="E263" s="79">
        <f>INSUMOS!D46</f>
        <v>5600</v>
      </c>
      <c r="F263" s="79">
        <f>+D263*E263</f>
        <v>5600</v>
      </c>
      <c r="O263" s="36"/>
      <c r="P263" s="77"/>
      <c r="Q263" s="304"/>
      <c r="R263" s="303"/>
      <c r="S263" s="303"/>
    </row>
    <row r="264" spans="1:23">
      <c r="A264" s="749"/>
      <c r="B264" s="165" t="s">
        <v>229</v>
      </c>
      <c r="C264" s="77" t="s">
        <v>68</v>
      </c>
      <c r="D264" s="78">
        <v>0.05</v>
      </c>
      <c r="E264" s="79">
        <f>SUM(F262:F263)</f>
        <v>5790.7879400000002</v>
      </c>
      <c r="F264" s="79">
        <f>+D264*E264</f>
        <v>289.53939700000001</v>
      </c>
      <c r="I264" s="257"/>
      <c r="O264" s="36"/>
      <c r="P264" s="77"/>
      <c r="Q264" s="304"/>
      <c r="R264" s="303"/>
      <c r="S264" s="303"/>
    </row>
    <row r="265" spans="1:23">
      <c r="A265" s="749"/>
      <c r="B265" s="165" t="s">
        <v>2672</v>
      </c>
      <c r="C265" s="77" t="s">
        <v>26</v>
      </c>
      <c r="D265" s="78">
        <v>1.050333333333333E-2</v>
      </c>
      <c r="E265" s="79">
        <f>INSUMOS!D65</f>
        <v>26622.68</v>
      </c>
      <c r="F265" s="79">
        <f>+D265*E265</f>
        <v>279.6268822666666</v>
      </c>
      <c r="O265" s="36"/>
      <c r="P265" s="77"/>
      <c r="Q265" s="304"/>
      <c r="R265" s="303"/>
      <c r="S265" s="303"/>
    </row>
    <row r="266" spans="1:23">
      <c r="A266" s="749"/>
      <c r="B266" s="165" t="s">
        <v>136</v>
      </c>
      <c r="C266" s="77" t="s">
        <v>68</v>
      </c>
      <c r="D266" s="78"/>
      <c r="E266" s="79">
        <f>SUM(F262:F265)</f>
        <v>6359.9542192666668</v>
      </c>
      <c r="F266" s="79">
        <f>+D266*E266</f>
        <v>0</v>
      </c>
      <c r="O266" s="36"/>
      <c r="P266" s="77"/>
      <c r="Q266" s="304"/>
      <c r="R266" s="303"/>
      <c r="S266" s="303"/>
    </row>
    <row r="267" spans="1:23">
      <c r="A267" s="749"/>
      <c r="B267" s="165" t="s">
        <v>11</v>
      </c>
      <c r="C267" s="77" t="s">
        <v>284</v>
      </c>
      <c r="D267" s="78">
        <v>0.03</v>
      </c>
      <c r="E267" s="79">
        <f>F268</f>
        <v>1045.3719197884932</v>
      </c>
      <c r="F267" s="79">
        <f>(D267*E267)</f>
        <v>31.361157593654795</v>
      </c>
      <c r="O267" s="36"/>
      <c r="P267" s="77"/>
      <c r="Q267" s="304"/>
      <c r="R267" s="303"/>
      <c r="S267" s="303"/>
    </row>
    <row r="268" spans="1:23">
      <c r="A268" s="749"/>
      <c r="B268" s="165" t="s">
        <v>9</v>
      </c>
      <c r="C268" s="77" t="s">
        <v>10</v>
      </c>
      <c r="D268" s="80">
        <v>0.04</v>
      </c>
      <c r="E268" s="79">
        <f>+'VALOR CUADRILLAS MO'!D75</f>
        <v>26134.297994712331</v>
      </c>
      <c r="F268" s="79">
        <f>+D268*E268</f>
        <v>1045.3719197884932</v>
      </c>
      <c r="I268" s="257"/>
      <c r="O268" s="36"/>
      <c r="P268" s="77"/>
      <c r="Q268" s="302"/>
      <c r="R268" s="303"/>
      <c r="S268" s="303"/>
    </row>
    <row r="269" spans="1:23">
      <c r="A269" s="749"/>
      <c r="B269" s="165"/>
      <c r="C269" s="77"/>
      <c r="D269" s="80"/>
      <c r="E269" s="79"/>
      <c r="F269" s="79"/>
      <c r="I269" s="257"/>
    </row>
    <row r="270" spans="1:23">
      <c r="A270" s="719">
        <v>6.4</v>
      </c>
      <c r="B270" s="83" t="s">
        <v>65</v>
      </c>
      <c r="C270" s="76" t="s">
        <v>121</v>
      </c>
      <c r="D270" s="73"/>
      <c r="E270" s="74"/>
      <c r="F270" s="75">
        <f>ROUND(SUM(F271:F278),0)</f>
        <v>1168863</v>
      </c>
    </row>
    <row r="271" spans="1:23">
      <c r="A271" s="783"/>
      <c r="B271" s="165" t="s">
        <v>2648</v>
      </c>
      <c r="C271" s="77" t="s">
        <v>121</v>
      </c>
      <c r="D271" s="78">
        <v>1</v>
      </c>
      <c r="E271" s="79">
        <f>BASICOS!E146</f>
        <v>392821</v>
      </c>
      <c r="F271" s="79">
        <f t="shared" ref="F271:F276" si="13">+D271*E271</f>
        <v>392821</v>
      </c>
    </row>
    <row r="272" spans="1:23">
      <c r="A272" s="783"/>
      <c r="B272" s="165" t="s">
        <v>229</v>
      </c>
      <c r="C272" s="77" t="s">
        <v>68</v>
      </c>
      <c r="D272" s="78">
        <v>0.05</v>
      </c>
      <c r="E272" s="79">
        <f>SUM(F271:F271)</f>
        <v>392821</v>
      </c>
      <c r="F272" s="79">
        <f t="shared" si="13"/>
        <v>19641.05</v>
      </c>
    </row>
    <row r="273" spans="1:6">
      <c r="A273" s="783"/>
      <c r="B273" s="165" t="s">
        <v>22</v>
      </c>
      <c r="C273" s="77" t="s">
        <v>12</v>
      </c>
      <c r="D273" s="78">
        <v>3</v>
      </c>
      <c r="E273" s="79">
        <f>BASICOS!D33</f>
        <v>2856</v>
      </c>
      <c r="F273" s="79">
        <f t="shared" si="13"/>
        <v>8568</v>
      </c>
    </row>
    <row r="274" spans="1:6">
      <c r="A274" s="783"/>
      <c r="B274" s="165" t="s">
        <v>191</v>
      </c>
      <c r="C274" s="77" t="s">
        <v>121</v>
      </c>
      <c r="D274" s="78">
        <v>1</v>
      </c>
      <c r="E274" s="79">
        <f>BASICOS!E206</f>
        <v>257844</v>
      </c>
      <c r="F274" s="79">
        <f t="shared" si="13"/>
        <v>257844</v>
      </c>
    </row>
    <row r="275" spans="1:6">
      <c r="A275" s="783"/>
      <c r="B275" s="165" t="s">
        <v>136</v>
      </c>
      <c r="C275" s="77" t="s">
        <v>68</v>
      </c>
      <c r="D275" s="78"/>
      <c r="E275" s="79">
        <f>SUM(F271:F274)</f>
        <v>678874.05</v>
      </c>
      <c r="F275" s="79">
        <f t="shared" si="13"/>
        <v>0</v>
      </c>
    </row>
    <row r="276" spans="1:6">
      <c r="A276" s="783"/>
      <c r="B276" s="165" t="s">
        <v>187</v>
      </c>
      <c r="C276" s="77" t="s">
        <v>12</v>
      </c>
      <c r="D276" s="78">
        <v>0.04</v>
      </c>
      <c r="E276" s="79">
        <f>BASICOS!D42</f>
        <v>136480.47829830134</v>
      </c>
      <c r="F276" s="79">
        <f t="shared" si="13"/>
        <v>5459.2191319320536</v>
      </c>
    </row>
    <row r="277" spans="1:6">
      <c r="A277" s="783"/>
      <c r="B277" s="165" t="s">
        <v>11</v>
      </c>
      <c r="C277" s="77" t="s">
        <v>284</v>
      </c>
      <c r="D277" s="78">
        <v>0.03</v>
      </c>
      <c r="E277" s="79">
        <f>+F278</f>
        <v>470417.36390482198</v>
      </c>
      <c r="F277" s="79">
        <f>(D277*E277)</f>
        <v>14112.520917144659</v>
      </c>
    </row>
    <row r="278" spans="1:6">
      <c r="A278" s="783"/>
      <c r="B278" s="165" t="s">
        <v>9</v>
      </c>
      <c r="C278" s="77" t="s">
        <v>10</v>
      </c>
      <c r="D278" s="78">
        <v>18</v>
      </c>
      <c r="E278" s="79">
        <f>'VALOR CUADRILLAS MO'!D75</f>
        <v>26134.297994712331</v>
      </c>
      <c r="F278" s="79">
        <f>+D278*E278</f>
        <v>470417.36390482198</v>
      </c>
    </row>
    <row r="279" spans="1:6">
      <c r="A279" s="842"/>
      <c r="B279" s="843"/>
      <c r="C279" s="734"/>
      <c r="D279" s="844"/>
      <c r="E279" s="736"/>
      <c r="F279" s="736"/>
    </row>
    <row r="280" spans="1:6">
      <c r="A280" s="719">
        <v>6.5</v>
      </c>
      <c r="B280" s="83" t="s">
        <v>3499</v>
      </c>
      <c r="C280" s="76" t="s">
        <v>121</v>
      </c>
      <c r="D280" s="73"/>
      <c r="E280" s="74"/>
      <c r="F280" s="75">
        <f>ROUND(SUM(F281:F289),0)</f>
        <v>1175428</v>
      </c>
    </row>
    <row r="281" spans="1:6">
      <c r="A281" s="783"/>
      <c r="B281" s="165" t="s">
        <v>2636</v>
      </c>
      <c r="C281" s="77" t="s">
        <v>121</v>
      </c>
      <c r="D281" s="78">
        <v>1</v>
      </c>
      <c r="E281" s="79">
        <f>BASICOS!E146</f>
        <v>392821</v>
      </c>
      <c r="F281" s="79">
        <f t="shared" ref="F281:F287" si="14">+D281*E281</f>
        <v>392821</v>
      </c>
    </row>
    <row r="282" spans="1:6">
      <c r="A282" s="783"/>
      <c r="B282" s="165" t="s">
        <v>16</v>
      </c>
      <c r="C282" s="77" t="s">
        <v>17</v>
      </c>
      <c r="D282" s="78">
        <v>2.5</v>
      </c>
      <c r="E282" s="79">
        <f>INSUMOS!D40</f>
        <v>3464.09</v>
      </c>
      <c r="F282" s="79">
        <f t="shared" si="14"/>
        <v>8660.2250000000004</v>
      </c>
    </row>
    <row r="283" spans="1:6">
      <c r="A283" s="783"/>
      <c r="B283" s="165" t="s">
        <v>3500</v>
      </c>
      <c r="C283" s="77" t="s">
        <v>121</v>
      </c>
      <c r="D283" s="78">
        <v>1</v>
      </c>
      <c r="E283" s="79">
        <f>BASICOS!E223</f>
        <v>191885</v>
      </c>
      <c r="F283" s="79">
        <f t="shared" si="14"/>
        <v>191885</v>
      </c>
    </row>
    <row r="284" spans="1:6">
      <c r="A284" s="783"/>
      <c r="B284" s="165" t="s">
        <v>229</v>
      </c>
      <c r="C284" s="77" t="s">
        <v>68</v>
      </c>
      <c r="D284" s="78">
        <v>0.05</v>
      </c>
      <c r="E284" s="79">
        <f>SUM(F281:F283)</f>
        <v>593366.22499999998</v>
      </c>
      <c r="F284" s="79">
        <f t="shared" si="14"/>
        <v>29668.311249999999</v>
      </c>
    </row>
    <row r="285" spans="1:6">
      <c r="A285" s="783"/>
      <c r="B285" s="165" t="s">
        <v>136</v>
      </c>
      <c r="C285" s="77" t="s">
        <v>68</v>
      </c>
      <c r="D285" s="78"/>
      <c r="E285" s="79">
        <f>SUM(F281:F284)</f>
        <v>623034.53625</v>
      </c>
      <c r="F285" s="79">
        <f t="shared" si="14"/>
        <v>0</v>
      </c>
    </row>
    <row r="286" spans="1:6">
      <c r="A286" s="783"/>
      <c r="B286" s="165" t="s">
        <v>22</v>
      </c>
      <c r="C286" s="77" t="s">
        <v>12</v>
      </c>
      <c r="D286" s="78">
        <v>3</v>
      </c>
      <c r="E286" s="79">
        <f>BASICOS!D33</f>
        <v>2856</v>
      </c>
      <c r="F286" s="79">
        <f t="shared" si="14"/>
        <v>8568</v>
      </c>
    </row>
    <row r="287" spans="1:6">
      <c r="A287" s="783"/>
      <c r="B287" s="165" t="s">
        <v>187</v>
      </c>
      <c r="C287" s="77" t="s">
        <v>12</v>
      </c>
      <c r="D287" s="78">
        <v>0.04</v>
      </c>
      <c r="E287" s="79">
        <f>BASICOS!D42</f>
        <v>136480.47829830134</v>
      </c>
      <c r="F287" s="79">
        <f t="shared" si="14"/>
        <v>5459.2191319320536</v>
      </c>
    </row>
    <row r="288" spans="1:6">
      <c r="A288" s="783"/>
      <c r="B288" s="165" t="s">
        <v>11</v>
      </c>
      <c r="C288" s="77" t="s">
        <v>284</v>
      </c>
      <c r="D288" s="78">
        <v>0.03</v>
      </c>
      <c r="E288" s="79">
        <f>+F289</f>
        <v>522685.95989424665</v>
      </c>
      <c r="F288" s="79">
        <f>(D288*E288)</f>
        <v>15680.5787968274</v>
      </c>
    </row>
    <row r="289" spans="1:19">
      <c r="A289" s="783"/>
      <c r="B289" s="165" t="s">
        <v>9</v>
      </c>
      <c r="C289" s="77" t="s">
        <v>10</v>
      </c>
      <c r="D289" s="78">
        <v>20</v>
      </c>
      <c r="E289" s="79">
        <f>'VALOR CUADRILLAS MO'!D75</f>
        <v>26134.297994712331</v>
      </c>
      <c r="F289" s="79">
        <f>+D289*E289</f>
        <v>522685.95989424665</v>
      </c>
    </row>
    <row r="290" spans="1:19">
      <c r="A290" s="842"/>
      <c r="B290" s="843"/>
      <c r="C290" s="734"/>
      <c r="D290" s="844"/>
      <c r="E290" s="736"/>
      <c r="F290" s="736"/>
    </row>
    <row r="291" spans="1:19">
      <c r="A291" s="718" t="s">
        <v>401</v>
      </c>
      <c r="B291" s="454" t="s">
        <v>277</v>
      </c>
      <c r="C291" s="455"/>
      <c r="D291" s="456"/>
      <c r="E291" s="457"/>
      <c r="F291" s="457"/>
    </row>
    <row r="292" spans="1:19" ht="25.5">
      <c r="A292" s="719">
        <v>7.1</v>
      </c>
      <c r="B292" s="83" t="s">
        <v>748</v>
      </c>
      <c r="C292" s="76" t="s">
        <v>119</v>
      </c>
      <c r="D292" s="73"/>
      <c r="E292" s="74"/>
      <c r="F292" s="75">
        <f>ROUND(SUM(F293:F308),0)</f>
        <v>49396</v>
      </c>
    </row>
    <row r="293" spans="1:19">
      <c r="A293" s="749"/>
      <c r="B293" s="165" t="s">
        <v>749</v>
      </c>
      <c r="C293" s="77" t="s">
        <v>26</v>
      </c>
      <c r="D293" s="78">
        <v>0.36</v>
      </c>
      <c r="E293" s="79">
        <f>+INSUMOS!D123</f>
        <v>32000</v>
      </c>
      <c r="F293" s="79">
        <f t="shared" ref="F293:F306" si="15">+D293*E293</f>
        <v>11520</v>
      </c>
    </row>
    <row r="294" spans="1:19">
      <c r="A294" s="749"/>
      <c r="B294" s="165" t="s">
        <v>427</v>
      </c>
      <c r="C294" s="77" t="s">
        <v>26</v>
      </c>
      <c r="D294" s="78">
        <v>0.33</v>
      </c>
      <c r="E294" s="79">
        <f>+INSUMOS!D127</f>
        <v>3600</v>
      </c>
      <c r="F294" s="79">
        <f t="shared" si="15"/>
        <v>1188</v>
      </c>
    </row>
    <row r="295" spans="1:19">
      <c r="A295" s="749"/>
      <c r="B295" s="165" t="s">
        <v>428</v>
      </c>
      <c r="C295" s="77" t="s">
        <v>26</v>
      </c>
      <c r="D295" s="78">
        <v>0.62</v>
      </c>
      <c r="E295" s="79">
        <f>+INSUMOS!D126</f>
        <v>3576.2</v>
      </c>
      <c r="F295" s="79">
        <f t="shared" si="15"/>
        <v>2217.2439999999997</v>
      </c>
    </row>
    <row r="296" spans="1:19">
      <c r="A296" s="749"/>
      <c r="B296" s="165" t="s">
        <v>429</v>
      </c>
      <c r="C296" s="77" t="s">
        <v>26</v>
      </c>
      <c r="D296" s="78">
        <v>0.67</v>
      </c>
      <c r="E296" s="79">
        <f>+INSUMOS!D125</f>
        <v>2100</v>
      </c>
      <c r="F296" s="79">
        <f t="shared" si="15"/>
        <v>1407</v>
      </c>
    </row>
    <row r="297" spans="1:19">
      <c r="A297" s="749"/>
      <c r="B297" s="165" t="s">
        <v>3209</v>
      </c>
      <c r="C297" s="77" t="s">
        <v>26</v>
      </c>
      <c r="D297" s="78">
        <v>0.06</v>
      </c>
      <c r="E297" s="79">
        <f>+INSUMOS!D129</f>
        <v>43000</v>
      </c>
      <c r="F297" s="79">
        <f t="shared" si="15"/>
        <v>2580</v>
      </c>
    </row>
    <row r="298" spans="1:19">
      <c r="A298" s="749"/>
      <c r="B298" s="165" t="s">
        <v>432</v>
      </c>
      <c r="C298" s="77" t="s">
        <v>26</v>
      </c>
      <c r="D298" s="78">
        <v>10</v>
      </c>
      <c r="E298" s="79">
        <f>+INSUMOS!D135</f>
        <v>40</v>
      </c>
      <c r="F298" s="79">
        <f t="shared" si="15"/>
        <v>400</v>
      </c>
    </row>
    <row r="299" spans="1:19">
      <c r="A299" s="749"/>
      <c r="B299" s="165" t="s">
        <v>433</v>
      </c>
      <c r="C299" s="77" t="s">
        <v>26</v>
      </c>
      <c r="D299" s="78">
        <v>10</v>
      </c>
      <c r="E299" s="79">
        <f>+INSUMOS!D136</f>
        <v>40</v>
      </c>
      <c r="F299" s="79">
        <f t="shared" si="15"/>
        <v>400</v>
      </c>
    </row>
    <row r="300" spans="1:19">
      <c r="A300" s="749"/>
      <c r="B300" s="165" t="s">
        <v>434</v>
      </c>
      <c r="C300" s="77" t="s">
        <v>26</v>
      </c>
      <c r="D300" s="78">
        <v>0.04</v>
      </c>
      <c r="E300" s="79">
        <f>+INSUMOS!D131</f>
        <v>8900</v>
      </c>
      <c r="F300" s="79">
        <f t="shared" si="15"/>
        <v>356</v>
      </c>
      <c r="J300" s="2"/>
    </row>
    <row r="301" spans="1:19" ht="14.25" customHeight="1">
      <c r="A301" s="749"/>
      <c r="B301" s="165" t="s">
        <v>435</v>
      </c>
      <c r="C301" s="77" t="s">
        <v>26</v>
      </c>
      <c r="D301" s="78">
        <v>0.04</v>
      </c>
      <c r="E301" s="79">
        <f>INSUMOS!D196</f>
        <v>1739.9999999999998</v>
      </c>
      <c r="F301" s="79">
        <f t="shared" si="15"/>
        <v>69.599999999999994</v>
      </c>
      <c r="G301" s="245"/>
    </row>
    <row r="302" spans="1:19" ht="14.25" customHeight="1">
      <c r="A302" s="749"/>
      <c r="B302" s="165" t="s">
        <v>3208</v>
      </c>
      <c r="C302" s="77" t="s">
        <v>26</v>
      </c>
      <c r="D302" s="78">
        <v>0.02</v>
      </c>
      <c r="E302" s="79">
        <f>+INSUMOS!D206</f>
        <v>55900</v>
      </c>
      <c r="F302" s="79">
        <f t="shared" si="15"/>
        <v>1118</v>
      </c>
      <c r="H302" s="2">
        <f>F330+14000</f>
        <v>55960</v>
      </c>
      <c r="O302" s="83"/>
      <c r="P302" s="76"/>
      <c r="Q302" s="174"/>
      <c r="R302" s="372"/>
      <c r="S302" s="309"/>
    </row>
    <row r="303" spans="1:19">
      <c r="A303" s="749"/>
      <c r="B303" s="165" t="s">
        <v>2455</v>
      </c>
      <c r="C303" s="77" t="s">
        <v>106</v>
      </c>
      <c r="D303" s="78">
        <v>0.03</v>
      </c>
      <c r="E303" s="79">
        <f>+INSUMOS!D139</f>
        <v>5769.8399999999992</v>
      </c>
      <c r="F303" s="79">
        <f t="shared" si="15"/>
        <v>173.09519999999998</v>
      </c>
      <c r="O303" s="165"/>
      <c r="P303" s="77"/>
      <c r="Q303" s="310"/>
      <c r="R303" s="370"/>
      <c r="S303" s="303"/>
    </row>
    <row r="304" spans="1:19">
      <c r="A304" s="749"/>
      <c r="B304" s="165" t="s">
        <v>229</v>
      </c>
      <c r="C304" s="77" t="s">
        <v>68</v>
      </c>
      <c r="D304" s="78">
        <v>0.05</v>
      </c>
      <c r="E304" s="79">
        <f>SUM(F293:F303)</f>
        <v>21428.939199999997</v>
      </c>
      <c r="F304" s="79">
        <f t="shared" si="15"/>
        <v>1071.44696</v>
      </c>
      <c r="O304" s="165"/>
      <c r="P304" s="77"/>
      <c r="Q304" s="310"/>
      <c r="R304" s="370"/>
      <c r="S304" s="303"/>
    </row>
    <row r="305" spans="1:19">
      <c r="A305" s="749"/>
      <c r="B305" s="165" t="s">
        <v>136</v>
      </c>
      <c r="C305" s="77" t="s">
        <v>68</v>
      </c>
      <c r="D305" s="78"/>
      <c r="E305" s="79">
        <f>SUM(F293:F304)</f>
        <v>22500.386159999998</v>
      </c>
      <c r="F305" s="79">
        <f t="shared" si="15"/>
        <v>0</v>
      </c>
      <c r="O305" s="165"/>
      <c r="P305" s="77"/>
      <c r="Q305" s="310"/>
      <c r="R305" s="370"/>
      <c r="S305" s="303"/>
    </row>
    <row r="306" spans="1:19">
      <c r="A306" s="749"/>
      <c r="B306" s="165" t="s">
        <v>22</v>
      </c>
      <c r="C306" s="77" t="s">
        <v>12</v>
      </c>
      <c r="D306" s="78">
        <v>1.5</v>
      </c>
      <c r="E306" s="79">
        <f>+BASICOS!D33</f>
        <v>2856</v>
      </c>
      <c r="F306" s="79">
        <f t="shared" si="15"/>
        <v>4284</v>
      </c>
      <c r="O306" s="165"/>
      <c r="P306" s="77"/>
      <c r="Q306" s="310"/>
      <c r="R306" s="370"/>
      <c r="S306" s="303"/>
    </row>
    <row r="307" spans="1:19">
      <c r="A307" s="749"/>
      <c r="B307" s="165" t="s">
        <v>11</v>
      </c>
      <c r="C307" s="77" t="s">
        <v>284</v>
      </c>
      <c r="D307" s="78">
        <v>0.03</v>
      </c>
      <c r="E307" s="79">
        <f>+F308</f>
        <v>21952.810315558356</v>
      </c>
      <c r="F307" s="79">
        <f>(D307*E307)</f>
        <v>658.5843094667506</v>
      </c>
      <c r="O307" s="165"/>
      <c r="P307" s="77"/>
      <c r="Q307" s="310"/>
      <c r="R307" s="370"/>
      <c r="S307" s="303"/>
    </row>
    <row r="308" spans="1:19">
      <c r="A308" s="749"/>
      <c r="B308" s="165" t="s">
        <v>76</v>
      </c>
      <c r="C308" s="77" t="s">
        <v>10</v>
      </c>
      <c r="D308" s="78">
        <f>0.7</f>
        <v>0.7</v>
      </c>
      <c r="E308" s="79">
        <f>+'VALOR CUADRILLAS MO'!D113</f>
        <v>31361.157593654796</v>
      </c>
      <c r="F308" s="79">
        <f>+D308*E308</f>
        <v>21952.810315558356</v>
      </c>
      <c r="O308" s="165"/>
      <c r="P308" s="77"/>
      <c r="Q308" s="310"/>
      <c r="R308" s="370"/>
      <c r="S308" s="303"/>
    </row>
    <row r="309" spans="1:19">
      <c r="A309" s="749"/>
      <c r="B309" s="165"/>
      <c r="C309" s="77"/>
      <c r="D309" s="78"/>
      <c r="E309" s="79"/>
      <c r="F309" s="79"/>
      <c r="O309" s="165"/>
      <c r="P309" s="77"/>
      <c r="Q309" s="310"/>
      <c r="R309" s="370"/>
      <c r="S309" s="303"/>
    </row>
    <row r="310" spans="1:19">
      <c r="A310" s="719">
        <v>7.2</v>
      </c>
      <c r="B310" s="83" t="s">
        <v>3528</v>
      </c>
      <c r="C310" s="76" t="s">
        <v>119</v>
      </c>
      <c r="D310" s="73"/>
      <c r="E310" s="74"/>
      <c r="F310" s="75">
        <f>ROUND(SUM(F311:V318),0)</f>
        <v>38171</v>
      </c>
      <c r="O310" s="165"/>
      <c r="P310" s="77"/>
      <c r="Q310" s="310"/>
      <c r="R310" s="370"/>
      <c r="S310" s="303"/>
    </row>
    <row r="311" spans="1:19">
      <c r="A311" s="783"/>
      <c r="B311" s="165" t="s">
        <v>369</v>
      </c>
      <c r="C311" s="77" t="s">
        <v>26</v>
      </c>
      <c r="D311" s="78">
        <v>0.68</v>
      </c>
      <c r="E311" s="303">
        <f>INSUMOS!D102</f>
        <v>31600.45</v>
      </c>
      <c r="F311" s="79">
        <f>E311*D311</f>
        <v>21488.306</v>
      </c>
      <c r="O311" s="165"/>
      <c r="P311" s="77"/>
      <c r="Q311" s="310"/>
      <c r="R311" s="370"/>
      <c r="S311" s="303"/>
    </row>
    <row r="312" spans="1:19">
      <c r="A312" s="783"/>
      <c r="B312" s="165" t="s">
        <v>3529</v>
      </c>
      <c r="C312" s="77" t="s">
        <v>26</v>
      </c>
      <c r="D312" s="78">
        <v>1.3</v>
      </c>
      <c r="E312" s="79">
        <f>INSUMOS!D281</f>
        <v>669.97</v>
      </c>
      <c r="F312" s="79">
        <f t="shared" ref="F312:F318" si="16">E312*D312</f>
        <v>870.96100000000001</v>
      </c>
      <c r="O312" s="165"/>
      <c r="P312" s="77"/>
      <c r="Q312" s="310"/>
      <c r="R312" s="370"/>
      <c r="S312" s="303"/>
    </row>
    <row r="313" spans="1:19">
      <c r="A313" s="783"/>
      <c r="B313" s="165" t="s">
        <v>3530</v>
      </c>
      <c r="C313" s="77" t="s">
        <v>26</v>
      </c>
      <c r="D313" s="78">
        <v>0.65</v>
      </c>
      <c r="E313" s="79">
        <f>INSUMOS!D282</f>
        <v>102.34</v>
      </c>
      <c r="F313" s="79">
        <f t="shared" si="16"/>
        <v>66.521000000000001</v>
      </c>
      <c r="O313" s="165"/>
      <c r="P313" s="77"/>
      <c r="Q313" s="310"/>
      <c r="R313" s="370"/>
      <c r="S313" s="303"/>
    </row>
    <row r="314" spans="1:19">
      <c r="A314" s="783"/>
      <c r="B314" s="165" t="s">
        <v>229</v>
      </c>
      <c r="C314" s="77" t="s">
        <v>68</v>
      </c>
      <c r="D314" s="78">
        <v>0.05</v>
      </c>
      <c r="E314" s="79">
        <f>F311</f>
        <v>21488.306</v>
      </c>
      <c r="F314" s="79">
        <f t="shared" si="16"/>
        <v>1074.4153000000001</v>
      </c>
      <c r="O314" s="165"/>
      <c r="P314" s="77"/>
      <c r="Q314" s="310"/>
      <c r="R314" s="370"/>
      <c r="S314" s="303"/>
    </row>
    <row r="315" spans="1:19">
      <c r="A315" s="783"/>
      <c r="B315" s="165" t="s">
        <v>136</v>
      </c>
      <c r="C315" s="77" t="s">
        <v>68</v>
      </c>
      <c r="D315" s="78">
        <v>0.03</v>
      </c>
      <c r="E315" s="79">
        <v>22694.868419999999</v>
      </c>
      <c r="F315" s="79">
        <f t="shared" si="16"/>
        <v>680.84605259999989</v>
      </c>
      <c r="O315" s="165"/>
      <c r="P315" s="77"/>
      <c r="Q315" s="310"/>
      <c r="R315" s="370"/>
      <c r="S315" s="303"/>
    </row>
    <row r="316" spans="1:19">
      <c r="A316" s="783"/>
      <c r="B316" s="165" t="s">
        <v>22</v>
      </c>
      <c r="C316" s="77" t="s">
        <v>12</v>
      </c>
      <c r="D316" s="78">
        <v>0.2</v>
      </c>
      <c r="E316" s="79">
        <f>BASICOS!D33</f>
        <v>2856</v>
      </c>
      <c r="F316" s="79">
        <f t="shared" si="16"/>
        <v>571.20000000000005</v>
      </c>
      <c r="O316" s="165"/>
      <c r="P316" s="77"/>
      <c r="Q316" s="310"/>
      <c r="R316" s="370"/>
      <c r="S316" s="303"/>
    </row>
    <row r="317" spans="1:19">
      <c r="A317" s="783"/>
      <c r="B317" s="165" t="s">
        <v>11</v>
      </c>
      <c r="C317" s="77" t="s">
        <v>284</v>
      </c>
      <c r="D317" s="78">
        <v>0.03</v>
      </c>
      <c r="E317" s="79">
        <f>F318</f>
        <v>13027.587904061418</v>
      </c>
      <c r="F317" s="79">
        <f t="shared" si="16"/>
        <v>390.82763712184254</v>
      </c>
      <c r="O317" s="165"/>
      <c r="P317" s="77"/>
      <c r="Q317" s="310"/>
      <c r="R317" s="370"/>
      <c r="S317" s="303"/>
    </row>
    <row r="318" spans="1:19">
      <c r="A318" s="783"/>
      <c r="B318" s="165" t="s">
        <v>9</v>
      </c>
      <c r="C318" s="77" t="s">
        <v>10</v>
      </c>
      <c r="D318" s="78">
        <v>0.4984862385321101</v>
      </c>
      <c r="E318" s="79">
        <f>'VALOR CUADRILLAS MO'!D75</f>
        <v>26134.297994712331</v>
      </c>
      <c r="F318" s="79">
        <f t="shared" si="16"/>
        <v>13027.587904061418</v>
      </c>
      <c r="O318" s="165"/>
      <c r="P318" s="77"/>
      <c r="Q318" s="310"/>
      <c r="R318" s="370"/>
      <c r="S318" s="303"/>
    </row>
    <row r="319" spans="1:19">
      <c r="A319" s="749"/>
      <c r="B319" s="165"/>
      <c r="C319" s="77"/>
      <c r="D319" s="78"/>
      <c r="E319" s="79"/>
      <c r="F319" s="79"/>
      <c r="O319" s="165"/>
      <c r="P319" s="77"/>
      <c r="Q319" s="310"/>
      <c r="R319" s="370"/>
      <c r="S319" s="303"/>
    </row>
    <row r="320" spans="1:19" ht="25.5">
      <c r="A320" s="719">
        <v>7.3</v>
      </c>
      <c r="B320" s="83" t="s">
        <v>3531</v>
      </c>
      <c r="C320" s="76" t="s">
        <v>119</v>
      </c>
      <c r="D320" s="73"/>
      <c r="E320" s="74"/>
      <c r="F320" s="75">
        <f>ROUND(SUM(F321:V327),0)</f>
        <v>42040</v>
      </c>
      <c r="O320" s="165"/>
      <c r="P320" s="77"/>
      <c r="Q320" s="310"/>
      <c r="R320" s="370"/>
      <c r="S320" s="303"/>
    </row>
    <row r="321" spans="1:19">
      <c r="A321" s="783"/>
      <c r="B321" s="165" t="s">
        <v>3110</v>
      </c>
      <c r="C321" s="77" t="s">
        <v>26</v>
      </c>
      <c r="D321" s="78">
        <v>0.13600000000000001</v>
      </c>
      <c r="E321" s="79">
        <f>INSUMOS!D278</f>
        <v>130900</v>
      </c>
      <c r="F321" s="79">
        <f>E321*D321</f>
        <v>17802.400000000001</v>
      </c>
      <c r="O321" s="165"/>
      <c r="P321" s="77"/>
      <c r="Q321" s="310"/>
      <c r="R321" s="370"/>
      <c r="S321" s="303"/>
    </row>
    <row r="322" spans="1:19" ht="25.5">
      <c r="A322" s="783"/>
      <c r="B322" s="165" t="s">
        <v>3532</v>
      </c>
      <c r="C322" s="77" t="s">
        <v>32</v>
      </c>
      <c r="D322" s="80">
        <v>0.11</v>
      </c>
      <c r="E322" s="79">
        <f>INSUMOS!D279</f>
        <v>35057.4</v>
      </c>
      <c r="F322" s="79">
        <f t="shared" ref="F322:F327" si="17">E322*D322</f>
        <v>3856.3140000000003</v>
      </c>
      <c r="O322" s="165"/>
      <c r="P322" s="77"/>
      <c r="Q322" s="310"/>
      <c r="R322" s="370"/>
      <c r="S322" s="303"/>
    </row>
    <row r="323" spans="1:19" ht="25.5">
      <c r="A323" s="783"/>
      <c r="B323" s="165" t="s">
        <v>3533</v>
      </c>
      <c r="C323" s="77" t="s">
        <v>32</v>
      </c>
      <c r="D323" s="78">
        <v>0.8</v>
      </c>
      <c r="E323" s="79">
        <f>INSUMOS!D280</f>
        <v>9186.7999999999993</v>
      </c>
      <c r="F323" s="79">
        <f t="shared" si="17"/>
        <v>7349.44</v>
      </c>
      <c r="O323" s="165"/>
      <c r="P323" s="77"/>
      <c r="Q323" s="310"/>
      <c r="R323" s="370"/>
      <c r="S323" s="303"/>
    </row>
    <row r="324" spans="1:19">
      <c r="A324" s="783"/>
      <c r="B324" s="165" t="s">
        <v>229</v>
      </c>
      <c r="C324" s="77" t="s">
        <v>68</v>
      </c>
      <c r="D324" s="78">
        <v>0.05</v>
      </c>
      <c r="E324" s="79">
        <f>F321+F322+F323</f>
        <v>29008.153999999999</v>
      </c>
      <c r="F324" s="79">
        <f t="shared" si="17"/>
        <v>1450.4077</v>
      </c>
      <c r="O324" s="165"/>
      <c r="P324" s="77"/>
      <c r="Q324" s="310"/>
      <c r="R324" s="370"/>
      <c r="S324" s="303"/>
    </row>
    <row r="325" spans="1:19">
      <c r="A325" s="783"/>
      <c r="B325" s="165" t="s">
        <v>136</v>
      </c>
      <c r="C325" s="77" t="s">
        <v>68</v>
      </c>
      <c r="D325" s="78">
        <v>0.03</v>
      </c>
      <c r="E325" s="79">
        <v>27132.434385</v>
      </c>
      <c r="F325" s="79">
        <f t="shared" si="17"/>
        <v>813.97303154999997</v>
      </c>
      <c r="O325" s="165"/>
      <c r="P325" s="77"/>
      <c r="Q325" s="310"/>
      <c r="R325" s="370"/>
      <c r="S325" s="303"/>
    </row>
    <row r="326" spans="1:19">
      <c r="A326" s="783"/>
      <c r="B326" s="165" t="s">
        <v>3534</v>
      </c>
      <c r="C326" s="77" t="s">
        <v>284</v>
      </c>
      <c r="D326" s="78">
        <v>0.03</v>
      </c>
      <c r="E326" s="79">
        <f>F327</f>
        <v>10453.719197884933</v>
      </c>
      <c r="F326" s="79">
        <f t="shared" si="17"/>
        <v>313.61157593654798</v>
      </c>
      <c r="O326" s="165"/>
      <c r="P326" s="77"/>
      <c r="Q326" s="310"/>
      <c r="R326" s="370"/>
      <c r="S326" s="303"/>
    </row>
    <row r="327" spans="1:19">
      <c r="A327" s="783"/>
      <c r="B327" s="165" t="s">
        <v>9</v>
      </c>
      <c r="C327" s="77" t="s">
        <v>10</v>
      </c>
      <c r="D327" s="78">
        <v>0.4</v>
      </c>
      <c r="E327" s="79">
        <f>'VALOR CUADRILLAS MO'!D75</f>
        <v>26134.297994712331</v>
      </c>
      <c r="F327" s="79">
        <f t="shared" si="17"/>
        <v>10453.719197884933</v>
      </c>
      <c r="O327" s="165"/>
      <c r="P327" s="77"/>
      <c r="Q327" s="310"/>
      <c r="R327" s="370"/>
      <c r="S327" s="303"/>
    </row>
    <row r="328" spans="1:19">
      <c r="A328" s="749"/>
      <c r="B328" s="165"/>
      <c r="C328" s="77"/>
      <c r="D328" s="78"/>
      <c r="E328" s="79"/>
      <c r="F328" s="79"/>
      <c r="O328" s="165"/>
      <c r="P328" s="77"/>
      <c r="Q328" s="310"/>
      <c r="R328" s="370"/>
      <c r="S328" s="303"/>
    </row>
    <row r="329" spans="1:19" ht="20.100000000000001" customHeight="1">
      <c r="A329" s="718" t="s">
        <v>402</v>
      </c>
      <c r="B329" s="454" t="s">
        <v>275</v>
      </c>
      <c r="C329" s="455"/>
      <c r="D329" s="456"/>
      <c r="E329" s="457"/>
      <c r="F329" s="457"/>
    </row>
    <row r="330" spans="1:19">
      <c r="A330" s="719">
        <v>8.1</v>
      </c>
      <c r="B330" s="83" t="s">
        <v>3090</v>
      </c>
      <c r="C330" s="76" t="s">
        <v>119</v>
      </c>
      <c r="D330" s="73"/>
      <c r="E330" s="74"/>
      <c r="F330" s="75">
        <f>ROUND(SUM(F331:F336),0)</f>
        <v>41960</v>
      </c>
    </row>
    <row r="331" spans="1:19">
      <c r="A331" s="749"/>
      <c r="B331" s="165" t="s">
        <v>2636</v>
      </c>
      <c r="C331" s="77" t="s">
        <v>121</v>
      </c>
      <c r="D331" s="78">
        <v>7.0000000000000007E-2</v>
      </c>
      <c r="E331" s="79">
        <f>+BASICOS!E146</f>
        <v>392821</v>
      </c>
      <c r="F331" s="79">
        <f>+D331*E331</f>
        <v>27497.47</v>
      </c>
    </row>
    <row r="332" spans="1:19">
      <c r="A332" s="749"/>
      <c r="B332" s="165" t="s">
        <v>229</v>
      </c>
      <c r="C332" s="77" t="s">
        <v>68</v>
      </c>
      <c r="D332" s="78">
        <v>0.05</v>
      </c>
      <c r="E332" s="79">
        <f>SUM(F331)</f>
        <v>27497.47</v>
      </c>
      <c r="F332" s="79">
        <f>+D332*E332</f>
        <v>1374.8735000000001</v>
      </c>
    </row>
    <row r="333" spans="1:19">
      <c r="A333" s="749"/>
      <c r="B333" s="165" t="s">
        <v>136</v>
      </c>
      <c r="C333" s="77" t="s">
        <v>68</v>
      </c>
      <c r="D333" s="78"/>
      <c r="E333" s="79">
        <f>SUM(F331:F332)</f>
        <v>28872.343500000003</v>
      </c>
      <c r="F333" s="79">
        <f>+D333*E333</f>
        <v>0</v>
      </c>
    </row>
    <row r="334" spans="1:19">
      <c r="A334" s="749"/>
      <c r="B334" s="165" t="s">
        <v>126</v>
      </c>
      <c r="C334" s="77" t="s">
        <v>12</v>
      </c>
      <c r="D334" s="78">
        <v>0.15</v>
      </c>
      <c r="E334" s="79">
        <f>+INSUMOS!D6</f>
        <v>15470</v>
      </c>
      <c r="F334" s="79">
        <f>+D334*E334</f>
        <v>2320.5</v>
      </c>
    </row>
    <row r="335" spans="1:19">
      <c r="A335" s="749"/>
      <c r="B335" s="165" t="s">
        <v>11</v>
      </c>
      <c r="C335" s="77" t="s">
        <v>284</v>
      </c>
      <c r="D335" s="78">
        <v>0.03</v>
      </c>
      <c r="E335" s="79">
        <f>+F336</f>
        <v>10453.719197884933</v>
      </c>
      <c r="F335" s="79">
        <f>(D335*E335)</f>
        <v>313.61157593654798</v>
      </c>
    </row>
    <row r="336" spans="1:19">
      <c r="A336" s="749"/>
      <c r="B336" s="165" t="s">
        <v>9</v>
      </c>
      <c r="C336" s="77" t="s">
        <v>10</v>
      </c>
      <c r="D336" s="78">
        <v>0.4</v>
      </c>
      <c r="E336" s="79">
        <f>+'VALOR CUADRILLAS MO'!D75</f>
        <v>26134.297994712331</v>
      </c>
      <c r="F336" s="79">
        <f>+D336*E336</f>
        <v>10453.719197884933</v>
      </c>
    </row>
    <row r="337" spans="1:6">
      <c r="A337" s="749"/>
      <c r="B337" s="165"/>
      <c r="C337" s="77"/>
      <c r="D337" s="78"/>
      <c r="E337" s="79"/>
      <c r="F337" s="79"/>
    </row>
    <row r="338" spans="1:6" ht="25.5">
      <c r="A338" s="719">
        <v>8.1999999999999993</v>
      </c>
      <c r="B338" s="83" t="s">
        <v>3498</v>
      </c>
      <c r="C338" s="76" t="s">
        <v>119</v>
      </c>
      <c r="D338" s="73"/>
      <c r="E338" s="74"/>
      <c r="F338" s="75">
        <f>ROUND(SUM(F339:F345),0)</f>
        <v>50783</v>
      </c>
    </row>
    <row r="339" spans="1:6" ht="15" customHeight="1">
      <c r="A339" s="749"/>
      <c r="B339" s="165" t="str">
        <f>INSUMOS!B141</f>
        <v>ENCHAPE EGEO BLANCO 25 X 35</v>
      </c>
      <c r="C339" s="165" t="str">
        <f>INSUMOS!C141</f>
        <v>M2</v>
      </c>
      <c r="D339" s="78">
        <v>1</v>
      </c>
      <c r="E339" s="79">
        <f>+INSUMOS!D141</f>
        <v>23562</v>
      </c>
      <c r="F339" s="79">
        <f>+D339*E339</f>
        <v>23562</v>
      </c>
    </row>
    <row r="340" spans="1:6">
      <c r="A340" s="749"/>
      <c r="B340" s="165" t="s">
        <v>77</v>
      </c>
      <c r="C340" s="77" t="s">
        <v>32</v>
      </c>
      <c r="D340" s="78">
        <f>1*0.15</f>
        <v>0.15</v>
      </c>
      <c r="E340" s="79">
        <f>+INSUMOS!D140</f>
        <v>1392.3</v>
      </c>
      <c r="F340" s="79">
        <f>+D340*E340</f>
        <v>208.845</v>
      </c>
    </row>
    <row r="341" spans="1:6">
      <c r="A341" s="749"/>
      <c r="B341" s="165" t="s">
        <v>79</v>
      </c>
      <c r="C341" s="77" t="s">
        <v>32</v>
      </c>
      <c r="D341" s="78">
        <v>4</v>
      </c>
      <c r="E341" s="79">
        <f>+INSUMOS!D143</f>
        <v>1662.0492000000002</v>
      </c>
      <c r="F341" s="79">
        <f>+D341*E341</f>
        <v>6648.1968000000006</v>
      </c>
    </row>
    <row r="342" spans="1:6">
      <c r="A342" s="749"/>
      <c r="B342" s="165" t="s">
        <v>229</v>
      </c>
      <c r="C342" s="77" t="s">
        <v>68</v>
      </c>
      <c r="D342" s="78">
        <v>0.05</v>
      </c>
      <c r="E342" s="79">
        <f>SUM(F339:F341)</f>
        <v>30419.041800000003</v>
      </c>
      <c r="F342" s="79">
        <f>+D342*E342</f>
        <v>1520.9520900000002</v>
      </c>
    </row>
    <row r="343" spans="1:6">
      <c r="A343" s="749"/>
      <c r="B343" s="165" t="s">
        <v>136</v>
      </c>
      <c r="C343" s="77" t="s">
        <v>68</v>
      </c>
      <c r="D343" s="78"/>
      <c r="E343" s="79">
        <f>SUM(F339:F342)</f>
        <v>31939.993890000002</v>
      </c>
      <c r="F343" s="79">
        <f>+D343*E343</f>
        <v>0</v>
      </c>
    </row>
    <row r="344" spans="1:6">
      <c r="A344" s="749"/>
      <c r="B344" s="165" t="s">
        <v>11</v>
      </c>
      <c r="C344" s="77" t="s">
        <v>284</v>
      </c>
      <c r="D344" s="78">
        <v>0.03</v>
      </c>
      <c r="E344" s="79">
        <f>+F345</f>
        <v>18294.00859629863</v>
      </c>
      <c r="F344" s="79">
        <f>(D344*E344)</f>
        <v>548.82025788895885</v>
      </c>
    </row>
    <row r="345" spans="1:6">
      <c r="A345" s="749"/>
      <c r="B345" s="165" t="s">
        <v>9</v>
      </c>
      <c r="C345" s="77" t="s">
        <v>10</v>
      </c>
      <c r="D345" s="78">
        <v>0.7</v>
      </c>
      <c r="E345" s="79">
        <f>+'VALOR CUADRILLAS MO'!D75</f>
        <v>26134.297994712331</v>
      </c>
      <c r="F345" s="79">
        <f>+D345*E345</f>
        <v>18294.00859629863</v>
      </c>
    </row>
    <row r="346" spans="1:6">
      <c r="A346" s="749"/>
      <c r="B346" s="165"/>
      <c r="C346" s="77"/>
      <c r="D346" s="78"/>
      <c r="E346" s="79"/>
      <c r="F346" s="79"/>
    </row>
    <row r="347" spans="1:6" ht="19.5" customHeight="1">
      <c r="A347" s="719">
        <v>8.3000000000000007</v>
      </c>
      <c r="B347" s="83" t="s">
        <v>218</v>
      </c>
      <c r="C347" s="76" t="s">
        <v>119</v>
      </c>
      <c r="D347" s="73"/>
      <c r="E347" s="74"/>
      <c r="F347" s="75">
        <f>ROUND(SUM(F348:F354),0)</f>
        <v>62887</v>
      </c>
    </row>
    <row r="348" spans="1:6">
      <c r="A348" s="749"/>
      <c r="B348" s="165" t="s">
        <v>219</v>
      </c>
      <c r="C348" s="77" t="s">
        <v>119</v>
      </c>
      <c r="D348" s="78">
        <v>1</v>
      </c>
      <c r="E348" s="79">
        <f>+INSUMOS!D150</f>
        <v>36695.207999999999</v>
      </c>
      <c r="F348" s="79">
        <f>+D348*E348</f>
        <v>36695.207999999999</v>
      </c>
    </row>
    <row r="349" spans="1:6">
      <c r="A349" s="749"/>
      <c r="B349" s="165" t="s">
        <v>220</v>
      </c>
      <c r="C349" s="77" t="s">
        <v>32</v>
      </c>
      <c r="D349" s="78">
        <v>0.11</v>
      </c>
      <c r="E349" s="79">
        <f>+INSUMOS!D152</f>
        <v>2412.13</v>
      </c>
      <c r="F349" s="79">
        <f>+D349*E349</f>
        <v>265.33430000000004</v>
      </c>
    </row>
    <row r="350" spans="1:6">
      <c r="A350" s="749"/>
      <c r="B350" s="165" t="s">
        <v>79</v>
      </c>
      <c r="C350" s="77" t="s">
        <v>32</v>
      </c>
      <c r="D350" s="78">
        <v>3</v>
      </c>
      <c r="E350" s="79">
        <f>+INSUMOS!D143</f>
        <v>1662.0492000000002</v>
      </c>
      <c r="F350" s="79">
        <f>+D350*E350</f>
        <v>4986.1476000000002</v>
      </c>
    </row>
    <row r="351" spans="1:6">
      <c r="A351" s="749"/>
      <c r="B351" s="165" t="s">
        <v>229</v>
      </c>
      <c r="C351" s="77" t="s">
        <v>68</v>
      </c>
      <c r="D351" s="78">
        <v>0.05</v>
      </c>
      <c r="E351" s="79">
        <f>SUM(F348:F350)</f>
        <v>41946.689899999998</v>
      </c>
      <c r="F351" s="79">
        <f>+D351*E351</f>
        <v>2097.3344950000001</v>
      </c>
    </row>
    <row r="352" spans="1:6">
      <c r="A352" s="749"/>
      <c r="B352" s="165" t="s">
        <v>136</v>
      </c>
      <c r="C352" s="77" t="s">
        <v>68</v>
      </c>
      <c r="D352" s="78"/>
      <c r="E352" s="79">
        <f>SUM(F348:F351)</f>
        <v>44044.024395</v>
      </c>
      <c r="F352" s="79">
        <f>+D352*E352</f>
        <v>0</v>
      </c>
    </row>
    <row r="353" spans="1:6">
      <c r="A353" s="749"/>
      <c r="B353" s="165" t="s">
        <v>11</v>
      </c>
      <c r="C353" s="77" t="s">
        <v>284</v>
      </c>
      <c r="D353" s="78">
        <v>0.03</v>
      </c>
      <c r="E353" s="79">
        <f>+F354</f>
        <v>18294.00859629863</v>
      </c>
      <c r="F353" s="79">
        <f>(D353*E353)</f>
        <v>548.82025788895885</v>
      </c>
    </row>
    <row r="354" spans="1:6">
      <c r="A354" s="749"/>
      <c r="B354" s="165" t="s">
        <v>9</v>
      </c>
      <c r="C354" s="77" t="s">
        <v>10</v>
      </c>
      <c r="D354" s="78">
        <v>0.7</v>
      </c>
      <c r="E354" s="79">
        <f>+'VALOR CUADRILLAS MO'!D75</f>
        <v>26134.297994712331</v>
      </c>
      <c r="F354" s="79">
        <f>+D354*E354</f>
        <v>18294.00859629863</v>
      </c>
    </row>
    <row r="355" spans="1:6" ht="13.5" customHeight="1">
      <c r="A355" s="749"/>
      <c r="B355" s="165"/>
      <c r="C355" s="77"/>
      <c r="D355" s="78"/>
      <c r="E355" s="79"/>
      <c r="F355" s="79"/>
    </row>
    <row r="356" spans="1:6">
      <c r="A356" s="719">
        <v>8.4</v>
      </c>
      <c r="B356" s="83" t="s">
        <v>3091</v>
      </c>
      <c r="C356" s="76" t="s">
        <v>119</v>
      </c>
      <c r="D356" s="73"/>
      <c r="E356" s="74"/>
      <c r="F356" s="75">
        <f>ROUND(SUM(F357:F361),0)</f>
        <v>30994</v>
      </c>
    </row>
    <row r="357" spans="1:6">
      <c r="A357" s="749"/>
      <c r="B357" s="165" t="s">
        <v>48</v>
      </c>
      <c r="C357" s="77" t="s">
        <v>121</v>
      </c>
      <c r="D357" s="78">
        <v>0.05</v>
      </c>
      <c r="E357" s="79">
        <f>BASICOS!E96</f>
        <v>405781</v>
      </c>
      <c r="F357" s="79">
        <f>+D357*E357</f>
        <v>20289.050000000003</v>
      </c>
    </row>
    <row r="358" spans="1:6">
      <c r="A358" s="749"/>
      <c r="B358" s="165" t="s">
        <v>229</v>
      </c>
      <c r="C358" s="77" t="s">
        <v>68</v>
      </c>
      <c r="D358" s="78">
        <v>0.05</v>
      </c>
      <c r="E358" s="79">
        <f>SUM(F357)</f>
        <v>20289.050000000003</v>
      </c>
      <c r="F358" s="79">
        <f>+D358*E358</f>
        <v>1014.4525000000002</v>
      </c>
    </row>
    <row r="359" spans="1:6">
      <c r="A359" s="749"/>
      <c r="B359" s="165" t="s">
        <v>136</v>
      </c>
      <c r="C359" s="77" t="s">
        <v>68</v>
      </c>
      <c r="D359" s="78"/>
      <c r="E359" s="79">
        <f>SUM(F357:F358)</f>
        <v>21303.502500000002</v>
      </c>
      <c r="F359" s="79">
        <f>+D359*E359</f>
        <v>0</v>
      </c>
    </row>
    <row r="360" spans="1:6">
      <c r="A360" s="749"/>
      <c r="B360" s="165" t="s">
        <v>11</v>
      </c>
      <c r="C360" s="77" t="s">
        <v>284</v>
      </c>
      <c r="D360" s="78">
        <v>0.03</v>
      </c>
      <c r="E360" s="79">
        <f>+F361</f>
        <v>9408.3472780964385</v>
      </c>
      <c r="F360" s="79">
        <f>(D360*E360)</f>
        <v>282.25041834289317</v>
      </c>
    </row>
    <row r="361" spans="1:6">
      <c r="A361" s="749"/>
      <c r="B361" s="165" t="s">
        <v>9</v>
      </c>
      <c r="C361" s="77" t="s">
        <v>10</v>
      </c>
      <c r="D361" s="78">
        <v>0.36</v>
      </c>
      <c r="E361" s="79">
        <f>+'VALOR CUADRILLAS MO'!D75</f>
        <v>26134.297994712331</v>
      </c>
      <c r="F361" s="79">
        <f>+D361*E361</f>
        <v>9408.3472780964385</v>
      </c>
    </row>
    <row r="362" spans="1:6">
      <c r="A362" s="749"/>
      <c r="B362" s="165"/>
      <c r="C362" s="77"/>
      <c r="D362" s="78"/>
      <c r="E362" s="79"/>
      <c r="F362" s="79"/>
    </row>
    <row r="363" spans="1:6" ht="32.25" customHeight="1">
      <c r="A363" s="719">
        <v>8.5</v>
      </c>
      <c r="B363" s="83" t="s">
        <v>3489</v>
      </c>
      <c r="C363" s="76" t="s">
        <v>119</v>
      </c>
      <c r="D363" s="73"/>
      <c r="E363" s="74"/>
      <c r="F363" s="75">
        <f>ROUND(SUM(F364:F371),0)</f>
        <v>58691</v>
      </c>
    </row>
    <row r="364" spans="1:6">
      <c r="A364" s="749"/>
      <c r="B364" s="165" t="s">
        <v>77</v>
      </c>
      <c r="C364" s="77" t="s">
        <v>32</v>
      </c>
      <c r="D364" s="78">
        <v>0.05</v>
      </c>
      <c r="E364" s="79">
        <f>+INSUMOS!D140</f>
        <v>1392.3</v>
      </c>
      <c r="F364" s="79">
        <f t="shared" ref="F364:F369" si="18">+D364*E364</f>
        <v>69.614999999999995</v>
      </c>
    </row>
    <row r="365" spans="1:6">
      <c r="A365" s="749"/>
      <c r="B365" s="165" t="s">
        <v>601</v>
      </c>
      <c r="C365" s="77" t="s">
        <v>119</v>
      </c>
      <c r="D365" s="78">
        <v>1</v>
      </c>
      <c r="E365" s="79">
        <f>+INSUMOS!D142</f>
        <v>32392</v>
      </c>
      <c r="F365" s="79">
        <f t="shared" si="18"/>
        <v>32392</v>
      </c>
    </row>
    <row r="366" spans="1:6">
      <c r="A366" s="749"/>
      <c r="B366" s="165" t="str">
        <f>INSUMOS!B157</f>
        <v>ESQUINERO DE ALUMINIO 6.00ML</v>
      </c>
      <c r="C366" s="77"/>
      <c r="D366" s="78">
        <v>0.05</v>
      </c>
      <c r="E366" s="79">
        <f>INSUMOS!D157</f>
        <v>2444.4583333333335</v>
      </c>
      <c r="F366" s="79">
        <f t="shared" si="18"/>
        <v>122.22291666666668</v>
      </c>
    </row>
    <row r="367" spans="1:6">
      <c r="A367" s="749"/>
      <c r="B367" s="165" t="s">
        <v>79</v>
      </c>
      <c r="C367" s="77" t="s">
        <v>32</v>
      </c>
      <c r="D367" s="78">
        <v>4</v>
      </c>
      <c r="E367" s="79">
        <f>+INSUMOS!D143</f>
        <v>1662.0492000000002</v>
      </c>
      <c r="F367" s="79">
        <f t="shared" si="18"/>
        <v>6648.1968000000006</v>
      </c>
    </row>
    <row r="368" spans="1:6">
      <c r="A368" s="749"/>
      <c r="B368" s="165" t="s">
        <v>229</v>
      </c>
      <c r="C368" s="77" t="s">
        <v>68</v>
      </c>
      <c r="D368" s="78">
        <v>0.05</v>
      </c>
      <c r="E368" s="79">
        <f>SUM(F364:F367)</f>
        <v>39232.034716666669</v>
      </c>
      <c r="F368" s="79">
        <f t="shared" si="18"/>
        <v>1961.6017358333336</v>
      </c>
    </row>
    <row r="369" spans="1:6">
      <c r="A369" s="749"/>
      <c r="B369" s="165" t="s">
        <v>136</v>
      </c>
      <c r="C369" s="77" t="s">
        <v>68</v>
      </c>
      <c r="D369" s="78"/>
      <c r="E369" s="79">
        <f>SUM(F364:F368)</f>
        <v>41193.636452500003</v>
      </c>
      <c r="F369" s="79">
        <f t="shared" si="18"/>
        <v>0</v>
      </c>
    </row>
    <row r="370" spans="1:6">
      <c r="A370" s="749"/>
      <c r="B370" s="165" t="s">
        <v>11</v>
      </c>
      <c r="C370" s="77" t="s">
        <v>284</v>
      </c>
      <c r="D370" s="78">
        <v>0.03</v>
      </c>
      <c r="E370" s="79">
        <f>+F371</f>
        <v>16987.293696563014</v>
      </c>
      <c r="F370" s="79">
        <f>(D370*E370)</f>
        <v>509.61881089689041</v>
      </c>
    </row>
    <row r="371" spans="1:6">
      <c r="A371" s="749"/>
      <c r="B371" s="165" t="s">
        <v>9</v>
      </c>
      <c r="C371" s="77" t="s">
        <v>10</v>
      </c>
      <c r="D371" s="78">
        <v>0.65</v>
      </c>
      <c r="E371" s="79">
        <f>+'VALOR CUADRILLAS MO'!D75</f>
        <v>26134.297994712331</v>
      </c>
      <c r="F371" s="79">
        <f>+D371*E371</f>
        <v>16987.293696563014</v>
      </c>
    </row>
    <row r="372" spans="1:6">
      <c r="A372" s="749"/>
      <c r="B372" s="165"/>
      <c r="C372" s="77"/>
      <c r="D372" s="78"/>
      <c r="E372" s="79"/>
      <c r="F372" s="79"/>
    </row>
    <row r="373" spans="1:6" ht="31.5" customHeight="1">
      <c r="A373" s="719">
        <v>8.6</v>
      </c>
      <c r="B373" s="83" t="s">
        <v>3473</v>
      </c>
      <c r="C373" s="76" t="s">
        <v>21</v>
      </c>
      <c r="D373" s="73"/>
      <c r="E373" s="74"/>
      <c r="F373" s="75">
        <f>ROUND(SUM(F374:F381),0)</f>
        <v>64539</v>
      </c>
    </row>
    <row r="374" spans="1:6">
      <c r="A374" s="749"/>
      <c r="B374" s="165" t="str">
        <f>INSUMOS!B235</f>
        <v>BOQUILLA PORCELANATO NEGRA X 5 KLS</v>
      </c>
      <c r="C374" s="77" t="s">
        <v>32</v>
      </c>
      <c r="D374" s="78">
        <f>0.05*0.7</f>
        <v>3.4999999999999996E-2</v>
      </c>
      <c r="E374" s="79">
        <f>INSUMOS!D235</f>
        <v>22882.51</v>
      </c>
      <c r="F374" s="79">
        <f t="shared" ref="F374:F379" si="19">+D374*E374</f>
        <v>800.88784999999984</v>
      </c>
    </row>
    <row r="375" spans="1:6">
      <c r="A375" s="749"/>
      <c r="B375" s="165" t="str">
        <f>INSUMOS!B237</f>
        <v xml:space="preserve">CCC PISO PORCELANATO ARTICA NEGRO 56628 </v>
      </c>
      <c r="C375" s="77" t="s">
        <v>119</v>
      </c>
      <c r="D375" s="78">
        <v>0.55554999999999999</v>
      </c>
      <c r="E375" s="79">
        <f>INSUMOS!D237</f>
        <v>74929.539999999994</v>
      </c>
      <c r="F375" s="79">
        <f t="shared" si="19"/>
        <v>41627.105946999996</v>
      </c>
    </row>
    <row r="376" spans="1:6">
      <c r="A376" s="749"/>
      <c r="B376" s="165" t="str">
        <f>INSUMOS!B236</f>
        <v>PEGANTE FORTE PORCELANATO GRIS X 25</v>
      </c>
      <c r="C376" s="77" t="s">
        <v>32</v>
      </c>
      <c r="D376" s="78">
        <f>4*0.7</f>
        <v>2.8</v>
      </c>
      <c r="E376" s="79">
        <f>INSUMOS!D236/25</f>
        <v>928.2</v>
      </c>
      <c r="F376" s="79">
        <f t="shared" si="19"/>
        <v>2598.96</v>
      </c>
    </row>
    <row r="377" spans="1:6">
      <c r="A377" s="749"/>
      <c r="B377" s="165" t="str">
        <f>INSUMOS!B234</f>
        <v>ESQUINERO CERAMICO ( 1 MTS)</v>
      </c>
      <c r="C377" s="77" t="s">
        <v>26</v>
      </c>
      <c r="D377" s="78">
        <v>0.5</v>
      </c>
      <c r="E377" s="79">
        <f>INSUMOS!D234</f>
        <v>2564.4499999999998</v>
      </c>
      <c r="F377" s="79">
        <f t="shared" si="19"/>
        <v>1282.2249999999999</v>
      </c>
    </row>
    <row r="378" spans="1:6">
      <c r="A378" s="749"/>
      <c r="B378" s="165" t="s">
        <v>229</v>
      </c>
      <c r="C378" s="77" t="s">
        <v>68</v>
      </c>
      <c r="D378" s="78">
        <v>0.05</v>
      </c>
      <c r="E378" s="79">
        <f>SUM(F374:F376)</f>
        <v>45026.953796999995</v>
      </c>
      <c r="F378" s="79">
        <f t="shared" si="19"/>
        <v>2251.3476898499998</v>
      </c>
    </row>
    <row r="379" spans="1:6">
      <c r="A379" s="749"/>
      <c r="B379" s="165" t="s">
        <v>136</v>
      </c>
      <c r="C379" s="77" t="s">
        <v>68</v>
      </c>
      <c r="D379" s="78"/>
      <c r="E379" s="79">
        <f>SUM(F374:F378)</f>
        <v>48560.526486849994</v>
      </c>
      <c r="F379" s="79">
        <f t="shared" si="19"/>
        <v>0</v>
      </c>
    </row>
    <row r="380" spans="1:6">
      <c r="A380" s="749"/>
      <c r="B380" s="165" t="s">
        <v>11</v>
      </c>
      <c r="C380" s="77" t="s">
        <v>284</v>
      </c>
      <c r="D380" s="78">
        <v>0.03</v>
      </c>
      <c r="E380" s="79">
        <f>+F381</f>
        <v>15513.31928966124</v>
      </c>
      <c r="F380" s="79">
        <f>(D380*E380)</f>
        <v>465.3995786898372</v>
      </c>
    </row>
    <row r="381" spans="1:6">
      <c r="A381" s="722"/>
      <c r="B381" s="165" t="s">
        <v>9</v>
      </c>
      <c r="C381" s="77" t="s">
        <v>10</v>
      </c>
      <c r="D381" s="78">
        <f>0.4*0.7*2*1.06</f>
        <v>0.59360000000000002</v>
      </c>
      <c r="E381" s="79">
        <f>+'VALOR CUADRILLAS MO'!D75</f>
        <v>26134.297994712331</v>
      </c>
      <c r="F381" s="79">
        <f>+D381*E381</f>
        <v>15513.31928966124</v>
      </c>
    </row>
    <row r="382" spans="1:6">
      <c r="A382" s="722"/>
      <c r="B382" s="165"/>
      <c r="C382" s="77"/>
      <c r="D382" s="78"/>
      <c r="E382" s="79"/>
      <c r="F382" s="79"/>
    </row>
    <row r="383" spans="1:6" ht="25.5">
      <c r="A383" s="719">
        <v>8.6999999999999993</v>
      </c>
      <c r="B383" s="83" t="s">
        <v>3501</v>
      </c>
      <c r="C383" s="76" t="s">
        <v>21</v>
      </c>
      <c r="D383" s="73"/>
      <c r="E383" s="74"/>
      <c r="F383" s="75">
        <f>ROUND(SUM(F384:F390),0)</f>
        <v>27876</v>
      </c>
    </row>
    <row r="384" spans="1:6">
      <c r="A384" s="749"/>
      <c r="B384" s="165" t="s">
        <v>77</v>
      </c>
      <c r="C384" s="77" t="s">
        <v>32</v>
      </c>
      <c r="D384" s="78">
        <v>2.5000000000000001E-2</v>
      </c>
      <c r="E384" s="79">
        <f>+INSUMOS!D140</f>
        <v>1392.3</v>
      </c>
      <c r="F384" s="79">
        <f>+D384*E384</f>
        <v>34.807499999999997</v>
      </c>
    </row>
    <row r="385" spans="1:18">
      <c r="A385" s="749"/>
      <c r="B385" s="165" t="s">
        <v>78</v>
      </c>
      <c r="C385" s="77" t="s">
        <v>119</v>
      </c>
      <c r="D385" s="78">
        <v>0.5</v>
      </c>
      <c r="E385" s="79">
        <f>+INSUMOS!D141</f>
        <v>23562</v>
      </c>
      <c r="F385" s="79">
        <f>+D385*E385</f>
        <v>11781</v>
      </c>
    </row>
    <row r="386" spans="1:18">
      <c r="A386" s="749"/>
      <c r="B386" s="165" t="s">
        <v>79</v>
      </c>
      <c r="C386" s="77" t="s">
        <v>32</v>
      </c>
      <c r="D386" s="78">
        <v>2</v>
      </c>
      <c r="E386" s="79">
        <f>+INSUMOS!D143</f>
        <v>1662.0492000000002</v>
      </c>
      <c r="F386" s="79">
        <f>+D386*E386</f>
        <v>3324.0984000000003</v>
      </c>
    </row>
    <row r="387" spans="1:18">
      <c r="A387" s="749"/>
      <c r="B387" s="165" t="s">
        <v>229</v>
      </c>
      <c r="C387" s="77" t="s">
        <v>68</v>
      </c>
      <c r="D387" s="78">
        <v>0.05</v>
      </c>
      <c r="E387" s="79">
        <f>SUM(F384:F386)</f>
        <v>15139.905900000002</v>
      </c>
      <c r="F387" s="79">
        <f>+D387*E387</f>
        <v>756.99529500000017</v>
      </c>
    </row>
    <row r="388" spans="1:18">
      <c r="A388" s="749"/>
      <c r="B388" s="165" t="s">
        <v>136</v>
      </c>
      <c r="C388" s="77" t="s">
        <v>68</v>
      </c>
      <c r="D388" s="78"/>
      <c r="E388" s="79">
        <f>SUM(F384:F387)</f>
        <v>15896.901195000002</v>
      </c>
      <c r="F388" s="79">
        <f>+D388*E388</f>
        <v>0</v>
      </c>
    </row>
    <row r="389" spans="1:18">
      <c r="A389" s="749"/>
      <c r="B389" s="165" t="s">
        <v>11</v>
      </c>
      <c r="C389" s="77" t="s">
        <v>284</v>
      </c>
      <c r="D389" s="78">
        <v>0.03</v>
      </c>
      <c r="E389" s="79">
        <f>+F390</f>
        <v>11629.762607646988</v>
      </c>
      <c r="F389" s="79">
        <f>(D389*E389)</f>
        <v>348.89287822940963</v>
      </c>
    </row>
    <row r="390" spans="1:18">
      <c r="A390" s="749"/>
      <c r="B390" s="165" t="s">
        <v>9</v>
      </c>
      <c r="C390" s="77" t="s">
        <v>10</v>
      </c>
      <c r="D390" s="78">
        <v>0.44500000000000001</v>
      </c>
      <c r="E390" s="79">
        <f>+'VALOR CUADRILLAS MO'!D75</f>
        <v>26134.297994712331</v>
      </c>
      <c r="F390" s="79">
        <f>+D390*E390</f>
        <v>11629.762607646988</v>
      </c>
    </row>
    <row r="391" spans="1:18">
      <c r="A391" s="749"/>
      <c r="B391" s="165"/>
      <c r="C391" s="77"/>
      <c r="D391" s="78"/>
      <c r="E391" s="79"/>
      <c r="F391" s="79"/>
    </row>
    <row r="392" spans="1:18">
      <c r="A392" s="751" t="s">
        <v>403</v>
      </c>
      <c r="B392" s="725" t="s">
        <v>3246</v>
      </c>
      <c r="C392" s="726"/>
      <c r="D392" s="727"/>
      <c r="E392" s="728"/>
      <c r="F392" s="728"/>
    </row>
    <row r="393" spans="1:18">
      <c r="A393" s="752">
        <v>9.1</v>
      </c>
      <c r="B393" s="729" t="s">
        <v>3247</v>
      </c>
      <c r="C393" s="730" t="s">
        <v>26</v>
      </c>
      <c r="D393" s="731"/>
      <c r="E393" s="732"/>
      <c r="F393" s="733">
        <f>ROUND(SUM(F394:F400),0)</f>
        <v>30173</v>
      </c>
      <c r="G393" s="3"/>
      <c r="H393" s="3"/>
      <c r="I393" s="3"/>
      <c r="J393" s="3"/>
      <c r="K393" s="3"/>
      <c r="L393" s="3"/>
      <c r="O393" s="3"/>
      <c r="P393" s="3"/>
      <c r="Q393" s="3"/>
      <c r="R393" s="3"/>
    </row>
    <row r="394" spans="1:18">
      <c r="A394" s="753"/>
      <c r="B394" s="737" t="s">
        <v>93</v>
      </c>
      <c r="C394" s="734" t="s">
        <v>26</v>
      </c>
      <c r="D394" s="735">
        <v>2</v>
      </c>
      <c r="E394" s="736">
        <f>INSUMOS!D179</f>
        <v>595</v>
      </c>
      <c r="F394" s="736">
        <f>+D394*E394</f>
        <v>1190</v>
      </c>
      <c r="G394" s="3"/>
      <c r="H394" s="3"/>
      <c r="I394" s="3"/>
      <c r="J394" s="3"/>
      <c r="K394" s="3"/>
      <c r="L394" s="3"/>
      <c r="O394" s="3"/>
      <c r="P394" s="3"/>
      <c r="Q394" s="3"/>
      <c r="R394" s="3"/>
    </row>
    <row r="395" spans="1:18">
      <c r="A395" s="753"/>
      <c r="B395" s="737" t="s">
        <v>39</v>
      </c>
      <c r="C395" s="734" t="s">
        <v>26</v>
      </c>
      <c r="D395" s="735">
        <v>0.01</v>
      </c>
      <c r="E395" s="736">
        <f>INSUMOS!D73</f>
        <v>94253.95</v>
      </c>
      <c r="F395" s="736">
        <f>+D395*E395</f>
        <v>942.53949999999998</v>
      </c>
      <c r="G395" s="3"/>
      <c r="H395" s="3"/>
      <c r="I395" s="3"/>
      <c r="J395" s="3"/>
      <c r="K395" s="3"/>
      <c r="L395" s="3"/>
      <c r="O395" s="3"/>
      <c r="P395" s="3"/>
      <c r="Q395" s="3"/>
      <c r="R395" s="3"/>
    </row>
    <row r="396" spans="1:18">
      <c r="A396" s="753"/>
      <c r="B396" s="737" t="s">
        <v>0</v>
      </c>
      <c r="C396" s="734" t="s">
        <v>26</v>
      </c>
      <c r="D396" s="735">
        <v>0.01</v>
      </c>
      <c r="E396" s="739">
        <f>INSUMOS!D74</f>
        <v>45447.29</v>
      </c>
      <c r="F396" s="736">
        <f>+D396*E396</f>
        <v>454.47290000000004</v>
      </c>
      <c r="G396" s="3"/>
      <c r="H396" s="3"/>
      <c r="I396" s="3"/>
      <c r="J396" s="3"/>
      <c r="K396" s="3"/>
      <c r="L396" s="3"/>
      <c r="O396" s="3"/>
      <c r="P396" s="3"/>
      <c r="Q396" s="3"/>
      <c r="R396" s="3"/>
    </row>
    <row r="397" spans="1:18">
      <c r="A397" s="753"/>
      <c r="B397" s="737" t="s">
        <v>94</v>
      </c>
      <c r="C397" s="734" t="s">
        <v>21</v>
      </c>
      <c r="D397" s="735">
        <v>1</v>
      </c>
      <c r="E397" s="739">
        <f>E403</f>
        <v>3588.6433333333334</v>
      </c>
      <c r="F397" s="736">
        <f>+D397*E397</f>
        <v>3588.6433333333334</v>
      </c>
      <c r="G397" s="3"/>
      <c r="H397" s="3"/>
      <c r="I397" s="3"/>
      <c r="J397" s="3"/>
      <c r="K397" s="3"/>
      <c r="L397" s="3"/>
      <c r="O397" s="3"/>
      <c r="P397" s="3"/>
      <c r="Q397" s="3"/>
      <c r="R397" s="3"/>
    </row>
    <row r="398" spans="1:18">
      <c r="A398" s="753"/>
      <c r="B398" s="737" t="s">
        <v>229</v>
      </c>
      <c r="C398" s="734" t="s">
        <v>68</v>
      </c>
      <c r="D398" s="735">
        <v>0.05</v>
      </c>
      <c r="E398" s="736">
        <f>SUM(F394:F397)</f>
        <v>6175.655733333333</v>
      </c>
      <c r="F398" s="736">
        <f>+D398*E398</f>
        <v>308.78278666666665</v>
      </c>
      <c r="G398" s="3"/>
      <c r="H398" s="3"/>
      <c r="I398" s="3"/>
      <c r="J398" s="3"/>
      <c r="K398" s="3"/>
      <c r="L398" s="3"/>
      <c r="O398" s="3"/>
      <c r="P398" s="3"/>
      <c r="Q398" s="3"/>
      <c r="R398" s="3"/>
    </row>
    <row r="399" spans="1:18">
      <c r="A399" s="753"/>
      <c r="B399" s="737" t="s">
        <v>11</v>
      </c>
      <c r="C399" s="734" t="s">
        <v>284</v>
      </c>
      <c r="D399" s="735">
        <v>0.03</v>
      </c>
      <c r="E399" s="739">
        <f>+F400</f>
        <v>22998.182235346852</v>
      </c>
      <c r="F399" s="736">
        <f>(D399*E399)</f>
        <v>689.94546706040558</v>
      </c>
      <c r="G399" s="3"/>
      <c r="H399" s="3"/>
      <c r="I399" s="3"/>
      <c r="J399" s="3"/>
      <c r="K399" s="3"/>
      <c r="L399" s="3"/>
      <c r="O399" s="3"/>
      <c r="P399" s="3"/>
      <c r="Q399" s="3"/>
      <c r="R399" s="3"/>
    </row>
    <row r="400" spans="1:18">
      <c r="A400" s="753"/>
      <c r="B400" s="737" t="s">
        <v>38</v>
      </c>
      <c r="C400" s="734" t="s">
        <v>10</v>
      </c>
      <c r="D400" s="735">
        <v>0.8</v>
      </c>
      <c r="E400" s="736">
        <f>'VALOR CUADRILLAS MO'!D89</f>
        <v>28747.727794183564</v>
      </c>
      <c r="F400" s="736">
        <f>+D400*E400</f>
        <v>22998.182235346852</v>
      </c>
      <c r="G400" s="3"/>
      <c r="H400" s="3"/>
      <c r="I400" s="3"/>
      <c r="J400" s="3"/>
      <c r="K400" s="3"/>
      <c r="L400" s="3"/>
      <c r="O400" s="3"/>
      <c r="P400" s="3"/>
      <c r="Q400" s="3"/>
      <c r="R400" s="3"/>
    </row>
    <row r="401" spans="1:18">
      <c r="A401" s="753"/>
      <c r="B401" s="737"/>
      <c r="C401" s="734"/>
      <c r="D401" s="735"/>
      <c r="E401" s="736"/>
      <c r="F401" s="736"/>
      <c r="G401" s="3"/>
      <c r="H401" s="3"/>
      <c r="I401" s="3"/>
      <c r="J401" s="3"/>
      <c r="K401" s="3"/>
      <c r="L401" s="3"/>
      <c r="O401" s="3"/>
      <c r="P401" s="3"/>
      <c r="Q401" s="3"/>
      <c r="R401" s="3"/>
    </row>
    <row r="402" spans="1:18">
      <c r="A402" s="752">
        <v>9.1999999999999993</v>
      </c>
      <c r="B402" s="729" t="s">
        <v>3248</v>
      </c>
      <c r="C402" s="730" t="s">
        <v>21</v>
      </c>
      <c r="D402" s="731"/>
      <c r="E402" s="732"/>
      <c r="F402" s="733">
        <f>ROUND(SUM(F403:F409),0)</f>
        <v>12216</v>
      </c>
      <c r="G402" s="3"/>
      <c r="H402" s="3"/>
      <c r="I402" s="3"/>
      <c r="J402" s="3"/>
      <c r="K402" s="3"/>
      <c r="L402" s="3"/>
      <c r="O402" s="3"/>
      <c r="P402" s="3"/>
      <c r="Q402" s="3"/>
      <c r="R402" s="3"/>
    </row>
    <row r="403" spans="1:18">
      <c r="A403" s="753"/>
      <c r="B403" s="737" t="s">
        <v>94</v>
      </c>
      <c r="C403" s="734" t="s">
        <v>21</v>
      </c>
      <c r="D403" s="735">
        <v>1</v>
      </c>
      <c r="E403" s="739">
        <f>INSUMOS!D180</f>
        <v>3588.6433333333334</v>
      </c>
      <c r="F403" s="736">
        <f>+D403*E403</f>
        <v>3588.6433333333334</v>
      </c>
      <c r="G403" s="3"/>
      <c r="H403" s="3"/>
      <c r="I403" s="3"/>
      <c r="J403" s="3"/>
      <c r="K403" s="3"/>
      <c r="L403" s="3"/>
      <c r="O403" s="3"/>
      <c r="P403" s="3"/>
      <c r="Q403" s="3"/>
      <c r="R403" s="3"/>
    </row>
    <row r="404" spans="1:18">
      <c r="A404" s="753"/>
      <c r="B404" s="737" t="s">
        <v>93</v>
      </c>
      <c r="C404" s="734" t="s">
        <v>26</v>
      </c>
      <c r="D404" s="735">
        <v>0.5</v>
      </c>
      <c r="E404" s="739">
        <f>INSUMOS!D179</f>
        <v>595</v>
      </c>
      <c r="F404" s="736">
        <f>+D404*E404</f>
        <v>297.5</v>
      </c>
      <c r="G404" s="3"/>
      <c r="H404" s="3"/>
      <c r="I404" s="3"/>
      <c r="J404" s="3"/>
      <c r="K404" s="3"/>
      <c r="L404" s="3"/>
      <c r="O404" s="3"/>
      <c r="P404" s="3"/>
      <c r="Q404" s="3"/>
      <c r="R404" s="3"/>
    </row>
    <row r="405" spans="1:18">
      <c r="A405" s="753"/>
      <c r="B405" s="737" t="s">
        <v>39</v>
      </c>
      <c r="C405" s="734" t="s">
        <v>26</v>
      </c>
      <c r="D405" s="735">
        <v>5.0000000000000001E-3</v>
      </c>
      <c r="E405" s="736">
        <f>INSUMOS!D73</f>
        <v>94253.95</v>
      </c>
      <c r="F405" s="736">
        <f>+D405*E405</f>
        <v>471.26974999999999</v>
      </c>
      <c r="G405" s="3"/>
      <c r="H405" s="3"/>
      <c r="I405" s="3"/>
      <c r="J405" s="3"/>
      <c r="K405" s="3"/>
      <c r="L405" s="3"/>
      <c r="O405" s="3"/>
      <c r="P405" s="3"/>
      <c r="Q405" s="3"/>
      <c r="R405" s="3"/>
    </row>
    <row r="406" spans="1:18">
      <c r="A406" s="753"/>
      <c r="B406" s="737" t="s">
        <v>0</v>
      </c>
      <c r="C406" s="734" t="s">
        <v>26</v>
      </c>
      <c r="D406" s="735">
        <v>5.0000000000000001E-3</v>
      </c>
      <c r="E406" s="736">
        <f>INSUMOS!D74</f>
        <v>45447.29</v>
      </c>
      <c r="F406" s="736">
        <f>+D406*E406</f>
        <v>227.23645000000002</v>
      </c>
      <c r="G406" s="3"/>
      <c r="H406" s="3"/>
      <c r="I406" s="3"/>
      <c r="J406" s="3"/>
      <c r="K406" s="3"/>
      <c r="L406" s="3"/>
      <c r="O406" s="3"/>
      <c r="P406" s="3"/>
      <c r="Q406" s="3"/>
      <c r="R406" s="3"/>
    </row>
    <row r="407" spans="1:18">
      <c r="A407" s="753"/>
      <c r="B407" s="737" t="s">
        <v>229</v>
      </c>
      <c r="C407" s="734" t="s">
        <v>68</v>
      </c>
      <c r="D407" s="735">
        <v>0.05</v>
      </c>
      <c r="E407" s="736">
        <f>SUM(F403:F406)</f>
        <v>4584.6495333333341</v>
      </c>
      <c r="F407" s="736">
        <f>+D407*E407</f>
        <v>229.23247666666671</v>
      </c>
      <c r="G407" s="3"/>
      <c r="H407" s="3"/>
      <c r="I407" s="3"/>
      <c r="J407" s="3"/>
      <c r="K407" s="3"/>
      <c r="L407" s="3"/>
      <c r="O407" s="3"/>
      <c r="P407" s="3"/>
      <c r="Q407" s="3"/>
      <c r="R407" s="3"/>
    </row>
    <row r="408" spans="1:18">
      <c r="A408" s="753"/>
      <c r="B408" s="737" t="s">
        <v>11</v>
      </c>
      <c r="C408" s="734" t="s">
        <v>284</v>
      </c>
      <c r="D408" s="735">
        <v>0.03</v>
      </c>
      <c r="E408" s="736">
        <f>+F409</f>
        <v>7186.9319485458909</v>
      </c>
      <c r="F408" s="736">
        <f>(D408*E408)</f>
        <v>215.60795845637671</v>
      </c>
      <c r="G408" s="3"/>
      <c r="H408" s="3"/>
      <c r="I408" s="3"/>
      <c r="J408" s="3"/>
      <c r="K408" s="3"/>
      <c r="L408" s="3"/>
      <c r="O408" s="3"/>
      <c r="P408" s="3"/>
      <c r="Q408" s="3"/>
      <c r="R408" s="3"/>
    </row>
    <row r="409" spans="1:18">
      <c r="A409" s="753"/>
      <c r="B409" s="737" t="s">
        <v>38</v>
      </c>
      <c r="C409" s="734" t="s">
        <v>10</v>
      </c>
      <c r="D409" s="735">
        <v>0.25</v>
      </c>
      <c r="E409" s="736">
        <f>'VALOR CUADRILLAS MO'!D89</f>
        <v>28747.727794183564</v>
      </c>
      <c r="F409" s="736">
        <f>+D409*E409</f>
        <v>7186.9319485458909</v>
      </c>
      <c r="G409" s="3"/>
      <c r="H409" s="3"/>
      <c r="I409" s="3"/>
      <c r="J409" s="3"/>
      <c r="K409" s="3"/>
      <c r="L409" s="3"/>
      <c r="O409" s="3"/>
      <c r="P409" s="3"/>
      <c r="Q409" s="3"/>
      <c r="R409" s="3"/>
    </row>
    <row r="410" spans="1:18">
      <c r="A410" s="753"/>
      <c r="B410" s="737"/>
      <c r="C410" s="734"/>
      <c r="D410" s="735"/>
      <c r="E410" s="736"/>
      <c r="F410" s="736"/>
      <c r="G410" s="3"/>
      <c r="H410" s="3"/>
      <c r="I410" s="3"/>
      <c r="J410" s="3"/>
      <c r="K410" s="3"/>
      <c r="L410" s="3"/>
      <c r="O410" s="3"/>
      <c r="P410" s="3"/>
      <c r="Q410" s="3"/>
      <c r="R410" s="3"/>
    </row>
    <row r="411" spans="1:18">
      <c r="A411" s="752">
        <v>9.3000000000000007</v>
      </c>
      <c r="B411" s="729" t="s">
        <v>3249</v>
      </c>
      <c r="C411" s="730" t="s">
        <v>21</v>
      </c>
      <c r="D411" s="731"/>
      <c r="E411" s="732"/>
      <c r="F411" s="733">
        <f>ROUND(SUM(F412:F418),0)</f>
        <v>14199</v>
      </c>
      <c r="G411" s="3"/>
      <c r="H411" s="3"/>
      <c r="I411" s="3"/>
      <c r="J411" s="3"/>
      <c r="K411" s="3"/>
      <c r="L411" s="3"/>
      <c r="O411" s="3"/>
      <c r="P411" s="3"/>
      <c r="Q411" s="3"/>
      <c r="R411" s="3"/>
    </row>
    <row r="412" spans="1:18">
      <c r="A412" s="753"/>
      <c r="B412" s="737" t="s">
        <v>95</v>
      </c>
      <c r="C412" s="734" t="s">
        <v>21</v>
      </c>
      <c r="D412" s="735">
        <v>1</v>
      </c>
      <c r="E412" s="739">
        <f>INSUMOS!D181</f>
        <v>4778.2466666666669</v>
      </c>
      <c r="F412" s="736">
        <f>+D412*E412</f>
        <v>4778.2466666666669</v>
      </c>
      <c r="G412" s="3"/>
      <c r="H412" s="3"/>
      <c r="I412" s="3"/>
      <c r="J412" s="3"/>
      <c r="K412" s="3"/>
      <c r="L412" s="3"/>
      <c r="O412" s="3"/>
      <c r="P412" s="3"/>
      <c r="Q412" s="3"/>
      <c r="R412" s="3"/>
    </row>
    <row r="413" spans="1:18">
      <c r="A413" s="753"/>
      <c r="B413" s="737" t="s">
        <v>98</v>
      </c>
      <c r="C413" s="734" t="s">
        <v>26</v>
      </c>
      <c r="D413" s="735">
        <v>0.5</v>
      </c>
      <c r="E413" s="739">
        <f>INSUMOS!D182</f>
        <v>595</v>
      </c>
      <c r="F413" s="736">
        <f>+D413*E413</f>
        <v>297.5</v>
      </c>
      <c r="G413" s="3"/>
      <c r="H413" s="3"/>
      <c r="I413" s="3"/>
      <c r="J413" s="3"/>
      <c r="K413" s="3"/>
      <c r="L413" s="3"/>
      <c r="O413" s="3"/>
      <c r="P413" s="3"/>
      <c r="Q413" s="3"/>
      <c r="R413" s="3"/>
    </row>
    <row r="414" spans="1:18">
      <c r="A414" s="753"/>
      <c r="B414" s="737" t="s">
        <v>39</v>
      </c>
      <c r="C414" s="734" t="s">
        <v>26</v>
      </c>
      <c r="D414" s="735">
        <v>0.01</v>
      </c>
      <c r="E414" s="736">
        <f>INSUMOS!D73</f>
        <v>94253.95</v>
      </c>
      <c r="F414" s="736">
        <f>+D414*E414</f>
        <v>942.53949999999998</v>
      </c>
      <c r="G414" s="3"/>
      <c r="H414" s="3"/>
      <c r="I414" s="3"/>
      <c r="J414" s="3"/>
      <c r="K414" s="3"/>
      <c r="L414" s="3"/>
      <c r="O414" s="3"/>
      <c r="P414" s="3"/>
      <c r="Q414" s="3"/>
      <c r="R414" s="3"/>
    </row>
    <row r="415" spans="1:18">
      <c r="A415" s="753"/>
      <c r="B415" s="737" t="s">
        <v>0</v>
      </c>
      <c r="C415" s="734" t="s">
        <v>26</v>
      </c>
      <c r="D415" s="735">
        <v>0.01</v>
      </c>
      <c r="E415" s="736">
        <f>INSUMOS!D74</f>
        <v>45447.29</v>
      </c>
      <c r="F415" s="736">
        <f>+D415*E415</f>
        <v>454.47290000000004</v>
      </c>
      <c r="G415" s="3"/>
      <c r="H415" s="3"/>
      <c r="I415" s="3"/>
      <c r="J415" s="3"/>
      <c r="K415" s="3"/>
      <c r="L415" s="3"/>
      <c r="O415" s="3"/>
      <c r="P415" s="3"/>
      <c r="Q415" s="3"/>
      <c r="R415" s="3"/>
    </row>
    <row r="416" spans="1:18">
      <c r="A416" s="753"/>
      <c r="B416" s="737" t="s">
        <v>229</v>
      </c>
      <c r="C416" s="734" t="s">
        <v>68</v>
      </c>
      <c r="D416" s="735">
        <v>0.05</v>
      </c>
      <c r="E416" s="736">
        <f>SUM(F412:F415)</f>
        <v>6472.7590666666665</v>
      </c>
      <c r="F416" s="736">
        <f>+D416*E416</f>
        <v>323.63795333333337</v>
      </c>
      <c r="G416" s="3"/>
      <c r="H416" s="3"/>
      <c r="I416" s="3"/>
      <c r="J416" s="3"/>
      <c r="K416" s="3"/>
      <c r="L416" s="3"/>
      <c r="O416" s="3"/>
      <c r="P416" s="3"/>
      <c r="Q416" s="3"/>
      <c r="R416" s="3"/>
    </row>
    <row r="417" spans="1:18">
      <c r="A417" s="753"/>
      <c r="B417" s="737" t="s">
        <v>11</v>
      </c>
      <c r="C417" s="734" t="s">
        <v>284</v>
      </c>
      <c r="D417" s="735">
        <v>0.03</v>
      </c>
      <c r="E417" s="736">
        <f>+F418</f>
        <v>7186.9319485458909</v>
      </c>
      <c r="F417" s="736">
        <f>(D417*E417)</f>
        <v>215.60795845637671</v>
      </c>
      <c r="G417" s="3"/>
      <c r="H417" s="3"/>
      <c r="I417" s="3"/>
      <c r="J417" s="3"/>
      <c r="K417" s="3"/>
      <c r="L417" s="3"/>
      <c r="O417" s="3"/>
      <c r="P417" s="3"/>
      <c r="Q417" s="3"/>
      <c r="R417" s="3"/>
    </row>
    <row r="418" spans="1:18">
      <c r="A418" s="753"/>
      <c r="B418" s="737" t="s">
        <v>38</v>
      </c>
      <c r="C418" s="734" t="s">
        <v>10</v>
      </c>
      <c r="D418" s="735">
        <v>0.25</v>
      </c>
      <c r="E418" s="736">
        <f>'VALOR CUADRILLAS MO'!D89</f>
        <v>28747.727794183564</v>
      </c>
      <c r="F418" s="736">
        <f>+D418*E418</f>
        <v>7186.9319485458909</v>
      </c>
      <c r="G418" s="3"/>
      <c r="H418" s="3"/>
      <c r="I418" s="3"/>
      <c r="J418" s="3"/>
      <c r="K418" s="3"/>
      <c r="L418" s="3"/>
      <c r="O418" s="3"/>
      <c r="P418" s="3"/>
      <c r="Q418" s="3"/>
      <c r="R418" s="3"/>
    </row>
    <row r="419" spans="1:18">
      <c r="A419" s="753"/>
      <c r="B419" s="737"/>
      <c r="C419" s="734"/>
      <c r="D419" s="735"/>
      <c r="E419" s="736"/>
      <c r="F419" s="736"/>
      <c r="G419" s="3"/>
      <c r="H419" s="3"/>
      <c r="I419" s="3"/>
      <c r="J419" s="3"/>
      <c r="K419" s="3"/>
      <c r="L419" s="3"/>
      <c r="O419" s="3"/>
      <c r="P419" s="3"/>
      <c r="Q419" s="3"/>
      <c r="R419" s="3"/>
    </row>
    <row r="420" spans="1:18">
      <c r="A420" s="751" t="s">
        <v>404</v>
      </c>
      <c r="B420" s="725" t="s">
        <v>3251</v>
      </c>
      <c r="C420" s="726"/>
      <c r="D420" s="727"/>
      <c r="E420" s="728"/>
      <c r="F420" s="728"/>
      <c r="G420" s="3"/>
      <c r="H420" s="3"/>
      <c r="I420" s="3"/>
      <c r="J420" s="3"/>
      <c r="K420" s="3"/>
      <c r="L420" s="3"/>
      <c r="O420" s="3"/>
      <c r="P420" s="3"/>
      <c r="Q420" s="3"/>
      <c r="R420" s="3"/>
    </row>
    <row r="421" spans="1:18" ht="25.5">
      <c r="A421" s="752">
        <v>10.1</v>
      </c>
      <c r="B421" s="729" t="s">
        <v>3252</v>
      </c>
      <c r="C421" s="730" t="s">
        <v>119</v>
      </c>
      <c r="D421" s="731"/>
      <c r="E421" s="732"/>
      <c r="F421" s="733">
        <f>ROUND(SUM(F422:F424),0)</f>
        <v>214240</v>
      </c>
      <c r="G421" s="3"/>
      <c r="H421" s="3"/>
      <c r="I421" s="3"/>
      <c r="J421" s="3"/>
      <c r="K421" s="3"/>
      <c r="L421" s="3"/>
      <c r="O421" s="3"/>
      <c r="P421" s="3"/>
      <c r="Q421" s="3"/>
      <c r="R421" s="3"/>
    </row>
    <row r="422" spans="1:18" ht="22.5" customHeight="1">
      <c r="A422" s="754"/>
      <c r="B422" s="737" t="str">
        <f>INSUMOS!B185</f>
        <v>VENTANA 744 ANOLOCK-VIDRIO BRONCE UNA NAVE FIJA Y UNA CORREDIZA 1.00X1.0</v>
      </c>
      <c r="C422" s="737" t="str">
        <f>INSUMOS!C185</f>
        <v xml:space="preserve"> UN </v>
      </c>
      <c r="D422" s="735">
        <v>1</v>
      </c>
      <c r="E422" s="736">
        <f>INSUMOS!D185</f>
        <v>180000</v>
      </c>
      <c r="F422" s="736">
        <f>+D422*E422</f>
        <v>180000</v>
      </c>
      <c r="G422" s="3"/>
      <c r="H422" s="3"/>
      <c r="I422" s="3"/>
      <c r="J422" s="3"/>
      <c r="K422" s="3"/>
      <c r="L422" s="3"/>
      <c r="O422" s="3"/>
      <c r="P422" s="3"/>
      <c r="Q422" s="3"/>
      <c r="R422" s="3"/>
    </row>
    <row r="423" spans="1:18">
      <c r="A423" s="754"/>
      <c r="B423" s="738" t="s">
        <v>11</v>
      </c>
      <c r="C423" s="734" t="s">
        <v>284</v>
      </c>
      <c r="D423" s="735">
        <v>0.03</v>
      </c>
      <c r="E423" s="736">
        <f>+F424</f>
        <v>33242.827049274085</v>
      </c>
      <c r="F423" s="736">
        <f>(D423*E423)</f>
        <v>997.28481147822254</v>
      </c>
      <c r="G423" s="3"/>
      <c r="H423" s="3"/>
      <c r="I423" s="3"/>
      <c r="J423" s="3"/>
      <c r="K423" s="3"/>
      <c r="L423" s="3"/>
      <c r="O423" s="3"/>
      <c r="P423" s="3"/>
      <c r="Q423" s="3"/>
      <c r="R423" s="3"/>
    </row>
    <row r="424" spans="1:18">
      <c r="A424" s="754"/>
      <c r="B424" s="737" t="s">
        <v>3253</v>
      </c>
      <c r="C424" s="734" t="s">
        <v>10</v>
      </c>
      <c r="D424" s="735">
        <f>1*1.06</f>
        <v>1.06</v>
      </c>
      <c r="E424" s="736">
        <f>'VALOR CUADRILLAS MO'!D113</f>
        <v>31361.157593654796</v>
      </c>
      <c r="F424" s="736">
        <f>+D424*E424</f>
        <v>33242.827049274085</v>
      </c>
      <c r="G424" s="3"/>
      <c r="H424" s="3"/>
      <c r="I424" s="3"/>
      <c r="J424" s="3"/>
      <c r="K424" s="3"/>
      <c r="L424" s="3"/>
      <c r="O424" s="3"/>
      <c r="P424" s="3"/>
      <c r="Q424" s="3"/>
      <c r="R424" s="3"/>
    </row>
    <row r="425" spans="1:18">
      <c r="A425" s="754"/>
      <c r="B425" s="737"/>
      <c r="C425" s="734"/>
      <c r="D425" s="735"/>
      <c r="E425" s="736"/>
      <c r="F425" s="740"/>
      <c r="G425" s="3"/>
      <c r="H425" s="3"/>
      <c r="I425" s="3"/>
      <c r="J425" s="3"/>
      <c r="K425" s="3"/>
      <c r="L425" s="3"/>
      <c r="O425" s="3"/>
      <c r="P425" s="3"/>
      <c r="Q425" s="3"/>
      <c r="R425" s="3"/>
    </row>
    <row r="426" spans="1:18" ht="25.5">
      <c r="A426" s="752">
        <v>10.199999999999999</v>
      </c>
      <c r="B426" s="729" t="s">
        <v>3254</v>
      </c>
      <c r="C426" s="730" t="s">
        <v>119</v>
      </c>
      <c r="D426" s="731"/>
      <c r="E426" s="732"/>
      <c r="F426" s="733">
        <f>ROUND(SUM(F427:F433),0)</f>
        <v>981352</v>
      </c>
      <c r="G426" s="3"/>
      <c r="H426" s="3"/>
      <c r="I426" s="3"/>
      <c r="J426" s="3"/>
      <c r="K426" s="3"/>
      <c r="L426" s="3"/>
      <c r="O426" s="3"/>
      <c r="P426" s="3"/>
      <c r="Q426" s="3"/>
      <c r="R426" s="3"/>
    </row>
    <row r="427" spans="1:18">
      <c r="A427" s="850"/>
      <c r="B427" s="737" t="str">
        <f>INSUMOS!B245</f>
        <v>ELEMENTOS DE FIJACIN DE DIVISION DE BAÑOS</v>
      </c>
      <c r="C427" s="734" t="s">
        <v>26</v>
      </c>
      <c r="D427" s="851">
        <v>1</v>
      </c>
      <c r="E427" s="739">
        <f>INSUMOS!D245</f>
        <v>30000</v>
      </c>
      <c r="F427" s="736">
        <f>E427*D427</f>
        <v>30000</v>
      </c>
      <c r="G427" s="3"/>
      <c r="H427" s="3"/>
      <c r="I427" s="3"/>
      <c r="J427" s="3"/>
      <c r="K427" s="3"/>
      <c r="L427" s="3"/>
      <c r="O427" s="3"/>
      <c r="P427" s="3"/>
      <c r="Q427" s="3"/>
      <c r="R427" s="3"/>
    </row>
    <row r="428" spans="1:18" ht="25.5">
      <c r="A428" s="754"/>
      <c r="B428" s="603" t="str">
        <f>INSUMOS!B265</f>
        <v>PUERTA EN ACERO INOXIDABLE DE 1.48X0,57 P. MURO CALIDAD TIPO SOCODA</v>
      </c>
      <c r="C428" s="885" t="str">
        <f>INSUMOS!C265</f>
        <v>M2</v>
      </c>
      <c r="D428" s="887">
        <v>1</v>
      </c>
      <c r="E428" s="886">
        <f>INSUMOS!D265</f>
        <v>637359.1827880512</v>
      </c>
      <c r="F428" s="736">
        <f>E428*D428</f>
        <v>637359.1827880512</v>
      </c>
      <c r="G428" s="3"/>
      <c r="H428" s="3"/>
      <c r="I428" s="3"/>
      <c r="J428" s="3"/>
      <c r="K428" s="3"/>
      <c r="L428" s="3"/>
      <c r="O428" s="3"/>
      <c r="P428" s="3"/>
      <c r="Q428" s="3"/>
      <c r="R428" s="3"/>
    </row>
    <row r="429" spans="1:18">
      <c r="A429" s="754"/>
      <c r="B429" s="603" t="str">
        <f>INSUMOS!B267</f>
        <v>PARAL C PARA PARALES EN ACERO INOXIDABLE0,03X1,71</v>
      </c>
      <c r="C429" s="885" t="str">
        <f>INSUMOS!C267</f>
        <v>ML</v>
      </c>
      <c r="D429" s="272">
        <v>1.71</v>
      </c>
      <c r="E429" s="886">
        <f>INSUMOS!D267</f>
        <v>52378.095906432747</v>
      </c>
      <c r="F429" s="736">
        <f t="shared" ref="F429:F430" si="20">E429*D429</f>
        <v>89566.543999999994</v>
      </c>
      <c r="G429" s="3"/>
      <c r="H429" s="3"/>
      <c r="I429" s="3"/>
      <c r="J429" s="3"/>
      <c r="K429" s="3"/>
      <c r="L429" s="3"/>
      <c r="O429" s="3"/>
      <c r="P429" s="3"/>
      <c r="Q429" s="3"/>
      <c r="R429" s="3"/>
    </row>
    <row r="430" spans="1:18">
      <c r="A430" s="754"/>
      <c r="B430" s="603" t="str">
        <f>INSUMOS!B268</f>
        <v>C EXTREMO  EN ACERO INOXIDABLE 0,0455X1,80</v>
      </c>
      <c r="C430" s="885" t="str">
        <f>INSUMOS!C268</f>
        <v>ML</v>
      </c>
      <c r="D430" s="3">
        <v>1.8</v>
      </c>
      <c r="E430" s="886">
        <f>INSUMOS!D268</f>
        <v>90975.28844444445</v>
      </c>
      <c r="F430" s="736">
        <f t="shared" si="20"/>
        <v>163755.51920000001</v>
      </c>
      <c r="G430" s="3"/>
      <c r="H430" s="3"/>
      <c r="I430" s="3"/>
      <c r="J430" s="3"/>
      <c r="K430" s="3"/>
      <c r="L430" s="3"/>
      <c r="O430" s="3"/>
      <c r="P430" s="3"/>
      <c r="Q430" s="3"/>
      <c r="R430" s="3"/>
    </row>
    <row r="431" spans="1:18">
      <c r="A431" s="754"/>
      <c r="B431" s="737" t="s">
        <v>229</v>
      </c>
      <c r="C431" s="734" t="s">
        <v>68</v>
      </c>
      <c r="D431" s="735">
        <v>0.05</v>
      </c>
      <c r="E431" s="736">
        <f>SUM(F428:F428)</f>
        <v>637359.1827880512</v>
      </c>
      <c r="F431" s="736">
        <f>+D431*E431</f>
        <v>31867.959139402563</v>
      </c>
      <c r="G431" s="3"/>
      <c r="H431" s="3"/>
      <c r="I431" s="3"/>
      <c r="J431" s="3"/>
      <c r="K431" s="3"/>
      <c r="L431" s="3"/>
      <c r="O431" s="3"/>
      <c r="P431" s="3"/>
      <c r="Q431" s="3"/>
      <c r="R431" s="3"/>
    </row>
    <row r="432" spans="1:18">
      <c r="A432" s="754"/>
      <c r="B432" s="738" t="s">
        <v>11</v>
      </c>
      <c r="C432" s="734" t="s">
        <v>284</v>
      </c>
      <c r="D432" s="735">
        <v>0.03</v>
      </c>
      <c r="E432" s="736">
        <f>+F433</f>
        <v>27963.698854342198</v>
      </c>
      <c r="F432" s="736">
        <f>+D432*E432</f>
        <v>838.91096563026588</v>
      </c>
      <c r="G432" s="3"/>
      <c r="H432" s="3"/>
      <c r="I432" s="3"/>
      <c r="J432" s="3"/>
      <c r="K432" s="3"/>
      <c r="L432" s="3"/>
      <c r="O432" s="3"/>
      <c r="P432" s="3"/>
      <c r="Q432" s="3"/>
      <c r="R432" s="3"/>
    </row>
    <row r="433" spans="1:18">
      <c r="A433" s="754"/>
      <c r="B433" s="737" t="s">
        <v>9</v>
      </c>
      <c r="C433" s="734" t="s">
        <v>10</v>
      </c>
      <c r="D433" s="735">
        <f>1.07</f>
        <v>1.07</v>
      </c>
      <c r="E433" s="736">
        <f>'VALOR CUADRILLAS MO'!D75</f>
        <v>26134.297994712331</v>
      </c>
      <c r="F433" s="736">
        <f>+D433*E433</f>
        <v>27963.698854342198</v>
      </c>
      <c r="G433" s="3"/>
      <c r="H433" s="3"/>
      <c r="I433" s="3"/>
      <c r="J433" s="3"/>
      <c r="K433" s="3"/>
      <c r="L433" s="3"/>
      <c r="O433" s="3"/>
      <c r="P433" s="3"/>
      <c r="Q433" s="3"/>
      <c r="R433" s="3"/>
    </row>
    <row r="434" spans="1:18">
      <c r="A434" s="754"/>
      <c r="B434" s="737"/>
      <c r="C434" s="734"/>
      <c r="D434" s="735"/>
      <c r="E434" s="736"/>
      <c r="F434" s="740"/>
      <c r="G434" s="3"/>
      <c r="H434" s="3"/>
      <c r="I434" s="3"/>
      <c r="J434" s="3"/>
      <c r="K434" s="3"/>
      <c r="L434" s="3"/>
      <c r="O434" s="3"/>
      <c r="P434" s="3"/>
      <c r="Q434" s="3"/>
      <c r="R434" s="3"/>
    </row>
    <row r="435" spans="1:18" ht="63.75">
      <c r="A435" s="752">
        <v>10.3</v>
      </c>
      <c r="B435" s="729" t="s">
        <v>3517</v>
      </c>
      <c r="C435" s="730" t="s">
        <v>26</v>
      </c>
      <c r="D435" s="731"/>
      <c r="E435" s="732"/>
      <c r="F435" s="733">
        <v>790846</v>
      </c>
      <c r="G435" s="3"/>
      <c r="H435" s="3"/>
      <c r="I435" s="3"/>
      <c r="J435" s="3"/>
      <c r="K435" s="3"/>
      <c r="L435" s="3"/>
      <c r="O435" s="3"/>
      <c r="P435" s="3"/>
      <c r="Q435" s="3"/>
      <c r="R435" s="3"/>
    </row>
    <row r="436" spans="1:18">
      <c r="A436" s="754"/>
      <c r="B436" s="741" t="s">
        <v>3255</v>
      </c>
      <c r="C436" s="742" t="s">
        <v>26</v>
      </c>
      <c r="D436" s="746">
        <v>1</v>
      </c>
      <c r="E436" s="743">
        <v>10000</v>
      </c>
      <c r="F436" s="743">
        <v>10000</v>
      </c>
      <c r="G436" s="3"/>
      <c r="H436" s="3"/>
      <c r="I436" s="3"/>
      <c r="J436" s="3"/>
      <c r="K436" s="3"/>
      <c r="L436" s="3"/>
      <c r="O436" s="3"/>
      <c r="P436" s="3"/>
      <c r="Q436" s="3"/>
      <c r="R436" s="3"/>
    </row>
    <row r="437" spans="1:18" ht="25.5">
      <c r="A437" s="754"/>
      <c r="B437" s="741" t="s">
        <v>3508</v>
      </c>
      <c r="C437" s="742" t="s">
        <v>26</v>
      </c>
      <c r="D437" s="746">
        <v>1</v>
      </c>
      <c r="E437" s="743">
        <v>624797.25360000005</v>
      </c>
      <c r="F437" s="743">
        <v>624797.25</v>
      </c>
      <c r="G437" s="3"/>
      <c r="H437" s="3"/>
      <c r="I437" s="3"/>
      <c r="J437" s="3"/>
      <c r="K437" s="3"/>
      <c r="L437" s="3"/>
      <c r="O437" s="3"/>
      <c r="P437" s="3"/>
      <c r="Q437" s="3"/>
      <c r="R437" s="3"/>
    </row>
    <row r="438" spans="1:18">
      <c r="A438" s="754"/>
      <c r="B438" s="744" t="s">
        <v>11</v>
      </c>
      <c r="C438" s="734" t="s">
        <v>284</v>
      </c>
      <c r="D438" s="735">
        <v>0.03</v>
      </c>
      <c r="E438" s="745">
        <v>151503.19429043835</v>
      </c>
      <c r="F438" s="745">
        <v>4545.0958287131498</v>
      </c>
      <c r="G438" s="3"/>
      <c r="H438" s="3"/>
      <c r="I438" s="3"/>
      <c r="J438" s="3"/>
      <c r="K438" s="3"/>
      <c r="L438" s="3"/>
      <c r="O438" s="3"/>
      <c r="P438" s="3"/>
      <c r="Q438" s="3"/>
      <c r="R438" s="3"/>
    </row>
    <row r="439" spans="1:18">
      <c r="A439" s="754"/>
      <c r="B439" s="744" t="s">
        <v>76</v>
      </c>
      <c r="C439" s="734" t="s">
        <v>182</v>
      </c>
      <c r="D439" s="735">
        <v>5</v>
      </c>
      <c r="E439" s="745">
        <v>30300.63885808767</v>
      </c>
      <c r="F439" s="745">
        <v>151503.19429043835</v>
      </c>
      <c r="G439" s="3"/>
      <c r="H439" s="3"/>
      <c r="I439" s="3"/>
      <c r="J439" s="3"/>
      <c r="K439" s="3"/>
      <c r="L439" s="3"/>
      <c r="O439" s="3"/>
      <c r="P439" s="3"/>
      <c r="Q439" s="3"/>
      <c r="R439" s="3"/>
    </row>
    <row r="440" spans="1:18">
      <c r="A440" s="754"/>
      <c r="B440" s="737"/>
      <c r="C440" s="734"/>
      <c r="D440" s="735"/>
      <c r="E440" s="736"/>
      <c r="F440" s="740"/>
      <c r="G440" s="3"/>
      <c r="H440" s="3"/>
      <c r="I440" s="3"/>
      <c r="J440" s="3"/>
      <c r="K440" s="3"/>
      <c r="L440" s="3"/>
      <c r="O440" s="3"/>
      <c r="P440" s="3"/>
      <c r="Q440" s="3"/>
      <c r="R440" s="3"/>
    </row>
    <row r="441" spans="1:18" ht="38.25">
      <c r="A441" s="752">
        <v>10.4</v>
      </c>
      <c r="B441" s="729" t="s">
        <v>3281</v>
      </c>
      <c r="C441" s="730" t="s">
        <v>26</v>
      </c>
      <c r="D441" s="731"/>
      <c r="E441" s="732"/>
      <c r="F441" s="733">
        <v>484061</v>
      </c>
      <c r="G441" s="3"/>
      <c r="H441" s="3"/>
      <c r="I441" s="3"/>
      <c r="J441" s="3"/>
      <c r="K441" s="3"/>
      <c r="L441" s="3"/>
      <c r="O441" s="3"/>
      <c r="P441" s="3"/>
      <c r="Q441" s="3"/>
      <c r="R441" s="3"/>
    </row>
    <row r="442" spans="1:18" ht="25.5">
      <c r="A442" s="754"/>
      <c r="B442" s="738" t="s">
        <v>616</v>
      </c>
      <c r="C442" s="734" t="s">
        <v>119</v>
      </c>
      <c r="D442" s="735">
        <v>2</v>
      </c>
      <c r="E442" s="736">
        <v>76954.400000000009</v>
      </c>
      <c r="F442" s="736">
        <v>153908.80000000002</v>
      </c>
      <c r="G442" s="3"/>
      <c r="H442" s="3"/>
      <c r="I442" s="3"/>
      <c r="J442" s="3"/>
      <c r="K442" s="3"/>
      <c r="L442" s="3"/>
      <c r="O442" s="3"/>
      <c r="P442" s="3"/>
      <c r="Q442" s="3"/>
      <c r="R442" s="3"/>
    </row>
    <row r="443" spans="1:18" ht="25.5">
      <c r="A443" s="754"/>
      <c r="B443" s="738" t="s">
        <v>3256</v>
      </c>
      <c r="C443" s="734" t="s">
        <v>100</v>
      </c>
      <c r="D443" s="735">
        <v>7</v>
      </c>
      <c r="E443" s="736">
        <v>15704.978499999999</v>
      </c>
      <c r="F443" s="736">
        <v>109934.8495</v>
      </c>
      <c r="G443" s="3"/>
      <c r="H443" s="3"/>
      <c r="I443" s="3"/>
      <c r="J443" s="3"/>
      <c r="K443" s="3"/>
      <c r="L443" s="3"/>
      <c r="O443" s="3"/>
      <c r="P443" s="3"/>
      <c r="Q443" s="3"/>
      <c r="R443" s="3"/>
    </row>
    <row r="444" spans="1:18">
      <c r="A444" s="754"/>
      <c r="B444" s="738" t="s">
        <v>414</v>
      </c>
      <c r="C444" s="734" t="s">
        <v>236</v>
      </c>
      <c r="D444" s="735">
        <v>1</v>
      </c>
      <c r="E444" s="736">
        <v>99472.1</v>
      </c>
      <c r="F444" s="736">
        <v>99472.1</v>
      </c>
      <c r="G444" s="3"/>
      <c r="H444" s="3"/>
      <c r="I444" s="3"/>
      <c r="J444" s="3"/>
      <c r="K444" s="3"/>
      <c r="L444" s="3"/>
      <c r="O444" s="3"/>
      <c r="P444" s="3"/>
      <c r="Q444" s="3"/>
      <c r="R444" s="3"/>
    </row>
    <row r="445" spans="1:18">
      <c r="A445" s="754"/>
      <c r="B445" s="738" t="s">
        <v>3257</v>
      </c>
      <c r="C445" s="734" t="s">
        <v>119</v>
      </c>
      <c r="D445" s="735">
        <v>3.6</v>
      </c>
      <c r="E445" s="736">
        <v>9280</v>
      </c>
      <c r="F445" s="736">
        <v>33408</v>
      </c>
      <c r="G445" s="3"/>
      <c r="H445" s="3"/>
      <c r="I445" s="3"/>
      <c r="J445" s="3"/>
      <c r="K445" s="3"/>
      <c r="L445" s="3"/>
      <c r="O445" s="3"/>
      <c r="P445" s="3"/>
      <c r="Q445" s="3"/>
      <c r="R445" s="3"/>
    </row>
    <row r="446" spans="1:18">
      <c r="A446" s="754"/>
      <c r="B446" s="738" t="s">
        <v>3258</v>
      </c>
      <c r="C446" s="734" t="s">
        <v>101</v>
      </c>
      <c r="D446" s="735">
        <v>0.40425</v>
      </c>
      <c r="E446" s="736">
        <v>43197</v>
      </c>
      <c r="F446" s="736">
        <v>17462.38725</v>
      </c>
      <c r="G446" s="3"/>
      <c r="H446" s="3"/>
      <c r="I446" s="3"/>
      <c r="J446" s="3"/>
      <c r="K446" s="3"/>
      <c r="L446" s="3"/>
      <c r="O446" s="3"/>
      <c r="P446" s="3"/>
      <c r="Q446" s="3"/>
      <c r="R446" s="3"/>
    </row>
    <row r="447" spans="1:18">
      <c r="A447" s="754"/>
      <c r="B447" s="737" t="s">
        <v>3259</v>
      </c>
      <c r="C447" s="734" t="s">
        <v>121</v>
      </c>
      <c r="D447" s="735">
        <v>6.0000000000000019E-3</v>
      </c>
      <c r="E447" s="736">
        <v>373121</v>
      </c>
      <c r="F447" s="736">
        <v>2238.7260000000006</v>
      </c>
      <c r="G447" s="3"/>
      <c r="H447" s="3"/>
      <c r="I447" s="3"/>
      <c r="J447" s="3"/>
      <c r="K447" s="3"/>
      <c r="L447" s="3"/>
      <c r="O447" s="3"/>
      <c r="P447" s="3"/>
      <c r="Q447" s="3"/>
      <c r="R447" s="3"/>
    </row>
    <row r="448" spans="1:18">
      <c r="A448" s="754"/>
      <c r="B448" s="738" t="s">
        <v>229</v>
      </c>
      <c r="C448" s="734" t="s">
        <v>68</v>
      </c>
      <c r="D448" s="735">
        <v>0.05</v>
      </c>
      <c r="E448" s="736">
        <v>416424.86275000009</v>
      </c>
      <c r="F448" s="736">
        <v>20821.243137500005</v>
      </c>
      <c r="G448" s="3"/>
      <c r="H448" s="3"/>
      <c r="I448" s="3"/>
      <c r="J448" s="3"/>
      <c r="K448" s="3"/>
      <c r="L448" s="3"/>
      <c r="O448" s="3"/>
      <c r="P448" s="3"/>
      <c r="Q448" s="3"/>
      <c r="R448" s="3"/>
    </row>
    <row r="449" spans="1:18">
      <c r="A449" s="754"/>
      <c r="B449" s="738" t="s">
        <v>11</v>
      </c>
      <c r="C449" s="734" t="s">
        <v>284</v>
      </c>
      <c r="D449" s="735">
        <v>0.03</v>
      </c>
      <c r="E449" s="736">
        <v>45450.958287131507</v>
      </c>
      <c r="F449" s="736">
        <v>1363.5287486139453</v>
      </c>
      <c r="G449" s="3"/>
      <c r="H449" s="3"/>
      <c r="I449" s="3"/>
      <c r="J449" s="3"/>
      <c r="K449" s="3"/>
      <c r="L449" s="3"/>
      <c r="O449" s="3"/>
      <c r="P449" s="3"/>
      <c r="Q449" s="3"/>
      <c r="R449" s="3"/>
    </row>
    <row r="450" spans="1:18">
      <c r="A450" s="754"/>
      <c r="B450" s="738" t="s">
        <v>3260</v>
      </c>
      <c r="C450" s="734" t="s">
        <v>99</v>
      </c>
      <c r="D450" s="735">
        <v>1.5</v>
      </c>
      <c r="E450" s="736">
        <v>30300.63885808767</v>
      </c>
      <c r="F450" s="736">
        <v>45450.958287131507</v>
      </c>
      <c r="G450" s="3"/>
      <c r="H450" s="3"/>
      <c r="I450" s="3"/>
      <c r="J450" s="3"/>
      <c r="K450" s="3"/>
      <c r="L450" s="3"/>
      <c r="O450" s="3"/>
      <c r="P450" s="3"/>
      <c r="Q450" s="3"/>
      <c r="R450" s="3"/>
    </row>
    <row r="451" spans="1:18">
      <c r="A451" s="754"/>
      <c r="B451" s="738"/>
      <c r="C451" s="734"/>
      <c r="D451" s="735"/>
      <c r="E451" s="736"/>
      <c r="F451" s="736"/>
      <c r="G451" s="3"/>
      <c r="H451" s="3"/>
      <c r="I451" s="3"/>
      <c r="J451" s="3"/>
      <c r="K451" s="3"/>
      <c r="L451" s="3"/>
      <c r="O451" s="3"/>
      <c r="P451" s="3"/>
      <c r="Q451" s="3"/>
      <c r="R451" s="3"/>
    </row>
    <row r="452" spans="1:18" ht="54" customHeight="1">
      <c r="A452" s="752">
        <v>10.5</v>
      </c>
      <c r="B452" s="880" t="s">
        <v>3497</v>
      </c>
      <c r="C452" s="730" t="s">
        <v>119</v>
      </c>
      <c r="D452" s="731"/>
      <c r="E452" s="732"/>
      <c r="F452" s="733">
        <f>ROUND(SUM(F453:F462),0)</f>
        <v>1209416</v>
      </c>
      <c r="G452" s="3"/>
      <c r="H452" s="3"/>
      <c r="I452" s="3"/>
      <c r="J452" s="3"/>
      <c r="K452" s="3"/>
      <c r="L452" s="3"/>
      <c r="O452" s="3"/>
      <c r="P452" s="3"/>
      <c r="Q452" s="3"/>
      <c r="R452" s="3"/>
    </row>
    <row r="453" spans="1:18">
      <c r="A453" s="754"/>
      <c r="B453" s="741" t="s">
        <v>3255</v>
      </c>
      <c r="C453" s="742" t="s">
        <v>26</v>
      </c>
      <c r="D453" s="892">
        <v>1</v>
      </c>
      <c r="E453" s="743">
        <f>INSUMOS!D245</f>
        <v>30000</v>
      </c>
      <c r="F453" s="894">
        <f>ROUND(D453*E453,2)</f>
        <v>30000</v>
      </c>
      <c r="G453" s="3"/>
      <c r="H453" s="3"/>
      <c r="I453" s="3"/>
      <c r="J453" s="3"/>
      <c r="K453" s="3"/>
      <c r="L453" s="3"/>
      <c r="O453" s="3"/>
      <c r="P453" s="3"/>
      <c r="Q453" s="3"/>
      <c r="R453" s="3"/>
    </row>
    <row r="454" spans="1:18" ht="25.5">
      <c r="A454" s="754"/>
      <c r="B454" s="741" t="s">
        <v>3482</v>
      </c>
      <c r="C454" s="742" t="s">
        <v>26</v>
      </c>
      <c r="D454" s="890">
        <v>0.51187510000000003</v>
      </c>
      <c r="E454" s="894">
        <f>INSUMOS!D243</f>
        <v>1210076.5482000001</v>
      </c>
      <c r="F454" s="894">
        <f>ROUND(D454*E454,2)</f>
        <v>619408.05000000005</v>
      </c>
      <c r="G454" s="3"/>
      <c r="H454" s="3"/>
      <c r="I454" s="3"/>
      <c r="J454" s="3"/>
      <c r="K454" s="3"/>
      <c r="L454" s="3"/>
      <c r="O454" s="3"/>
      <c r="P454" s="3"/>
      <c r="Q454" s="3"/>
      <c r="R454" s="3"/>
    </row>
    <row r="455" spans="1:18">
      <c r="A455" s="754"/>
      <c r="B455" s="888" t="str">
        <f>INSUMOS!B267</f>
        <v>PARAL C PARA PARALES EN ACERO INOXIDABLE0,03X1,71</v>
      </c>
      <c r="C455" s="889" t="str">
        <f>INSUMOS!C267</f>
        <v>ML</v>
      </c>
      <c r="D455" s="891">
        <v>0.87</v>
      </c>
      <c r="E455" s="743">
        <f>INSUMOS!D267</f>
        <v>52378.095906432747</v>
      </c>
      <c r="F455" s="894">
        <f t="shared" ref="F455:F459" si="21">ROUND(D455*E455,2)</f>
        <v>45568.94</v>
      </c>
      <c r="G455" s="3"/>
      <c r="H455" s="3"/>
      <c r="I455" s="3"/>
      <c r="J455" s="3"/>
      <c r="K455" s="3"/>
      <c r="L455" s="3"/>
      <c r="O455" s="3"/>
      <c r="P455" s="3"/>
      <c r="Q455" s="3"/>
      <c r="R455" s="3"/>
    </row>
    <row r="456" spans="1:18">
      <c r="A456" s="754"/>
      <c r="B456" s="888" t="str">
        <f>INSUMOS!B268</f>
        <v>C EXTREMO  EN ACERO INOXIDABLE 0,0455X1,80</v>
      </c>
      <c r="C456" s="889" t="str">
        <f>INSUMOS!C268</f>
        <v>ML</v>
      </c>
      <c r="D456" s="891">
        <v>0.75</v>
      </c>
      <c r="E456" s="743">
        <f>INSUMOS!D268</f>
        <v>90975.28844444445</v>
      </c>
      <c r="F456" s="894">
        <f t="shared" si="21"/>
        <v>68231.47</v>
      </c>
      <c r="G456" s="3"/>
      <c r="H456" s="3"/>
      <c r="I456" s="3"/>
      <c r="J456" s="3"/>
      <c r="K456" s="3"/>
      <c r="L456" s="3"/>
      <c r="O456" s="3"/>
      <c r="P456" s="3"/>
      <c r="Q456" s="3"/>
      <c r="R456" s="3"/>
    </row>
    <row r="457" spans="1:18">
      <c r="A457" s="754"/>
      <c r="B457" s="888" t="str">
        <f>INSUMOS!B269</f>
        <v>PARAL C PARA  TABIQUE EN ACERO INOXIDABLE 0,03X1,48</v>
      </c>
      <c r="C457" s="889" t="str">
        <f>INSUMOS!C269</f>
        <v>UN</v>
      </c>
      <c r="D457" s="891">
        <v>0.75</v>
      </c>
      <c r="E457" s="743">
        <f>INSUMOS!D269</f>
        <v>79687</v>
      </c>
      <c r="F457" s="894">
        <f t="shared" si="21"/>
        <v>59765.25</v>
      </c>
      <c r="G457" s="3"/>
      <c r="H457" s="3"/>
      <c r="I457" s="3"/>
      <c r="J457" s="3"/>
      <c r="K457" s="3"/>
      <c r="L457" s="3"/>
      <c r="O457" s="3"/>
      <c r="P457" s="3"/>
      <c r="Q457" s="3"/>
      <c r="R457" s="3"/>
    </row>
    <row r="458" spans="1:18">
      <c r="A458" s="754"/>
      <c r="B458" s="888" t="str">
        <f>INSUMOS!B270</f>
        <v>RECIBIDOR ,005*1,48</v>
      </c>
      <c r="C458" s="889" t="str">
        <f>INSUMOS!C270</f>
        <v>UN</v>
      </c>
      <c r="D458" s="891">
        <v>0.37</v>
      </c>
      <c r="E458" s="743">
        <f>INSUMOS!D270</f>
        <v>97265.002500000002</v>
      </c>
      <c r="F458" s="894">
        <f t="shared" si="21"/>
        <v>35988.050000000003</v>
      </c>
      <c r="G458" s="3"/>
      <c r="H458" s="3"/>
      <c r="I458" s="3"/>
      <c r="J458" s="3"/>
      <c r="K458" s="3"/>
      <c r="L458" s="3"/>
      <c r="O458" s="3"/>
      <c r="P458" s="3"/>
      <c r="Q458" s="3"/>
      <c r="R458" s="3"/>
    </row>
    <row r="459" spans="1:18">
      <c r="A459" s="754"/>
      <c r="B459" s="888" t="str">
        <f>INSUMOS!B271</f>
        <v>PARAL EN ACERO INOPXIDABLE 0,37*1,80</v>
      </c>
      <c r="C459" s="889" t="str">
        <f>INSUMOS!C271</f>
        <v>UN</v>
      </c>
      <c r="D459" s="891">
        <v>0.34150000000000003</v>
      </c>
      <c r="E459" s="743">
        <f>INSUMOS!D271</f>
        <v>407157.68340000004</v>
      </c>
      <c r="F459" s="894">
        <f t="shared" si="21"/>
        <v>139044.35</v>
      </c>
      <c r="G459" s="3"/>
      <c r="H459" s="3"/>
      <c r="I459" s="3"/>
      <c r="J459" s="3"/>
      <c r="K459" s="3"/>
      <c r="L459" s="3"/>
      <c r="O459" s="3"/>
      <c r="P459" s="3"/>
      <c r="Q459" s="3"/>
      <c r="R459" s="3"/>
    </row>
    <row r="460" spans="1:18">
      <c r="A460" s="754"/>
      <c r="B460" s="741" t="s">
        <v>229</v>
      </c>
      <c r="C460" s="742" t="s">
        <v>68</v>
      </c>
      <c r="D460" s="892">
        <v>0.05</v>
      </c>
      <c r="E460" s="743">
        <f>F453+F454+F455+F456+F457+F458+F459</f>
        <v>998006.11</v>
      </c>
      <c r="F460" s="894">
        <f>E460*D460</f>
        <v>49900.305500000002</v>
      </c>
      <c r="G460" s="3"/>
      <c r="H460" s="3"/>
      <c r="I460" s="3"/>
      <c r="J460" s="3"/>
      <c r="K460" s="3"/>
      <c r="L460" s="3"/>
      <c r="O460" s="3"/>
      <c r="P460" s="3"/>
      <c r="Q460" s="3"/>
      <c r="R460" s="3"/>
    </row>
    <row r="461" spans="1:18">
      <c r="A461" s="754"/>
      <c r="B461" s="744" t="s">
        <v>11</v>
      </c>
      <c r="C461" s="734" t="s">
        <v>284</v>
      </c>
      <c r="D461" s="890">
        <v>0.03</v>
      </c>
      <c r="E461" s="745">
        <f>F462</f>
        <v>156805.78796827397</v>
      </c>
      <c r="F461" s="745">
        <f>+D461*E461</f>
        <v>4704.1736390482192</v>
      </c>
      <c r="G461" s="3"/>
      <c r="H461" s="3"/>
      <c r="I461" s="3"/>
      <c r="J461" s="3"/>
      <c r="K461" s="3"/>
      <c r="L461" s="3"/>
      <c r="O461" s="3"/>
      <c r="P461" s="3"/>
      <c r="Q461" s="3"/>
      <c r="R461" s="3"/>
    </row>
    <row r="462" spans="1:18">
      <c r="A462" s="754"/>
      <c r="B462" s="744" t="s">
        <v>76</v>
      </c>
      <c r="C462" s="734" t="s">
        <v>182</v>
      </c>
      <c r="D462" s="890">
        <v>5</v>
      </c>
      <c r="E462" s="745">
        <f>'VALOR CUADRILLAS MO'!D113</f>
        <v>31361.157593654796</v>
      </c>
      <c r="F462" s="745">
        <f>+D462*E462</f>
        <v>156805.78796827397</v>
      </c>
      <c r="G462" s="3"/>
      <c r="H462" s="3"/>
      <c r="I462" s="3"/>
      <c r="J462" s="3"/>
      <c r="K462" s="3"/>
      <c r="L462" s="3"/>
      <c r="O462" s="3"/>
      <c r="P462" s="3"/>
      <c r="Q462" s="3"/>
      <c r="R462" s="3"/>
    </row>
    <row r="463" spans="1:18">
      <c r="A463" s="754"/>
      <c r="B463" s="737"/>
      <c r="C463" s="734"/>
      <c r="D463" s="735"/>
      <c r="E463" s="736"/>
      <c r="F463" s="740"/>
      <c r="G463" s="3"/>
      <c r="H463" s="3"/>
      <c r="I463" s="3"/>
      <c r="J463" s="3"/>
      <c r="K463" s="3"/>
      <c r="L463" s="3"/>
      <c r="O463" s="3"/>
      <c r="P463" s="3"/>
      <c r="Q463" s="3"/>
      <c r="R463" s="3"/>
    </row>
    <row r="464" spans="1:18">
      <c r="A464" s="751" t="s">
        <v>3250</v>
      </c>
      <c r="B464" s="725" t="s">
        <v>3261</v>
      </c>
      <c r="C464" s="726"/>
      <c r="D464" s="727"/>
      <c r="E464" s="728"/>
      <c r="F464" s="728"/>
      <c r="G464" s="3"/>
      <c r="H464" s="3"/>
      <c r="I464" s="3"/>
      <c r="J464" s="3"/>
      <c r="K464" s="3"/>
      <c r="L464" s="3"/>
      <c r="O464" s="3"/>
      <c r="P464" s="3"/>
      <c r="Q464" s="3"/>
      <c r="R464" s="3"/>
    </row>
    <row r="465" spans="1:18">
      <c r="A465" s="752">
        <v>11.1</v>
      </c>
      <c r="B465" s="729" t="s">
        <v>3265</v>
      </c>
      <c r="C465" s="730" t="s">
        <v>119</v>
      </c>
      <c r="D465" s="731"/>
      <c r="E465" s="732"/>
      <c r="F465" s="733">
        <f>ROUND(SUM(F466:F471),0)</f>
        <v>12541</v>
      </c>
      <c r="G465" s="3"/>
      <c r="H465" s="3"/>
      <c r="I465" s="3"/>
      <c r="J465" s="3"/>
      <c r="K465" s="3"/>
      <c r="L465" s="3"/>
      <c r="O465" s="3"/>
      <c r="P465" s="3"/>
      <c r="Q465" s="3"/>
      <c r="R465" s="3"/>
    </row>
    <row r="466" spans="1:18">
      <c r="A466" s="754"/>
      <c r="B466" s="738" t="s">
        <v>3266</v>
      </c>
      <c r="C466" s="734" t="s">
        <v>53</v>
      </c>
      <c r="D466" s="735">
        <v>0.08</v>
      </c>
      <c r="E466" s="736">
        <f>INSUMOS!D206</f>
        <v>55900</v>
      </c>
      <c r="F466" s="736">
        <f>+D466*E466</f>
        <v>4472</v>
      </c>
      <c r="G466" s="3"/>
      <c r="H466" s="3"/>
      <c r="I466" s="3"/>
      <c r="J466" s="3"/>
      <c r="K466" s="3"/>
      <c r="L466" s="3"/>
      <c r="O466" s="3"/>
      <c r="P466" s="3"/>
      <c r="Q466" s="3"/>
      <c r="R466" s="3"/>
    </row>
    <row r="467" spans="1:18">
      <c r="A467" s="754"/>
      <c r="B467" s="738" t="s">
        <v>3264</v>
      </c>
      <c r="C467" s="734" t="s">
        <v>26</v>
      </c>
      <c r="D467" s="735">
        <v>0.12</v>
      </c>
      <c r="E467" s="736">
        <f>E491</f>
        <v>1792.14</v>
      </c>
      <c r="F467" s="736">
        <f>D467*E467</f>
        <v>215.05680000000001</v>
      </c>
      <c r="G467" s="3"/>
      <c r="H467" s="3"/>
      <c r="I467" s="3"/>
      <c r="J467" s="3"/>
      <c r="K467" s="3"/>
      <c r="L467" s="3"/>
      <c r="O467" s="3"/>
      <c r="P467" s="3"/>
      <c r="Q467" s="3"/>
      <c r="R467" s="3"/>
    </row>
    <row r="468" spans="1:18">
      <c r="A468" s="754"/>
      <c r="B468" s="738" t="s">
        <v>229</v>
      </c>
      <c r="C468" s="734" t="s">
        <v>68</v>
      </c>
      <c r="D468" s="735">
        <v>0.05</v>
      </c>
      <c r="E468" s="736">
        <f>SUM(F466:F467)</f>
        <v>4687.0568000000003</v>
      </c>
      <c r="F468" s="736">
        <f>+D468*E468</f>
        <v>234.35284000000001</v>
      </c>
      <c r="G468" s="3"/>
      <c r="H468" s="3"/>
      <c r="I468" s="3"/>
      <c r="J468" s="3"/>
      <c r="K468" s="3"/>
      <c r="L468" s="3"/>
      <c r="O468" s="3"/>
      <c r="P468" s="3"/>
      <c r="Q468" s="3"/>
      <c r="R468" s="3"/>
    </row>
    <row r="469" spans="1:18">
      <c r="A469" s="754"/>
      <c r="B469" s="738" t="s">
        <v>22</v>
      </c>
      <c r="C469" s="734" t="s">
        <v>12</v>
      </c>
      <c r="D469" s="735">
        <v>0.5</v>
      </c>
      <c r="E469" s="736">
        <f>BASICOS!D33</f>
        <v>2856</v>
      </c>
      <c r="F469" s="736">
        <f>+D469*E469</f>
        <v>1428</v>
      </c>
      <c r="G469" s="3"/>
      <c r="H469" s="3"/>
      <c r="I469" s="3"/>
      <c r="J469" s="3"/>
      <c r="K469" s="3"/>
      <c r="L469" s="3"/>
      <c r="O469" s="3"/>
      <c r="P469" s="3"/>
      <c r="Q469" s="3"/>
      <c r="R469" s="3"/>
    </row>
    <row r="470" spans="1:18">
      <c r="A470" s="754"/>
      <c r="B470" s="738" t="s">
        <v>11</v>
      </c>
      <c r="C470" s="734" t="s">
        <v>284</v>
      </c>
      <c r="D470" s="735">
        <v>0.03</v>
      </c>
      <c r="E470" s="736">
        <f>+F471</f>
        <v>6010.8885387838354</v>
      </c>
      <c r="F470" s="736">
        <f>(D470*E470)</f>
        <v>180.32665616351505</v>
      </c>
      <c r="G470" s="3"/>
      <c r="H470" s="3"/>
      <c r="I470" s="3"/>
      <c r="J470" s="3"/>
      <c r="K470" s="3"/>
      <c r="L470" s="3"/>
      <c r="O470" s="3"/>
      <c r="P470" s="3"/>
      <c r="Q470" s="3"/>
      <c r="R470" s="3"/>
    </row>
    <row r="471" spans="1:18">
      <c r="A471" s="754"/>
      <c r="B471" s="738" t="s">
        <v>102</v>
      </c>
      <c r="C471" s="734" t="s">
        <v>10</v>
      </c>
      <c r="D471" s="735">
        <v>0.2</v>
      </c>
      <c r="E471" s="736">
        <f>'VALOR CUADRILLAS MO'!D101</f>
        <v>30054.442693919176</v>
      </c>
      <c r="F471" s="736">
        <f>+D471*E471</f>
        <v>6010.8885387838354</v>
      </c>
      <c r="G471" s="3"/>
      <c r="H471" s="3"/>
      <c r="I471" s="3"/>
      <c r="J471" s="3"/>
      <c r="K471" s="3"/>
      <c r="L471" s="3"/>
      <c r="O471" s="3"/>
      <c r="P471" s="3"/>
      <c r="Q471" s="3"/>
      <c r="R471" s="3"/>
    </row>
    <row r="472" spans="1:18">
      <c r="A472" s="754"/>
      <c r="B472" s="738"/>
      <c r="C472" s="734"/>
      <c r="D472" s="735"/>
      <c r="E472" s="736"/>
      <c r="F472" s="740"/>
      <c r="G472" s="3"/>
      <c r="H472" s="3"/>
      <c r="I472" s="3"/>
      <c r="J472" s="3"/>
      <c r="K472" s="3"/>
      <c r="L472" s="3"/>
      <c r="O472" s="3"/>
      <c r="P472" s="3"/>
      <c r="Q472" s="3"/>
      <c r="R472" s="3"/>
    </row>
    <row r="473" spans="1:18">
      <c r="A473" s="752">
        <v>11.2</v>
      </c>
      <c r="B473" s="729" t="s">
        <v>3509</v>
      </c>
      <c r="C473" s="730" t="s">
        <v>119</v>
      </c>
      <c r="D473" s="731"/>
      <c r="E473" s="732"/>
      <c r="F473" s="733">
        <v>10276</v>
      </c>
      <c r="G473" s="3"/>
      <c r="H473" s="3"/>
      <c r="I473" s="3"/>
      <c r="J473" s="3"/>
      <c r="K473" s="3"/>
      <c r="L473" s="3"/>
      <c r="O473" s="3"/>
      <c r="P473" s="3"/>
      <c r="Q473" s="3"/>
      <c r="R473" s="3"/>
    </row>
    <row r="474" spans="1:18">
      <c r="A474" s="754"/>
      <c r="B474" s="737" t="s">
        <v>710</v>
      </c>
      <c r="C474" s="734" t="s">
        <v>53</v>
      </c>
      <c r="D474" s="883">
        <v>3.4000000000000002E-2</v>
      </c>
      <c r="E474" s="736">
        <v>68899.81</v>
      </c>
      <c r="F474" s="736">
        <v>2342.5935400000003</v>
      </c>
      <c r="G474" s="3"/>
      <c r="H474" s="3"/>
      <c r="I474" s="3"/>
      <c r="J474" s="3"/>
      <c r="K474" s="3"/>
      <c r="L474" s="3"/>
      <c r="O474" s="3"/>
      <c r="P474" s="3"/>
      <c r="Q474" s="3"/>
      <c r="R474" s="3"/>
    </row>
    <row r="475" spans="1:18">
      <c r="A475" s="754"/>
      <c r="B475" s="738" t="s">
        <v>3262</v>
      </c>
      <c r="C475" s="734" t="s">
        <v>53</v>
      </c>
      <c r="D475" s="884">
        <v>8.5000000000000006E-3</v>
      </c>
      <c r="E475" s="736">
        <v>20857.13</v>
      </c>
      <c r="F475" s="736">
        <v>177.28560500000003</v>
      </c>
      <c r="G475" s="3"/>
      <c r="H475" s="3"/>
      <c r="I475" s="3"/>
      <c r="J475" s="3"/>
      <c r="K475" s="3"/>
      <c r="L475" s="3"/>
      <c r="O475" s="3"/>
      <c r="P475" s="3"/>
      <c r="Q475" s="3"/>
      <c r="R475" s="3"/>
    </row>
    <row r="476" spans="1:18">
      <c r="A476" s="754"/>
      <c r="B476" s="738" t="s">
        <v>103</v>
      </c>
      <c r="C476" s="734" t="s">
        <v>26</v>
      </c>
      <c r="D476" s="735">
        <v>0.12</v>
      </c>
      <c r="E476" s="736">
        <v>1792.14</v>
      </c>
      <c r="F476" s="736">
        <v>215.05680000000001</v>
      </c>
      <c r="G476" s="3"/>
      <c r="H476" s="3"/>
      <c r="I476" s="3"/>
      <c r="J476" s="3"/>
      <c r="K476" s="3"/>
      <c r="L476" s="3"/>
      <c r="O476" s="3"/>
      <c r="P476" s="3"/>
      <c r="Q476" s="3"/>
      <c r="R476" s="3"/>
    </row>
    <row r="477" spans="1:18">
      <c r="A477" s="754"/>
      <c r="B477" s="738" t="s">
        <v>229</v>
      </c>
      <c r="C477" s="734" t="s">
        <v>68</v>
      </c>
      <c r="D477" s="735">
        <v>0.05</v>
      </c>
      <c r="E477" s="736">
        <v>2734.9359450000002</v>
      </c>
      <c r="F477" s="736">
        <v>136.74679725000001</v>
      </c>
      <c r="G477" s="3"/>
      <c r="H477" s="3"/>
      <c r="I477" s="3"/>
      <c r="J477" s="3"/>
      <c r="K477" s="3"/>
      <c r="L477" s="3"/>
      <c r="O477" s="3"/>
      <c r="P477" s="3"/>
      <c r="Q477" s="3"/>
      <c r="R477" s="3"/>
    </row>
    <row r="478" spans="1:18">
      <c r="A478" s="754"/>
      <c r="B478" s="738" t="s">
        <v>11</v>
      </c>
      <c r="C478" s="734" t="s">
        <v>284</v>
      </c>
      <c r="D478" s="735">
        <v>0.02</v>
      </c>
      <c r="E478" s="736">
        <v>7259.5280597501705</v>
      </c>
      <c r="F478" s="736">
        <v>145.19056119500343</v>
      </c>
      <c r="G478" s="3"/>
      <c r="H478" s="3"/>
      <c r="I478" s="3"/>
      <c r="J478" s="3"/>
      <c r="K478" s="3"/>
      <c r="L478" s="3"/>
      <c r="O478" s="3"/>
      <c r="P478" s="3"/>
      <c r="Q478" s="3"/>
      <c r="R478" s="3"/>
    </row>
    <row r="479" spans="1:18">
      <c r="A479" s="754"/>
      <c r="B479" s="738" t="s">
        <v>102</v>
      </c>
      <c r="C479" s="734" t="s">
        <v>10</v>
      </c>
      <c r="D479" s="735">
        <v>0.25</v>
      </c>
      <c r="E479" s="736">
        <v>29038.112239000682</v>
      </c>
      <c r="F479" s="736">
        <v>7259.5280597501705</v>
      </c>
      <c r="G479" s="3"/>
      <c r="H479" s="3"/>
      <c r="I479" s="3"/>
      <c r="J479" s="3"/>
      <c r="K479" s="3"/>
      <c r="L479" s="3"/>
      <c r="O479" s="3"/>
      <c r="P479" s="3"/>
      <c r="Q479" s="3"/>
      <c r="R479" s="3"/>
    </row>
    <row r="480" spans="1:18">
      <c r="A480" s="754"/>
      <c r="B480" s="738"/>
      <c r="C480" s="734"/>
      <c r="D480" s="735"/>
      <c r="E480" s="736"/>
      <c r="F480" s="740"/>
      <c r="G480" s="3"/>
      <c r="H480" s="3"/>
      <c r="I480" s="3"/>
      <c r="J480" s="3"/>
      <c r="K480" s="3"/>
      <c r="L480" s="3"/>
      <c r="O480" s="3"/>
      <c r="P480" s="3"/>
      <c r="Q480" s="3"/>
      <c r="R480" s="3"/>
    </row>
    <row r="481" spans="1:18">
      <c r="A481" s="752">
        <v>11.3</v>
      </c>
      <c r="B481" s="729" t="s">
        <v>3267</v>
      </c>
      <c r="C481" s="730" t="s">
        <v>119</v>
      </c>
      <c r="D481" s="731"/>
      <c r="E481" s="732"/>
      <c r="F481" s="733">
        <f>ROUND(SUM(F482:F487),0)</f>
        <v>14966</v>
      </c>
      <c r="G481" s="3"/>
      <c r="H481" s="3"/>
      <c r="I481" s="3"/>
      <c r="J481" s="3"/>
      <c r="K481" s="3"/>
      <c r="L481" s="3"/>
      <c r="O481" s="3"/>
      <c r="P481" s="3"/>
      <c r="Q481" s="3"/>
      <c r="R481" s="3"/>
    </row>
    <row r="482" spans="1:18">
      <c r="A482" s="754"/>
      <c r="B482" s="737" t="s">
        <v>710</v>
      </c>
      <c r="C482" s="734" t="s">
        <v>53</v>
      </c>
      <c r="D482" s="735">
        <v>0.04</v>
      </c>
      <c r="E482" s="736">
        <f>INSUMOS!D197</f>
        <v>71899.8</v>
      </c>
      <c r="F482" s="736">
        <f>+D482*E482</f>
        <v>2875.9920000000002</v>
      </c>
      <c r="G482" s="3"/>
      <c r="H482" s="3"/>
      <c r="I482" s="3"/>
      <c r="J482" s="3"/>
      <c r="K482" s="3"/>
      <c r="L482" s="3"/>
      <c r="O482" s="3"/>
      <c r="P482" s="3"/>
      <c r="Q482" s="3"/>
      <c r="R482" s="3"/>
    </row>
    <row r="483" spans="1:18">
      <c r="A483" s="754"/>
      <c r="B483" s="738" t="s">
        <v>3262</v>
      </c>
      <c r="C483" s="734" t="s">
        <v>53</v>
      </c>
      <c r="D483" s="735">
        <v>2.5000000000000001E-2</v>
      </c>
      <c r="E483" s="736">
        <f>INSUMOS!D199</f>
        <v>20857.13</v>
      </c>
      <c r="F483" s="736">
        <f>+D483*E483</f>
        <v>521.42825000000005</v>
      </c>
      <c r="G483" s="3"/>
      <c r="H483" s="3"/>
      <c r="I483" s="3"/>
      <c r="J483" s="3"/>
      <c r="K483" s="3"/>
      <c r="L483" s="3"/>
      <c r="O483" s="3"/>
      <c r="P483" s="3"/>
      <c r="Q483" s="3"/>
      <c r="R483" s="3"/>
    </row>
    <row r="484" spans="1:18">
      <c r="A484" s="754"/>
      <c r="B484" s="738" t="s">
        <v>103</v>
      </c>
      <c r="C484" s="734" t="s">
        <v>26</v>
      </c>
      <c r="D484" s="735">
        <v>0.03</v>
      </c>
      <c r="E484" s="736">
        <f>E467</f>
        <v>1792.14</v>
      </c>
      <c r="F484" s="736">
        <f>+D484*E484</f>
        <v>53.764200000000002</v>
      </c>
      <c r="G484" s="3"/>
      <c r="H484" s="3"/>
      <c r="I484" s="3"/>
      <c r="J484" s="3"/>
      <c r="K484" s="3"/>
      <c r="L484" s="3"/>
      <c r="O484" s="3"/>
      <c r="P484" s="3"/>
      <c r="Q484" s="3"/>
      <c r="R484" s="3"/>
    </row>
    <row r="485" spans="1:18">
      <c r="A485" s="754"/>
      <c r="B485" s="738" t="s">
        <v>229</v>
      </c>
      <c r="C485" s="734" t="s">
        <v>68</v>
      </c>
      <c r="D485" s="735">
        <v>0.05</v>
      </c>
      <c r="E485" s="736">
        <f>SUM(F482:F484)</f>
        <v>3451.1844500000002</v>
      </c>
      <c r="F485" s="736">
        <f>+D485*E485</f>
        <v>172.55922250000003</v>
      </c>
      <c r="G485" s="3"/>
      <c r="H485" s="3"/>
      <c r="I485" s="3"/>
      <c r="J485" s="3"/>
      <c r="K485" s="3"/>
      <c r="L485" s="3"/>
      <c r="O485" s="3"/>
      <c r="P485" s="3"/>
      <c r="Q485" s="3"/>
      <c r="R485" s="3"/>
    </row>
    <row r="486" spans="1:18">
      <c r="A486" s="754"/>
      <c r="B486" s="738" t="s">
        <v>11</v>
      </c>
      <c r="C486" s="734" t="s">
        <v>284</v>
      </c>
      <c r="D486" s="735">
        <v>0.02</v>
      </c>
      <c r="E486" s="736">
        <f>+F487</f>
        <v>11120.143796750095</v>
      </c>
      <c r="F486" s="736">
        <f>(D486*E486)</f>
        <v>222.4028759350019</v>
      </c>
      <c r="G486" s="3"/>
      <c r="H486" s="3"/>
      <c r="I486" s="3"/>
      <c r="J486" s="3"/>
      <c r="K486" s="3"/>
      <c r="L486" s="3"/>
      <c r="O486" s="3"/>
      <c r="P486" s="3"/>
      <c r="Q486" s="3"/>
      <c r="R486" s="3"/>
    </row>
    <row r="487" spans="1:18">
      <c r="A487" s="754"/>
      <c r="B487" s="738" t="s">
        <v>102</v>
      </c>
      <c r="C487" s="734" t="s">
        <v>10</v>
      </c>
      <c r="D487" s="735">
        <f>0.37</f>
        <v>0.37</v>
      </c>
      <c r="E487" s="736">
        <f>'VALOR CUADRILLAS MO'!D101</f>
        <v>30054.442693919176</v>
      </c>
      <c r="F487" s="736">
        <f>+D487*E487</f>
        <v>11120.143796750095</v>
      </c>
      <c r="G487" s="3"/>
      <c r="H487" s="3"/>
      <c r="I487" s="3"/>
      <c r="J487" s="3"/>
      <c r="K487" s="3"/>
      <c r="L487" s="3"/>
      <c r="O487" s="3"/>
      <c r="P487" s="3"/>
      <c r="Q487" s="3"/>
      <c r="R487" s="3"/>
    </row>
    <row r="488" spans="1:18">
      <c r="A488" s="754"/>
      <c r="B488" s="738"/>
      <c r="C488" s="734"/>
      <c r="D488" s="735"/>
      <c r="E488" s="736"/>
      <c r="F488" s="736"/>
      <c r="G488" s="3"/>
      <c r="H488" s="3"/>
      <c r="I488" s="3"/>
      <c r="J488" s="3"/>
      <c r="K488" s="3"/>
      <c r="L488" s="3"/>
      <c r="O488" s="3"/>
      <c r="P488" s="3"/>
      <c r="Q488" s="3"/>
      <c r="R488" s="3"/>
    </row>
    <row r="489" spans="1:18">
      <c r="A489" s="752">
        <v>11.4</v>
      </c>
      <c r="B489" s="729" t="s">
        <v>3263</v>
      </c>
      <c r="C489" s="730" t="s">
        <v>119</v>
      </c>
      <c r="D489" s="731"/>
      <c r="E489" s="732"/>
      <c r="F489" s="733">
        <f>ROUND(SUM(F490:F495),0)</f>
        <v>18784</v>
      </c>
      <c r="G489" s="3"/>
      <c r="H489" s="3"/>
      <c r="I489" s="3"/>
      <c r="J489" s="3"/>
      <c r="K489" s="3"/>
      <c r="L489" s="3"/>
      <c r="O489" s="3"/>
      <c r="P489" s="3"/>
      <c r="Q489" s="3"/>
      <c r="R489" s="3"/>
    </row>
    <row r="490" spans="1:18">
      <c r="A490" s="754"/>
      <c r="B490" s="738" t="s">
        <v>3263</v>
      </c>
      <c r="C490" s="734" t="s">
        <v>120</v>
      </c>
      <c r="D490" s="735">
        <v>2</v>
      </c>
      <c r="E490" s="736">
        <f>INSUMOS!D108</f>
        <v>2296.6999999999998</v>
      </c>
      <c r="F490" s="736">
        <f>+D490*E490</f>
        <v>4593.3999999999996</v>
      </c>
      <c r="G490" s="3"/>
      <c r="H490" s="3"/>
      <c r="I490" s="3"/>
      <c r="J490" s="3"/>
      <c r="K490" s="3"/>
      <c r="L490" s="3"/>
      <c r="O490" s="3"/>
      <c r="P490" s="3"/>
      <c r="Q490" s="3"/>
      <c r="R490" s="3"/>
    </row>
    <row r="491" spans="1:18">
      <c r="A491" s="754"/>
      <c r="B491" s="738" t="s">
        <v>103</v>
      </c>
      <c r="C491" s="734" t="s">
        <v>26</v>
      </c>
      <c r="D491" s="735">
        <v>0.08</v>
      </c>
      <c r="E491" s="736">
        <f>INSUMOS!D200</f>
        <v>1792.14</v>
      </c>
      <c r="F491" s="736">
        <f>+D491*E491</f>
        <v>143.37120000000002</v>
      </c>
      <c r="G491" s="3"/>
      <c r="H491" s="3"/>
      <c r="I491" s="3"/>
      <c r="J491" s="3"/>
      <c r="K491" s="3"/>
      <c r="L491" s="3"/>
      <c r="O491" s="3"/>
      <c r="P491" s="3"/>
      <c r="Q491" s="3"/>
      <c r="R491" s="3"/>
    </row>
    <row r="492" spans="1:18">
      <c r="A492" s="754"/>
      <c r="B492" s="738" t="s">
        <v>229</v>
      </c>
      <c r="C492" s="734" t="s">
        <v>68</v>
      </c>
      <c r="D492" s="735">
        <v>0.05</v>
      </c>
      <c r="E492" s="736">
        <f>SUM(F490:F491)</f>
        <v>4736.7711999999992</v>
      </c>
      <c r="F492" s="736">
        <f>+D492*E492</f>
        <v>236.83855999999997</v>
      </c>
      <c r="G492" s="3"/>
      <c r="H492" s="3"/>
      <c r="I492" s="3"/>
      <c r="J492" s="3"/>
      <c r="K492" s="3"/>
      <c r="L492" s="3"/>
      <c r="O492" s="3"/>
      <c r="P492" s="3"/>
      <c r="Q492" s="3"/>
      <c r="R492" s="3"/>
    </row>
    <row r="493" spans="1:18">
      <c r="A493" s="754"/>
      <c r="B493" s="738" t="s">
        <v>22</v>
      </c>
      <c r="C493" s="734" t="s">
        <v>12</v>
      </c>
      <c r="D493" s="735">
        <v>0.5</v>
      </c>
      <c r="E493" s="736">
        <f>BASICOS!D33</f>
        <v>2856</v>
      </c>
      <c r="F493" s="736">
        <f>+D493*E493</f>
        <v>1428</v>
      </c>
      <c r="G493" s="3"/>
      <c r="H493" s="3"/>
      <c r="I493" s="3"/>
      <c r="J493" s="3"/>
      <c r="K493" s="3"/>
      <c r="L493" s="3"/>
      <c r="O493" s="3"/>
      <c r="P493" s="3"/>
      <c r="Q493" s="3"/>
      <c r="R493" s="3"/>
    </row>
    <row r="494" spans="1:18">
      <c r="A494" s="754"/>
      <c r="B494" s="738" t="s">
        <v>11</v>
      </c>
      <c r="C494" s="734" t="s">
        <v>284</v>
      </c>
      <c r="D494" s="735">
        <v>0.03</v>
      </c>
      <c r="E494" s="736">
        <f>+F495</f>
        <v>12021.777077567671</v>
      </c>
      <c r="F494" s="736">
        <f>(D494*E494)</f>
        <v>360.65331232703011</v>
      </c>
      <c r="G494" s="3"/>
      <c r="H494" s="3"/>
      <c r="I494" s="3"/>
      <c r="J494" s="3"/>
      <c r="K494" s="3"/>
      <c r="L494" s="3"/>
      <c r="O494" s="3"/>
      <c r="P494" s="3"/>
      <c r="Q494" s="3"/>
      <c r="R494" s="3"/>
    </row>
    <row r="495" spans="1:18">
      <c r="A495" s="754"/>
      <c r="B495" s="738" t="s">
        <v>102</v>
      </c>
      <c r="C495" s="734" t="s">
        <v>10</v>
      </c>
      <c r="D495" s="735">
        <f>0.4</f>
        <v>0.4</v>
      </c>
      <c r="E495" s="736">
        <f>'VALOR CUADRILLAS MO'!D101</f>
        <v>30054.442693919176</v>
      </c>
      <c r="F495" s="736">
        <f>+D495*E495</f>
        <v>12021.777077567671</v>
      </c>
      <c r="G495" s="3"/>
      <c r="H495" s="3"/>
      <c r="I495" s="3"/>
      <c r="J495" s="3"/>
      <c r="K495" s="3"/>
      <c r="L495" s="3"/>
      <c r="O495" s="3"/>
      <c r="P495" s="3"/>
      <c r="Q495" s="3"/>
      <c r="R495" s="3"/>
    </row>
    <row r="496" spans="1:18">
      <c r="A496" s="754"/>
      <c r="B496" s="738"/>
      <c r="C496" s="734"/>
      <c r="D496" s="735"/>
      <c r="E496" s="736"/>
      <c r="F496" s="736"/>
      <c r="G496" s="3"/>
      <c r="H496" s="3"/>
      <c r="I496" s="3"/>
      <c r="J496" s="3"/>
      <c r="K496" s="3"/>
      <c r="L496" s="3"/>
      <c r="O496" s="3"/>
      <c r="P496" s="3"/>
      <c r="Q496" s="3"/>
      <c r="R496" s="3"/>
    </row>
    <row r="497" spans="1:18">
      <c r="A497" s="751" t="s">
        <v>3250</v>
      </c>
      <c r="B497" s="725" t="s">
        <v>3268</v>
      </c>
      <c r="C497" s="726"/>
      <c r="D497" s="727"/>
      <c r="E497" s="728"/>
      <c r="F497" s="728"/>
      <c r="G497" s="3"/>
      <c r="H497" s="3"/>
      <c r="I497" s="3"/>
      <c r="J497" s="3"/>
      <c r="K497" s="3"/>
      <c r="L497" s="3"/>
      <c r="O497" s="3"/>
      <c r="P497" s="3"/>
      <c r="Q497" s="3"/>
      <c r="R497" s="3"/>
    </row>
    <row r="498" spans="1:18">
      <c r="A498" s="752">
        <v>12.1</v>
      </c>
      <c r="B498" s="729" t="s">
        <v>3269</v>
      </c>
      <c r="C498" s="730" t="s">
        <v>26</v>
      </c>
      <c r="D498" s="731"/>
      <c r="E498" s="732"/>
      <c r="F498" s="733">
        <f>ROUND(SUM(F499:F503),0)</f>
        <v>38032</v>
      </c>
      <c r="G498" s="3"/>
      <c r="H498" s="3"/>
      <c r="I498" s="3"/>
      <c r="J498" s="3"/>
      <c r="K498" s="3"/>
      <c r="L498" s="3"/>
      <c r="O498" s="3"/>
      <c r="P498" s="3"/>
      <c r="Q498" s="3"/>
      <c r="R498" s="3"/>
    </row>
    <row r="499" spans="1:18">
      <c r="A499" s="754"/>
      <c r="B499" s="738" t="s">
        <v>3270</v>
      </c>
      <c r="C499" s="734" t="s">
        <v>26</v>
      </c>
      <c r="D499" s="735">
        <v>0.3</v>
      </c>
      <c r="E499" s="736">
        <f>INSUMOS!D208</f>
        <v>410.55</v>
      </c>
      <c r="F499" s="736">
        <f>+D499*E499</f>
        <v>123.16499999999999</v>
      </c>
      <c r="G499" s="3"/>
      <c r="H499" s="3"/>
      <c r="I499" s="3"/>
      <c r="J499" s="3"/>
      <c r="K499" s="3"/>
      <c r="L499" s="3"/>
      <c r="O499" s="3"/>
      <c r="P499" s="3"/>
      <c r="Q499" s="3"/>
      <c r="R499" s="3"/>
    </row>
    <row r="500" spans="1:18">
      <c r="A500" s="754"/>
      <c r="B500" s="738" t="s">
        <v>229</v>
      </c>
      <c r="C500" s="734" t="s">
        <v>68</v>
      </c>
      <c r="D500" s="735">
        <v>0.05</v>
      </c>
      <c r="E500" s="736">
        <f>SUM(F499:F499)</f>
        <v>123.16499999999999</v>
      </c>
      <c r="F500" s="736">
        <f>+D500*E500</f>
        <v>6.1582499999999998</v>
      </c>
      <c r="G500" s="3"/>
      <c r="H500" s="3"/>
      <c r="I500" s="3"/>
      <c r="J500" s="3"/>
      <c r="K500" s="3"/>
      <c r="L500" s="3"/>
      <c r="O500" s="3"/>
      <c r="P500" s="3"/>
      <c r="Q500" s="3"/>
      <c r="R500" s="3"/>
    </row>
    <row r="501" spans="1:18">
      <c r="A501" s="754"/>
      <c r="B501" s="738" t="s">
        <v>3271</v>
      </c>
      <c r="C501" s="734" t="s">
        <v>26</v>
      </c>
      <c r="D501" s="735">
        <v>1</v>
      </c>
      <c r="E501" s="736">
        <f>INSUMOS!D209</f>
        <v>25466</v>
      </c>
      <c r="F501" s="736">
        <f>+D501*E501</f>
        <v>25466</v>
      </c>
      <c r="G501" s="3"/>
      <c r="H501" s="3"/>
      <c r="I501" s="3"/>
      <c r="J501" s="3"/>
      <c r="K501" s="3"/>
      <c r="L501" s="3"/>
      <c r="O501" s="3"/>
      <c r="P501" s="3"/>
      <c r="Q501" s="3"/>
      <c r="R501" s="3"/>
    </row>
    <row r="502" spans="1:18">
      <c r="A502" s="754"/>
      <c r="B502" s="738" t="s">
        <v>11</v>
      </c>
      <c r="C502" s="734" t="s">
        <v>284</v>
      </c>
      <c r="D502" s="735">
        <v>0.03</v>
      </c>
      <c r="E502" s="736">
        <f>+F503</f>
        <v>12074.045673557097</v>
      </c>
      <c r="F502" s="736">
        <f>(D502*E502)</f>
        <v>362.22137020671289</v>
      </c>
      <c r="G502" s="3"/>
      <c r="H502" s="3"/>
      <c r="I502" s="3"/>
      <c r="J502" s="3"/>
      <c r="K502" s="3"/>
      <c r="L502" s="3"/>
      <c r="O502" s="3"/>
      <c r="P502" s="3"/>
      <c r="Q502" s="3"/>
      <c r="R502" s="3"/>
    </row>
    <row r="503" spans="1:18">
      <c r="A503" s="754"/>
      <c r="B503" s="738" t="s">
        <v>38</v>
      </c>
      <c r="C503" s="734" t="s">
        <v>10</v>
      </c>
      <c r="D503" s="735">
        <v>0.42</v>
      </c>
      <c r="E503" s="736">
        <f>'VALOR CUADRILLAS MO'!D89</f>
        <v>28747.727794183564</v>
      </c>
      <c r="F503" s="736">
        <f>+D503*E503</f>
        <v>12074.045673557097</v>
      </c>
      <c r="G503" s="3"/>
      <c r="H503" s="3"/>
      <c r="I503" s="3"/>
      <c r="J503" s="3"/>
      <c r="K503" s="3"/>
      <c r="L503" s="3"/>
      <c r="O503" s="3"/>
      <c r="P503" s="3"/>
      <c r="Q503" s="3"/>
      <c r="R503" s="3"/>
    </row>
    <row r="504" spans="1:18" ht="20.100000000000001" customHeight="1">
      <c r="A504" s="754"/>
      <c r="B504" s="738"/>
      <c r="C504" s="734"/>
      <c r="D504" s="735"/>
      <c r="E504" s="736"/>
      <c r="F504" s="736"/>
      <c r="G504" s="3"/>
      <c r="H504" s="3"/>
      <c r="I504" s="3"/>
      <c r="J504" s="3"/>
      <c r="K504" s="3"/>
      <c r="L504" s="3"/>
      <c r="O504" s="3"/>
      <c r="P504" s="3"/>
      <c r="Q504" s="3"/>
      <c r="R504" s="3"/>
    </row>
    <row r="505" spans="1:18">
      <c r="A505" s="752">
        <v>12.2</v>
      </c>
      <c r="B505" s="729" t="s">
        <v>3272</v>
      </c>
      <c r="C505" s="730" t="s">
        <v>26</v>
      </c>
      <c r="D505" s="731"/>
      <c r="E505" s="732"/>
      <c r="F505" s="733">
        <f>ROUND(SUM(F506:F511),0)</f>
        <v>56360</v>
      </c>
      <c r="G505" s="3"/>
      <c r="H505" s="3"/>
      <c r="I505" s="3"/>
      <c r="J505" s="3"/>
      <c r="K505" s="3"/>
      <c r="L505" s="3"/>
      <c r="O505" s="3"/>
      <c r="P505" s="3"/>
      <c r="Q505" s="3"/>
      <c r="R505" s="3"/>
    </row>
    <row r="506" spans="1:18">
      <c r="A506" s="754"/>
      <c r="B506" s="738" t="s">
        <v>3273</v>
      </c>
      <c r="C506" s="734" t="s">
        <v>26</v>
      </c>
      <c r="D506" s="735">
        <v>2</v>
      </c>
      <c r="E506" s="736">
        <f>INSUMOS!D210</f>
        <v>409</v>
      </c>
      <c r="F506" s="736">
        <f>+E506*D506</f>
        <v>818</v>
      </c>
      <c r="G506" s="3"/>
      <c r="H506" s="3"/>
      <c r="I506" s="3"/>
      <c r="J506" s="3"/>
      <c r="K506" s="3"/>
      <c r="L506" s="3"/>
      <c r="O506" s="3"/>
      <c r="P506" s="3"/>
      <c r="Q506" s="3"/>
      <c r="R506" s="3"/>
    </row>
    <row r="507" spans="1:18">
      <c r="A507" s="754"/>
      <c r="B507" s="738" t="s">
        <v>3270</v>
      </c>
      <c r="C507" s="734" t="s">
        <v>26</v>
      </c>
      <c r="D507" s="735">
        <v>0.3</v>
      </c>
      <c r="E507" s="736">
        <f>E499</f>
        <v>410.55</v>
      </c>
      <c r="F507" s="736">
        <f>+E507*D507</f>
        <v>123.16499999999999</v>
      </c>
      <c r="G507" s="3"/>
      <c r="H507" s="3"/>
      <c r="I507" s="3"/>
      <c r="J507" s="3"/>
      <c r="K507" s="3"/>
      <c r="L507" s="3"/>
      <c r="O507" s="3"/>
      <c r="P507" s="3"/>
      <c r="Q507" s="3"/>
      <c r="R507" s="3"/>
    </row>
    <row r="508" spans="1:18">
      <c r="A508" s="754"/>
      <c r="B508" s="738" t="s">
        <v>229</v>
      </c>
      <c r="C508" s="734" t="s">
        <v>68</v>
      </c>
      <c r="D508" s="735">
        <v>0.05</v>
      </c>
      <c r="E508" s="736">
        <f>SUM(F506:F507)</f>
        <v>941.16499999999996</v>
      </c>
      <c r="F508" s="736">
        <f>+D508*E508</f>
        <v>47.058250000000001</v>
      </c>
      <c r="G508" s="3"/>
      <c r="H508" s="3"/>
      <c r="I508" s="3"/>
      <c r="J508" s="3"/>
      <c r="K508" s="3"/>
      <c r="L508" s="3"/>
      <c r="O508" s="3"/>
      <c r="P508" s="3"/>
      <c r="Q508" s="3"/>
      <c r="R508" s="3"/>
    </row>
    <row r="509" spans="1:18">
      <c r="A509" s="754"/>
      <c r="B509" s="738" t="s">
        <v>3274</v>
      </c>
      <c r="C509" s="734" t="s">
        <v>26</v>
      </c>
      <c r="D509" s="735">
        <v>1</v>
      </c>
      <c r="E509" s="736">
        <f>INSUMOS!D213</f>
        <v>42935.199999999997</v>
      </c>
      <c r="F509" s="736">
        <f>+E509*D509</f>
        <v>42935.199999999997</v>
      </c>
      <c r="G509" s="3"/>
      <c r="H509" s="3"/>
      <c r="I509" s="3"/>
      <c r="J509" s="3"/>
      <c r="K509" s="3"/>
      <c r="L509" s="3"/>
      <c r="O509" s="3"/>
      <c r="P509" s="3"/>
      <c r="Q509" s="3"/>
      <c r="R509" s="3"/>
    </row>
    <row r="510" spans="1:18">
      <c r="A510" s="754"/>
      <c r="B510" s="738" t="s">
        <v>11</v>
      </c>
      <c r="C510" s="734" t="s">
        <v>284</v>
      </c>
      <c r="D510" s="735">
        <v>0.03</v>
      </c>
      <c r="E510" s="736">
        <f>+F511</f>
        <v>12074.045673557097</v>
      </c>
      <c r="F510" s="736">
        <f>(D510*E510)</f>
        <v>362.22137020671289</v>
      </c>
      <c r="G510" s="3"/>
      <c r="H510" s="3"/>
      <c r="I510" s="3"/>
      <c r="J510" s="3"/>
      <c r="K510" s="3"/>
      <c r="L510" s="3"/>
      <c r="O510" s="3"/>
      <c r="P510" s="3"/>
      <c r="Q510" s="3"/>
      <c r="R510" s="3"/>
    </row>
    <row r="511" spans="1:18">
      <c r="A511" s="754"/>
      <c r="B511" s="738" t="s">
        <v>38</v>
      </c>
      <c r="C511" s="734" t="s">
        <v>10</v>
      </c>
      <c r="D511" s="735">
        <f>0.42</f>
        <v>0.42</v>
      </c>
      <c r="E511" s="736">
        <f>'VALOR CUADRILLAS MO'!D89</f>
        <v>28747.727794183564</v>
      </c>
      <c r="F511" s="736">
        <f>+E511*D511</f>
        <v>12074.045673557097</v>
      </c>
      <c r="G511" s="3"/>
      <c r="H511" s="3"/>
      <c r="I511" s="3"/>
      <c r="J511" s="3"/>
      <c r="K511" s="3"/>
      <c r="L511" s="3"/>
      <c r="O511" s="3"/>
      <c r="P511" s="3"/>
      <c r="Q511" s="3"/>
      <c r="R511" s="3"/>
    </row>
    <row r="512" spans="1:18">
      <c r="A512" s="754"/>
      <c r="B512" s="738"/>
      <c r="C512" s="734"/>
      <c r="D512" s="735"/>
      <c r="E512" s="736"/>
      <c r="F512" s="736"/>
      <c r="G512" s="3"/>
      <c r="H512" s="3"/>
      <c r="I512" s="3"/>
      <c r="J512" s="3"/>
      <c r="K512" s="3"/>
      <c r="L512" s="3"/>
      <c r="O512" s="3"/>
      <c r="P512" s="3"/>
      <c r="Q512" s="3"/>
      <c r="R512" s="3"/>
    </row>
    <row r="513" spans="1:18" ht="25.5">
      <c r="A513" s="752">
        <v>12.3</v>
      </c>
      <c r="B513" s="729" t="s">
        <v>261</v>
      </c>
      <c r="C513" s="730" t="s">
        <v>26</v>
      </c>
      <c r="D513" s="731"/>
      <c r="E513" s="732"/>
      <c r="F513" s="733">
        <f>ROUND(SUM(F514:F519),0)</f>
        <v>202962</v>
      </c>
      <c r="G513" s="3"/>
      <c r="H513" s="3"/>
      <c r="I513" s="3"/>
      <c r="J513" s="3"/>
      <c r="K513" s="3"/>
      <c r="L513" s="3"/>
      <c r="O513" s="3"/>
      <c r="P513" s="3"/>
      <c r="Q513" s="3"/>
      <c r="R513" s="3"/>
    </row>
    <row r="514" spans="1:18">
      <c r="A514" s="754"/>
      <c r="B514" s="738" t="s">
        <v>77</v>
      </c>
      <c r="C514" s="734" t="s">
        <v>32</v>
      </c>
      <c r="D514" s="735">
        <v>0.5</v>
      </c>
      <c r="E514" s="736">
        <f>INSUMOS!D140</f>
        <v>1392.3</v>
      </c>
      <c r="F514" s="736">
        <f>+E514*D514</f>
        <v>696.15</v>
      </c>
      <c r="G514" s="3"/>
      <c r="H514" s="3"/>
      <c r="I514" s="3"/>
      <c r="J514" s="3"/>
      <c r="K514" s="3"/>
      <c r="L514" s="3"/>
      <c r="O514" s="3"/>
      <c r="P514" s="3"/>
      <c r="Q514" s="3"/>
      <c r="R514" s="3"/>
    </row>
    <row r="515" spans="1:18">
      <c r="A515" s="754"/>
      <c r="B515" s="738" t="s">
        <v>111</v>
      </c>
      <c r="C515" s="734" t="s">
        <v>26</v>
      </c>
      <c r="D515" s="735">
        <v>1</v>
      </c>
      <c r="E515" s="736">
        <f>INSUMOS!D215</f>
        <v>2888.3999999999996</v>
      </c>
      <c r="F515" s="736">
        <f>+E515*D515</f>
        <v>2888.3999999999996</v>
      </c>
      <c r="G515" s="3"/>
      <c r="H515" s="3"/>
      <c r="I515" s="3"/>
      <c r="J515" s="3"/>
      <c r="K515" s="3"/>
      <c r="L515" s="3"/>
      <c r="O515" s="3"/>
      <c r="P515" s="3"/>
      <c r="Q515" s="3"/>
      <c r="R515" s="3"/>
    </row>
    <row r="516" spans="1:18">
      <c r="A516" s="754"/>
      <c r="B516" s="738" t="s">
        <v>229</v>
      </c>
      <c r="C516" s="734" t="s">
        <v>68</v>
      </c>
      <c r="D516" s="735">
        <v>0.05</v>
      </c>
      <c r="E516" s="736">
        <f>SUM(F514:F515)</f>
        <v>3584.5499999999997</v>
      </c>
      <c r="F516" s="736">
        <f>+D516*E516</f>
        <v>179.22749999999999</v>
      </c>
      <c r="G516" s="3"/>
      <c r="H516" s="3"/>
      <c r="I516" s="3"/>
      <c r="J516" s="3"/>
      <c r="K516" s="3"/>
      <c r="L516" s="3"/>
      <c r="O516" s="3"/>
      <c r="P516" s="3"/>
      <c r="Q516" s="3"/>
      <c r="R516" s="3"/>
    </row>
    <row r="517" spans="1:18" ht="20.100000000000001" customHeight="1">
      <c r="A517" s="754"/>
      <c r="B517" s="738" t="s">
        <v>261</v>
      </c>
      <c r="C517" s="734" t="s">
        <v>26</v>
      </c>
      <c r="D517" s="735">
        <v>1</v>
      </c>
      <c r="E517" s="736">
        <f>INSUMOS!D217</f>
        <v>145900</v>
      </c>
      <c r="F517" s="736">
        <f>+E517*D517</f>
        <v>145900</v>
      </c>
      <c r="G517" s="3"/>
      <c r="H517" s="3"/>
      <c r="I517" s="3"/>
      <c r="J517" s="3"/>
      <c r="K517" s="3"/>
      <c r="L517" s="3"/>
      <c r="O517" s="3"/>
      <c r="P517" s="3"/>
      <c r="Q517" s="3"/>
      <c r="R517" s="3"/>
    </row>
    <row r="518" spans="1:18">
      <c r="A518" s="754"/>
      <c r="B518" s="738" t="s">
        <v>11</v>
      </c>
      <c r="C518" s="734" t="s">
        <v>284</v>
      </c>
      <c r="D518" s="735">
        <v>0.03</v>
      </c>
      <c r="E518" s="736">
        <f>+F519</f>
        <v>51745.910029530416</v>
      </c>
      <c r="F518" s="736">
        <f>(D518*E518)</f>
        <v>1552.3773008859125</v>
      </c>
      <c r="G518" s="3"/>
      <c r="H518" s="3"/>
      <c r="I518" s="3"/>
      <c r="J518" s="3"/>
      <c r="K518" s="3"/>
      <c r="L518" s="3"/>
      <c r="O518" s="3"/>
      <c r="P518" s="3"/>
      <c r="Q518" s="3"/>
      <c r="R518" s="3"/>
    </row>
    <row r="519" spans="1:18">
      <c r="A519" s="754"/>
      <c r="B519" s="738" t="s">
        <v>38</v>
      </c>
      <c r="C519" s="734" t="s">
        <v>10</v>
      </c>
      <c r="D519" s="735">
        <v>1.8</v>
      </c>
      <c r="E519" s="736">
        <f>'VALOR CUADRILLAS MO'!D89</f>
        <v>28747.727794183564</v>
      </c>
      <c r="F519" s="736">
        <f>+E519*D519</f>
        <v>51745.910029530416</v>
      </c>
      <c r="G519" s="3"/>
      <c r="H519" s="3"/>
      <c r="I519" s="3"/>
      <c r="J519" s="3"/>
      <c r="K519" s="3"/>
      <c r="L519" s="3"/>
      <c r="O519" s="3"/>
      <c r="P519" s="3"/>
      <c r="Q519" s="3"/>
      <c r="R519" s="3"/>
    </row>
    <row r="520" spans="1:18">
      <c r="A520" s="754"/>
      <c r="B520" s="738"/>
      <c r="C520" s="734"/>
      <c r="D520" s="735"/>
      <c r="E520" s="736"/>
      <c r="F520" s="736"/>
      <c r="G520" s="3"/>
      <c r="H520" s="3"/>
      <c r="I520" s="3"/>
      <c r="J520" s="3"/>
      <c r="K520" s="3"/>
      <c r="L520" s="3"/>
      <c r="O520" s="3"/>
      <c r="P520" s="3"/>
      <c r="Q520" s="3"/>
      <c r="R520" s="3"/>
    </row>
    <row r="521" spans="1:18" ht="16.5" customHeight="1">
      <c r="A521" s="752">
        <v>12.4</v>
      </c>
      <c r="B521" s="852" t="s">
        <v>3463</v>
      </c>
      <c r="C521" s="730" t="s">
        <v>26</v>
      </c>
      <c r="D521" s="731"/>
      <c r="E521" s="732"/>
      <c r="F521" s="733">
        <f>ROUND(SUM(F522:F524),0)</f>
        <v>101649</v>
      </c>
      <c r="G521" s="3"/>
      <c r="H521" s="3"/>
      <c r="I521" s="3"/>
      <c r="J521" s="3"/>
      <c r="K521" s="3"/>
      <c r="L521" s="3"/>
      <c r="O521" s="3"/>
      <c r="P521" s="3"/>
      <c r="Q521" s="3"/>
      <c r="R521" s="3"/>
    </row>
    <row r="522" spans="1:18">
      <c r="A522" s="754"/>
      <c r="B522" s="737" t="s">
        <v>3463</v>
      </c>
      <c r="C522" s="734" t="s">
        <v>26</v>
      </c>
      <c r="D522" s="735">
        <v>1</v>
      </c>
      <c r="E522" s="736">
        <f>INSUMOS!D241</f>
        <v>75000</v>
      </c>
      <c r="F522" s="736">
        <f>+E522*D522</f>
        <v>75000</v>
      </c>
      <c r="G522" s="3"/>
      <c r="H522" s="3"/>
      <c r="I522" s="3"/>
      <c r="J522" s="3"/>
      <c r="K522" s="3"/>
      <c r="L522" s="3"/>
      <c r="O522" s="3"/>
      <c r="P522" s="3"/>
      <c r="Q522" s="3"/>
      <c r="R522" s="3"/>
    </row>
    <row r="523" spans="1:18">
      <c r="A523" s="754"/>
      <c r="B523" s="747" t="s">
        <v>11</v>
      </c>
      <c r="C523" s="734" t="s">
        <v>284</v>
      </c>
      <c r="D523" s="735">
        <v>0.03</v>
      </c>
      <c r="E523" s="736">
        <f>+F524</f>
        <v>25872.955014765208</v>
      </c>
      <c r="F523" s="736">
        <f>(D523*E523)</f>
        <v>776.18865044295626</v>
      </c>
      <c r="G523" s="3"/>
      <c r="H523" s="3"/>
      <c r="I523" s="3"/>
      <c r="J523" s="3"/>
      <c r="K523" s="3"/>
      <c r="L523" s="3"/>
      <c r="O523" s="3"/>
      <c r="P523" s="3"/>
      <c r="Q523" s="3"/>
      <c r="R523" s="3"/>
    </row>
    <row r="524" spans="1:18">
      <c r="A524" s="754"/>
      <c r="B524" s="747" t="s">
        <v>38</v>
      </c>
      <c r="C524" s="734" t="s">
        <v>10</v>
      </c>
      <c r="D524" s="735">
        <v>0.9</v>
      </c>
      <c r="E524" s="736">
        <f>'VALOR CUADRILLAS MO'!D89</f>
        <v>28747.727794183564</v>
      </c>
      <c r="F524" s="736">
        <f>+E524*D524</f>
        <v>25872.955014765208</v>
      </c>
      <c r="G524" s="3"/>
      <c r="H524" s="3"/>
      <c r="I524" s="3"/>
      <c r="J524" s="3"/>
      <c r="K524" s="3"/>
      <c r="L524" s="3"/>
      <c r="O524" s="3"/>
      <c r="P524" s="3"/>
      <c r="Q524" s="3"/>
      <c r="R524" s="3"/>
    </row>
    <row r="525" spans="1:18">
      <c r="A525" s="754"/>
      <c r="B525" s="738"/>
      <c r="C525" s="734"/>
      <c r="D525" s="735"/>
      <c r="E525" s="736"/>
      <c r="F525" s="740"/>
      <c r="G525" s="3"/>
      <c r="H525" s="3"/>
      <c r="I525" s="3"/>
      <c r="J525" s="3"/>
      <c r="K525" s="3"/>
      <c r="L525" s="3"/>
      <c r="O525" s="3"/>
      <c r="P525" s="3"/>
      <c r="Q525" s="3"/>
      <c r="R525" s="3"/>
    </row>
    <row r="526" spans="1:18">
      <c r="A526" s="752">
        <v>12.5</v>
      </c>
      <c r="B526" s="729" t="str">
        <f>INSUMOS!B263</f>
        <v>SANITARIO INFANTIL KIDDY SINGLE EN CAJA BLANCO</v>
      </c>
      <c r="C526" s="730" t="s">
        <v>26</v>
      </c>
      <c r="D526" s="731"/>
      <c r="E526" s="732"/>
      <c r="F526" s="733">
        <f>ROUND(SUM(F527:F531),0)</f>
        <v>506387</v>
      </c>
      <c r="G526" s="3"/>
      <c r="H526" s="3"/>
      <c r="I526" s="3"/>
      <c r="J526" s="3"/>
      <c r="K526" s="3"/>
      <c r="L526" s="3"/>
      <c r="O526" s="3"/>
      <c r="P526" s="3"/>
      <c r="Q526" s="3"/>
      <c r="R526" s="3"/>
    </row>
    <row r="527" spans="1:18">
      <c r="A527" s="754"/>
      <c r="B527" s="738" t="s">
        <v>77</v>
      </c>
      <c r="C527" s="734" t="s">
        <v>32</v>
      </c>
      <c r="D527" s="735">
        <v>1</v>
      </c>
      <c r="E527" s="736">
        <f>INSUMOS!D140</f>
        <v>1392.3</v>
      </c>
      <c r="F527" s="736">
        <f>+E527*D527</f>
        <v>1392.3</v>
      </c>
      <c r="G527" s="3"/>
      <c r="H527" s="3"/>
      <c r="I527" s="3"/>
      <c r="J527" s="3"/>
      <c r="K527" s="3"/>
      <c r="L527" s="3"/>
      <c r="O527" s="3"/>
      <c r="P527" s="3"/>
      <c r="Q527" s="3"/>
      <c r="R527" s="3"/>
    </row>
    <row r="528" spans="1:18">
      <c r="A528" s="754"/>
      <c r="B528" s="738" t="s">
        <v>229</v>
      </c>
      <c r="C528" s="734" t="s">
        <v>68</v>
      </c>
      <c r="D528" s="735">
        <v>0.05</v>
      </c>
      <c r="E528" s="736">
        <f>SUM(F527:F527)</f>
        <v>1392.3</v>
      </c>
      <c r="F528" s="736">
        <f>+D528*E528</f>
        <v>69.614999999999995</v>
      </c>
      <c r="G528" s="3"/>
      <c r="H528" s="3"/>
      <c r="I528" s="3"/>
      <c r="J528" s="3"/>
      <c r="K528" s="3"/>
      <c r="L528" s="3"/>
      <c r="O528" s="3"/>
      <c r="P528" s="3"/>
      <c r="Q528" s="3"/>
      <c r="R528" s="3"/>
    </row>
    <row r="529" spans="1:18">
      <c r="A529" s="754"/>
      <c r="B529" s="738" t="str">
        <f>INSUMOS!B263</f>
        <v>SANITARIO INFANTIL KIDDY SINGLE EN CAJA BLANCO</v>
      </c>
      <c r="C529" s="734" t="s">
        <v>26</v>
      </c>
      <c r="D529" s="735">
        <v>1</v>
      </c>
      <c r="E529" s="736">
        <f>INSUMOS!D263</f>
        <v>430900</v>
      </c>
      <c r="F529" s="736">
        <f>+E529*D529</f>
        <v>430900</v>
      </c>
      <c r="G529" s="3"/>
      <c r="H529" s="3"/>
      <c r="I529" s="3"/>
      <c r="J529" s="3"/>
      <c r="K529" s="3"/>
      <c r="L529" s="3"/>
      <c r="O529" s="3"/>
      <c r="P529" s="3"/>
      <c r="Q529" s="3"/>
      <c r="R529" s="3"/>
    </row>
    <row r="530" spans="1:18">
      <c r="A530" s="754"/>
      <c r="B530" s="738" t="s">
        <v>11</v>
      </c>
      <c r="C530" s="734" t="s">
        <v>284</v>
      </c>
      <c r="D530" s="735">
        <v>0.03</v>
      </c>
      <c r="E530" s="736">
        <f>+F531</f>
        <v>71869.319485458909</v>
      </c>
      <c r="F530" s="736">
        <f>(D530*E530)</f>
        <v>2156.0795845637672</v>
      </c>
      <c r="G530" s="3"/>
      <c r="H530" s="3"/>
      <c r="I530" s="3"/>
      <c r="J530" s="3"/>
      <c r="K530" s="3"/>
      <c r="L530" s="3"/>
      <c r="O530" s="3"/>
      <c r="P530" s="3"/>
      <c r="Q530" s="3"/>
      <c r="R530" s="3"/>
    </row>
    <row r="531" spans="1:18">
      <c r="A531" s="754"/>
      <c r="B531" s="738" t="s">
        <v>38</v>
      </c>
      <c r="C531" s="734" t="s">
        <v>10</v>
      </c>
      <c r="D531" s="735">
        <v>2.5</v>
      </c>
      <c r="E531" s="736">
        <f>'VALOR CUADRILLAS MO'!D89</f>
        <v>28747.727794183564</v>
      </c>
      <c r="F531" s="736">
        <f>+E531*D531</f>
        <v>71869.319485458909</v>
      </c>
      <c r="G531" s="3"/>
      <c r="H531" s="3"/>
      <c r="I531" s="3"/>
      <c r="J531" s="3"/>
      <c r="K531" s="3"/>
      <c r="L531" s="3"/>
      <c r="O531" s="3"/>
      <c r="P531" s="3"/>
      <c r="Q531" s="3"/>
      <c r="R531" s="3"/>
    </row>
    <row r="532" spans="1:18">
      <c r="A532" s="754"/>
      <c r="B532" s="738"/>
      <c r="C532" s="734"/>
      <c r="D532" s="735"/>
      <c r="E532" s="736"/>
      <c r="F532" s="740"/>
      <c r="G532" s="3"/>
      <c r="H532" s="3"/>
      <c r="I532" s="3"/>
      <c r="J532" s="3"/>
      <c r="K532" s="3"/>
      <c r="L532" s="3"/>
      <c r="O532" s="3"/>
      <c r="P532" s="3"/>
      <c r="Q532" s="3"/>
      <c r="R532" s="3"/>
    </row>
    <row r="533" spans="1:18">
      <c r="A533" s="752">
        <v>12.6</v>
      </c>
      <c r="B533" s="729" t="s">
        <v>112</v>
      </c>
      <c r="C533" s="730" t="s">
        <v>26</v>
      </c>
      <c r="D533" s="731"/>
      <c r="E533" s="732"/>
      <c r="F533" s="733">
        <f>ROUND(SUM(F534:F538),0)</f>
        <v>436960</v>
      </c>
      <c r="G533" s="3"/>
      <c r="H533" s="3"/>
      <c r="I533" s="3"/>
      <c r="J533" s="3"/>
      <c r="K533" s="3"/>
      <c r="L533" s="3"/>
      <c r="O533" s="3"/>
      <c r="P533" s="3"/>
      <c r="Q533" s="3"/>
      <c r="R533" s="3"/>
    </row>
    <row r="534" spans="1:18">
      <c r="A534" s="754"/>
      <c r="B534" s="738" t="s">
        <v>77</v>
      </c>
      <c r="C534" s="734" t="s">
        <v>32</v>
      </c>
      <c r="D534" s="735">
        <v>1</v>
      </c>
      <c r="E534" s="736">
        <f>INSUMOS!D140</f>
        <v>1392.3</v>
      </c>
      <c r="F534" s="736">
        <f>+E534*D534</f>
        <v>1392.3</v>
      </c>
      <c r="G534" s="3"/>
      <c r="H534" s="3"/>
      <c r="I534" s="3"/>
      <c r="J534" s="3"/>
      <c r="K534" s="3"/>
      <c r="L534" s="3"/>
      <c r="O534" s="3"/>
      <c r="P534" s="3"/>
      <c r="Q534" s="3"/>
      <c r="R534" s="3"/>
    </row>
    <row r="535" spans="1:18">
      <c r="A535" s="754"/>
      <c r="B535" s="738" t="s">
        <v>229</v>
      </c>
      <c r="C535" s="734" t="s">
        <v>68</v>
      </c>
      <c r="D535" s="735">
        <v>0.05</v>
      </c>
      <c r="E535" s="736">
        <f>SUM(F534)</f>
        <v>1392.3</v>
      </c>
      <c r="F535" s="736">
        <f>+D535*E535</f>
        <v>69.614999999999995</v>
      </c>
      <c r="G535" s="3"/>
      <c r="H535" s="3"/>
      <c r="I535" s="3"/>
      <c r="J535" s="3"/>
      <c r="K535" s="3"/>
      <c r="L535" s="3"/>
      <c r="O535" s="3"/>
      <c r="P535" s="3"/>
      <c r="Q535" s="3"/>
      <c r="R535" s="3"/>
    </row>
    <row r="536" spans="1:18">
      <c r="A536" s="754"/>
      <c r="B536" s="738" t="str">
        <f>INSUMOS!B221</f>
        <v>ORINAL MEDIANO CON GRIFERIA</v>
      </c>
      <c r="C536" s="734" t="s">
        <v>26</v>
      </c>
      <c r="D536" s="735">
        <v>1</v>
      </c>
      <c r="E536" s="736">
        <f>INSUMOS!D221</f>
        <v>346667.23</v>
      </c>
      <c r="F536" s="736">
        <f>+D536*E536</f>
        <v>346667.23</v>
      </c>
      <c r="G536" s="3"/>
      <c r="H536" s="3"/>
      <c r="I536" s="3"/>
      <c r="J536" s="3"/>
      <c r="K536" s="3"/>
      <c r="L536" s="3"/>
      <c r="O536" s="3"/>
      <c r="P536" s="3"/>
      <c r="Q536" s="3"/>
      <c r="R536" s="3"/>
    </row>
    <row r="537" spans="1:18">
      <c r="A537" s="754"/>
      <c r="B537" s="738" t="s">
        <v>11</v>
      </c>
      <c r="C537" s="734" t="s">
        <v>284</v>
      </c>
      <c r="D537" s="735">
        <v>0.03</v>
      </c>
      <c r="E537" s="736">
        <f>+F538</f>
        <v>86243.183382550691</v>
      </c>
      <c r="F537" s="736">
        <f>(D537*E537)</f>
        <v>2587.2955014765207</v>
      </c>
      <c r="G537" s="3"/>
      <c r="H537" s="3"/>
      <c r="I537" s="3"/>
      <c r="J537" s="3"/>
      <c r="K537" s="3"/>
      <c r="L537" s="3"/>
      <c r="O537" s="3"/>
      <c r="P537" s="3"/>
      <c r="Q537" s="3"/>
      <c r="R537" s="3"/>
    </row>
    <row r="538" spans="1:18">
      <c r="A538" s="754"/>
      <c r="B538" s="738" t="s">
        <v>38</v>
      </c>
      <c r="C538" s="734" t="s">
        <v>10</v>
      </c>
      <c r="D538" s="735">
        <v>3</v>
      </c>
      <c r="E538" s="736">
        <f>'VALOR CUADRILLAS MO'!D89</f>
        <v>28747.727794183564</v>
      </c>
      <c r="F538" s="736">
        <f>+E538*D538</f>
        <v>86243.183382550691</v>
      </c>
      <c r="G538" s="3"/>
      <c r="H538" s="3"/>
      <c r="I538" s="3"/>
      <c r="J538" s="3"/>
      <c r="K538" s="3"/>
      <c r="L538" s="3"/>
      <c r="O538" s="3"/>
      <c r="P538" s="3"/>
      <c r="Q538" s="3"/>
      <c r="R538" s="3"/>
    </row>
    <row r="539" spans="1:18">
      <c r="A539" s="754"/>
      <c r="B539" s="738"/>
      <c r="C539" s="734"/>
      <c r="D539" s="735"/>
      <c r="E539" s="736"/>
      <c r="F539" s="736"/>
      <c r="G539" s="3"/>
      <c r="H539" s="3"/>
      <c r="I539" s="3"/>
      <c r="J539" s="3"/>
      <c r="K539" s="3"/>
      <c r="L539" s="3"/>
      <c r="O539" s="3"/>
      <c r="P539" s="3"/>
      <c r="Q539" s="3"/>
      <c r="R539" s="3"/>
    </row>
    <row r="540" spans="1:18">
      <c r="A540" s="752">
        <v>12.7</v>
      </c>
      <c r="B540" s="729" t="s">
        <v>214</v>
      </c>
      <c r="C540" s="730" t="s">
        <v>26</v>
      </c>
      <c r="D540" s="731"/>
      <c r="E540" s="732"/>
      <c r="F540" s="733">
        <f>ROUND(SUM(F541:F543),0)</f>
        <v>85409</v>
      </c>
      <c r="G540" s="3"/>
      <c r="H540" s="3"/>
      <c r="I540" s="3"/>
      <c r="J540" s="3"/>
      <c r="K540" s="3"/>
      <c r="L540" s="3"/>
      <c r="O540" s="3"/>
      <c r="P540" s="3"/>
      <c r="Q540" s="3"/>
      <c r="R540" s="3"/>
    </row>
    <row r="541" spans="1:18">
      <c r="A541" s="754"/>
      <c r="B541" s="738" t="s">
        <v>214</v>
      </c>
      <c r="C541" s="734" t="s">
        <v>26</v>
      </c>
      <c r="D541" s="735">
        <v>1</v>
      </c>
      <c r="E541" s="736">
        <f>INSUMOS!D223</f>
        <v>55798.981</v>
      </c>
      <c r="F541" s="736">
        <f>+E541*D541</f>
        <v>55798.981</v>
      </c>
      <c r="G541" s="3"/>
      <c r="H541" s="3"/>
      <c r="I541" s="3"/>
      <c r="J541" s="3"/>
      <c r="K541" s="3"/>
      <c r="L541" s="3"/>
      <c r="O541" s="3"/>
      <c r="P541" s="3"/>
      <c r="Q541" s="3"/>
      <c r="R541" s="3"/>
    </row>
    <row r="542" spans="1:18">
      <c r="A542" s="754"/>
      <c r="B542" s="738" t="s">
        <v>11</v>
      </c>
      <c r="C542" s="734" t="s">
        <v>284</v>
      </c>
      <c r="D542" s="735">
        <v>0.03</v>
      </c>
      <c r="E542" s="736">
        <f>+F543</f>
        <v>28747.727794183564</v>
      </c>
      <c r="F542" s="736">
        <f>(D542*E542)</f>
        <v>862.43183382550683</v>
      </c>
      <c r="G542" s="3"/>
      <c r="H542" s="3"/>
      <c r="I542" s="3"/>
      <c r="J542" s="3"/>
      <c r="K542" s="3"/>
      <c r="L542" s="3"/>
      <c r="O542" s="3"/>
      <c r="P542" s="3"/>
      <c r="Q542" s="3"/>
      <c r="R542" s="3"/>
    </row>
    <row r="543" spans="1:18">
      <c r="A543" s="754"/>
      <c r="B543" s="738" t="s">
        <v>38</v>
      </c>
      <c r="C543" s="734" t="s">
        <v>10</v>
      </c>
      <c r="D543" s="735">
        <v>1</v>
      </c>
      <c r="E543" s="736">
        <f>'VALOR CUADRILLAS MO'!D89</f>
        <v>28747.727794183564</v>
      </c>
      <c r="F543" s="736">
        <f>+E543*D543</f>
        <v>28747.727794183564</v>
      </c>
      <c r="G543" s="3"/>
      <c r="H543" s="3"/>
      <c r="I543" s="3"/>
      <c r="J543" s="3"/>
      <c r="K543" s="3"/>
      <c r="L543" s="3"/>
      <c r="O543" s="3"/>
      <c r="P543" s="3"/>
      <c r="Q543" s="3"/>
      <c r="R543" s="3"/>
    </row>
    <row r="544" spans="1:18">
      <c r="A544" s="754"/>
      <c r="B544" s="738"/>
      <c r="C544" s="734"/>
      <c r="D544" s="735"/>
      <c r="E544" s="736"/>
      <c r="F544" s="740"/>
      <c r="G544" s="3"/>
      <c r="H544" s="3"/>
      <c r="I544" s="3"/>
      <c r="J544" s="3"/>
      <c r="K544" s="3"/>
      <c r="L544" s="3"/>
      <c r="O544" s="3"/>
      <c r="P544" s="3"/>
      <c r="Q544" s="3"/>
      <c r="R544" s="3"/>
    </row>
    <row r="545" spans="1:18">
      <c r="A545" s="752">
        <v>12.8</v>
      </c>
      <c r="B545" s="729" t="s">
        <v>3466</v>
      </c>
      <c r="C545" s="730" t="s">
        <v>26</v>
      </c>
      <c r="D545" s="731"/>
      <c r="E545" s="732"/>
      <c r="F545" s="733">
        <f>ROUND(SUM(F546:F549),0)</f>
        <v>70285</v>
      </c>
      <c r="G545" s="3"/>
      <c r="H545" s="3"/>
      <c r="I545" s="3"/>
      <c r="J545" s="3"/>
      <c r="K545" s="3"/>
      <c r="L545" s="3"/>
      <c r="O545" s="3"/>
      <c r="P545" s="3"/>
      <c r="Q545" s="3"/>
      <c r="R545" s="3"/>
    </row>
    <row r="546" spans="1:18" ht="11.25" customHeight="1">
      <c r="A546" s="754"/>
      <c r="B546" s="738" t="s">
        <v>3466</v>
      </c>
      <c r="C546" s="734" t="s">
        <v>209</v>
      </c>
      <c r="D546" s="735">
        <v>1</v>
      </c>
      <c r="E546" s="736">
        <f>INSUMOS!D239</f>
        <v>42243.81</v>
      </c>
      <c r="F546" s="736">
        <f>+E546*D546</f>
        <v>42243.81</v>
      </c>
      <c r="G546" s="3"/>
      <c r="H546" s="3"/>
      <c r="I546" s="3"/>
      <c r="J546" s="3"/>
      <c r="K546" s="3"/>
      <c r="L546" s="3"/>
      <c r="O546" s="3"/>
      <c r="P546" s="3"/>
      <c r="Q546" s="3"/>
      <c r="R546" s="3"/>
    </row>
    <row r="547" spans="1:18">
      <c r="A547" s="754"/>
      <c r="B547" s="738" t="s">
        <v>77</v>
      </c>
      <c r="C547" s="734" t="s">
        <v>32</v>
      </c>
      <c r="D547" s="735">
        <v>1</v>
      </c>
      <c r="E547" s="736">
        <f>INSUMOS!D140</f>
        <v>1392.3</v>
      </c>
      <c r="F547" s="736">
        <f>+E547*D547</f>
        <v>1392.3</v>
      </c>
      <c r="G547" s="3"/>
      <c r="H547" s="3"/>
      <c r="I547" s="3"/>
      <c r="J547" s="3"/>
      <c r="K547" s="3"/>
      <c r="L547" s="3"/>
      <c r="O547" s="3"/>
      <c r="P547" s="3"/>
      <c r="Q547" s="3"/>
      <c r="R547" s="3"/>
    </row>
    <row r="548" spans="1:18">
      <c r="A548" s="754"/>
      <c r="B548" s="738" t="s">
        <v>11</v>
      </c>
      <c r="C548" s="734" t="s">
        <v>284</v>
      </c>
      <c r="D548" s="735">
        <v>0.03</v>
      </c>
      <c r="E548" s="736">
        <f>+F549</f>
        <v>25872.955014765208</v>
      </c>
      <c r="F548" s="736">
        <f>(D548*E548)</f>
        <v>776.18865044295626</v>
      </c>
      <c r="G548" s="3"/>
      <c r="H548" s="3"/>
      <c r="I548" s="3"/>
      <c r="J548" s="3"/>
      <c r="K548" s="3"/>
      <c r="L548" s="3"/>
      <c r="O548" s="3"/>
      <c r="P548" s="3"/>
      <c r="Q548" s="3"/>
      <c r="R548" s="3"/>
    </row>
    <row r="549" spans="1:18">
      <c r="A549" s="754"/>
      <c r="B549" s="738" t="s">
        <v>38</v>
      </c>
      <c r="C549" s="734" t="s">
        <v>10</v>
      </c>
      <c r="D549" s="735">
        <v>0.9</v>
      </c>
      <c r="E549" s="736">
        <f>'VALOR CUADRILLAS MO'!D89</f>
        <v>28747.727794183564</v>
      </c>
      <c r="F549" s="736">
        <f>+E549*D549</f>
        <v>25872.955014765208</v>
      </c>
      <c r="G549" s="3"/>
      <c r="H549" s="3"/>
      <c r="I549" s="3"/>
      <c r="J549" s="3"/>
      <c r="K549" s="3"/>
      <c r="L549" s="3"/>
      <c r="O549" s="3"/>
      <c r="P549" s="3"/>
      <c r="Q549" s="3"/>
      <c r="R549" s="3"/>
    </row>
    <row r="550" spans="1:18">
      <c r="A550" s="754"/>
      <c r="B550" s="738"/>
      <c r="C550" s="734"/>
      <c r="D550" s="735"/>
      <c r="E550" s="736"/>
      <c r="F550" s="740"/>
      <c r="G550" s="3"/>
      <c r="H550" s="3"/>
      <c r="I550" s="3"/>
      <c r="J550" s="3"/>
      <c r="K550" s="3"/>
      <c r="L550" s="3"/>
      <c r="O550" s="3"/>
      <c r="P550" s="3"/>
      <c r="Q550" s="3"/>
      <c r="R550" s="3"/>
    </row>
    <row r="551" spans="1:18">
      <c r="A551" s="752">
        <v>12.9</v>
      </c>
      <c r="B551" s="729" t="s">
        <v>3491</v>
      </c>
      <c r="C551" s="730" t="s">
        <v>26</v>
      </c>
      <c r="D551" s="731"/>
      <c r="E551" s="732"/>
      <c r="F551" s="733">
        <f>ROUND(SUM(F552:F555),0)</f>
        <v>186906</v>
      </c>
      <c r="G551" s="3"/>
      <c r="H551" s="3"/>
      <c r="I551" s="3"/>
      <c r="J551" s="3"/>
      <c r="K551" s="3"/>
      <c r="L551" s="3"/>
      <c r="O551" s="3"/>
      <c r="P551" s="3"/>
      <c r="Q551" s="3"/>
      <c r="R551" s="3"/>
    </row>
    <row r="552" spans="1:18">
      <c r="A552" s="754"/>
      <c r="B552" s="738" t="str">
        <f>INSUMOS!B238</f>
        <v>DISPENSADOR DE PAPEL HIGIENICO</v>
      </c>
      <c r="C552" s="734" t="s">
        <v>26</v>
      </c>
      <c r="D552" s="735">
        <v>1</v>
      </c>
      <c r="E552" s="736">
        <f>INSUMOS!D238</f>
        <v>158865</v>
      </c>
      <c r="F552" s="736">
        <f>E552*D552</f>
        <v>158865</v>
      </c>
      <c r="G552" s="3"/>
      <c r="H552" s="3"/>
      <c r="I552" s="3"/>
      <c r="J552" s="3"/>
      <c r="K552" s="3"/>
      <c r="L552" s="3"/>
      <c r="O552" s="3"/>
      <c r="P552" s="3"/>
      <c r="Q552" s="3"/>
      <c r="R552" s="3"/>
    </row>
    <row r="553" spans="1:18">
      <c r="A553" s="754"/>
      <c r="B553" s="738" t="s">
        <v>77</v>
      </c>
      <c r="C553" s="734" t="s">
        <v>120</v>
      </c>
      <c r="D553" s="735">
        <v>1</v>
      </c>
      <c r="E553" s="736">
        <f>INSUMOS!D140</f>
        <v>1392.3</v>
      </c>
      <c r="F553" s="736">
        <f t="shared" ref="F553:F554" si="22">E553*D553</f>
        <v>1392.3</v>
      </c>
      <c r="G553" s="3"/>
      <c r="H553" s="3"/>
      <c r="I553" s="3"/>
      <c r="J553" s="3"/>
      <c r="K553" s="3"/>
      <c r="L553" s="3"/>
      <c r="O553" s="3"/>
      <c r="P553" s="3"/>
      <c r="Q553" s="3"/>
      <c r="R553" s="3"/>
    </row>
    <row r="554" spans="1:18">
      <c r="A554" s="754"/>
      <c r="B554" s="738" t="s">
        <v>11</v>
      </c>
      <c r="C554" s="734" t="s">
        <v>284</v>
      </c>
      <c r="D554" s="735">
        <v>0.03</v>
      </c>
      <c r="E554" s="736">
        <f>F555</f>
        <v>25872.955014765208</v>
      </c>
      <c r="F554" s="736">
        <f t="shared" si="22"/>
        <v>776.18865044295626</v>
      </c>
      <c r="G554" s="3"/>
      <c r="H554" s="3"/>
      <c r="I554" s="3"/>
      <c r="J554" s="3"/>
      <c r="K554" s="3"/>
      <c r="L554" s="3"/>
      <c r="O554" s="3"/>
      <c r="P554" s="3"/>
      <c r="Q554" s="3"/>
      <c r="R554" s="3"/>
    </row>
    <row r="555" spans="1:18">
      <c r="A555" s="754"/>
      <c r="B555" s="738" t="s">
        <v>38</v>
      </c>
      <c r="C555" s="734" t="s">
        <v>10</v>
      </c>
      <c r="D555" s="735">
        <v>0.9</v>
      </c>
      <c r="E555" s="736">
        <f>'VALOR CUADRILLAS MO'!D89</f>
        <v>28747.727794183564</v>
      </c>
      <c r="F555" s="736">
        <f>E555*D555</f>
        <v>25872.955014765208</v>
      </c>
      <c r="G555" s="3"/>
      <c r="H555" s="3"/>
      <c r="I555" s="3"/>
      <c r="J555" s="3"/>
      <c r="K555" s="3"/>
      <c r="L555" s="3"/>
      <c r="O555" s="3"/>
      <c r="P555" s="3"/>
      <c r="Q555" s="3"/>
      <c r="R555" s="3"/>
    </row>
    <row r="556" spans="1:18">
      <c r="A556" s="754"/>
      <c r="B556" s="738"/>
      <c r="C556" s="734"/>
      <c r="D556" s="735"/>
      <c r="E556" s="736"/>
      <c r="F556" s="736"/>
      <c r="G556" s="3"/>
      <c r="H556" s="3"/>
      <c r="I556" s="3"/>
      <c r="J556" s="3"/>
      <c r="K556" s="3"/>
      <c r="L556" s="3"/>
      <c r="O556" s="3"/>
      <c r="P556" s="3"/>
      <c r="Q556" s="3"/>
      <c r="R556" s="3"/>
    </row>
    <row r="557" spans="1:18">
      <c r="A557" s="755">
        <v>12.1</v>
      </c>
      <c r="B557" s="729" t="s">
        <v>3502</v>
      </c>
      <c r="C557" s="730" t="s">
        <v>26</v>
      </c>
      <c r="D557" s="731"/>
      <c r="E557" s="732"/>
      <c r="F557" s="733">
        <f>ROUND(SUM(F558:F561),0)</f>
        <v>214915</v>
      </c>
      <c r="G557" s="3"/>
      <c r="H557" s="3"/>
      <c r="I557" s="3"/>
      <c r="J557" s="3"/>
      <c r="K557" s="3"/>
      <c r="L557" s="3"/>
      <c r="O557" s="3"/>
      <c r="P557" s="3"/>
      <c r="Q557" s="3"/>
      <c r="R557" s="3"/>
    </row>
    <row r="558" spans="1:18">
      <c r="A558" s="754"/>
      <c r="B558" s="738" t="str">
        <f>INSUMOS!B264</f>
        <v>DISPENSADOR DE JABON</v>
      </c>
      <c r="C558" s="734" t="s">
        <v>26</v>
      </c>
      <c r="D558" s="735">
        <v>1</v>
      </c>
      <c r="E558" s="736">
        <f>INSUMOS!D264</f>
        <v>186900</v>
      </c>
      <c r="F558" s="736">
        <f>E558*D558</f>
        <v>186900</v>
      </c>
      <c r="G558" s="3"/>
      <c r="H558" s="3"/>
      <c r="I558" s="3"/>
      <c r="J558" s="3"/>
      <c r="K558" s="3"/>
      <c r="L558" s="3"/>
      <c r="O558" s="3"/>
      <c r="P558" s="3"/>
      <c r="Q558" s="3"/>
      <c r="R558" s="3"/>
    </row>
    <row r="559" spans="1:18">
      <c r="A559" s="754"/>
      <c r="B559" s="738" t="s">
        <v>77</v>
      </c>
      <c r="C559" s="734" t="s">
        <v>120</v>
      </c>
      <c r="D559" s="735">
        <v>1</v>
      </c>
      <c r="E559" s="736">
        <f>INSUMOS!D140</f>
        <v>1392.3</v>
      </c>
      <c r="F559" s="736">
        <f>E559*D559</f>
        <v>1392.3</v>
      </c>
      <c r="G559" s="3"/>
      <c r="H559" s="3"/>
      <c r="I559" s="3"/>
      <c r="J559" s="3"/>
      <c r="K559" s="3"/>
      <c r="L559" s="3"/>
      <c r="O559" s="3"/>
      <c r="P559" s="3"/>
      <c r="Q559" s="3"/>
      <c r="R559" s="3"/>
    </row>
    <row r="560" spans="1:18">
      <c r="A560" s="754"/>
      <c r="B560" s="738" t="s">
        <v>11</v>
      </c>
      <c r="C560" s="734" t="s">
        <v>284</v>
      </c>
      <c r="D560" s="735">
        <v>0.03</v>
      </c>
      <c r="E560" s="736">
        <v>24998.027057922329</v>
      </c>
      <c r="F560" s="736">
        <f>E560*D560</f>
        <v>749.94081173766983</v>
      </c>
      <c r="G560" s="3"/>
      <c r="H560" s="3"/>
      <c r="I560" s="3"/>
      <c r="J560" s="3"/>
      <c r="K560" s="3"/>
      <c r="L560" s="3"/>
      <c r="O560" s="3"/>
      <c r="P560" s="3"/>
      <c r="Q560" s="3"/>
      <c r="R560" s="3"/>
    </row>
    <row r="561" spans="1:18">
      <c r="A561" s="754"/>
      <c r="B561" s="738" t="s">
        <v>38</v>
      </c>
      <c r="C561" s="734" t="s">
        <v>10</v>
      </c>
      <c r="D561" s="735">
        <v>0.9</v>
      </c>
      <c r="E561" s="736">
        <f>'VALOR CUADRILLAS MO'!D89</f>
        <v>28747.727794183564</v>
      </c>
      <c r="F561" s="736">
        <f>E561*D561</f>
        <v>25872.955014765208</v>
      </c>
      <c r="G561" s="3"/>
      <c r="H561" s="3"/>
      <c r="I561" s="3"/>
      <c r="J561" s="3"/>
      <c r="K561" s="3"/>
      <c r="L561" s="3"/>
      <c r="O561" s="3"/>
      <c r="P561" s="3"/>
      <c r="Q561" s="3"/>
      <c r="R561" s="3"/>
    </row>
    <row r="562" spans="1:18">
      <c r="A562" s="754"/>
      <c r="B562" s="738"/>
      <c r="C562" s="734"/>
      <c r="D562" s="735"/>
      <c r="E562" s="736"/>
      <c r="F562" s="736"/>
      <c r="G562" s="3"/>
      <c r="H562" s="3"/>
      <c r="I562" s="3"/>
      <c r="J562" s="3"/>
      <c r="K562" s="3"/>
      <c r="L562" s="3"/>
      <c r="O562" s="3"/>
      <c r="P562" s="3"/>
      <c r="Q562" s="3"/>
      <c r="R562" s="3"/>
    </row>
    <row r="563" spans="1:18" ht="38.25">
      <c r="A563" s="755">
        <v>12.11</v>
      </c>
      <c r="B563" s="729" t="s">
        <v>3503</v>
      </c>
      <c r="C563" s="730" t="s">
        <v>26</v>
      </c>
      <c r="D563" s="731"/>
      <c r="E563" s="732"/>
      <c r="F563" s="733">
        <f>ROUND(SUM(F564:F569),0)</f>
        <v>445674</v>
      </c>
      <c r="G563" s="3"/>
      <c r="H563" s="3"/>
      <c r="I563" s="3"/>
      <c r="J563" s="3"/>
      <c r="K563" s="3"/>
      <c r="L563" s="3"/>
      <c r="O563" s="3"/>
      <c r="P563" s="3"/>
      <c r="Q563" s="3"/>
      <c r="R563" s="3"/>
    </row>
    <row r="564" spans="1:18">
      <c r="A564" s="756"/>
      <c r="B564" s="738" t="str">
        <f>INSUMOS!B261</f>
        <v>BARRA ABATIBLE SUPERIOR 800MM DISCAPACITADOS VERTICAL</v>
      </c>
      <c r="C564" s="734" t="s">
        <v>26</v>
      </c>
      <c r="D564" s="735">
        <v>1</v>
      </c>
      <c r="E564" s="736">
        <f>INSUMOS!D261</f>
        <v>311015</v>
      </c>
      <c r="F564" s="736">
        <f>+E564*D564</f>
        <v>311015</v>
      </c>
      <c r="G564" s="3"/>
      <c r="H564" s="3"/>
      <c r="I564" s="3"/>
      <c r="J564" s="3"/>
      <c r="K564" s="3"/>
      <c r="L564" s="3"/>
      <c r="O564" s="3"/>
      <c r="P564" s="3"/>
      <c r="Q564" s="3"/>
      <c r="R564" s="3"/>
    </row>
    <row r="565" spans="1:18">
      <c r="A565" s="756"/>
      <c r="B565" s="738" t="str">
        <f>INSUMOS!B262</f>
        <v>BARRA RECTA 600 DISCAPACITADOS</v>
      </c>
      <c r="C565" s="734"/>
      <c r="D565" s="735">
        <v>1</v>
      </c>
      <c r="E565" s="736">
        <f>INSUMOS!D262</f>
        <v>97665</v>
      </c>
      <c r="F565" s="736">
        <f>+E565*D565</f>
        <v>97665</v>
      </c>
      <c r="G565" s="3"/>
      <c r="H565" s="3"/>
      <c r="I565" s="3"/>
      <c r="J565" s="3"/>
      <c r="K565" s="3"/>
      <c r="L565" s="3"/>
      <c r="O565" s="3"/>
      <c r="P565" s="3"/>
      <c r="Q565" s="3"/>
      <c r="R565" s="3"/>
    </row>
    <row r="566" spans="1:18">
      <c r="A566" s="756"/>
      <c r="B566" s="738" t="s">
        <v>77</v>
      </c>
      <c r="C566" s="734" t="s">
        <v>32</v>
      </c>
      <c r="D566" s="735">
        <v>1</v>
      </c>
      <c r="E566" s="736">
        <f>INSUMOS!D140</f>
        <v>1392.3</v>
      </c>
      <c r="F566" s="736">
        <f>+E566*D566</f>
        <v>1392.3</v>
      </c>
      <c r="G566" s="3"/>
      <c r="H566" s="3"/>
      <c r="I566" s="3"/>
      <c r="J566" s="3"/>
      <c r="K566" s="3"/>
      <c r="L566" s="3"/>
      <c r="O566" s="3"/>
      <c r="P566" s="3"/>
      <c r="Q566" s="3"/>
      <c r="R566" s="3"/>
    </row>
    <row r="567" spans="1:18">
      <c r="A567" s="756"/>
      <c r="B567" s="738" t="s">
        <v>229</v>
      </c>
      <c r="C567" s="734" t="s">
        <v>68</v>
      </c>
      <c r="D567" s="735">
        <v>0.05</v>
      </c>
      <c r="E567" s="736">
        <f>SUM(F566)</f>
        <v>1392.3</v>
      </c>
      <c r="F567" s="736">
        <f>+D567*E567</f>
        <v>69.614999999999995</v>
      </c>
      <c r="G567" s="3"/>
      <c r="H567" s="3"/>
      <c r="I567" s="3"/>
      <c r="J567" s="3"/>
      <c r="K567" s="3"/>
      <c r="L567" s="3"/>
      <c r="O567" s="3"/>
      <c r="P567" s="3"/>
      <c r="Q567" s="3"/>
      <c r="R567" s="3"/>
    </row>
    <row r="568" spans="1:18">
      <c r="A568" s="756"/>
      <c r="B568" s="738" t="s">
        <v>11</v>
      </c>
      <c r="C568" s="734" t="s">
        <v>284</v>
      </c>
      <c r="D568" s="735">
        <v>0.03</v>
      </c>
      <c r="E568" s="736">
        <f>+F569</f>
        <v>34497.273353020275</v>
      </c>
      <c r="F568" s="736">
        <f>(D568*E568)</f>
        <v>1034.9182005906082</v>
      </c>
      <c r="G568" s="3"/>
      <c r="H568" s="3"/>
      <c r="I568" s="3"/>
      <c r="J568" s="3"/>
      <c r="K568" s="3"/>
      <c r="L568" s="3"/>
      <c r="O568" s="3"/>
      <c r="P568" s="3"/>
      <c r="Q568" s="3"/>
      <c r="R568" s="3"/>
    </row>
    <row r="569" spans="1:18">
      <c r="A569" s="756"/>
      <c r="B569" s="738" t="s">
        <v>38</v>
      </c>
      <c r="C569" s="734" t="s">
        <v>10</v>
      </c>
      <c r="D569" s="735">
        <v>1.2</v>
      </c>
      <c r="E569" s="736">
        <f>'VALOR CUADRILLAS MO'!D89</f>
        <v>28747.727794183564</v>
      </c>
      <c r="F569" s="736">
        <f>+E569*D569</f>
        <v>34497.273353020275</v>
      </c>
      <c r="G569" s="3"/>
      <c r="H569" s="3"/>
      <c r="I569" s="3"/>
      <c r="J569" s="3"/>
      <c r="K569" s="3"/>
      <c r="L569" s="3"/>
      <c r="O569" s="3"/>
      <c r="P569" s="3"/>
      <c r="Q569" s="3"/>
      <c r="R569" s="3"/>
    </row>
    <row r="570" spans="1:18">
      <c r="A570" s="754"/>
      <c r="B570" s="738"/>
      <c r="C570" s="734"/>
      <c r="D570" s="735"/>
      <c r="E570" s="736"/>
      <c r="F570" s="736"/>
      <c r="G570" s="3"/>
      <c r="H570" s="3"/>
      <c r="I570" s="3"/>
      <c r="J570" s="3"/>
      <c r="K570" s="3"/>
      <c r="L570" s="3"/>
      <c r="O570" s="3"/>
      <c r="P570" s="3"/>
      <c r="Q570" s="3"/>
      <c r="R570" s="3"/>
    </row>
    <row r="571" spans="1:18">
      <c r="A571" s="755">
        <v>12.12</v>
      </c>
      <c r="B571" s="729" t="str">
        <f>INSUMOS!B240</f>
        <v>REJILLA C/SOSCO 3 X 2 BRONCE ANTICUCARA</v>
      </c>
      <c r="C571" s="730" t="s">
        <v>26</v>
      </c>
      <c r="D571" s="731"/>
      <c r="E571" s="732"/>
      <c r="F571" s="733">
        <f>ROUND(SUM(F572:F576),0)</f>
        <v>34602</v>
      </c>
      <c r="G571" s="3"/>
      <c r="H571" s="3"/>
      <c r="I571" s="3"/>
      <c r="J571" s="3"/>
      <c r="K571" s="3"/>
      <c r="L571" s="3"/>
      <c r="O571" s="3"/>
      <c r="P571" s="3"/>
      <c r="Q571" s="3"/>
      <c r="R571" s="3"/>
    </row>
    <row r="572" spans="1:18">
      <c r="A572" s="756"/>
      <c r="B572" s="738" t="s">
        <v>31</v>
      </c>
      <c r="C572" s="734" t="s">
        <v>32</v>
      </c>
      <c r="D572" s="735">
        <v>0.2</v>
      </c>
      <c r="E572" s="736">
        <f>INSUMOS!D140</f>
        <v>1392.3</v>
      </c>
      <c r="F572" s="736">
        <f>+E572*D572</f>
        <v>278.45999999999998</v>
      </c>
      <c r="G572" s="3"/>
      <c r="H572" s="3"/>
      <c r="I572" s="3"/>
      <c r="J572" s="3"/>
      <c r="K572" s="3"/>
      <c r="L572" s="3"/>
      <c r="O572" s="3"/>
      <c r="P572" s="3"/>
      <c r="Q572" s="3"/>
      <c r="R572" s="3"/>
    </row>
    <row r="573" spans="1:18">
      <c r="A573" s="756"/>
      <c r="B573" s="738" t="s">
        <v>229</v>
      </c>
      <c r="C573" s="734" t="s">
        <v>68</v>
      </c>
      <c r="D573" s="735">
        <v>0.05</v>
      </c>
      <c r="E573" s="736">
        <f>SUM(F572)</f>
        <v>278.45999999999998</v>
      </c>
      <c r="F573" s="736">
        <f>+D573*E573</f>
        <v>13.923</v>
      </c>
      <c r="G573" s="3"/>
      <c r="H573" s="3"/>
      <c r="I573" s="3"/>
      <c r="J573" s="3"/>
      <c r="K573" s="3"/>
      <c r="L573" s="3"/>
      <c r="O573" s="3"/>
      <c r="P573" s="3"/>
      <c r="Q573" s="3"/>
      <c r="R573" s="3"/>
    </row>
    <row r="574" spans="1:18">
      <c r="A574" s="756"/>
      <c r="B574" s="738" t="s">
        <v>83</v>
      </c>
      <c r="C574" s="734" t="s">
        <v>26</v>
      </c>
      <c r="D574" s="735">
        <v>1</v>
      </c>
      <c r="E574" s="736">
        <f>INSUMOS!D240</f>
        <v>13582.66</v>
      </c>
      <c r="F574" s="736">
        <f>+E574*D574</f>
        <v>13582.66</v>
      </c>
      <c r="G574" s="3"/>
      <c r="H574" s="3"/>
      <c r="I574" s="3"/>
      <c r="J574" s="3"/>
      <c r="K574" s="3"/>
      <c r="L574" s="3"/>
      <c r="O574" s="3"/>
      <c r="P574" s="3"/>
      <c r="Q574" s="3"/>
      <c r="R574" s="3"/>
    </row>
    <row r="575" spans="1:18">
      <c r="A575" s="756"/>
      <c r="B575" s="738" t="s">
        <v>11</v>
      </c>
      <c r="C575" s="734" t="s">
        <v>284</v>
      </c>
      <c r="D575" s="735">
        <v>0.03</v>
      </c>
      <c r="E575" s="736">
        <f>+F576</f>
        <v>20123.409455928493</v>
      </c>
      <c r="F575" s="736">
        <f>(D575*E575)</f>
        <v>603.70228367785478</v>
      </c>
      <c r="G575" s="3"/>
      <c r="H575" s="3"/>
      <c r="I575" s="3"/>
      <c r="J575" s="3"/>
      <c r="K575" s="3"/>
      <c r="L575" s="3"/>
      <c r="O575" s="3"/>
      <c r="P575" s="3"/>
      <c r="Q575" s="3"/>
      <c r="R575" s="3"/>
    </row>
    <row r="576" spans="1:18">
      <c r="A576" s="756"/>
      <c r="B576" s="738" t="s">
        <v>9</v>
      </c>
      <c r="C576" s="734" t="s">
        <v>10</v>
      </c>
      <c r="D576" s="735">
        <v>0.7</v>
      </c>
      <c r="E576" s="736">
        <f>'VALOR CUADRILLAS MO'!D89</f>
        <v>28747.727794183564</v>
      </c>
      <c r="F576" s="736">
        <f>+E576*D576</f>
        <v>20123.409455928493</v>
      </c>
      <c r="G576" s="3"/>
      <c r="H576" s="3"/>
      <c r="I576" s="3"/>
      <c r="J576" s="3"/>
      <c r="K576" s="3"/>
      <c r="L576" s="3"/>
      <c r="O576" s="3"/>
      <c r="P576" s="3"/>
      <c r="Q576" s="3"/>
      <c r="R576" s="3"/>
    </row>
    <row r="577" spans="1:18">
      <c r="A577" s="756"/>
      <c r="B577" s="738"/>
      <c r="C577" s="734"/>
      <c r="D577" s="735"/>
      <c r="E577" s="736"/>
      <c r="F577" s="740"/>
      <c r="G577" s="3"/>
      <c r="H577" s="3"/>
      <c r="I577" s="3"/>
      <c r="J577" s="3"/>
      <c r="K577" s="3"/>
      <c r="L577" s="3"/>
      <c r="O577" s="3"/>
      <c r="P577" s="3"/>
      <c r="Q577" s="3"/>
      <c r="R577" s="3"/>
    </row>
    <row r="578" spans="1:18" ht="25.5">
      <c r="A578" s="755">
        <v>12.13</v>
      </c>
      <c r="B578" s="729" t="s">
        <v>3279</v>
      </c>
      <c r="C578" s="730" t="s">
        <v>26</v>
      </c>
      <c r="D578" s="731"/>
      <c r="E578" s="732"/>
      <c r="F578" s="733">
        <f>ROUND(SUM(F579:F587),0)</f>
        <v>1083911</v>
      </c>
      <c r="G578" s="3"/>
      <c r="H578" s="3"/>
      <c r="I578" s="3"/>
      <c r="J578" s="3"/>
      <c r="K578" s="3"/>
      <c r="L578" s="3"/>
      <c r="O578" s="3"/>
      <c r="P578" s="3"/>
      <c r="Q578" s="3"/>
      <c r="R578" s="3"/>
    </row>
    <row r="579" spans="1:18">
      <c r="A579" s="754"/>
      <c r="B579" s="738" t="s">
        <v>3280</v>
      </c>
      <c r="C579" s="734" t="s">
        <v>26</v>
      </c>
      <c r="D579" s="735">
        <v>1</v>
      </c>
      <c r="E579" s="736">
        <f>INSUMOS!D229</f>
        <v>524000</v>
      </c>
      <c r="F579" s="736">
        <f>+E579*D579</f>
        <v>524000</v>
      </c>
      <c r="G579" s="3"/>
      <c r="H579" s="3"/>
      <c r="I579" s="3"/>
      <c r="J579" s="3"/>
      <c r="K579" s="3"/>
      <c r="L579" s="3"/>
      <c r="O579" s="3"/>
      <c r="P579" s="3"/>
      <c r="Q579" s="3"/>
      <c r="R579" s="3"/>
    </row>
    <row r="580" spans="1:18">
      <c r="A580" s="754"/>
      <c r="B580" s="738" t="s">
        <v>3275</v>
      </c>
      <c r="C580" s="734" t="s">
        <v>26</v>
      </c>
      <c r="D580" s="735">
        <v>1</v>
      </c>
      <c r="E580" s="736">
        <f>INSUMOS!D228</f>
        <v>53243.999999999993</v>
      </c>
      <c r="F580" s="736">
        <f>+E580*D580</f>
        <v>53243.999999999993</v>
      </c>
      <c r="G580" s="3"/>
      <c r="H580" s="3"/>
      <c r="I580" s="3"/>
      <c r="J580" s="3"/>
      <c r="K580" s="3"/>
      <c r="L580" s="3"/>
      <c r="O580" s="3"/>
      <c r="P580" s="3"/>
      <c r="Q580" s="3"/>
      <c r="R580" s="3"/>
    </row>
    <row r="581" spans="1:18">
      <c r="A581" s="754"/>
      <c r="B581" s="738" t="s">
        <v>3276</v>
      </c>
      <c r="C581" s="734" t="s">
        <v>26</v>
      </c>
      <c r="D581" s="735">
        <v>1</v>
      </c>
      <c r="E581" s="736">
        <f>INSUMOS!D212</f>
        <v>62974.079999999994</v>
      </c>
      <c r="F581" s="736">
        <f>+E581*D581</f>
        <v>62974.079999999994</v>
      </c>
      <c r="G581" s="3"/>
      <c r="H581" s="3"/>
      <c r="I581" s="3"/>
      <c r="J581" s="3"/>
      <c r="K581" s="3"/>
      <c r="L581" s="3"/>
      <c r="O581" s="3"/>
      <c r="P581" s="3"/>
      <c r="Q581" s="3"/>
      <c r="R581" s="3"/>
    </row>
    <row r="582" spans="1:18">
      <c r="A582" s="754"/>
      <c r="B582" s="738" t="s">
        <v>3277</v>
      </c>
      <c r="C582" s="734" t="s">
        <v>26</v>
      </c>
      <c r="D582" s="735">
        <v>2</v>
      </c>
      <c r="E582" s="736">
        <f>INSUMOS!D214</f>
        <v>53883.199999999997</v>
      </c>
      <c r="F582" s="736">
        <f>+E582*D582</f>
        <v>107766.39999999999</v>
      </c>
      <c r="G582" s="3"/>
      <c r="H582" s="3"/>
      <c r="I582" s="3"/>
      <c r="J582" s="3"/>
      <c r="K582" s="3"/>
      <c r="L582" s="3"/>
      <c r="O582" s="3"/>
      <c r="P582" s="3"/>
      <c r="Q582" s="3"/>
      <c r="R582" s="3"/>
    </row>
    <row r="583" spans="1:18">
      <c r="A583" s="754"/>
      <c r="B583" s="738" t="s">
        <v>109</v>
      </c>
      <c r="C583" s="734" t="s">
        <v>26</v>
      </c>
      <c r="D583" s="735">
        <v>7</v>
      </c>
      <c r="E583" s="736">
        <f>INSUMOS!D162</f>
        <v>742.56</v>
      </c>
      <c r="F583" s="736">
        <f>+E583*D583</f>
        <v>5197.92</v>
      </c>
      <c r="G583" s="3"/>
      <c r="H583" s="3"/>
      <c r="I583" s="3"/>
      <c r="J583" s="3"/>
      <c r="K583" s="3"/>
      <c r="L583" s="3"/>
      <c r="O583" s="3"/>
      <c r="P583" s="3"/>
      <c r="Q583" s="3"/>
      <c r="R583" s="3"/>
    </row>
    <row r="584" spans="1:18">
      <c r="A584" s="754"/>
      <c r="B584" s="738" t="s">
        <v>3278</v>
      </c>
      <c r="C584" s="734" t="s">
        <v>21</v>
      </c>
      <c r="D584" s="735">
        <v>1</v>
      </c>
      <c r="E584" s="736">
        <f>INSUMOS!D181</f>
        <v>4778.2466666666669</v>
      </c>
      <c r="F584" s="736">
        <f>+D584*E584</f>
        <v>4778.2466666666669</v>
      </c>
      <c r="G584" s="3"/>
      <c r="H584" s="3"/>
      <c r="I584" s="3"/>
      <c r="J584" s="3"/>
      <c r="K584" s="3"/>
      <c r="L584" s="3"/>
      <c r="O584" s="3"/>
      <c r="P584" s="3"/>
      <c r="Q584" s="3"/>
      <c r="R584" s="3"/>
    </row>
    <row r="585" spans="1:18">
      <c r="A585" s="754"/>
      <c r="B585" s="738" t="s">
        <v>229</v>
      </c>
      <c r="C585" s="734" t="s">
        <v>68</v>
      </c>
      <c r="D585" s="735">
        <v>0.05</v>
      </c>
      <c r="E585" s="736">
        <f>SUM(F584)</f>
        <v>4778.2466666666669</v>
      </c>
      <c r="F585" s="736">
        <f>+D585*E585</f>
        <v>238.91233333333335</v>
      </c>
    </row>
    <row r="586" spans="1:18">
      <c r="A586" s="754"/>
      <c r="B586" s="738" t="s">
        <v>11</v>
      </c>
      <c r="C586" s="734" t="s">
        <v>284</v>
      </c>
      <c r="D586" s="735">
        <v>0.03</v>
      </c>
      <c r="E586" s="736">
        <f>+F587</f>
        <v>316225.00573601923</v>
      </c>
      <c r="F586" s="736">
        <f>(D586*E586)</f>
        <v>9486.7501720805758</v>
      </c>
    </row>
    <row r="587" spans="1:18">
      <c r="A587" s="754"/>
      <c r="B587" s="738" t="s">
        <v>38</v>
      </c>
      <c r="C587" s="734" t="s">
        <v>10</v>
      </c>
      <c r="D587" s="735">
        <v>11</v>
      </c>
      <c r="E587" s="736">
        <f>'VALOR CUADRILLAS MO'!D89</f>
        <v>28747.727794183564</v>
      </c>
      <c r="F587" s="736">
        <f>+E587*D587</f>
        <v>316225.00573601923</v>
      </c>
    </row>
    <row r="588" spans="1:18">
      <c r="A588" s="754"/>
      <c r="B588" s="738"/>
      <c r="C588" s="734"/>
      <c r="D588" s="735"/>
      <c r="E588" s="736"/>
      <c r="F588" s="736"/>
    </row>
    <row r="589" spans="1:18" ht="25.5">
      <c r="A589" s="755">
        <v>12.14</v>
      </c>
      <c r="B589" s="729" t="s">
        <v>3510</v>
      </c>
      <c r="C589" s="730" t="s">
        <v>26</v>
      </c>
      <c r="D589" s="731"/>
      <c r="E589" s="732"/>
      <c r="F589" s="733">
        <v>2337943</v>
      </c>
    </row>
    <row r="590" spans="1:18">
      <c r="A590" s="754"/>
      <c r="B590" s="738" t="s">
        <v>77</v>
      </c>
      <c r="C590" s="734" t="s">
        <v>32</v>
      </c>
      <c r="D590" s="735">
        <v>2</v>
      </c>
      <c r="E590" s="736">
        <v>1392.3</v>
      </c>
      <c r="F590" s="736">
        <v>2784.6</v>
      </c>
    </row>
    <row r="591" spans="1:18">
      <c r="A591" s="754"/>
      <c r="B591" s="738" t="s">
        <v>111</v>
      </c>
      <c r="C591" s="734" t="s">
        <v>26</v>
      </c>
      <c r="D591" s="735">
        <v>5</v>
      </c>
      <c r="E591" s="736">
        <v>2888.3999999999996</v>
      </c>
      <c r="F591" s="736">
        <v>14441.999999999998</v>
      </c>
    </row>
    <row r="592" spans="1:18">
      <c r="A592" s="754"/>
      <c r="B592" s="738" t="s">
        <v>229</v>
      </c>
      <c r="C592" s="734" t="s">
        <v>68</v>
      </c>
      <c r="D592" s="735">
        <v>0.05</v>
      </c>
      <c r="E592" s="736">
        <v>17226.599999999999</v>
      </c>
      <c r="F592" s="736">
        <v>861.32999999999993</v>
      </c>
    </row>
    <row r="593" spans="1:6" ht="25.5">
      <c r="A593" s="754"/>
      <c r="B593" s="738" t="s">
        <v>3511</v>
      </c>
      <c r="C593" s="734" t="s">
        <v>26</v>
      </c>
      <c r="D593" s="735">
        <v>1</v>
      </c>
      <c r="E593" s="736">
        <v>1800000</v>
      </c>
      <c r="F593" s="736">
        <v>1800000</v>
      </c>
    </row>
    <row r="594" spans="1:6">
      <c r="A594" s="754"/>
      <c r="B594" s="738" t="s">
        <v>3512</v>
      </c>
      <c r="C594" s="734" t="s">
        <v>26</v>
      </c>
      <c r="D594" s="735">
        <v>5</v>
      </c>
      <c r="E594" s="736">
        <v>81084</v>
      </c>
      <c r="F594" s="736">
        <v>405420</v>
      </c>
    </row>
    <row r="595" spans="1:6">
      <c r="A595" s="754"/>
      <c r="B595" s="738" t="s">
        <v>11</v>
      </c>
      <c r="C595" s="734" t="s">
        <v>284</v>
      </c>
      <c r="D595" s="735">
        <v>0.03</v>
      </c>
      <c r="E595" s="736">
        <v>111102.34247965479</v>
      </c>
      <c r="F595" s="736">
        <v>3333.0702743896436</v>
      </c>
    </row>
    <row r="596" spans="1:6">
      <c r="A596" s="754"/>
      <c r="B596" s="738" t="s">
        <v>38</v>
      </c>
      <c r="C596" s="734" t="s">
        <v>10</v>
      </c>
      <c r="D596" s="735">
        <v>4</v>
      </c>
      <c r="E596" s="736">
        <v>27775.585619913698</v>
      </c>
      <c r="F596" s="736">
        <v>111102.34247965479</v>
      </c>
    </row>
    <row r="597" spans="1:6">
      <c r="A597" s="754"/>
      <c r="B597" s="738"/>
      <c r="C597" s="734"/>
      <c r="D597" s="735"/>
      <c r="E597" s="736"/>
      <c r="F597" s="736"/>
    </row>
    <row r="598" spans="1:6">
      <c r="A598" s="751" t="s">
        <v>3418</v>
      </c>
      <c r="B598" s="725" t="s">
        <v>3477</v>
      </c>
      <c r="C598" s="726"/>
      <c r="D598" s="727"/>
      <c r="E598" s="728"/>
      <c r="F598" s="728"/>
    </row>
    <row r="599" spans="1:6">
      <c r="A599" s="719" t="s">
        <v>3478</v>
      </c>
      <c r="B599" s="83" t="s">
        <v>62</v>
      </c>
      <c r="C599" s="76" t="s">
        <v>121</v>
      </c>
      <c r="D599" s="73"/>
      <c r="E599" s="74"/>
      <c r="F599" s="75">
        <f>ROUND(SUM(F600:F601),0)</f>
        <v>25351</v>
      </c>
    </row>
    <row r="600" spans="1:6">
      <c r="B600" s="165" t="s">
        <v>27</v>
      </c>
      <c r="C600" s="77" t="s">
        <v>20</v>
      </c>
      <c r="D600" s="78">
        <v>0.21</v>
      </c>
      <c r="E600" s="79">
        <f>+INSUMOS!D31</f>
        <v>120000</v>
      </c>
      <c r="F600" s="79">
        <f>+D600*E600</f>
        <v>25200</v>
      </c>
    </row>
    <row r="601" spans="1:6" ht="25.5">
      <c r="A601" s="749"/>
      <c r="B601" s="165" t="str">
        <f>+INSUMOS!B32</f>
        <v>CARGADOR : POTENCIA EN EL VOLANTE 110 HP, CLASIFICACIÓN DE RPM DEL MOTOR 2300.</v>
      </c>
      <c r="C601" s="77" t="s">
        <v>8</v>
      </c>
      <c r="D601" s="81">
        <v>1.0000000000000002E-3</v>
      </c>
      <c r="E601" s="79">
        <f>+INSUMOS!D32</f>
        <v>151027.54</v>
      </c>
      <c r="F601" s="79">
        <f>+D601*E601</f>
        <v>151.02754000000004</v>
      </c>
    </row>
    <row r="602" spans="1:6">
      <c r="A602" s="754"/>
      <c r="B602" s="738"/>
      <c r="C602" s="734"/>
      <c r="D602" s="735"/>
      <c r="E602" s="736"/>
      <c r="F602" s="736"/>
    </row>
    <row r="603" spans="1:6">
      <c r="A603" s="784" t="s">
        <v>3479</v>
      </c>
      <c r="B603" s="83" t="s">
        <v>3113</v>
      </c>
      <c r="C603" s="76" t="s">
        <v>119</v>
      </c>
      <c r="D603" s="73"/>
      <c r="E603" s="74"/>
      <c r="F603" s="75">
        <f>ROUND(SUM(F604:F606),0)</f>
        <v>2197</v>
      </c>
    </row>
    <row r="604" spans="1:6">
      <c r="A604" s="749"/>
      <c r="B604" s="600" t="s">
        <v>3111</v>
      </c>
      <c r="C604" s="77" t="s">
        <v>119</v>
      </c>
      <c r="D604" s="599">
        <v>1</v>
      </c>
      <c r="E604" s="601">
        <f>INSUMOS!D232</f>
        <v>1483.02</v>
      </c>
      <c r="F604" s="583">
        <f t="shared" ref="F604:F606" si="23">+D604*E604</f>
        <v>1483.02</v>
      </c>
    </row>
    <row r="605" spans="1:6">
      <c r="A605" s="749"/>
      <c r="B605" s="36" t="s">
        <v>11</v>
      </c>
      <c r="C605" s="77" t="s">
        <v>284</v>
      </c>
      <c r="D605" s="569">
        <v>0.03</v>
      </c>
      <c r="E605" s="303">
        <f>F606</f>
        <v>692.9560342574265</v>
      </c>
      <c r="F605" s="583">
        <f t="shared" si="23"/>
        <v>20.788681027722795</v>
      </c>
    </row>
    <row r="606" spans="1:6">
      <c r="A606" s="749"/>
      <c r="B606" s="36" t="s">
        <v>9</v>
      </c>
      <c r="C606" s="77" t="s">
        <v>10</v>
      </c>
      <c r="D606" s="569">
        <v>2.6515196023158154E-2</v>
      </c>
      <c r="E606" s="303">
        <f>+'VALOR CUADRILLAS MO'!D75</f>
        <v>26134.297994712331</v>
      </c>
      <c r="F606" s="583">
        <f t="shared" si="23"/>
        <v>692.9560342574265</v>
      </c>
    </row>
    <row r="607" spans="1:6">
      <c r="A607" s="754"/>
      <c r="B607" s="738"/>
      <c r="C607" s="734"/>
      <c r="D607" s="735"/>
      <c r="E607" s="736"/>
      <c r="F607" s="736"/>
    </row>
    <row r="608" spans="1:6">
      <c r="A608" s="751" t="s">
        <v>403</v>
      </c>
      <c r="B608" s="725" t="s">
        <v>3419</v>
      </c>
      <c r="C608" s="726"/>
      <c r="D608" s="727"/>
      <c r="E608" s="728"/>
      <c r="F608" s="728"/>
    </row>
    <row r="609" spans="1:23" ht="38.25">
      <c r="A609" s="821" t="s">
        <v>3480</v>
      </c>
      <c r="B609" s="822" t="s">
        <v>3410</v>
      </c>
      <c r="C609" s="823" t="s">
        <v>26</v>
      </c>
      <c r="D609" s="824"/>
      <c r="E609" s="825"/>
      <c r="F609" s="826">
        <f>ROUND(SUM(F610:F619),0)</f>
        <v>77616</v>
      </c>
      <c r="W609" s="67">
        <v>68922</v>
      </c>
    </row>
    <row r="610" spans="1:23">
      <c r="A610" s="827"/>
      <c r="B610" s="828" t="s">
        <v>3411</v>
      </c>
      <c r="C610" s="734" t="s">
        <v>21</v>
      </c>
      <c r="D610" s="829">
        <v>4</v>
      </c>
      <c r="E610" s="830">
        <f>INSUMOS!D247</f>
        <v>2408.16</v>
      </c>
      <c r="F610" s="830">
        <f>D610*E610</f>
        <v>9632.64</v>
      </c>
      <c r="G610" s="3"/>
      <c r="H610" s="3"/>
      <c r="I610" s="3"/>
      <c r="J610" s="3"/>
      <c r="K610" s="3"/>
      <c r="L610" s="3"/>
      <c r="O610" s="3"/>
      <c r="P610" s="3"/>
      <c r="Q610" s="3"/>
      <c r="R610" s="3"/>
    </row>
    <row r="611" spans="1:23">
      <c r="A611" s="827"/>
      <c r="B611" s="828" t="s">
        <v>3412</v>
      </c>
      <c r="C611" s="734" t="s">
        <v>26</v>
      </c>
      <c r="D611" s="829">
        <v>2</v>
      </c>
      <c r="E611" s="830">
        <f>INSUMOS!D248</f>
        <v>270</v>
      </c>
      <c r="F611" s="830">
        <f>(D611*E611)</f>
        <v>540</v>
      </c>
      <c r="G611" s="3"/>
      <c r="H611" s="3"/>
      <c r="I611" s="3"/>
      <c r="J611" s="3"/>
      <c r="K611" s="3"/>
      <c r="L611" s="3"/>
      <c r="O611" s="3"/>
      <c r="P611" s="3"/>
      <c r="Q611" s="3"/>
      <c r="R611" s="3"/>
    </row>
    <row r="612" spans="1:23">
      <c r="A612" s="827"/>
      <c r="B612" s="828" t="s">
        <v>3413</v>
      </c>
      <c r="C612" s="734" t="s">
        <v>26</v>
      </c>
      <c r="D612" s="829">
        <v>2</v>
      </c>
      <c r="E612" s="830">
        <f>INSUMOS!D249</f>
        <v>621.17999999999995</v>
      </c>
      <c r="F612" s="830">
        <f>(D612*E612)</f>
        <v>1242.3599999999999</v>
      </c>
      <c r="G612" s="3"/>
      <c r="H612" s="3"/>
      <c r="I612" s="3"/>
      <c r="J612" s="3"/>
      <c r="K612" s="3"/>
      <c r="L612" s="3"/>
      <c r="O612" s="3"/>
      <c r="P612" s="3"/>
      <c r="Q612" s="3"/>
      <c r="R612" s="3"/>
    </row>
    <row r="613" spans="1:23">
      <c r="A613" s="827"/>
      <c r="B613" s="828" t="s">
        <v>3414</v>
      </c>
      <c r="C613" s="734" t="s">
        <v>21</v>
      </c>
      <c r="D613" s="829">
        <f>+D610*3</f>
        <v>12</v>
      </c>
      <c r="E613" s="830">
        <f>INSUMOS!D250</f>
        <v>2016</v>
      </c>
      <c r="F613" s="830">
        <f t="shared" ref="F613:F619" si="24">(D613*E613)</f>
        <v>24192</v>
      </c>
      <c r="G613" s="3"/>
      <c r="H613" s="3"/>
      <c r="I613" s="3"/>
      <c r="J613" s="3"/>
      <c r="K613" s="3"/>
      <c r="L613" s="3"/>
      <c r="O613" s="3"/>
      <c r="P613" s="3"/>
      <c r="Q613" s="3"/>
      <c r="R613" s="3"/>
    </row>
    <row r="614" spans="1:23">
      <c r="A614" s="827"/>
      <c r="B614" s="828" t="s">
        <v>3415</v>
      </c>
      <c r="C614" s="734" t="s">
        <v>26</v>
      </c>
      <c r="D614" s="829">
        <v>1</v>
      </c>
      <c r="E614" s="830">
        <f>INSUMOS!D251</f>
        <v>8000</v>
      </c>
      <c r="F614" s="830">
        <f t="shared" si="24"/>
        <v>8000</v>
      </c>
      <c r="G614" s="3"/>
      <c r="H614" s="3"/>
      <c r="I614" s="3"/>
      <c r="J614" s="3"/>
      <c r="K614" s="3"/>
      <c r="L614" s="3"/>
      <c r="O614" s="3"/>
      <c r="P614" s="3"/>
      <c r="Q614" s="3"/>
      <c r="R614" s="3"/>
    </row>
    <row r="615" spans="1:23">
      <c r="A615" s="827"/>
      <c r="B615" s="828" t="s">
        <v>3416</v>
      </c>
      <c r="C615" s="734" t="s">
        <v>26</v>
      </c>
      <c r="D615" s="829">
        <v>1</v>
      </c>
      <c r="E615" s="830">
        <f>INSUMOS!D252</f>
        <v>1687.5</v>
      </c>
      <c r="F615" s="830">
        <f t="shared" si="24"/>
        <v>1687.5</v>
      </c>
      <c r="G615" s="3"/>
      <c r="H615" s="3"/>
      <c r="I615" s="3"/>
      <c r="J615" s="3"/>
      <c r="K615" s="3"/>
      <c r="L615" s="3"/>
      <c r="O615" s="3"/>
      <c r="P615" s="3"/>
      <c r="Q615" s="3"/>
      <c r="R615" s="3"/>
    </row>
    <row r="616" spans="1:23">
      <c r="A616" s="827"/>
      <c r="B616" s="828" t="s">
        <v>229</v>
      </c>
      <c r="C616" s="734" t="s">
        <v>68</v>
      </c>
      <c r="D616" s="829">
        <v>0.04</v>
      </c>
      <c r="E616" s="830">
        <f>F610+F613</f>
        <v>33824.639999999999</v>
      </c>
      <c r="F616" s="830">
        <f t="shared" si="24"/>
        <v>1352.9856</v>
      </c>
      <c r="G616" s="3"/>
      <c r="H616" s="3"/>
      <c r="I616" s="3"/>
      <c r="J616" s="3"/>
      <c r="K616" s="3"/>
      <c r="L616" s="3"/>
      <c r="O616" s="3"/>
      <c r="P616" s="3"/>
      <c r="Q616" s="3"/>
      <c r="R616" s="3"/>
    </row>
    <row r="617" spans="1:23">
      <c r="A617" s="827"/>
      <c r="B617" s="828" t="s">
        <v>136</v>
      </c>
      <c r="C617" s="734" t="s">
        <v>3417</v>
      </c>
      <c r="D617" s="829">
        <v>0.03</v>
      </c>
      <c r="E617" s="830">
        <f>SUM(F610:F615)</f>
        <v>45294.5</v>
      </c>
      <c r="F617" s="830">
        <f t="shared" si="24"/>
        <v>1358.835</v>
      </c>
      <c r="G617" s="3"/>
      <c r="H617" s="3"/>
      <c r="I617" s="3"/>
      <c r="J617" s="3"/>
      <c r="K617" s="3"/>
      <c r="L617" s="3"/>
      <c r="O617" s="3"/>
      <c r="P617" s="3"/>
      <c r="Q617" s="3"/>
      <c r="R617" s="3"/>
    </row>
    <row r="618" spans="1:23">
      <c r="A618" s="827"/>
      <c r="B618" s="828" t="s">
        <v>11</v>
      </c>
      <c r="C618" s="734" t="s">
        <v>284</v>
      </c>
      <c r="D618" s="829">
        <v>0.03</v>
      </c>
      <c r="E618" s="830">
        <f>F619</f>
        <v>28747.727794183564</v>
      </c>
      <c r="F618" s="830">
        <f t="shared" si="24"/>
        <v>862.43183382550683</v>
      </c>
      <c r="G618" s="3"/>
      <c r="H618" s="3"/>
      <c r="I618" s="3"/>
      <c r="J618" s="3"/>
      <c r="K618" s="3"/>
      <c r="L618" s="3"/>
      <c r="O618" s="3"/>
      <c r="P618" s="3"/>
      <c r="Q618" s="3"/>
      <c r="R618" s="3"/>
    </row>
    <row r="619" spans="1:23">
      <c r="A619" s="827"/>
      <c r="B619" s="828" t="s">
        <v>38</v>
      </c>
      <c r="C619" s="734" t="s">
        <v>182</v>
      </c>
      <c r="D619" s="829">
        <v>1</v>
      </c>
      <c r="E619" s="830">
        <f>'VALOR CUADRILLAS MO'!D89</f>
        <v>28747.727794183564</v>
      </c>
      <c r="F619" s="830">
        <f t="shared" si="24"/>
        <v>28747.727794183564</v>
      </c>
      <c r="G619" s="3"/>
      <c r="H619" s="3"/>
      <c r="I619" s="3"/>
      <c r="J619" s="3"/>
      <c r="K619" s="3"/>
      <c r="L619" s="3"/>
      <c r="O619" s="3"/>
      <c r="P619" s="3"/>
      <c r="Q619" s="3"/>
      <c r="R619" s="3"/>
    </row>
    <row r="620" spans="1:23">
      <c r="A620" s="749"/>
      <c r="B620" s="165"/>
      <c r="C620" s="270"/>
      <c r="D620" s="272"/>
      <c r="E620" s="266"/>
      <c r="F620" s="266"/>
      <c r="G620" s="3"/>
      <c r="H620" s="3"/>
      <c r="I620" s="3"/>
      <c r="J620" s="3"/>
      <c r="K620" s="3"/>
      <c r="L620" s="3"/>
      <c r="O620" s="3"/>
      <c r="P620" s="3"/>
      <c r="Q620" s="3"/>
      <c r="R620" s="3"/>
    </row>
    <row r="621" spans="1:23" ht="51">
      <c r="A621" s="831" t="s">
        <v>3481</v>
      </c>
      <c r="B621" s="832" t="s">
        <v>3420</v>
      </c>
      <c r="C621" s="831" t="s">
        <v>26</v>
      </c>
      <c r="D621" s="833"/>
      <c r="E621" s="825"/>
      <c r="F621" s="826">
        <f>SUM(F622:F633)</f>
        <v>320606.67925601813</v>
      </c>
      <c r="G621" s="3"/>
      <c r="H621" s="3"/>
      <c r="I621" s="3"/>
      <c r="J621" s="3"/>
      <c r="K621" s="3"/>
      <c r="L621" s="3"/>
      <c r="O621" s="3"/>
      <c r="P621" s="3"/>
      <c r="Q621" s="3"/>
      <c r="R621" s="3"/>
    </row>
    <row r="622" spans="1:23" ht="25.5">
      <c r="A622" s="827"/>
      <c r="B622" s="828" t="s">
        <v>3421</v>
      </c>
      <c r="C622" s="734" t="s">
        <v>146</v>
      </c>
      <c r="D622" s="829">
        <v>1</v>
      </c>
      <c r="E622" s="830">
        <f>INSUMOS!D253</f>
        <v>146965</v>
      </c>
      <c r="F622" s="830">
        <f t="shared" ref="F622:F629" si="25">D622*E622</f>
        <v>146965</v>
      </c>
      <c r="G622" s="3"/>
      <c r="H622" s="3"/>
      <c r="I622" s="3"/>
      <c r="J622" s="3"/>
      <c r="K622" s="3"/>
      <c r="L622" s="3"/>
      <c r="O622" s="3"/>
      <c r="P622" s="3"/>
      <c r="Q622" s="3"/>
      <c r="R622" s="3"/>
    </row>
    <row r="623" spans="1:23">
      <c r="A623" s="827"/>
      <c r="B623" s="828" t="s">
        <v>3422</v>
      </c>
      <c r="C623" s="734" t="s">
        <v>21</v>
      </c>
      <c r="D623" s="829">
        <v>6</v>
      </c>
      <c r="E623" s="830">
        <f>INSUMOS!D254</f>
        <v>5647.5</v>
      </c>
      <c r="F623" s="830">
        <f t="shared" si="25"/>
        <v>33885</v>
      </c>
      <c r="G623" s="3"/>
      <c r="H623" s="3"/>
      <c r="I623" s="3"/>
      <c r="J623" s="3"/>
      <c r="K623" s="3"/>
      <c r="L623" s="3"/>
      <c r="O623" s="3"/>
      <c r="P623" s="3"/>
      <c r="Q623" s="3"/>
      <c r="R623" s="3"/>
    </row>
    <row r="624" spans="1:23">
      <c r="A624" s="827"/>
      <c r="B624" s="828" t="s">
        <v>3423</v>
      </c>
      <c r="C624" s="734" t="s">
        <v>26</v>
      </c>
      <c r="D624" s="829">
        <v>2</v>
      </c>
      <c r="E624" s="830">
        <f>INSUMOS!D255</f>
        <v>1417.5</v>
      </c>
      <c r="F624" s="830">
        <f>(D624*E624)</f>
        <v>2835</v>
      </c>
      <c r="G624" s="3"/>
      <c r="H624" s="3"/>
      <c r="I624" s="3"/>
      <c r="J624" s="3"/>
      <c r="K624" s="3"/>
      <c r="L624" s="3"/>
      <c r="O624" s="3"/>
      <c r="P624" s="3"/>
      <c r="Q624" s="3"/>
      <c r="R624" s="3"/>
    </row>
    <row r="625" spans="1:18">
      <c r="A625" s="827"/>
      <c r="B625" s="828" t="s">
        <v>3424</v>
      </c>
      <c r="C625" s="734" t="s">
        <v>26</v>
      </c>
      <c r="D625" s="829">
        <v>1</v>
      </c>
      <c r="E625" s="830">
        <f>INSUMOS!D256</f>
        <v>1080</v>
      </c>
      <c r="F625" s="830">
        <f>(D625*E625)</f>
        <v>1080</v>
      </c>
      <c r="G625" s="3"/>
      <c r="H625" s="3"/>
      <c r="I625" s="3"/>
      <c r="J625" s="3"/>
      <c r="K625" s="3"/>
      <c r="L625" s="3"/>
      <c r="O625" s="3"/>
      <c r="P625" s="3"/>
      <c r="Q625" s="3"/>
      <c r="R625" s="3"/>
    </row>
    <row r="626" spans="1:18">
      <c r="A626" s="827"/>
      <c r="B626" s="828" t="s">
        <v>3425</v>
      </c>
      <c r="C626" s="734" t="s">
        <v>26</v>
      </c>
      <c r="D626" s="829">
        <v>2</v>
      </c>
      <c r="E626" s="830">
        <f>INSUMOS!D257</f>
        <v>2497.5</v>
      </c>
      <c r="F626" s="830">
        <f>(D626*E626)</f>
        <v>4995</v>
      </c>
      <c r="G626" s="3"/>
      <c r="H626" s="3"/>
      <c r="I626" s="3"/>
      <c r="J626" s="3"/>
      <c r="K626" s="3"/>
      <c r="L626" s="3"/>
      <c r="O626" s="3"/>
      <c r="P626" s="3"/>
      <c r="Q626" s="3"/>
      <c r="R626" s="3"/>
    </row>
    <row r="627" spans="1:18">
      <c r="A627" s="827"/>
      <c r="B627" s="828" t="s">
        <v>3414</v>
      </c>
      <c r="C627" s="734" t="s">
        <v>21</v>
      </c>
      <c r="D627" s="829">
        <f>+D623*3</f>
        <v>18</v>
      </c>
      <c r="E627" s="830">
        <f>INSUMOS!D250</f>
        <v>2016</v>
      </c>
      <c r="F627" s="830">
        <f t="shared" si="25"/>
        <v>36288</v>
      </c>
      <c r="G627" s="3"/>
      <c r="H627" s="3"/>
      <c r="I627" s="3"/>
      <c r="J627" s="3"/>
      <c r="K627" s="3"/>
      <c r="L627" s="3"/>
      <c r="O627" s="3"/>
      <c r="P627" s="3"/>
      <c r="Q627" s="3"/>
      <c r="R627" s="3"/>
    </row>
    <row r="628" spans="1:18">
      <c r="A628" s="827"/>
      <c r="B628" s="828" t="s">
        <v>3426</v>
      </c>
      <c r="C628" s="734" t="s">
        <v>26</v>
      </c>
      <c r="D628" s="829">
        <v>1</v>
      </c>
      <c r="E628" s="830">
        <f>INSUMOS!D258</f>
        <v>15000</v>
      </c>
      <c r="F628" s="830">
        <f t="shared" si="25"/>
        <v>15000</v>
      </c>
      <c r="G628" s="3"/>
      <c r="H628" s="3"/>
      <c r="I628" s="3"/>
      <c r="J628" s="3"/>
      <c r="K628" s="3"/>
      <c r="L628" s="3"/>
      <c r="O628" s="3"/>
      <c r="P628" s="3"/>
      <c r="Q628" s="3"/>
      <c r="R628" s="3"/>
    </row>
    <row r="629" spans="1:18">
      <c r="A629" s="827"/>
      <c r="B629" s="828" t="s">
        <v>3427</v>
      </c>
      <c r="C629" s="734" t="s">
        <v>26</v>
      </c>
      <c r="D629" s="829">
        <v>1</v>
      </c>
      <c r="E629" s="830">
        <f>INSUMOS!D259</f>
        <v>10000</v>
      </c>
      <c r="F629" s="830">
        <f t="shared" si="25"/>
        <v>10000</v>
      </c>
      <c r="G629" s="3"/>
      <c r="H629" s="3"/>
      <c r="I629" s="3"/>
      <c r="J629" s="3"/>
      <c r="K629" s="3"/>
      <c r="L629" s="3"/>
      <c r="O629" s="3"/>
      <c r="P629" s="3"/>
      <c r="Q629" s="3"/>
      <c r="R629" s="3"/>
    </row>
    <row r="630" spans="1:18">
      <c r="A630" s="827"/>
      <c r="B630" s="828" t="s">
        <v>229</v>
      </c>
      <c r="C630" s="734" t="s">
        <v>68</v>
      </c>
      <c r="D630" s="829">
        <v>0.04</v>
      </c>
      <c r="E630" s="830">
        <f>+F623+F627</f>
        <v>70173</v>
      </c>
      <c r="F630" s="830">
        <f>(D630*E630)</f>
        <v>2806.92</v>
      </c>
      <c r="G630" s="3"/>
      <c r="H630" s="3"/>
      <c r="I630" s="3"/>
      <c r="J630" s="3"/>
      <c r="K630" s="3"/>
      <c r="L630" s="3"/>
      <c r="O630" s="3"/>
      <c r="P630" s="3"/>
      <c r="Q630" s="3"/>
      <c r="R630" s="3"/>
    </row>
    <row r="631" spans="1:18">
      <c r="A631" s="827"/>
      <c r="B631" s="828" t="s">
        <v>136</v>
      </c>
      <c r="C631" s="734" t="s">
        <v>3417</v>
      </c>
      <c r="D631" s="829">
        <v>0.03</v>
      </c>
      <c r="E631" s="830">
        <f>SUM(F622:F629)</f>
        <v>251048</v>
      </c>
      <c r="F631" s="830">
        <f>(D631*E631)</f>
        <v>7531.44</v>
      </c>
      <c r="G631" s="3"/>
      <c r="H631" s="3"/>
      <c r="I631" s="3"/>
      <c r="J631" s="3"/>
      <c r="K631" s="3"/>
      <c r="L631" s="3"/>
      <c r="O631" s="3"/>
      <c r="P631" s="3"/>
      <c r="Q631" s="3"/>
      <c r="R631" s="3"/>
    </row>
    <row r="632" spans="1:18">
      <c r="A632" s="827"/>
      <c r="B632" s="828" t="s">
        <v>11</v>
      </c>
      <c r="C632" s="734" t="s">
        <v>284</v>
      </c>
      <c r="D632" s="829">
        <v>0.03</v>
      </c>
      <c r="E632" s="830">
        <f>F633</f>
        <v>57495.455588367127</v>
      </c>
      <c r="F632" s="830">
        <f>(D632*E632)</f>
        <v>1724.8636676510137</v>
      </c>
      <c r="G632" s="3"/>
      <c r="H632" s="3"/>
      <c r="I632" s="3"/>
      <c r="J632" s="3"/>
      <c r="K632" s="3"/>
      <c r="L632" s="3"/>
      <c r="O632" s="3"/>
      <c r="P632" s="3"/>
      <c r="Q632" s="3"/>
      <c r="R632" s="3"/>
    </row>
    <row r="633" spans="1:18">
      <c r="A633" s="827"/>
      <c r="B633" s="828" t="s">
        <v>38</v>
      </c>
      <c r="C633" s="734" t="s">
        <v>182</v>
      </c>
      <c r="D633" s="829">
        <v>2</v>
      </c>
      <c r="E633" s="830">
        <f>'VALOR CUADRILLAS MO'!D89</f>
        <v>28747.727794183564</v>
      </c>
      <c r="F633" s="830">
        <f>(D633*E633)</f>
        <v>57495.455588367127</v>
      </c>
      <c r="G633" s="3"/>
      <c r="H633" s="3"/>
      <c r="I633" s="3"/>
      <c r="J633" s="3"/>
      <c r="K633" s="3"/>
      <c r="L633" s="3"/>
      <c r="O633" s="3"/>
      <c r="P633" s="3"/>
      <c r="Q633" s="3"/>
      <c r="R633" s="3"/>
    </row>
    <row r="634" spans="1:18">
      <c r="A634" s="749"/>
      <c r="B634" s="165"/>
      <c r="C634" s="270"/>
      <c r="D634" s="272"/>
      <c r="E634" s="266"/>
      <c r="F634" s="266"/>
      <c r="G634" s="3"/>
      <c r="H634" s="3"/>
      <c r="I634" s="3"/>
      <c r="J634" s="3"/>
      <c r="K634" s="3"/>
      <c r="L634" s="3"/>
      <c r="O634" s="3"/>
      <c r="P634" s="3"/>
      <c r="Q634" s="3"/>
      <c r="R634" s="3"/>
    </row>
    <row r="635" spans="1:18">
      <c r="A635" s="749"/>
      <c r="B635" s="165"/>
      <c r="C635" s="270"/>
      <c r="D635" s="272"/>
      <c r="E635" s="266"/>
      <c r="F635" s="266"/>
    </row>
    <row r="636" spans="1:18">
      <c r="A636" s="749"/>
      <c r="B636" s="165"/>
      <c r="C636" s="270"/>
      <c r="D636" s="272"/>
      <c r="E636" s="266"/>
      <c r="F636" s="266"/>
    </row>
    <row r="637" spans="1:18" ht="12.75" customHeight="1">
      <c r="A637" s="968" t="s">
        <v>3542</v>
      </c>
      <c r="B637" s="968"/>
      <c r="C637" s="978" t="s">
        <v>3544</v>
      </c>
      <c r="D637" s="978"/>
      <c r="E637" s="978"/>
      <c r="F637" s="978"/>
      <c r="G637" s="978"/>
    </row>
    <row r="638" spans="1:18">
      <c r="A638" s="969" t="s">
        <v>3475</v>
      </c>
      <c r="B638" s="969"/>
      <c r="C638" s="979" t="s">
        <v>3476</v>
      </c>
      <c r="D638" s="979"/>
      <c r="E638" s="979"/>
      <c r="F638" s="979"/>
      <c r="G638" s="873"/>
    </row>
    <row r="639" spans="1:18">
      <c r="A639" s="749"/>
      <c r="B639" s="165"/>
      <c r="C639" s="270"/>
      <c r="D639" s="272"/>
      <c r="E639" s="266"/>
      <c r="F639" s="266"/>
    </row>
    <row r="640" spans="1:18">
      <c r="A640" s="749"/>
      <c r="B640" s="165"/>
      <c r="C640" s="270"/>
      <c r="D640" s="272"/>
      <c r="E640" s="266"/>
      <c r="F640" s="266"/>
    </row>
    <row r="641" spans="1:6">
      <c r="A641" s="749"/>
      <c r="B641" s="165"/>
      <c r="C641" s="270"/>
      <c r="D641" s="272"/>
      <c r="E641" s="266"/>
      <c r="F641" s="266"/>
    </row>
    <row r="642" spans="1:6">
      <c r="A642" s="749"/>
      <c r="B642" s="165"/>
      <c r="C642" s="270"/>
      <c r="D642" s="272"/>
      <c r="E642" s="266"/>
      <c r="F642" s="266"/>
    </row>
    <row r="643" spans="1:6">
      <c r="A643" s="749"/>
      <c r="B643" s="165"/>
      <c r="C643" s="270"/>
      <c r="D643" s="272"/>
      <c r="E643" s="266"/>
      <c r="F643" s="266"/>
    </row>
    <row r="644" spans="1:6">
      <c r="A644" s="1151" t="s">
        <v>3543</v>
      </c>
      <c r="B644" s="1151"/>
      <c r="C644" s="1151"/>
      <c r="D644" s="1151"/>
      <c r="E644" s="1151"/>
      <c r="F644" s="1151"/>
    </row>
    <row r="645" spans="1:6">
      <c r="A645" s="1152" t="s">
        <v>3545</v>
      </c>
      <c r="B645" s="1152"/>
      <c r="C645" s="1152"/>
      <c r="D645" s="1152"/>
      <c r="E645" s="1152"/>
      <c r="F645" s="1152"/>
    </row>
  </sheetData>
  <sheetProtection formatCells="0" formatColumns="0" formatRows="0" insertColumns="0" insertRows="0" insertHyperlinks="0" deleteColumns="0" deleteRows="0" sort="0" autoFilter="0" pivotTables="0"/>
  <mergeCells count="18">
    <mergeCell ref="AD15:AE15"/>
    <mergeCell ref="AD16:AE16"/>
    <mergeCell ref="AD17:AE17"/>
    <mergeCell ref="AE7:AF7"/>
    <mergeCell ref="AD11:AE11"/>
    <mergeCell ref="AD12:AE12"/>
    <mergeCell ref="AD13:AE13"/>
    <mergeCell ref="AD14:AE14"/>
    <mergeCell ref="A644:F644"/>
    <mergeCell ref="A645:F645"/>
    <mergeCell ref="B1:F1"/>
    <mergeCell ref="B2:F2"/>
    <mergeCell ref="A3:G3"/>
    <mergeCell ref="A637:B637"/>
    <mergeCell ref="A638:B638"/>
    <mergeCell ref="C637:G637"/>
    <mergeCell ref="C638:F638"/>
    <mergeCell ref="A4:F4"/>
  </mergeCells>
  <phoneticPr fontId="4" type="noConversion"/>
  <printOptions horizontalCentered="1"/>
  <pageMargins left="0.39370078740157483" right="0.39370078740157483" top="1.1811023622047245" bottom="0.78740157480314965" header="0" footer="0"/>
  <pageSetup scale="70" orientation="portrait" errors="NA" r:id="rId1"/>
  <headerFooter alignWithMargins="0">
    <oddFooter>&amp;R&amp;P/&amp;N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tabColor theme="8" tint="0.39997558519241921"/>
  </sheetPr>
  <dimension ref="A1:W1569"/>
  <sheetViews>
    <sheetView view="pageBreakPreview" topLeftCell="A299" zoomScale="89" zoomScaleNormal="90" zoomScaleSheetLayoutView="89" workbookViewId="0">
      <selection activeCell="N12" sqref="N12"/>
    </sheetView>
  </sheetViews>
  <sheetFormatPr baseColWidth="10" defaultColWidth="11.42578125" defaultRowHeight="12.75"/>
  <cols>
    <col min="1" max="1" width="8.7109375" style="531" customWidth="1"/>
    <col min="2" max="2" width="66.42578125" style="385" customWidth="1"/>
    <col min="3" max="3" width="9.140625" style="18" customWidth="1"/>
    <col min="4" max="4" width="11.42578125" style="3" bestFit="1" customWidth="1"/>
    <col min="5" max="5" width="19" style="259" customWidth="1"/>
    <col min="6" max="6" width="21.5703125" style="259" bestFit="1" customWidth="1"/>
    <col min="7" max="7" width="14.7109375" style="2" hidden="1" customWidth="1"/>
    <col min="8" max="8" width="11" style="2" hidden="1" customWidth="1"/>
    <col min="9" max="9" width="12.28515625" style="2" hidden="1" customWidth="1"/>
    <col min="10" max="10" width="13.5703125" style="244" hidden="1" customWidth="1"/>
    <col min="11" max="11" width="17.42578125" style="244" hidden="1" customWidth="1"/>
    <col min="12" max="12" width="14.5703125" style="244" hidden="1" customWidth="1"/>
    <col min="13" max="13" width="13.28515625" style="3" bestFit="1" customWidth="1"/>
    <col min="14" max="14" width="43.42578125" style="3" customWidth="1"/>
    <col min="15" max="15" width="20.85546875" style="64" customWidth="1"/>
    <col min="16" max="16" width="17.28515625" style="64" customWidth="1"/>
    <col min="17" max="17" width="19.42578125" style="64" customWidth="1"/>
    <col min="18" max="18" width="15.28515625" style="64" customWidth="1"/>
    <col min="19" max="19" width="16.7109375" style="3" bestFit="1" customWidth="1"/>
    <col min="20" max="20" width="16.28515625" style="3" bestFit="1" customWidth="1"/>
    <col min="21" max="16384" width="11.42578125" style="3"/>
  </cols>
  <sheetData>
    <row r="1" spans="1:20" s="242" customFormat="1" ht="42" customHeight="1">
      <c r="A1" s="707"/>
      <c r="B1" s="1184">
        <f>+'LISTADO DE UNITARIOS'!$A$3:$C$3</f>
        <v>0</v>
      </c>
      <c r="C1" s="1184"/>
      <c r="D1" s="1184"/>
      <c r="E1" s="1184"/>
      <c r="F1" s="708"/>
      <c r="O1" s="243"/>
      <c r="P1" s="243"/>
      <c r="Q1" s="243"/>
      <c r="R1" s="243"/>
    </row>
    <row r="2" spans="1:20" s="242" customFormat="1" ht="19.899999999999999" customHeight="1">
      <c r="A2" s="1180" t="s">
        <v>2962</v>
      </c>
      <c r="B2" s="1181"/>
      <c r="C2" s="1181"/>
      <c r="D2" s="1181"/>
      <c r="E2" s="1181"/>
      <c r="F2" s="1182"/>
      <c r="O2" s="243"/>
      <c r="P2" s="243"/>
      <c r="Q2" s="243"/>
      <c r="R2" s="243"/>
    </row>
    <row r="3" spans="1:20" ht="24" customHeight="1">
      <c r="A3" s="1153" t="s">
        <v>3236</v>
      </c>
      <c r="B3" s="1154"/>
      <c r="C3" s="1154"/>
      <c r="D3" s="1154"/>
      <c r="E3" s="1154"/>
      <c r="F3" s="1155"/>
      <c r="G3" s="3"/>
      <c r="H3" s="3"/>
      <c r="I3" s="3"/>
      <c r="J3" s="3"/>
      <c r="K3" s="3"/>
      <c r="L3" s="3"/>
    </row>
    <row r="4" spans="1:20" ht="19.899999999999999" customHeight="1">
      <c r="A4" s="87" t="s">
        <v>201</v>
      </c>
      <c r="B4" s="87" t="s">
        <v>205</v>
      </c>
      <c r="C4" s="85" t="s">
        <v>3083</v>
      </c>
      <c r="D4" s="88" t="s">
        <v>2965</v>
      </c>
      <c r="E4" s="89" t="s">
        <v>532</v>
      </c>
      <c r="F4" s="86" t="s">
        <v>291</v>
      </c>
    </row>
    <row r="5" spans="1:20" ht="19.899999999999999" customHeight="1">
      <c r="A5" s="453" t="s">
        <v>395</v>
      </c>
      <c r="B5" s="454" t="s">
        <v>2710</v>
      </c>
      <c r="C5" s="455"/>
      <c r="D5" s="456"/>
      <c r="E5" s="457"/>
      <c r="F5" s="457"/>
      <c r="G5" s="245"/>
    </row>
    <row r="6" spans="1:20" ht="24.6" customHeight="1">
      <c r="A6" s="246">
        <v>1</v>
      </c>
      <c r="B6" s="83" t="s">
        <v>3105</v>
      </c>
      <c r="C6" s="76" t="s">
        <v>119</v>
      </c>
      <c r="D6" s="73"/>
      <c r="E6" s="74"/>
      <c r="F6" s="75">
        <f>ROUND(SUM(F7:F8),0)</f>
        <v>3499</v>
      </c>
      <c r="H6" s="1183"/>
    </row>
    <row r="7" spans="1:20">
      <c r="A7" s="529"/>
      <c r="B7" s="165" t="s">
        <v>11</v>
      </c>
      <c r="C7" s="77" t="s">
        <v>284</v>
      </c>
      <c r="D7" s="78">
        <v>0.03</v>
      </c>
      <c r="E7" s="79">
        <f>+F8</f>
        <v>3397.458739312603</v>
      </c>
      <c r="F7" s="79">
        <f>+F8*3%</f>
        <v>101.92376217937809</v>
      </c>
      <c r="H7" s="1183"/>
    </row>
    <row r="8" spans="1:20">
      <c r="A8" s="529"/>
      <c r="B8" s="165" t="s">
        <v>9</v>
      </c>
      <c r="C8" s="77" t="s">
        <v>10</v>
      </c>
      <c r="D8" s="78">
        <f>0.13</f>
        <v>0.13</v>
      </c>
      <c r="E8" s="79">
        <f>+'VALOR CUADRILLAS MO'!D75</f>
        <v>26134.297994712331</v>
      </c>
      <c r="F8" s="79">
        <f>+D8*E8</f>
        <v>3397.458739312603</v>
      </c>
      <c r="H8" s="1183"/>
    </row>
    <row r="9" spans="1:20">
      <c r="A9" s="529"/>
      <c r="B9" s="165"/>
      <c r="C9" s="77"/>
      <c r="D9" s="78"/>
      <c r="E9" s="79"/>
      <c r="F9" s="79"/>
      <c r="H9" s="31"/>
    </row>
    <row r="10" spans="1:20" s="2" customFormat="1" ht="21.6" customHeight="1">
      <c r="A10" s="246">
        <f>A6+1</f>
        <v>2</v>
      </c>
      <c r="B10" s="83" t="s">
        <v>641</v>
      </c>
      <c r="C10" s="76" t="s">
        <v>119</v>
      </c>
      <c r="D10" s="73"/>
      <c r="E10" s="74"/>
      <c r="F10" s="75" t="e">
        <f>ROUND(SUM(F11:F16),0)</f>
        <v>#REF!</v>
      </c>
      <c r="H10" s="31"/>
      <c r="J10" s="244"/>
      <c r="K10" s="244"/>
      <c r="L10" s="244"/>
      <c r="M10" s="3"/>
      <c r="N10" s="3"/>
      <c r="O10" s="64"/>
      <c r="P10" s="64"/>
      <c r="Q10" s="64"/>
      <c r="R10" s="64"/>
      <c r="S10" s="3"/>
      <c r="T10" s="3"/>
    </row>
    <row r="11" spans="1:20" s="2" customFormat="1">
      <c r="A11" s="529"/>
      <c r="B11" s="165" t="s">
        <v>13</v>
      </c>
      <c r="C11" s="77" t="s">
        <v>26</v>
      </c>
      <c r="D11" s="78">
        <v>0.15</v>
      </c>
      <c r="E11" s="79">
        <f>+INSUMOS!D5</f>
        <v>2067.0300000000002</v>
      </c>
      <c r="F11" s="79">
        <f t="shared" ref="F11:F16" si="0">+D11*E11</f>
        <v>310.05450000000002</v>
      </c>
      <c r="H11" s="31"/>
      <c r="J11" s="244"/>
      <c r="K11" s="244"/>
      <c r="L11" s="244"/>
      <c r="M11" s="3"/>
      <c r="N11" s="3"/>
      <c r="O11" s="64"/>
      <c r="P11" s="64"/>
      <c r="Q11" s="64"/>
      <c r="R11" s="64"/>
      <c r="S11" s="3"/>
      <c r="T11" s="3"/>
    </row>
    <row r="12" spans="1:20" s="2" customFormat="1">
      <c r="A12" s="529"/>
      <c r="B12" s="165" t="s">
        <v>16</v>
      </c>
      <c r="C12" s="77" t="s">
        <v>17</v>
      </c>
      <c r="D12" s="80">
        <v>1.5E-3</v>
      </c>
      <c r="E12" s="79">
        <f>+INSUMOS!D41</f>
        <v>3464.09</v>
      </c>
      <c r="F12" s="79">
        <f t="shared" si="0"/>
        <v>5.1961349999999999</v>
      </c>
      <c r="H12" s="31"/>
      <c r="J12" s="244"/>
      <c r="K12" s="244"/>
      <c r="L12" s="244"/>
      <c r="M12" s="3"/>
      <c r="N12" s="3"/>
      <c r="O12" s="64"/>
      <c r="P12" s="64"/>
      <c r="Q12" s="64"/>
      <c r="R12" s="64"/>
      <c r="S12" s="3"/>
      <c r="T12" s="3"/>
    </row>
    <row r="13" spans="1:20" s="2" customFormat="1">
      <c r="A13" s="529"/>
      <c r="B13" s="165" t="s">
        <v>286</v>
      </c>
      <c r="C13" s="77" t="s">
        <v>129</v>
      </c>
      <c r="D13" s="82">
        <v>8.0000000000000007E-5</v>
      </c>
      <c r="E13" s="79">
        <f>+INSUMOS!D19</f>
        <v>3267000</v>
      </c>
      <c r="F13" s="79">
        <f t="shared" si="0"/>
        <v>261.36</v>
      </c>
      <c r="H13" s="31"/>
      <c r="J13" s="244"/>
      <c r="K13" s="244"/>
      <c r="L13" s="244"/>
      <c r="M13" s="3"/>
      <c r="N13" s="3"/>
      <c r="O13" s="64"/>
      <c r="P13" s="64"/>
      <c r="Q13" s="64"/>
      <c r="R13" s="64"/>
      <c r="S13" s="3"/>
      <c r="T13" s="3"/>
    </row>
    <row r="14" spans="1:20" s="2" customFormat="1">
      <c r="A14" s="529"/>
      <c r="B14" s="165" t="s">
        <v>287</v>
      </c>
      <c r="C14" s="77" t="s">
        <v>129</v>
      </c>
      <c r="D14" s="82">
        <v>9.0000000000000006E-5</v>
      </c>
      <c r="E14" s="79">
        <f>+INSUMOS!D20</f>
        <v>1526000</v>
      </c>
      <c r="F14" s="79">
        <f t="shared" si="0"/>
        <v>137.34</v>
      </c>
      <c r="H14" s="31"/>
      <c r="J14" s="244"/>
      <c r="K14" s="244"/>
      <c r="L14" s="244"/>
      <c r="M14" s="3"/>
      <c r="N14" s="3"/>
      <c r="O14" s="64"/>
      <c r="P14" s="64"/>
      <c r="Q14" s="64"/>
      <c r="R14" s="64"/>
      <c r="S14" s="3"/>
      <c r="T14" s="3"/>
    </row>
    <row r="15" spans="1:20" s="2" customFormat="1">
      <c r="A15" s="529"/>
      <c r="B15" s="165" t="s">
        <v>288</v>
      </c>
      <c r="C15" s="77" t="s">
        <v>129</v>
      </c>
      <c r="D15" s="82">
        <v>9.0000000000000006E-5</v>
      </c>
      <c r="E15" s="79">
        <f>+INSUMOS!D21</f>
        <v>1329000</v>
      </c>
      <c r="F15" s="79">
        <f t="shared" si="0"/>
        <v>119.61000000000001</v>
      </c>
      <c r="H15" s="31"/>
      <c r="J15" s="244"/>
      <c r="K15" s="244"/>
      <c r="L15" s="244"/>
      <c r="M15" s="3"/>
      <c r="N15" s="3"/>
      <c r="O15" s="64"/>
      <c r="P15" s="64"/>
      <c r="Q15" s="64"/>
      <c r="R15" s="64"/>
      <c r="S15" s="3"/>
      <c r="T15" s="3"/>
    </row>
    <row r="16" spans="1:20" s="2" customFormat="1">
      <c r="A16" s="529"/>
      <c r="B16" s="165" t="s">
        <v>289</v>
      </c>
      <c r="C16" s="77" t="s">
        <v>129</v>
      </c>
      <c r="D16" s="82">
        <v>8.0000000000000007E-5</v>
      </c>
      <c r="E16" s="79" t="e">
        <f>+INSUMOS!#REF!</f>
        <v>#REF!</v>
      </c>
      <c r="F16" s="79" t="e">
        <f t="shared" si="0"/>
        <v>#REF!</v>
      </c>
      <c r="H16" s="31"/>
      <c r="J16" s="244"/>
      <c r="K16" s="244"/>
      <c r="L16" s="244"/>
      <c r="M16" s="3"/>
      <c r="N16" s="3"/>
      <c r="O16" s="64"/>
      <c r="P16" s="64"/>
      <c r="Q16" s="64"/>
      <c r="R16" s="64"/>
      <c r="S16" s="3"/>
      <c r="T16" s="3"/>
    </row>
    <row r="17" spans="1:20" s="2" customFormat="1">
      <c r="A17" s="529"/>
      <c r="B17" s="165"/>
      <c r="C17" s="77"/>
      <c r="D17" s="78"/>
      <c r="E17" s="79"/>
      <c r="F17" s="79"/>
      <c r="H17" s="247" t="s">
        <v>747</v>
      </c>
      <c r="J17" s="244"/>
      <c r="K17" s="244"/>
      <c r="L17" s="244"/>
      <c r="M17" s="3"/>
      <c r="N17" s="3"/>
      <c r="O17" s="64"/>
      <c r="P17" s="64"/>
      <c r="Q17" s="64"/>
      <c r="R17" s="64"/>
      <c r="S17" s="3"/>
      <c r="T17" s="3"/>
    </row>
    <row r="18" spans="1:20" ht="20.100000000000001" customHeight="1">
      <c r="A18" s="246">
        <f>A10+1</f>
        <v>3</v>
      </c>
      <c r="B18" s="83" t="s">
        <v>248</v>
      </c>
      <c r="C18" s="76" t="s">
        <v>21</v>
      </c>
      <c r="D18" s="73"/>
      <c r="E18" s="74"/>
      <c r="F18" s="75" t="e">
        <f>ROUND(SUM(F19:F26),0)</f>
        <v>#REF!</v>
      </c>
      <c r="M18" s="369"/>
    </row>
    <row r="19" spans="1:20">
      <c r="A19" s="529"/>
      <c r="B19" s="165" t="s">
        <v>249</v>
      </c>
      <c r="C19" s="77" t="s">
        <v>21</v>
      </c>
      <c r="D19" s="78">
        <v>1</v>
      </c>
      <c r="E19" s="79">
        <f>+INSUMOS!D27</f>
        <v>1666</v>
      </c>
      <c r="F19" s="79">
        <f t="shared" ref="F19:F26" si="1">+D19*E19</f>
        <v>1666</v>
      </c>
    </row>
    <row r="20" spans="1:20">
      <c r="A20" s="529"/>
      <c r="B20" s="165" t="s">
        <v>16</v>
      </c>
      <c r="C20" s="77" t="s">
        <v>17</v>
      </c>
      <c r="D20" s="78">
        <v>2.7E-2</v>
      </c>
      <c r="E20" s="79">
        <f>INSUMOS!D42</f>
        <v>5261.1799999999994</v>
      </c>
      <c r="F20" s="79">
        <f t="shared" si="1"/>
        <v>142.05185999999998</v>
      </c>
    </row>
    <row r="21" spans="1:20">
      <c r="A21" s="529"/>
      <c r="B21" s="165" t="s">
        <v>751</v>
      </c>
      <c r="C21" s="77" t="s">
        <v>26</v>
      </c>
      <c r="D21" s="78">
        <v>0.8</v>
      </c>
      <c r="E21" s="79">
        <f>+INSUMOS!D6</f>
        <v>15470</v>
      </c>
      <c r="F21" s="79">
        <f t="shared" si="1"/>
        <v>12376</v>
      </c>
    </row>
    <row r="22" spans="1:20">
      <c r="A22" s="529"/>
      <c r="B22" s="165" t="s">
        <v>769</v>
      </c>
      <c r="C22" s="77" t="s">
        <v>26</v>
      </c>
      <c r="D22" s="78">
        <v>0.8</v>
      </c>
      <c r="E22" s="79" t="e">
        <f>INSUMOS!#REF!</f>
        <v>#REF!</v>
      </c>
      <c r="F22" s="79" t="e">
        <f t="shared" si="1"/>
        <v>#REF!</v>
      </c>
    </row>
    <row r="23" spans="1:20">
      <c r="A23" s="529"/>
      <c r="B23" s="165" t="s">
        <v>229</v>
      </c>
      <c r="C23" s="77" t="s">
        <v>68</v>
      </c>
      <c r="D23" s="78">
        <v>0.05</v>
      </c>
      <c r="E23" s="79">
        <f>SUM(F19:F21)</f>
        <v>14184.05186</v>
      </c>
      <c r="F23" s="79">
        <f t="shared" si="1"/>
        <v>709.20259299999998</v>
      </c>
    </row>
    <row r="24" spans="1:20">
      <c r="A24" s="529"/>
      <c r="B24" s="165" t="s">
        <v>136</v>
      </c>
      <c r="C24" s="77" t="s">
        <v>68</v>
      </c>
      <c r="D24" s="78"/>
      <c r="E24" s="79" t="e">
        <f>SUM(F19:F23)</f>
        <v>#REF!</v>
      </c>
      <c r="F24" s="79" t="e">
        <f t="shared" si="1"/>
        <v>#REF!</v>
      </c>
    </row>
    <row r="25" spans="1:20">
      <c r="A25" s="529"/>
      <c r="B25" s="165" t="s">
        <v>11</v>
      </c>
      <c r="C25" s="77" t="s">
        <v>284</v>
      </c>
      <c r="D25" s="78">
        <v>0.03</v>
      </c>
      <c r="E25" s="79">
        <f>+F26</f>
        <v>7056.2604585723302</v>
      </c>
      <c r="F25" s="79">
        <f t="shared" si="1"/>
        <v>211.68781375716989</v>
      </c>
    </row>
    <row r="26" spans="1:20">
      <c r="A26" s="529"/>
      <c r="B26" s="165" t="s">
        <v>9</v>
      </c>
      <c r="C26" s="77" t="s">
        <v>10</v>
      </c>
      <c r="D26" s="78">
        <v>0.27</v>
      </c>
      <c r="E26" s="79">
        <f>+'VALOR CUADRILLAS MO'!D75</f>
        <v>26134.297994712331</v>
      </c>
      <c r="F26" s="79">
        <f t="shared" si="1"/>
        <v>7056.2604585723302</v>
      </c>
    </row>
    <row r="27" spans="1:20">
      <c r="A27" s="529"/>
      <c r="B27" s="165"/>
      <c r="C27" s="77"/>
      <c r="D27" s="78"/>
      <c r="E27" s="79"/>
      <c r="F27" s="79"/>
    </row>
    <row r="28" spans="1:20" s="2" customFormat="1" ht="25.15" customHeight="1">
      <c r="A28" s="246">
        <f>A18+1</f>
        <v>4</v>
      </c>
      <c r="B28" s="83" t="s">
        <v>60</v>
      </c>
      <c r="C28" s="76" t="s">
        <v>119</v>
      </c>
      <c r="D28" s="73"/>
      <c r="E28" s="74"/>
      <c r="F28" s="75">
        <f>ROUND(SUM(F29:F34),0)</f>
        <v>4513</v>
      </c>
      <c r="J28" s="244"/>
      <c r="K28" s="244"/>
      <c r="L28" s="244"/>
      <c r="M28" s="3"/>
      <c r="N28" s="3"/>
      <c r="O28" s="64"/>
      <c r="P28" s="64"/>
      <c r="Q28" s="64"/>
      <c r="R28" s="64"/>
      <c r="S28" s="3"/>
      <c r="T28" s="3"/>
    </row>
    <row r="29" spans="1:20" s="2" customFormat="1">
      <c r="A29" s="529"/>
      <c r="B29" s="165" t="s">
        <v>13</v>
      </c>
      <c r="C29" s="77" t="s">
        <v>26</v>
      </c>
      <c r="D29" s="78">
        <v>0.3</v>
      </c>
      <c r="E29" s="79">
        <f>+INSUMOS!D5</f>
        <v>2067.0300000000002</v>
      </c>
      <c r="F29" s="79">
        <f>+D29*E29</f>
        <v>620.10900000000004</v>
      </c>
      <c r="J29" s="244"/>
      <c r="K29" s="244"/>
      <c r="L29" s="244"/>
      <c r="M29" s="3"/>
      <c r="N29" s="3"/>
      <c r="O29" s="64"/>
      <c r="P29" s="64"/>
      <c r="Q29" s="64"/>
      <c r="R29" s="64"/>
      <c r="S29" s="3"/>
      <c r="T29" s="3"/>
    </row>
    <row r="30" spans="1:20" s="2" customFormat="1">
      <c r="A30" s="529"/>
      <c r="B30" s="165" t="s">
        <v>16</v>
      </c>
      <c r="C30" s="77" t="s">
        <v>17</v>
      </c>
      <c r="D30" s="78">
        <v>2.7000000000000001E-3</v>
      </c>
      <c r="E30" s="79">
        <f>+INSUMOS!D41</f>
        <v>3464.09</v>
      </c>
      <c r="F30" s="79">
        <f>+D30*E30</f>
        <v>9.3530430000000013</v>
      </c>
      <c r="J30" s="244"/>
      <c r="K30" s="244"/>
      <c r="L30" s="244"/>
      <c r="M30" s="3"/>
      <c r="N30" s="3"/>
      <c r="O30" s="64"/>
      <c r="P30" s="64"/>
      <c r="Q30" s="64"/>
      <c r="R30" s="64"/>
      <c r="S30" s="3"/>
      <c r="T30" s="3"/>
    </row>
    <row r="31" spans="1:20" s="2" customFormat="1">
      <c r="A31" s="529"/>
      <c r="B31" s="165" t="s">
        <v>229</v>
      </c>
      <c r="C31" s="77" t="s">
        <v>68</v>
      </c>
      <c r="D31" s="78">
        <v>0.05</v>
      </c>
      <c r="E31" s="79">
        <f>SUM(F29:F30)</f>
        <v>629.46204299999999</v>
      </c>
      <c r="F31" s="79">
        <f>+D31*E31</f>
        <v>31.473102150000003</v>
      </c>
      <c r="J31" s="244"/>
      <c r="K31" s="244"/>
      <c r="L31" s="244"/>
      <c r="M31" s="3"/>
      <c r="N31" s="3"/>
      <c r="O31" s="64"/>
      <c r="P31" s="64"/>
      <c r="Q31" s="64"/>
      <c r="R31" s="64"/>
      <c r="S31" s="3"/>
      <c r="T31" s="3"/>
    </row>
    <row r="32" spans="1:20" s="2" customFormat="1">
      <c r="A32" s="529"/>
      <c r="B32" s="165" t="s">
        <v>136</v>
      </c>
      <c r="C32" s="77" t="s">
        <v>68</v>
      </c>
      <c r="D32" s="78"/>
      <c r="E32" s="79">
        <f>SUM(F29:F31)</f>
        <v>660.93514515000004</v>
      </c>
      <c r="F32" s="79">
        <f>+D32*E32</f>
        <v>0</v>
      </c>
      <c r="J32" s="244"/>
      <c r="K32" s="244"/>
      <c r="L32" s="244"/>
      <c r="M32" s="3"/>
      <c r="N32" s="3"/>
      <c r="O32" s="64"/>
      <c r="P32" s="64"/>
      <c r="Q32" s="64"/>
      <c r="R32" s="64"/>
      <c r="S32" s="3"/>
      <c r="T32" s="3"/>
    </row>
    <row r="33" spans="1:20" s="2" customFormat="1">
      <c r="A33" s="529"/>
      <c r="B33" s="165" t="s">
        <v>11</v>
      </c>
      <c r="C33" s="77" t="s">
        <v>284</v>
      </c>
      <c r="D33" s="78">
        <v>0.03</v>
      </c>
      <c r="E33" s="79">
        <f>+F34</f>
        <v>3739.5199866834346</v>
      </c>
      <c r="F33" s="79">
        <f>(D33*E33)</f>
        <v>112.18559960050304</v>
      </c>
      <c r="J33" s="244"/>
      <c r="K33" s="244"/>
      <c r="L33" s="244"/>
      <c r="M33" s="3"/>
      <c r="N33" s="3"/>
      <c r="O33" s="64"/>
      <c r="P33" s="64"/>
      <c r="Q33" s="64"/>
      <c r="R33" s="64"/>
      <c r="S33" s="3"/>
      <c r="T33" s="3"/>
    </row>
    <row r="34" spans="1:20" s="244" customFormat="1">
      <c r="A34" s="529"/>
      <c r="B34" s="165" t="s">
        <v>9</v>
      </c>
      <c r="C34" s="77" t="s">
        <v>10</v>
      </c>
      <c r="D34" s="78">
        <v>0.14308859520313266</v>
      </c>
      <c r="E34" s="79">
        <f>+'VALOR CUADRILLAS MO'!D75</f>
        <v>26134.297994712331</v>
      </c>
      <c r="F34" s="79">
        <f>+D34*E34</f>
        <v>3739.5199866834346</v>
      </c>
      <c r="G34" s="2"/>
      <c r="H34" s="2"/>
      <c r="I34" s="2"/>
      <c r="M34" s="3"/>
      <c r="N34" s="3"/>
      <c r="O34" s="64"/>
      <c r="P34" s="64"/>
      <c r="Q34" s="64"/>
      <c r="R34" s="64"/>
      <c r="S34" s="3"/>
      <c r="T34" s="3"/>
    </row>
    <row r="35" spans="1:20" s="244" customFormat="1">
      <c r="A35" s="529"/>
      <c r="B35" s="165"/>
      <c r="C35" s="77"/>
      <c r="D35" s="78"/>
      <c r="E35" s="79"/>
      <c r="F35" s="79"/>
      <c r="G35" s="2"/>
      <c r="H35" s="2"/>
      <c r="I35" s="2"/>
      <c r="M35" s="3"/>
      <c r="N35" s="3"/>
      <c r="O35" s="64"/>
      <c r="P35" s="64"/>
      <c r="Q35" s="64"/>
      <c r="R35" s="64"/>
      <c r="S35" s="3"/>
      <c r="T35" s="3"/>
    </row>
    <row r="36" spans="1:20" s="244" customFormat="1" ht="19.899999999999999" customHeight="1">
      <c r="A36" s="453" t="s">
        <v>396</v>
      </c>
      <c r="B36" s="454" t="s">
        <v>281</v>
      </c>
      <c r="C36" s="455"/>
      <c r="D36" s="456"/>
      <c r="E36" s="457"/>
      <c r="F36" s="457"/>
      <c r="G36" s="245"/>
      <c r="H36" s="2"/>
      <c r="I36" s="2"/>
      <c r="M36" s="3"/>
      <c r="N36" s="3"/>
      <c r="O36" s="64"/>
      <c r="P36" s="64"/>
      <c r="Q36" s="64"/>
      <c r="R36" s="64"/>
      <c r="S36" s="3"/>
      <c r="T36" s="3"/>
    </row>
    <row r="37" spans="1:20" s="244" customFormat="1" ht="21.6" customHeight="1">
      <c r="A37" s="246">
        <f>A28+1</f>
        <v>5</v>
      </c>
      <c r="B37" s="83" t="s">
        <v>62</v>
      </c>
      <c r="C37" s="76" t="s">
        <v>121</v>
      </c>
      <c r="D37" s="73"/>
      <c r="E37" s="74"/>
      <c r="F37" s="75">
        <f>ROUND(SUM(F38:F39),0)</f>
        <v>20551</v>
      </c>
      <c r="G37" s="2"/>
      <c r="H37" s="2"/>
      <c r="I37" s="59"/>
      <c r="M37" s="3"/>
      <c r="N37" s="3"/>
      <c r="O37" s="64"/>
      <c r="P37" s="64"/>
      <c r="Q37" s="64"/>
      <c r="R37" s="64"/>
      <c r="S37" s="3"/>
      <c r="T37" s="3"/>
    </row>
    <row r="38" spans="1:20" s="244" customFormat="1">
      <c r="A38" s="531"/>
      <c r="B38" s="165" t="s">
        <v>27</v>
      </c>
      <c r="C38" s="77" t="s">
        <v>20</v>
      </c>
      <c r="D38" s="78">
        <v>0.17</v>
      </c>
      <c r="E38" s="79">
        <f>+INSUMOS!D31</f>
        <v>120000</v>
      </c>
      <c r="F38" s="79">
        <f>+D38*E38</f>
        <v>20400</v>
      </c>
      <c r="G38" s="2"/>
      <c r="H38" s="2"/>
      <c r="I38" s="2"/>
      <c r="M38" s="3"/>
      <c r="N38" s="3"/>
      <c r="O38" s="64"/>
      <c r="P38" s="64"/>
      <c r="Q38" s="64"/>
      <c r="R38" s="64"/>
      <c r="S38" s="3"/>
      <c r="T38" s="3"/>
    </row>
    <row r="39" spans="1:20" s="244" customFormat="1" ht="25.5">
      <c r="A39" s="529"/>
      <c r="B39" s="165" t="str">
        <f>+INSUMOS!B32</f>
        <v>CARGADOR : POTENCIA EN EL VOLANTE 110 HP, CLASIFICACIÓN DE RPM DEL MOTOR 2300.</v>
      </c>
      <c r="C39" s="77" t="s">
        <v>8</v>
      </c>
      <c r="D39" s="81">
        <v>1.0000000000000002E-3</v>
      </c>
      <c r="E39" s="79">
        <f>+INSUMOS!D32</f>
        <v>151027.54</v>
      </c>
      <c r="F39" s="79">
        <f>+D39*E39</f>
        <v>151.02754000000004</v>
      </c>
      <c r="G39" s="2"/>
      <c r="H39" s="2"/>
      <c r="I39" s="2"/>
      <c r="M39" s="3"/>
      <c r="N39" s="3"/>
      <c r="O39" s="64"/>
      <c r="P39" s="64"/>
      <c r="Q39" s="64"/>
      <c r="R39" s="64"/>
      <c r="S39" s="3"/>
      <c r="T39" s="3"/>
    </row>
    <row r="40" spans="1:20" s="244" customFormat="1">
      <c r="A40" s="531"/>
      <c r="B40" s="165"/>
      <c r="C40" s="77"/>
      <c r="D40" s="78"/>
      <c r="E40" s="79"/>
      <c r="F40" s="79"/>
      <c r="G40" s="2"/>
      <c r="H40" s="2"/>
      <c r="I40" s="2"/>
      <c r="M40" s="3"/>
      <c r="N40" s="3"/>
      <c r="O40" s="64"/>
      <c r="P40" s="64"/>
      <c r="Q40" s="64"/>
      <c r="R40" s="64"/>
      <c r="S40" s="3"/>
      <c r="T40" s="3"/>
    </row>
    <row r="41" spans="1:20" s="244" customFormat="1" ht="22.15" customHeight="1">
      <c r="A41" s="246">
        <f>A37+1</f>
        <v>6</v>
      </c>
      <c r="B41" s="83" t="s">
        <v>250</v>
      </c>
      <c r="C41" s="76" t="s">
        <v>119</v>
      </c>
      <c r="D41" s="73"/>
      <c r="E41" s="74"/>
      <c r="F41" s="75">
        <f>ROUND(SUM(F42:F43),0)</f>
        <v>14805</v>
      </c>
      <c r="G41" s="2"/>
      <c r="H41" s="2"/>
      <c r="I41" s="2"/>
      <c r="M41" s="3"/>
      <c r="N41" s="3"/>
      <c r="O41" s="64"/>
      <c r="P41" s="64"/>
      <c r="Q41" s="64"/>
      <c r="R41" s="64"/>
      <c r="S41" s="3"/>
      <c r="T41" s="3"/>
    </row>
    <row r="42" spans="1:20" s="244" customFormat="1">
      <c r="A42" s="531"/>
      <c r="B42" s="165" t="s">
        <v>11</v>
      </c>
      <c r="C42" s="77" t="s">
        <v>284</v>
      </c>
      <c r="D42" s="78">
        <v>0.03</v>
      </c>
      <c r="E42" s="79">
        <f>+F43</f>
        <v>14373.863897091784</v>
      </c>
      <c r="F42" s="79">
        <f>(D42*E42)</f>
        <v>431.21591691275347</v>
      </c>
      <c r="G42" s="2"/>
      <c r="H42" s="2"/>
      <c r="I42" s="2"/>
      <c r="M42" s="3"/>
      <c r="N42" s="3"/>
      <c r="O42" s="64"/>
      <c r="P42" s="64"/>
      <c r="Q42" s="64"/>
      <c r="R42" s="64"/>
      <c r="S42" s="3"/>
      <c r="T42" s="3"/>
    </row>
    <row r="43" spans="1:20" s="244" customFormat="1">
      <c r="A43" s="529"/>
      <c r="B43" s="165" t="s">
        <v>9</v>
      </c>
      <c r="C43" s="77" t="s">
        <v>10</v>
      </c>
      <c r="D43" s="78">
        <v>0.55000000000000004</v>
      </c>
      <c r="E43" s="79">
        <f>+'VALOR CUADRILLAS MO'!D75</f>
        <v>26134.297994712331</v>
      </c>
      <c r="F43" s="79">
        <f>+D43*E43</f>
        <v>14373.863897091784</v>
      </c>
      <c r="G43" s="2"/>
      <c r="H43" s="2"/>
      <c r="I43" s="2"/>
      <c r="M43" s="3"/>
      <c r="N43" s="3"/>
      <c r="O43" s="64"/>
      <c r="P43" s="64"/>
      <c r="Q43" s="64"/>
      <c r="R43" s="64"/>
      <c r="S43" s="3"/>
      <c r="T43" s="3"/>
    </row>
    <row r="44" spans="1:20" s="2" customFormat="1">
      <c r="A44" s="531"/>
      <c r="B44" s="165"/>
      <c r="C44" s="77"/>
      <c r="D44" s="78"/>
      <c r="E44" s="79"/>
      <c r="F44" s="79"/>
      <c r="J44" s="244"/>
      <c r="K44" s="244"/>
      <c r="L44" s="244"/>
      <c r="M44" s="3"/>
      <c r="N44" s="3"/>
      <c r="O44" s="64"/>
      <c r="P44" s="64"/>
      <c r="Q44" s="64"/>
      <c r="R44" s="64"/>
      <c r="S44" s="3"/>
      <c r="T44" s="3"/>
    </row>
    <row r="45" spans="1:20" s="2" customFormat="1" ht="21" customHeight="1">
      <c r="A45" s="246">
        <f>+A41+1</f>
        <v>7</v>
      </c>
      <c r="B45" s="83" t="s">
        <v>2</v>
      </c>
      <c r="C45" s="76" t="s">
        <v>21</v>
      </c>
      <c r="D45" s="73"/>
      <c r="E45" s="74"/>
      <c r="F45" s="75">
        <f>ROUND(SUM(F46:F47),0)</f>
        <v>6523</v>
      </c>
      <c r="J45" s="244"/>
      <c r="K45" s="244"/>
      <c r="L45" s="244"/>
      <c r="M45" s="3"/>
      <c r="N45" s="3"/>
      <c r="O45" s="64"/>
      <c r="P45" s="64"/>
      <c r="Q45" s="64"/>
      <c r="R45" s="64"/>
      <c r="S45" s="3"/>
      <c r="T45" s="3"/>
    </row>
    <row r="46" spans="1:20" s="2" customFormat="1">
      <c r="A46" s="529"/>
      <c r="B46" s="165" t="s">
        <v>3</v>
      </c>
      <c r="C46" s="77" t="s">
        <v>21</v>
      </c>
      <c r="D46" s="78">
        <v>1</v>
      </c>
      <c r="E46" s="79">
        <f>BASICOS!D40</f>
        <v>6000</v>
      </c>
      <c r="F46" s="79">
        <f>+D46*E46</f>
        <v>6000</v>
      </c>
      <c r="J46" s="244"/>
      <c r="K46" s="244"/>
      <c r="L46" s="244"/>
      <c r="M46" s="3"/>
      <c r="N46" s="3"/>
      <c r="O46" s="64"/>
      <c r="P46" s="64"/>
      <c r="Q46" s="64"/>
      <c r="R46" s="64"/>
      <c r="S46" s="3"/>
      <c r="T46" s="3"/>
    </row>
    <row r="47" spans="1:20" s="2" customFormat="1">
      <c r="A47" s="529"/>
      <c r="B47" s="165" t="s">
        <v>9</v>
      </c>
      <c r="C47" s="77" t="s">
        <v>10</v>
      </c>
      <c r="D47" s="78">
        <v>0.02</v>
      </c>
      <c r="E47" s="79">
        <f>+'VALOR CUADRILLAS MO'!D75</f>
        <v>26134.297994712331</v>
      </c>
      <c r="F47" s="79">
        <f>+D47*E47</f>
        <v>522.68595989424659</v>
      </c>
      <c r="J47" s="244"/>
      <c r="K47" s="244"/>
      <c r="L47" s="244"/>
      <c r="M47" s="3"/>
      <c r="N47" s="3"/>
      <c r="O47" s="64"/>
      <c r="P47" s="64"/>
      <c r="Q47" s="64"/>
      <c r="R47" s="64"/>
      <c r="S47" s="3"/>
      <c r="T47" s="3"/>
    </row>
    <row r="48" spans="1:20" s="2" customFormat="1">
      <c r="A48" s="529"/>
      <c r="B48" s="165"/>
      <c r="C48" s="77"/>
      <c r="D48" s="78"/>
      <c r="E48" s="79"/>
      <c r="F48" s="79"/>
      <c r="J48" s="244"/>
      <c r="K48" s="244"/>
      <c r="L48" s="244"/>
      <c r="M48" s="3"/>
      <c r="N48" s="3"/>
      <c r="O48" s="64"/>
      <c r="P48" s="64"/>
      <c r="Q48" s="64"/>
      <c r="R48" s="64"/>
      <c r="S48" s="3"/>
      <c r="T48" s="3"/>
    </row>
    <row r="49" spans="1:20" s="2" customFormat="1" ht="22.5" customHeight="1">
      <c r="A49" s="246">
        <f>+A45+1</f>
        <v>8</v>
      </c>
      <c r="B49" s="83" t="s">
        <v>137</v>
      </c>
      <c r="C49" s="76" t="s">
        <v>138</v>
      </c>
      <c r="D49" s="73"/>
      <c r="E49" s="74"/>
      <c r="F49" s="75">
        <f>ROUND(SUM(F50:F51),0)</f>
        <v>7268</v>
      </c>
      <c r="J49" s="244"/>
      <c r="K49" s="244"/>
      <c r="L49" s="244"/>
      <c r="M49" s="3"/>
      <c r="N49" s="3"/>
      <c r="O49" s="64"/>
      <c r="P49" s="64"/>
      <c r="Q49" s="64"/>
      <c r="R49" s="64"/>
      <c r="S49" s="3"/>
      <c r="T49" s="3"/>
    </row>
    <row r="50" spans="1:20" s="2" customFormat="1">
      <c r="A50" s="531"/>
      <c r="B50" s="165" t="s">
        <v>11</v>
      </c>
      <c r="C50" s="77" t="s">
        <v>284</v>
      </c>
      <c r="D50" s="78">
        <v>0.03</v>
      </c>
      <c r="E50" s="79">
        <f>+F51</f>
        <v>7056.2604585723302</v>
      </c>
      <c r="F50" s="79">
        <f>(D50*E50)</f>
        <v>211.68781375716989</v>
      </c>
      <c r="J50" s="244"/>
      <c r="K50" s="244"/>
      <c r="L50" s="244"/>
      <c r="M50" s="3"/>
      <c r="N50" s="3"/>
      <c r="O50" s="64"/>
      <c r="P50" s="64"/>
      <c r="Q50" s="64"/>
      <c r="R50" s="64"/>
      <c r="S50" s="3"/>
      <c r="T50" s="3"/>
    </row>
    <row r="51" spans="1:20" s="2" customFormat="1">
      <c r="A51" s="529"/>
      <c r="B51" s="165" t="s">
        <v>9</v>
      </c>
      <c r="C51" s="77" t="s">
        <v>10</v>
      </c>
      <c r="D51" s="78">
        <v>0.27</v>
      </c>
      <c r="E51" s="79">
        <f>+'VALOR CUADRILLAS MO'!D75</f>
        <v>26134.297994712331</v>
      </c>
      <c r="F51" s="79">
        <f>+D51*E51</f>
        <v>7056.2604585723302</v>
      </c>
      <c r="H51" s="247"/>
      <c r="J51" s="244"/>
      <c r="K51" s="244"/>
      <c r="L51" s="244"/>
      <c r="M51" s="3"/>
      <c r="N51" s="3"/>
      <c r="O51" s="64"/>
      <c r="P51" s="64"/>
      <c r="Q51" s="64"/>
      <c r="R51" s="64"/>
      <c r="S51" s="3"/>
      <c r="T51" s="3"/>
    </row>
    <row r="52" spans="1:20" s="2" customFormat="1">
      <c r="A52" s="531"/>
      <c r="B52" s="165"/>
      <c r="C52" s="77"/>
      <c r="D52" s="78"/>
      <c r="E52" s="79"/>
      <c r="F52" s="79"/>
      <c r="H52" s="247"/>
      <c r="J52" s="244"/>
      <c r="K52" s="244"/>
      <c r="L52" s="244"/>
      <c r="M52" s="3"/>
      <c r="N52" s="3"/>
      <c r="O52" s="64"/>
      <c r="P52" s="64"/>
      <c r="Q52" s="64"/>
      <c r="R52" s="64"/>
      <c r="S52" s="3"/>
      <c r="T52" s="3"/>
    </row>
    <row r="53" spans="1:20" s="2" customFormat="1" ht="24" customHeight="1">
      <c r="A53" s="246">
        <f>+A49+1</f>
        <v>9</v>
      </c>
      <c r="B53" s="83" t="s">
        <v>135</v>
      </c>
      <c r="C53" s="76" t="s">
        <v>119</v>
      </c>
      <c r="D53" s="73"/>
      <c r="E53" s="74"/>
      <c r="F53" s="75">
        <f>ROUND(SUM(F54:F55),0)</f>
        <v>7268</v>
      </c>
      <c r="J53" s="244"/>
      <c r="K53" s="244"/>
      <c r="L53" s="244"/>
      <c r="M53" s="3"/>
      <c r="N53" s="3"/>
      <c r="O53" s="64"/>
      <c r="P53" s="64"/>
      <c r="Q53" s="64"/>
      <c r="R53" s="64"/>
      <c r="S53" s="3"/>
      <c r="T53" s="3"/>
    </row>
    <row r="54" spans="1:20" s="2" customFormat="1">
      <c r="A54" s="531"/>
      <c r="B54" s="165" t="s">
        <v>11</v>
      </c>
      <c r="C54" s="77" t="s">
        <v>284</v>
      </c>
      <c r="D54" s="78">
        <v>0.03</v>
      </c>
      <c r="E54" s="79">
        <f>+F55</f>
        <v>7056.2604585723302</v>
      </c>
      <c r="F54" s="79">
        <f>(D54*E54)</f>
        <v>211.68781375716989</v>
      </c>
      <c r="J54" s="244"/>
      <c r="K54" s="244"/>
      <c r="L54" s="244"/>
      <c r="M54" s="3"/>
      <c r="N54" s="3"/>
      <c r="O54" s="64"/>
      <c r="P54" s="64"/>
      <c r="Q54" s="64"/>
      <c r="R54" s="64"/>
      <c r="S54" s="3"/>
      <c r="T54" s="3"/>
    </row>
    <row r="55" spans="1:20" s="2" customFormat="1">
      <c r="A55" s="529"/>
      <c r="B55" s="165" t="s">
        <v>9</v>
      </c>
      <c r="C55" s="77" t="s">
        <v>10</v>
      </c>
      <c r="D55" s="78">
        <v>0.27</v>
      </c>
      <c r="E55" s="79">
        <f>+'VALOR CUADRILLAS MO'!D75</f>
        <v>26134.297994712331</v>
      </c>
      <c r="F55" s="79">
        <f>+D55*E55</f>
        <v>7056.2604585723302</v>
      </c>
      <c r="H55" s="247"/>
      <c r="J55" s="244"/>
      <c r="K55" s="244"/>
      <c r="L55" s="244"/>
      <c r="M55" s="3"/>
      <c r="N55" s="3"/>
      <c r="O55" s="64"/>
      <c r="P55" s="64"/>
      <c r="Q55" s="64"/>
      <c r="R55" s="64"/>
      <c r="S55" s="3"/>
      <c r="T55" s="3"/>
    </row>
    <row r="56" spans="1:20" s="2" customFormat="1">
      <c r="A56" s="531"/>
      <c r="B56" s="165"/>
      <c r="C56" s="77"/>
      <c r="D56" s="78"/>
      <c r="E56" s="79"/>
      <c r="F56" s="79"/>
      <c r="H56" s="247"/>
      <c r="J56" s="244"/>
      <c r="K56" s="244"/>
      <c r="L56" s="244"/>
      <c r="M56" s="3"/>
      <c r="N56" s="3"/>
      <c r="O56" s="64"/>
      <c r="P56" s="64"/>
      <c r="Q56" s="64"/>
      <c r="R56" s="64"/>
      <c r="S56" s="3"/>
      <c r="T56" s="3"/>
    </row>
    <row r="57" spans="1:20" s="2" customFormat="1">
      <c r="A57" s="246">
        <f>+A53+1</f>
        <v>10</v>
      </c>
      <c r="B57" s="83" t="s">
        <v>143</v>
      </c>
      <c r="C57" s="76" t="s">
        <v>138</v>
      </c>
      <c r="D57" s="73"/>
      <c r="E57" s="74"/>
      <c r="F57" s="75">
        <f>ROUND(SUM(F58:F59),0)</f>
        <v>6730</v>
      </c>
      <c r="J57" s="244"/>
      <c r="K57" s="244"/>
      <c r="L57" s="244"/>
      <c r="M57" s="3"/>
      <c r="N57" s="3"/>
      <c r="O57" s="64"/>
      <c r="P57" s="64"/>
      <c r="Q57" s="64"/>
      <c r="R57" s="64"/>
      <c r="S57" s="3"/>
      <c r="T57" s="3"/>
    </row>
    <row r="58" spans="1:20" s="2" customFormat="1">
      <c r="A58" s="531"/>
      <c r="B58" s="165" t="s">
        <v>11</v>
      </c>
      <c r="C58" s="77" t="s">
        <v>284</v>
      </c>
      <c r="D58" s="78">
        <v>0.03</v>
      </c>
      <c r="E58" s="79">
        <f>+F59</f>
        <v>6533.5744986780828</v>
      </c>
      <c r="F58" s="79">
        <f>(D58*E58)</f>
        <v>196.00723496034249</v>
      </c>
      <c r="J58" s="244"/>
      <c r="K58" s="244"/>
      <c r="L58" s="244"/>
      <c r="M58" s="3"/>
      <c r="N58" s="3"/>
      <c r="O58" s="64"/>
      <c r="P58" s="64"/>
      <c r="Q58" s="64"/>
      <c r="R58" s="64"/>
      <c r="S58" s="3"/>
      <c r="T58" s="3"/>
    </row>
    <row r="59" spans="1:20" s="2" customFormat="1">
      <c r="A59" s="529"/>
      <c r="B59" s="165" t="s">
        <v>9</v>
      </c>
      <c r="C59" s="77" t="s">
        <v>10</v>
      </c>
      <c r="D59" s="78">
        <v>0.25</v>
      </c>
      <c r="E59" s="79">
        <f>+'VALOR CUADRILLAS MO'!D75</f>
        <v>26134.297994712331</v>
      </c>
      <c r="F59" s="79">
        <f>+D59*E59</f>
        <v>6533.5744986780828</v>
      </c>
      <c r="H59" s="247"/>
      <c r="J59" s="244"/>
      <c r="K59" s="244"/>
      <c r="L59" s="244"/>
      <c r="M59" s="3"/>
      <c r="N59" s="3"/>
      <c r="O59" s="64"/>
      <c r="P59" s="64"/>
      <c r="Q59" s="64"/>
      <c r="R59" s="64"/>
      <c r="S59" s="3"/>
      <c r="T59" s="3"/>
    </row>
    <row r="60" spans="1:20" s="244" customFormat="1">
      <c r="A60" s="531"/>
      <c r="B60" s="165"/>
      <c r="C60" s="77"/>
      <c r="D60" s="78"/>
      <c r="E60" s="79"/>
      <c r="F60" s="79"/>
      <c r="G60" s="2"/>
      <c r="H60" s="247"/>
      <c r="I60" s="2"/>
      <c r="M60" s="3"/>
      <c r="N60" s="3"/>
      <c r="O60" s="64"/>
      <c r="P60" s="64"/>
      <c r="Q60" s="64"/>
      <c r="R60" s="64"/>
      <c r="S60" s="3"/>
      <c r="T60" s="3"/>
    </row>
    <row r="61" spans="1:20" s="244" customFormat="1">
      <c r="A61" s="246">
        <f>+A57+1</f>
        <v>11</v>
      </c>
      <c r="B61" s="83" t="s">
        <v>740</v>
      </c>
      <c r="C61" s="76" t="s">
        <v>119</v>
      </c>
      <c r="D61" s="73"/>
      <c r="E61" s="74"/>
      <c r="F61" s="75">
        <f>ROUND(SUM(F62:F63),0)</f>
        <v>18843</v>
      </c>
      <c r="G61" s="2"/>
      <c r="H61" s="2"/>
      <c r="I61" s="2"/>
      <c r="M61" s="3"/>
      <c r="N61" s="3"/>
      <c r="O61" s="64"/>
      <c r="P61" s="64"/>
      <c r="Q61" s="64"/>
      <c r="R61" s="64"/>
      <c r="S61" s="3"/>
      <c r="T61" s="3"/>
    </row>
    <row r="62" spans="1:20" s="244" customFormat="1">
      <c r="A62" s="531"/>
      <c r="B62" s="165" t="s">
        <v>11</v>
      </c>
      <c r="C62" s="77" t="s">
        <v>284</v>
      </c>
      <c r="D62" s="78">
        <v>0.03</v>
      </c>
      <c r="E62" s="79">
        <f>+F63</f>
        <v>18294.00859629863</v>
      </c>
      <c r="F62" s="79">
        <f>(D62*E62)</f>
        <v>548.82025788895885</v>
      </c>
      <c r="G62" s="2"/>
      <c r="H62" s="2"/>
      <c r="I62" s="2"/>
      <c r="M62" s="3"/>
      <c r="N62" s="3"/>
      <c r="O62" s="64"/>
      <c r="P62" s="64"/>
      <c r="Q62" s="64"/>
      <c r="R62" s="64"/>
      <c r="S62" s="3"/>
      <c r="T62" s="3"/>
    </row>
    <row r="63" spans="1:20" s="244" customFormat="1">
      <c r="A63" s="529"/>
      <c r="B63" s="165" t="s">
        <v>9</v>
      </c>
      <c r="C63" s="77" t="s">
        <v>10</v>
      </c>
      <c r="D63" s="78">
        <v>0.7</v>
      </c>
      <c r="E63" s="79">
        <f>+'VALOR CUADRILLAS MO'!D75</f>
        <v>26134.297994712331</v>
      </c>
      <c r="F63" s="79">
        <f>+D63*E63</f>
        <v>18294.00859629863</v>
      </c>
      <c r="G63" s="2"/>
      <c r="H63" s="247"/>
      <c r="I63" s="2"/>
      <c r="M63" s="3"/>
      <c r="N63" s="3"/>
      <c r="O63" s="64"/>
      <c r="P63" s="64"/>
      <c r="Q63" s="64"/>
      <c r="R63" s="64"/>
      <c r="S63" s="3"/>
      <c r="T63" s="3"/>
    </row>
    <row r="64" spans="1:20" s="244" customFormat="1">
      <c r="A64" s="531"/>
      <c r="B64" s="165"/>
      <c r="C64" s="77"/>
      <c r="D64" s="78"/>
      <c r="E64" s="79"/>
      <c r="F64" s="79"/>
      <c r="G64" s="2"/>
      <c r="H64" s="247"/>
      <c r="I64" s="2"/>
      <c r="M64" s="3"/>
      <c r="N64" s="3"/>
      <c r="O64" s="64"/>
      <c r="P64" s="64"/>
      <c r="Q64" s="64"/>
      <c r="R64" s="64"/>
      <c r="S64" s="3"/>
      <c r="T64" s="3"/>
    </row>
    <row r="65" spans="1:20" s="244" customFormat="1">
      <c r="A65" s="246">
        <f>+A61+1</f>
        <v>12</v>
      </c>
      <c r="B65" s="83" t="s">
        <v>630</v>
      </c>
      <c r="C65" s="76" t="s">
        <v>121</v>
      </c>
      <c r="D65" s="73"/>
      <c r="E65" s="74"/>
      <c r="F65" s="75">
        <f>ROUND(SUM(F66:F67),0)</f>
        <v>96044</v>
      </c>
      <c r="G65" s="2"/>
      <c r="H65" s="247"/>
      <c r="I65" s="2"/>
      <c r="M65" s="3"/>
      <c r="N65" s="3"/>
      <c r="O65" s="64"/>
      <c r="P65" s="64"/>
      <c r="Q65" s="64"/>
      <c r="R65" s="64"/>
      <c r="S65" s="3"/>
      <c r="T65" s="3"/>
    </row>
    <row r="66" spans="1:20" s="244" customFormat="1">
      <c r="A66" s="531"/>
      <c r="B66" s="165" t="s">
        <v>11</v>
      </c>
      <c r="C66" s="77" t="s">
        <v>284</v>
      </c>
      <c r="D66" s="78">
        <v>0.03</v>
      </c>
      <c r="E66" s="79">
        <f>+F67</f>
        <v>93246.663275375337</v>
      </c>
      <c r="F66" s="79">
        <f>(D66*E66)</f>
        <v>2797.3998982612602</v>
      </c>
      <c r="G66" s="2"/>
      <c r="H66" s="247"/>
      <c r="I66" s="2"/>
      <c r="M66" s="3"/>
      <c r="N66" s="3"/>
      <c r="O66" s="64"/>
      <c r="P66" s="64"/>
      <c r="Q66" s="64"/>
      <c r="R66" s="64"/>
      <c r="S66" s="3"/>
      <c r="T66" s="3"/>
    </row>
    <row r="67" spans="1:20" s="244" customFormat="1">
      <c r="A67" s="529"/>
      <c r="B67" s="165" t="s">
        <v>9</v>
      </c>
      <c r="C67" s="77" t="s">
        <v>10</v>
      </c>
      <c r="D67" s="78">
        <v>3.5679804100435999</v>
      </c>
      <c r="E67" s="79">
        <f>+'VALOR CUADRILLAS MO'!D75</f>
        <v>26134.297994712331</v>
      </c>
      <c r="F67" s="79">
        <f>+D67*E67</f>
        <v>93246.663275375337</v>
      </c>
      <c r="G67" s="2"/>
      <c r="H67" s="247"/>
      <c r="I67" s="2"/>
      <c r="M67" s="3"/>
      <c r="N67" s="3"/>
      <c r="O67" s="64"/>
      <c r="P67" s="64"/>
      <c r="Q67" s="64"/>
      <c r="R67" s="64"/>
      <c r="S67" s="3"/>
      <c r="T67" s="3"/>
    </row>
    <row r="68" spans="1:20" s="244" customFormat="1">
      <c r="A68" s="531"/>
      <c r="B68" s="165"/>
      <c r="C68" s="77"/>
      <c r="D68" s="78"/>
      <c r="E68" s="79"/>
      <c r="F68" s="79"/>
      <c r="G68" s="2"/>
      <c r="H68" s="247"/>
      <c r="I68" s="2"/>
      <c r="M68" s="3"/>
      <c r="N68" s="3"/>
      <c r="O68" s="64"/>
      <c r="P68" s="64"/>
      <c r="Q68" s="64"/>
      <c r="R68" s="64"/>
      <c r="S68" s="3"/>
      <c r="T68" s="3"/>
    </row>
    <row r="69" spans="1:20" s="244" customFormat="1" ht="21.75" customHeight="1">
      <c r="A69" s="246">
        <f>+A65+1</f>
        <v>13</v>
      </c>
      <c r="B69" s="83" t="s">
        <v>628</v>
      </c>
      <c r="C69" s="76" t="s">
        <v>121</v>
      </c>
      <c r="D69" s="73"/>
      <c r="E69" s="74"/>
      <c r="F69" s="75">
        <f>ROUND(SUM(F70:F71),0)</f>
        <v>53837</v>
      </c>
      <c r="G69" s="2"/>
      <c r="H69" s="247"/>
      <c r="I69" s="2"/>
      <c r="M69" s="3"/>
      <c r="N69" s="3"/>
      <c r="O69" s="64"/>
      <c r="P69" s="64"/>
      <c r="Q69" s="64"/>
      <c r="R69" s="64"/>
      <c r="S69" s="3"/>
      <c r="T69" s="3"/>
    </row>
    <row r="70" spans="1:20" s="244" customFormat="1">
      <c r="A70" s="531"/>
      <c r="B70" s="165" t="s">
        <v>11</v>
      </c>
      <c r="C70" s="77" t="s">
        <v>284</v>
      </c>
      <c r="D70" s="78">
        <v>0.03</v>
      </c>
      <c r="E70" s="79">
        <f>+F71</f>
        <v>52268.595989424663</v>
      </c>
      <c r="F70" s="79">
        <f>(D70*E70)</f>
        <v>1568.0578796827399</v>
      </c>
      <c r="G70" s="2"/>
      <c r="H70" s="247"/>
      <c r="I70" s="2"/>
      <c r="M70" s="3"/>
      <c r="N70" s="3"/>
      <c r="O70" s="64"/>
      <c r="P70" s="64"/>
      <c r="Q70" s="64"/>
      <c r="R70" s="64"/>
      <c r="S70" s="3"/>
      <c r="T70" s="3"/>
    </row>
    <row r="71" spans="1:20" s="244" customFormat="1">
      <c r="A71" s="529"/>
      <c r="B71" s="165" t="s">
        <v>9</v>
      </c>
      <c r="C71" s="77" t="s">
        <v>10</v>
      </c>
      <c r="D71" s="78">
        <v>2</v>
      </c>
      <c r="E71" s="79">
        <f>+'VALOR CUADRILLAS MO'!D75</f>
        <v>26134.297994712331</v>
      </c>
      <c r="F71" s="79">
        <f>+D71*E71</f>
        <v>52268.595989424663</v>
      </c>
      <c r="G71" s="2"/>
      <c r="H71" s="247"/>
      <c r="I71" s="2"/>
      <c r="M71" s="3"/>
      <c r="N71" s="3"/>
      <c r="O71" s="64"/>
      <c r="P71" s="64"/>
      <c r="Q71" s="64"/>
      <c r="R71" s="64"/>
      <c r="S71" s="3"/>
      <c r="T71" s="3"/>
    </row>
    <row r="72" spans="1:20" s="244" customFormat="1">
      <c r="A72" s="531"/>
      <c r="B72" s="165"/>
      <c r="C72" s="77"/>
      <c r="D72" s="78"/>
      <c r="E72" s="79"/>
      <c r="F72" s="79"/>
      <c r="G72" s="2"/>
      <c r="H72" s="247"/>
      <c r="I72" s="2"/>
      <c r="M72" s="3"/>
      <c r="N72" s="3"/>
      <c r="O72" s="64"/>
      <c r="P72" s="64"/>
      <c r="Q72" s="64"/>
      <c r="R72" s="64"/>
      <c r="S72" s="3"/>
      <c r="T72" s="3"/>
    </row>
    <row r="73" spans="1:20" s="244" customFormat="1" ht="25.15" customHeight="1">
      <c r="A73" s="246">
        <f>+A69+1</f>
        <v>14</v>
      </c>
      <c r="B73" s="83" t="s">
        <v>631</v>
      </c>
      <c r="C73" s="76" t="s">
        <v>206</v>
      </c>
      <c r="D73" s="73"/>
      <c r="E73" s="74"/>
      <c r="F73" s="75" t="e">
        <f>ROUND(SUM(F74:F77),0)</f>
        <v>#REF!</v>
      </c>
      <c r="G73" s="2" t="e">
        <f>F73*0.15</f>
        <v>#REF!</v>
      </c>
      <c r="H73" s="247"/>
      <c r="I73" s="2"/>
      <c r="M73" s="3"/>
      <c r="N73" s="3"/>
      <c r="O73" s="64"/>
      <c r="P73" s="64"/>
      <c r="Q73" s="64"/>
      <c r="R73" s="64"/>
      <c r="S73" s="3"/>
      <c r="T73" s="3"/>
    </row>
    <row r="74" spans="1:20" s="244" customFormat="1">
      <c r="A74" s="531"/>
      <c r="B74" s="165" t="s">
        <v>772</v>
      </c>
      <c r="C74" s="77" t="s">
        <v>153</v>
      </c>
      <c r="D74" s="78">
        <v>1.1000000000000001</v>
      </c>
      <c r="E74" s="79" t="e">
        <f>INSUMOS!#REF!</f>
        <v>#REF!</v>
      </c>
      <c r="F74" s="79" t="e">
        <f>+D74*E74</f>
        <v>#REF!</v>
      </c>
      <c r="G74" s="2"/>
      <c r="H74" s="247"/>
      <c r="I74" s="2" t="e">
        <f>F74*0.15</f>
        <v>#REF!</v>
      </c>
      <c r="M74" s="3"/>
      <c r="N74" s="3"/>
      <c r="O74" s="64"/>
      <c r="P74" s="64"/>
      <c r="Q74" s="64"/>
      <c r="R74" s="64"/>
      <c r="S74" s="3"/>
      <c r="T74" s="3"/>
    </row>
    <row r="75" spans="1:20" s="244" customFormat="1">
      <c r="A75" s="529"/>
      <c r="B75" s="165" t="s">
        <v>524</v>
      </c>
      <c r="C75" s="77" t="s">
        <v>26</v>
      </c>
      <c r="D75" s="78">
        <v>1.03</v>
      </c>
      <c r="E75" s="79" t="e">
        <f>INSUMOS!#REF!</f>
        <v>#REF!</v>
      </c>
      <c r="F75" s="79" t="e">
        <f>+D75*E75</f>
        <v>#REF!</v>
      </c>
      <c r="G75" s="2"/>
      <c r="H75" s="247"/>
      <c r="I75" s="2"/>
      <c r="M75" s="3"/>
      <c r="N75" s="3"/>
      <c r="O75" s="64"/>
      <c r="P75" s="64"/>
      <c r="Q75" s="64"/>
      <c r="R75" s="64"/>
      <c r="S75" s="3"/>
      <c r="T75" s="3"/>
    </row>
    <row r="76" spans="1:20" s="244" customFormat="1">
      <c r="A76" s="529"/>
      <c r="B76" s="165" t="s">
        <v>11</v>
      </c>
      <c r="C76" s="77" t="s">
        <v>127</v>
      </c>
      <c r="D76" s="78">
        <v>0.03</v>
      </c>
      <c r="E76" s="79">
        <f>+F77</f>
        <v>10453.719197884933</v>
      </c>
      <c r="F76" s="79">
        <f>+D76*E76</f>
        <v>313.61157593654798</v>
      </c>
      <c r="G76" s="2"/>
      <c r="H76" s="247"/>
      <c r="I76" s="2"/>
      <c r="M76" s="3"/>
      <c r="N76" s="3"/>
      <c r="O76" s="64"/>
      <c r="P76" s="64"/>
      <c r="Q76" s="64"/>
      <c r="R76" s="64"/>
      <c r="S76" s="3"/>
      <c r="T76" s="3"/>
    </row>
    <row r="77" spans="1:20" s="244" customFormat="1">
      <c r="A77" s="529"/>
      <c r="B77" s="165" t="s">
        <v>9</v>
      </c>
      <c r="C77" s="77" t="s">
        <v>10</v>
      </c>
      <c r="D77" s="78">
        <v>0.4</v>
      </c>
      <c r="E77" s="79">
        <f>+'VALOR CUADRILLAS MO'!D75</f>
        <v>26134.297994712331</v>
      </c>
      <c r="F77" s="79">
        <f>+D77*E77</f>
        <v>10453.719197884933</v>
      </c>
      <c r="G77" s="2"/>
      <c r="H77" s="247"/>
      <c r="I77" s="2"/>
      <c r="M77" s="3"/>
      <c r="N77" s="3"/>
      <c r="O77" s="64"/>
      <c r="P77" s="64"/>
      <c r="Q77" s="64"/>
      <c r="R77" s="64"/>
      <c r="S77" s="3"/>
      <c r="T77" s="3"/>
    </row>
    <row r="78" spans="1:20" s="244" customFormat="1">
      <c r="A78" s="531"/>
      <c r="B78" s="165"/>
      <c r="C78" s="77"/>
      <c r="D78" s="78"/>
      <c r="E78" s="79"/>
      <c r="F78" s="79"/>
      <c r="G78" s="2"/>
      <c r="H78" s="247"/>
      <c r="I78" s="2"/>
      <c r="M78" s="3"/>
      <c r="N78" s="3"/>
      <c r="O78" s="64"/>
      <c r="P78" s="64"/>
      <c r="Q78" s="64"/>
      <c r="R78" s="64"/>
      <c r="S78" s="3"/>
      <c r="T78" s="3"/>
    </row>
    <row r="79" spans="1:20" s="244" customFormat="1" ht="24.6" customHeight="1">
      <c r="A79" s="246">
        <f>+A73+1</f>
        <v>15</v>
      </c>
      <c r="B79" s="83" t="s">
        <v>2879</v>
      </c>
      <c r="C79" s="76" t="s">
        <v>206</v>
      </c>
      <c r="D79" s="73"/>
      <c r="E79" s="74"/>
      <c r="F79" s="75" t="e">
        <f>ROUND(SUM(F80:F83),0)</f>
        <v>#REF!</v>
      </c>
      <c r="G79" s="2"/>
      <c r="H79" s="247"/>
      <c r="I79" s="2"/>
      <c r="M79" s="3"/>
      <c r="N79" s="3"/>
      <c r="O79" s="64"/>
      <c r="P79" s="64"/>
      <c r="Q79" s="64"/>
      <c r="R79" s="64"/>
      <c r="S79" s="3"/>
      <c r="T79" s="3"/>
    </row>
    <row r="80" spans="1:20" s="244" customFormat="1">
      <c r="A80" s="531"/>
      <c r="B80" s="165" t="s">
        <v>523</v>
      </c>
      <c r="C80" s="77" t="s">
        <v>153</v>
      </c>
      <c r="D80" s="78">
        <v>0.16</v>
      </c>
      <c r="E80" s="79" t="e">
        <f>INSUMOS!#REF!</f>
        <v>#REF!</v>
      </c>
      <c r="F80" s="79" t="e">
        <f>+D80*E80</f>
        <v>#REF!</v>
      </c>
      <c r="G80" s="2"/>
      <c r="H80" s="247"/>
      <c r="I80" s="2"/>
      <c r="M80" s="3"/>
      <c r="N80" s="3"/>
      <c r="O80" s="64"/>
      <c r="P80" s="64"/>
      <c r="Q80" s="64"/>
      <c r="R80" s="64"/>
      <c r="S80" s="3"/>
      <c r="T80" s="3"/>
    </row>
    <row r="81" spans="1:20" s="244" customFormat="1">
      <c r="A81" s="529"/>
      <c r="B81" s="165" t="s">
        <v>524</v>
      </c>
      <c r="C81" s="77" t="s">
        <v>26</v>
      </c>
      <c r="D81" s="78">
        <v>1</v>
      </c>
      <c r="E81" s="79" t="e">
        <f>INSUMOS!#REF!</f>
        <v>#REF!</v>
      </c>
      <c r="F81" s="79" t="e">
        <f>+D81*E81</f>
        <v>#REF!</v>
      </c>
      <c r="G81" s="2"/>
      <c r="H81" s="247"/>
      <c r="I81" s="2"/>
      <c r="M81" s="3"/>
      <c r="N81" s="3"/>
      <c r="O81" s="64"/>
      <c r="P81" s="64"/>
      <c r="Q81" s="64"/>
      <c r="R81" s="64"/>
      <c r="S81" s="3"/>
      <c r="T81" s="3"/>
    </row>
    <row r="82" spans="1:20" s="244" customFormat="1">
      <c r="A82" s="529"/>
      <c r="B82" s="165" t="s">
        <v>11</v>
      </c>
      <c r="C82" s="77" t="s">
        <v>121</v>
      </c>
      <c r="D82" s="78">
        <v>0.03</v>
      </c>
      <c r="E82" s="79">
        <f>+F83</f>
        <v>16987.293696563014</v>
      </c>
      <c r="F82" s="79">
        <f>+D82*E82</f>
        <v>509.61881089689041</v>
      </c>
      <c r="G82" s="2"/>
      <c r="H82" s="247"/>
      <c r="I82" s="2"/>
      <c r="M82" s="3"/>
      <c r="N82" s="3"/>
      <c r="O82" s="64"/>
      <c r="P82" s="64"/>
      <c r="Q82" s="64"/>
      <c r="R82" s="64"/>
      <c r="S82" s="3"/>
      <c r="T82" s="3"/>
    </row>
    <row r="83" spans="1:20" s="244" customFormat="1">
      <c r="A83" s="529"/>
      <c r="B83" s="165" t="s">
        <v>9</v>
      </c>
      <c r="C83" s="77" t="s">
        <v>204</v>
      </c>
      <c r="D83" s="78">
        <v>0.65</v>
      </c>
      <c r="E83" s="79">
        <f>+'VALOR CUADRILLAS MO'!D75</f>
        <v>26134.297994712331</v>
      </c>
      <c r="F83" s="79">
        <f>+D83*E83</f>
        <v>16987.293696563014</v>
      </c>
      <c r="G83" s="2"/>
      <c r="H83" s="247"/>
      <c r="I83" s="2"/>
      <c r="M83" s="3"/>
      <c r="N83" s="3"/>
      <c r="O83" s="64"/>
      <c r="P83" s="64"/>
      <c r="Q83" s="64"/>
      <c r="R83" s="64"/>
      <c r="S83" s="3"/>
      <c r="T83" s="3"/>
    </row>
    <row r="84" spans="1:20" s="244" customFormat="1">
      <c r="A84" s="531"/>
      <c r="B84" s="165"/>
      <c r="C84" s="77"/>
      <c r="D84" s="78"/>
      <c r="E84" s="79"/>
      <c r="F84" s="79"/>
      <c r="G84" s="2"/>
      <c r="H84" s="247"/>
      <c r="I84" s="2"/>
      <c r="M84" s="3"/>
      <c r="N84" s="3"/>
      <c r="O84" s="64"/>
      <c r="P84" s="64"/>
      <c r="Q84" s="64"/>
      <c r="R84" s="64"/>
      <c r="S84" s="3"/>
      <c r="T84" s="3"/>
    </row>
    <row r="85" spans="1:20" s="2" customFormat="1" ht="24.6" customHeight="1">
      <c r="A85" s="246">
        <f>A79+1</f>
        <v>16</v>
      </c>
      <c r="B85" s="83" t="s">
        <v>213</v>
      </c>
      <c r="C85" s="76" t="s">
        <v>21</v>
      </c>
      <c r="D85" s="73"/>
      <c r="E85" s="74"/>
      <c r="F85" s="75">
        <f>ROUND(SUM(F86:F87),0)</f>
        <v>5114</v>
      </c>
      <c r="J85" s="244"/>
      <c r="K85" s="244"/>
      <c r="L85" s="244"/>
      <c r="M85" s="3"/>
      <c r="N85" s="3"/>
      <c r="O85" s="64"/>
      <c r="P85" s="64"/>
      <c r="Q85" s="64"/>
      <c r="R85" s="64"/>
      <c r="S85" s="3"/>
      <c r="T85" s="3"/>
    </row>
    <row r="86" spans="1:20" s="2" customFormat="1">
      <c r="A86" s="529"/>
      <c r="B86" s="165" t="s">
        <v>11</v>
      </c>
      <c r="C86" s="77" t="s">
        <v>284</v>
      </c>
      <c r="D86" s="78">
        <v>0.03</v>
      </c>
      <c r="E86" s="79">
        <f>+F87</f>
        <v>4965.5166189953434</v>
      </c>
      <c r="F86" s="79">
        <f>(D86*E86)</f>
        <v>148.9654985698603</v>
      </c>
      <c r="J86" s="244"/>
      <c r="K86" s="244"/>
      <c r="L86" s="244"/>
      <c r="M86" s="3"/>
      <c r="N86" s="3"/>
      <c r="O86" s="64"/>
      <c r="P86" s="64"/>
      <c r="Q86" s="64"/>
      <c r="R86" s="64"/>
      <c r="S86" s="3"/>
      <c r="T86" s="3"/>
    </row>
    <row r="87" spans="1:20" s="2" customFormat="1">
      <c r="A87" s="529"/>
      <c r="B87" s="165" t="s">
        <v>9</v>
      </c>
      <c r="C87" s="77" t="s">
        <v>10</v>
      </c>
      <c r="D87" s="78">
        <f>0.19</f>
        <v>0.19</v>
      </c>
      <c r="E87" s="79">
        <f>+'VALOR CUADRILLAS MO'!D75</f>
        <v>26134.297994712331</v>
      </c>
      <c r="F87" s="79">
        <f>+D87*E87</f>
        <v>4965.5166189953434</v>
      </c>
      <c r="J87" s="244"/>
      <c r="K87" s="244"/>
      <c r="L87" s="244"/>
      <c r="M87" s="3"/>
      <c r="N87" s="3"/>
      <c r="O87" s="64"/>
      <c r="P87" s="64"/>
      <c r="Q87" s="64"/>
      <c r="R87" s="64"/>
      <c r="S87" s="3"/>
      <c r="T87" s="3"/>
    </row>
    <row r="88" spans="1:20" s="2" customFormat="1">
      <c r="A88" s="531"/>
      <c r="B88" s="165"/>
      <c r="C88" s="77"/>
      <c r="D88" s="78"/>
      <c r="E88" s="79"/>
      <c r="F88" s="79"/>
      <c r="J88" s="244"/>
      <c r="K88" s="244"/>
      <c r="L88" s="244"/>
      <c r="M88" s="3"/>
      <c r="N88" s="3"/>
      <c r="O88" s="64"/>
      <c r="P88" s="64"/>
      <c r="Q88" s="64"/>
      <c r="R88" s="64"/>
      <c r="S88" s="3"/>
      <c r="T88" s="3"/>
    </row>
    <row r="89" spans="1:20" s="2" customFormat="1" ht="30" customHeight="1">
      <c r="A89" s="246">
        <f>+A85+1</f>
        <v>17</v>
      </c>
      <c r="B89" s="83" t="s">
        <v>59</v>
      </c>
      <c r="C89" s="76" t="s">
        <v>713</v>
      </c>
      <c r="D89" s="73"/>
      <c r="E89" s="74"/>
      <c r="F89" s="75">
        <f>ROUND(SUM(F90),0)</f>
        <v>1100</v>
      </c>
      <c r="J89" s="244"/>
      <c r="K89" s="244"/>
      <c r="L89" s="244"/>
      <c r="M89" s="3"/>
      <c r="N89" s="3"/>
      <c r="O89" s="64"/>
      <c r="P89" s="64"/>
      <c r="Q89" s="64"/>
      <c r="R89" s="64"/>
      <c r="S89" s="3"/>
      <c r="T89" s="3"/>
    </row>
    <row r="90" spans="1:20" s="2" customFormat="1">
      <c r="A90" s="529"/>
      <c r="B90" s="165" t="s">
        <v>27</v>
      </c>
      <c r="C90" s="77" t="s">
        <v>20</v>
      </c>
      <c r="D90" s="80">
        <v>9.1633333333333341E-3</v>
      </c>
      <c r="E90" s="79">
        <f>+INSUMOS!D31</f>
        <v>120000</v>
      </c>
      <c r="F90" s="79">
        <f>+D90*E90</f>
        <v>1099.6000000000001</v>
      </c>
      <c r="J90" s="244"/>
      <c r="K90" s="244"/>
      <c r="L90" s="244"/>
      <c r="M90" s="3"/>
      <c r="N90" s="3"/>
      <c r="O90" s="64"/>
      <c r="P90" s="64"/>
      <c r="Q90" s="64"/>
      <c r="R90" s="64"/>
      <c r="S90" s="3"/>
      <c r="T90" s="3"/>
    </row>
    <row r="91" spans="1:20" s="2" customFormat="1">
      <c r="A91" s="529"/>
      <c r="B91" s="165"/>
      <c r="C91" s="77"/>
      <c r="D91" s="80"/>
      <c r="E91" s="79"/>
      <c r="F91" s="79"/>
      <c r="J91" s="244"/>
      <c r="K91" s="244"/>
      <c r="L91" s="244"/>
      <c r="M91" s="3"/>
      <c r="N91" s="3"/>
      <c r="O91" s="64"/>
      <c r="P91" s="64"/>
      <c r="Q91" s="64"/>
      <c r="R91" s="64"/>
      <c r="S91" s="3"/>
      <c r="T91" s="3"/>
    </row>
    <row r="92" spans="1:20" s="2" customFormat="1" ht="33" customHeight="1">
      <c r="A92" s="246">
        <f>+A89+1</f>
        <v>18</v>
      </c>
      <c r="B92" s="83" t="s">
        <v>682</v>
      </c>
      <c r="C92" s="76" t="s">
        <v>121</v>
      </c>
      <c r="D92" s="73"/>
      <c r="E92" s="74"/>
      <c r="F92" s="75">
        <f>ROUND(SUM(F93:F94),0)</f>
        <v>12348</v>
      </c>
      <c r="J92" s="244"/>
      <c r="K92" s="244"/>
      <c r="L92" s="244"/>
      <c r="M92" s="3"/>
      <c r="N92" s="3"/>
      <c r="O92" s="64"/>
      <c r="P92" s="64"/>
      <c r="Q92" s="64"/>
      <c r="R92" s="64"/>
      <c r="S92" s="3"/>
      <c r="T92" s="3"/>
    </row>
    <row r="93" spans="1:20" s="2" customFormat="1">
      <c r="A93" s="531"/>
      <c r="B93" s="165" t="s">
        <v>11</v>
      </c>
      <c r="C93" s="77" t="s">
        <v>284</v>
      </c>
      <c r="D93" s="78">
        <v>0.05</v>
      </c>
      <c r="E93" s="79">
        <f>+F94</f>
        <v>11760.434097620549</v>
      </c>
      <c r="F93" s="79">
        <f>(D93*E93)</f>
        <v>588.02170488102752</v>
      </c>
      <c r="J93" s="244"/>
      <c r="K93" s="244"/>
      <c r="L93" s="244"/>
      <c r="M93" s="3"/>
      <c r="N93" s="3"/>
      <c r="O93" s="64"/>
      <c r="P93" s="64"/>
      <c r="Q93" s="64"/>
      <c r="R93" s="64"/>
      <c r="S93" s="3"/>
      <c r="T93" s="3"/>
    </row>
    <row r="94" spans="1:20" s="2" customFormat="1">
      <c r="A94" s="529"/>
      <c r="B94" s="165" t="s">
        <v>9</v>
      </c>
      <c r="C94" s="77" t="s">
        <v>10</v>
      </c>
      <c r="D94" s="78">
        <f>0.45</f>
        <v>0.45</v>
      </c>
      <c r="E94" s="79">
        <f>+'VALOR CUADRILLAS MO'!D75</f>
        <v>26134.297994712331</v>
      </c>
      <c r="F94" s="79">
        <f>+D94*E94</f>
        <v>11760.434097620549</v>
      </c>
      <c r="J94" s="244"/>
      <c r="K94" s="244"/>
      <c r="L94" s="244"/>
      <c r="M94" s="3"/>
      <c r="N94" s="3"/>
      <c r="O94" s="64"/>
      <c r="P94" s="64"/>
      <c r="Q94" s="64"/>
      <c r="R94" s="64"/>
      <c r="S94" s="3"/>
      <c r="T94" s="3"/>
    </row>
    <row r="95" spans="1:20" s="2" customFormat="1">
      <c r="A95" s="531"/>
      <c r="B95" s="165"/>
      <c r="C95" s="77"/>
      <c r="D95" s="80"/>
      <c r="E95" s="79"/>
      <c r="F95" s="79"/>
      <c r="J95" s="244"/>
      <c r="K95" s="244"/>
      <c r="L95" s="244"/>
      <c r="M95" s="3"/>
      <c r="N95" s="3"/>
      <c r="O95" s="64"/>
      <c r="P95" s="64"/>
      <c r="Q95" s="64"/>
      <c r="R95" s="64"/>
      <c r="S95" s="3"/>
      <c r="T95" s="3"/>
    </row>
    <row r="96" spans="1:20" s="2" customFormat="1" ht="68.25" customHeight="1">
      <c r="A96" s="246">
        <f>+A92+1</f>
        <v>19</v>
      </c>
      <c r="B96" s="83" t="s">
        <v>2880</v>
      </c>
      <c r="C96" s="76" t="s">
        <v>26</v>
      </c>
      <c r="D96" s="73"/>
      <c r="E96" s="74"/>
      <c r="F96" s="75">
        <f>ROUND(SUM(F97:F99),0)</f>
        <v>221510</v>
      </c>
      <c r="J96" s="244"/>
      <c r="K96" s="244"/>
      <c r="L96" s="244"/>
      <c r="M96" s="3"/>
      <c r="N96" s="3"/>
      <c r="O96" s="64"/>
      <c r="P96" s="64"/>
      <c r="Q96" s="64"/>
      <c r="R96" s="64"/>
      <c r="S96" s="3"/>
      <c r="T96" s="3"/>
    </row>
    <row r="97" spans="1:20" s="2" customFormat="1">
      <c r="A97" s="529"/>
      <c r="B97" s="165" t="s">
        <v>27</v>
      </c>
      <c r="C97" s="77" t="s">
        <v>20</v>
      </c>
      <c r="D97" s="78">
        <v>0.5</v>
      </c>
      <c r="E97" s="79">
        <f>+INSUMOS!D31</f>
        <v>120000</v>
      </c>
      <c r="F97" s="79">
        <f>+D97*E97</f>
        <v>60000</v>
      </c>
      <c r="J97" s="244"/>
      <c r="K97" s="244"/>
      <c r="L97" s="244"/>
      <c r="M97" s="3"/>
      <c r="N97" s="3"/>
      <c r="O97" s="64"/>
      <c r="P97" s="64"/>
      <c r="Q97" s="64"/>
      <c r="R97" s="64"/>
      <c r="S97" s="3"/>
      <c r="T97" s="3"/>
    </row>
    <row r="98" spans="1:20" s="2" customFormat="1">
      <c r="A98" s="529"/>
      <c r="B98" s="165" t="s">
        <v>11</v>
      </c>
      <c r="C98" s="77" t="s">
        <v>284</v>
      </c>
      <c r="D98" s="78">
        <v>0.03</v>
      </c>
      <c r="E98" s="79">
        <f>+F99</f>
        <v>156805.78796827397</v>
      </c>
      <c r="F98" s="79">
        <f>(D98*E98)</f>
        <v>4704.1736390482192</v>
      </c>
      <c r="J98" s="244"/>
      <c r="K98" s="244"/>
      <c r="L98" s="244"/>
      <c r="M98" s="3"/>
      <c r="N98" s="3"/>
      <c r="O98" s="64"/>
      <c r="P98" s="64"/>
      <c r="Q98" s="64"/>
      <c r="R98" s="64"/>
      <c r="S98" s="3"/>
      <c r="T98" s="3"/>
    </row>
    <row r="99" spans="1:20" s="2" customFormat="1">
      <c r="A99" s="529"/>
      <c r="B99" s="165" t="s">
        <v>9</v>
      </c>
      <c r="C99" s="77" t="s">
        <v>10</v>
      </c>
      <c r="D99" s="78">
        <v>6</v>
      </c>
      <c r="E99" s="79">
        <f>+'VALOR CUADRILLAS MO'!D75</f>
        <v>26134.297994712331</v>
      </c>
      <c r="F99" s="79">
        <f>+D99*E99</f>
        <v>156805.78796827397</v>
      </c>
      <c r="J99" s="244"/>
      <c r="K99" s="244"/>
      <c r="L99" s="244"/>
      <c r="M99" s="3"/>
      <c r="N99" s="3"/>
      <c r="O99" s="64"/>
      <c r="P99" s="64"/>
      <c r="Q99" s="64"/>
      <c r="R99" s="64"/>
      <c r="S99" s="3"/>
      <c r="T99" s="3"/>
    </row>
    <row r="100" spans="1:20" s="2" customFormat="1">
      <c r="A100" s="529"/>
      <c r="B100" s="165"/>
      <c r="C100" s="77"/>
      <c r="D100" s="78"/>
      <c r="E100" s="79"/>
      <c r="F100" s="79"/>
      <c r="J100" s="244"/>
      <c r="K100" s="244"/>
      <c r="L100" s="244"/>
      <c r="M100" s="3"/>
      <c r="N100" s="3"/>
      <c r="O100" s="64"/>
      <c r="P100" s="64"/>
      <c r="Q100" s="64"/>
      <c r="R100" s="64"/>
      <c r="S100" s="3"/>
      <c r="T100" s="3"/>
    </row>
    <row r="101" spans="1:20" s="2" customFormat="1" ht="45" customHeight="1">
      <c r="A101" s="246">
        <f>+A96+1</f>
        <v>20</v>
      </c>
      <c r="B101" s="83" t="s">
        <v>2881</v>
      </c>
      <c r="C101" s="76" t="s">
        <v>26</v>
      </c>
      <c r="D101" s="73"/>
      <c r="E101" s="74"/>
      <c r="F101" s="75">
        <f>ROUND(SUM(F102:F104),0)</f>
        <v>509183</v>
      </c>
      <c r="J101" s="244"/>
      <c r="K101" s="244"/>
      <c r="L101" s="244"/>
      <c r="M101" s="3"/>
      <c r="N101" s="3"/>
      <c r="O101" s="64"/>
      <c r="P101" s="64"/>
      <c r="Q101" s="64"/>
      <c r="R101" s="64"/>
      <c r="S101" s="3"/>
      <c r="T101" s="3"/>
    </row>
    <row r="102" spans="1:20" s="2" customFormat="1">
      <c r="A102" s="529"/>
      <c r="B102" s="165" t="s">
        <v>27</v>
      </c>
      <c r="C102" s="77" t="s">
        <v>20</v>
      </c>
      <c r="D102" s="78">
        <v>2</v>
      </c>
      <c r="E102" s="79">
        <f>+INSUMOS!D31</f>
        <v>120000</v>
      </c>
      <c r="F102" s="79">
        <f>+D102*E102</f>
        <v>240000</v>
      </c>
      <c r="J102" s="244"/>
      <c r="K102" s="244"/>
      <c r="L102" s="244"/>
      <c r="M102" s="3"/>
      <c r="N102" s="3"/>
      <c r="O102" s="64"/>
      <c r="P102" s="64"/>
      <c r="Q102" s="64"/>
      <c r="R102" s="64"/>
      <c r="S102" s="3"/>
      <c r="T102" s="3"/>
    </row>
    <row r="103" spans="1:20" s="2" customFormat="1">
      <c r="A103" s="529"/>
      <c r="B103" s="165" t="s">
        <v>11</v>
      </c>
      <c r="C103" s="77" t="s">
        <v>284</v>
      </c>
      <c r="D103" s="78">
        <v>0.03</v>
      </c>
      <c r="E103" s="79">
        <f>+F104</f>
        <v>261342.97994712333</v>
      </c>
      <c r="F103" s="79">
        <f>(D103*E103)</f>
        <v>7840.2893984136999</v>
      </c>
      <c r="J103" s="244"/>
      <c r="K103" s="244"/>
      <c r="L103" s="244"/>
      <c r="M103" s="3"/>
      <c r="N103" s="3"/>
      <c r="O103" s="64"/>
      <c r="P103" s="64"/>
      <c r="Q103" s="64"/>
      <c r="R103" s="64"/>
      <c r="S103" s="3"/>
      <c r="T103" s="3"/>
    </row>
    <row r="104" spans="1:20" s="2" customFormat="1">
      <c r="A104" s="529"/>
      <c r="B104" s="165" t="s">
        <v>9</v>
      </c>
      <c r="C104" s="77" t="s">
        <v>10</v>
      </c>
      <c r="D104" s="78">
        <v>10</v>
      </c>
      <c r="E104" s="79">
        <f>+'VALOR CUADRILLAS MO'!D75</f>
        <v>26134.297994712331</v>
      </c>
      <c r="F104" s="79">
        <f>+D104*E104</f>
        <v>261342.97994712333</v>
      </c>
      <c r="J104" s="244"/>
      <c r="K104" s="244"/>
      <c r="L104" s="244"/>
      <c r="M104" s="3"/>
      <c r="N104" s="3"/>
      <c r="O104" s="64"/>
      <c r="P104" s="64"/>
      <c r="Q104" s="64"/>
      <c r="R104" s="64"/>
      <c r="S104" s="3"/>
      <c r="T104" s="3"/>
    </row>
    <row r="105" spans="1:20" s="2" customFormat="1">
      <c r="A105" s="529"/>
      <c r="B105" s="165"/>
      <c r="C105" s="77"/>
      <c r="D105" s="78"/>
      <c r="E105" s="79"/>
      <c r="F105" s="79"/>
      <c r="J105" s="244"/>
      <c r="K105" s="244"/>
      <c r="L105" s="244"/>
      <c r="M105" s="3"/>
      <c r="N105" s="3"/>
      <c r="O105" s="64"/>
      <c r="P105" s="64"/>
      <c r="Q105" s="64"/>
      <c r="R105" s="64"/>
      <c r="S105" s="3"/>
      <c r="T105" s="3"/>
    </row>
    <row r="106" spans="1:20" s="2" customFormat="1" ht="45.6" customHeight="1">
      <c r="A106" s="246">
        <f>+A101+1</f>
        <v>21</v>
      </c>
      <c r="B106" s="83" t="s">
        <v>2882</v>
      </c>
      <c r="C106" s="76" t="s">
        <v>26</v>
      </c>
      <c r="D106" s="73"/>
      <c r="E106" s="74"/>
      <c r="F106" s="75">
        <f>ROUND(SUM(F107:F109),0)</f>
        <v>898367</v>
      </c>
      <c r="J106" s="244"/>
      <c r="K106" s="244"/>
      <c r="L106" s="244"/>
      <c r="M106" s="3"/>
      <c r="N106" s="3"/>
      <c r="O106" s="64"/>
      <c r="P106" s="64"/>
      <c r="Q106" s="64"/>
      <c r="R106" s="64"/>
      <c r="S106" s="3"/>
      <c r="T106" s="3"/>
    </row>
    <row r="107" spans="1:20" s="2" customFormat="1">
      <c r="A107" s="529"/>
      <c r="B107" s="165" t="s">
        <v>27</v>
      </c>
      <c r="C107" s="77" t="s">
        <v>20</v>
      </c>
      <c r="D107" s="78">
        <v>3</v>
      </c>
      <c r="E107" s="79">
        <f>+INSUMOS!D31</f>
        <v>120000</v>
      </c>
      <c r="F107" s="79">
        <f>+D107*E107</f>
        <v>360000</v>
      </c>
      <c r="J107" s="244"/>
      <c r="K107" s="244"/>
      <c r="L107" s="244"/>
      <c r="M107" s="3"/>
      <c r="N107" s="3"/>
      <c r="O107" s="64"/>
      <c r="P107" s="64"/>
      <c r="Q107" s="64"/>
      <c r="R107" s="64"/>
      <c r="S107" s="3"/>
      <c r="T107" s="3"/>
    </row>
    <row r="108" spans="1:20" s="2" customFormat="1">
      <c r="A108" s="529"/>
      <c r="B108" s="165" t="s">
        <v>11</v>
      </c>
      <c r="C108" s="77" t="s">
        <v>284</v>
      </c>
      <c r="D108" s="78">
        <v>0.03</v>
      </c>
      <c r="E108" s="79">
        <f>+F109</f>
        <v>522685.95989424665</v>
      </c>
      <c r="F108" s="79">
        <f>(D108*E108)</f>
        <v>15680.5787968274</v>
      </c>
      <c r="J108" s="244"/>
      <c r="K108" s="244"/>
      <c r="L108" s="244"/>
      <c r="M108" s="3"/>
      <c r="N108" s="3"/>
      <c r="O108" s="64"/>
      <c r="P108" s="64"/>
      <c r="Q108" s="64"/>
      <c r="R108" s="64"/>
      <c r="S108" s="3"/>
      <c r="T108" s="3"/>
    </row>
    <row r="109" spans="1:20" s="2" customFormat="1">
      <c r="A109" s="529"/>
      <c r="B109" s="165" t="s">
        <v>9</v>
      </c>
      <c r="C109" s="77" t="s">
        <v>10</v>
      </c>
      <c r="D109" s="78">
        <v>20</v>
      </c>
      <c r="E109" s="79">
        <f>+'VALOR CUADRILLAS MO'!D75</f>
        <v>26134.297994712331</v>
      </c>
      <c r="F109" s="79">
        <f>+D109*E109</f>
        <v>522685.95989424665</v>
      </c>
      <c r="J109" s="244"/>
      <c r="K109" s="244"/>
      <c r="L109" s="244"/>
      <c r="M109" s="3"/>
      <c r="N109" s="3"/>
      <c r="O109" s="64"/>
      <c r="P109" s="64"/>
      <c r="Q109" s="64"/>
      <c r="R109" s="64"/>
      <c r="S109" s="3"/>
      <c r="T109" s="3"/>
    </row>
    <row r="110" spans="1:20" s="2" customFormat="1">
      <c r="A110" s="529"/>
      <c r="B110" s="165"/>
      <c r="C110" s="77"/>
      <c r="D110" s="78"/>
      <c r="E110" s="79"/>
      <c r="F110" s="79"/>
      <c r="J110" s="244"/>
      <c r="K110" s="244"/>
      <c r="L110" s="244"/>
      <c r="M110" s="3"/>
      <c r="N110" s="3"/>
      <c r="O110" s="64"/>
      <c r="P110" s="64"/>
      <c r="Q110" s="64"/>
      <c r="R110" s="64"/>
      <c r="S110" s="3"/>
      <c r="T110" s="3"/>
    </row>
    <row r="111" spans="1:20" s="2" customFormat="1" ht="63" customHeight="1">
      <c r="A111" s="246">
        <f>+A106+1</f>
        <v>22</v>
      </c>
      <c r="B111" s="83" t="s">
        <v>514</v>
      </c>
      <c r="C111" s="76" t="s">
        <v>21</v>
      </c>
      <c r="D111" s="73"/>
      <c r="E111" s="74"/>
      <c r="F111" s="75" t="e">
        <f>ROUND(SUM(F112:F116),0)</f>
        <v>#REF!</v>
      </c>
      <c r="J111" s="244"/>
      <c r="K111" s="244"/>
      <c r="L111" s="244"/>
      <c r="M111" s="3"/>
      <c r="N111" s="3"/>
      <c r="O111" s="64"/>
      <c r="P111" s="64"/>
      <c r="Q111" s="64"/>
      <c r="R111" s="64"/>
      <c r="S111" s="3"/>
      <c r="T111" s="3"/>
    </row>
    <row r="112" spans="1:20" s="2" customFormat="1">
      <c r="A112" s="529"/>
      <c r="B112" s="165" t="s">
        <v>515</v>
      </c>
      <c r="C112" s="77" t="s">
        <v>21</v>
      </c>
      <c r="D112" s="78">
        <v>3</v>
      </c>
      <c r="E112" s="79">
        <f>INSUMOS!D26</f>
        <v>112.76</v>
      </c>
      <c r="F112" s="79">
        <f>+D112*E112</f>
        <v>338.28000000000003</v>
      </c>
      <c r="J112" s="244"/>
      <c r="K112" s="244"/>
      <c r="L112" s="244"/>
      <c r="M112" s="3"/>
      <c r="N112" s="3"/>
      <c r="O112" s="64"/>
      <c r="P112" s="64"/>
      <c r="Q112" s="64"/>
      <c r="R112" s="64"/>
      <c r="S112" s="3"/>
      <c r="T112" s="3"/>
    </row>
    <row r="113" spans="1:20" s="2" customFormat="1">
      <c r="A113" s="529"/>
      <c r="B113" s="165" t="s">
        <v>229</v>
      </c>
      <c r="C113" s="77" t="s">
        <v>68</v>
      </c>
      <c r="D113" s="78">
        <v>0.05</v>
      </c>
      <c r="E113" s="79">
        <f>F112</f>
        <v>338.28000000000003</v>
      </c>
      <c r="F113" s="79">
        <f>+D113*E113</f>
        <v>16.914000000000001</v>
      </c>
      <c r="J113" s="244"/>
      <c r="K113" s="244"/>
      <c r="L113" s="244"/>
      <c r="M113" s="3"/>
      <c r="N113" s="3"/>
      <c r="O113" s="64"/>
      <c r="P113" s="64"/>
      <c r="Q113" s="64"/>
      <c r="R113" s="64"/>
      <c r="S113" s="3"/>
      <c r="T113" s="3"/>
    </row>
    <row r="114" spans="1:20" s="2" customFormat="1" ht="25.5">
      <c r="A114" s="529"/>
      <c r="B114" s="165" t="s">
        <v>516</v>
      </c>
      <c r="C114" s="77" t="s">
        <v>26</v>
      </c>
      <c r="D114" s="78">
        <v>0.12</v>
      </c>
      <c r="E114" s="79" t="e">
        <f>INSUMOS!#REF!</f>
        <v>#REF!</v>
      </c>
      <c r="F114" s="79" t="e">
        <f>+D114*E114</f>
        <v>#REF!</v>
      </c>
      <c r="J114" s="244"/>
      <c r="K114" s="244"/>
      <c r="L114" s="244"/>
      <c r="M114" s="3"/>
      <c r="N114" s="3"/>
      <c r="O114" s="64"/>
      <c r="P114" s="64"/>
      <c r="Q114" s="64"/>
      <c r="R114" s="64"/>
      <c r="S114" s="3"/>
      <c r="T114" s="3"/>
    </row>
    <row r="115" spans="1:20" s="2" customFormat="1">
      <c r="A115" s="529"/>
      <c r="B115" s="165" t="s">
        <v>11</v>
      </c>
      <c r="C115" s="77" t="s">
        <v>284</v>
      </c>
      <c r="D115" s="78">
        <v>0.03</v>
      </c>
      <c r="E115" s="79">
        <f>+F116</f>
        <v>261.3429799471233</v>
      </c>
      <c r="F115" s="79">
        <f>(D115*E115)</f>
        <v>7.8402893984136988</v>
      </c>
      <c r="J115" s="244"/>
      <c r="K115" s="244"/>
      <c r="L115" s="244"/>
      <c r="M115" s="3"/>
      <c r="N115" s="3"/>
      <c r="O115" s="64"/>
      <c r="P115" s="64"/>
      <c r="Q115" s="64"/>
      <c r="R115" s="64"/>
      <c r="S115" s="3"/>
      <c r="T115" s="3"/>
    </row>
    <row r="116" spans="1:20" s="2" customFormat="1">
      <c r="A116" s="529"/>
      <c r="B116" s="165" t="s">
        <v>9</v>
      </c>
      <c r="C116" s="77" t="s">
        <v>10</v>
      </c>
      <c r="D116" s="78">
        <v>0.01</v>
      </c>
      <c r="E116" s="79">
        <f>+'VALOR CUADRILLAS MO'!D75</f>
        <v>26134.297994712331</v>
      </c>
      <c r="F116" s="79">
        <f>+D116*E116</f>
        <v>261.3429799471233</v>
      </c>
      <c r="J116" s="244"/>
      <c r="K116" s="244"/>
      <c r="L116" s="244"/>
      <c r="M116" s="3"/>
      <c r="N116" s="3"/>
      <c r="O116" s="64"/>
      <c r="P116" s="64"/>
      <c r="Q116" s="64"/>
      <c r="R116" s="64"/>
      <c r="S116" s="3"/>
      <c r="T116" s="3"/>
    </row>
    <row r="117" spans="1:20" s="2" customFormat="1">
      <c r="A117" s="529"/>
      <c r="B117" s="165"/>
      <c r="C117" s="77"/>
      <c r="D117" s="78"/>
      <c r="E117" s="79"/>
      <c r="F117" s="79"/>
      <c r="J117" s="244"/>
      <c r="K117" s="244"/>
      <c r="L117" s="244"/>
      <c r="M117" s="3"/>
      <c r="N117" s="3"/>
      <c r="O117" s="64"/>
      <c r="P117" s="64"/>
      <c r="Q117" s="64"/>
      <c r="R117" s="64"/>
      <c r="S117" s="3"/>
      <c r="T117" s="3"/>
    </row>
    <row r="118" spans="1:20" s="2" customFormat="1" ht="22.9" customHeight="1">
      <c r="A118" s="246">
        <f>A111+1</f>
        <v>23</v>
      </c>
      <c r="B118" s="83" t="s">
        <v>440</v>
      </c>
      <c r="C118" s="76" t="s">
        <v>21</v>
      </c>
      <c r="D118" s="73"/>
      <c r="E118" s="74"/>
      <c r="F118" s="75" t="e">
        <f>ROUND(SUM(F119:F123),0)</f>
        <v>#REF!</v>
      </c>
      <c r="J118" s="244"/>
      <c r="K118" s="244"/>
      <c r="L118" s="244"/>
      <c r="M118" s="3"/>
      <c r="N118" s="3"/>
      <c r="O118" s="64"/>
      <c r="P118" s="64"/>
      <c r="Q118" s="64"/>
      <c r="R118" s="64"/>
      <c r="S118" s="3"/>
      <c r="T118" s="3"/>
    </row>
    <row r="119" spans="1:20" s="2" customFormat="1">
      <c r="A119" s="529"/>
      <c r="B119" s="165" t="s">
        <v>522</v>
      </c>
      <c r="C119" s="77" t="s">
        <v>26</v>
      </c>
      <c r="D119" s="78">
        <v>1.01010101010101E-2</v>
      </c>
      <c r="E119" s="79" t="e">
        <f>+INSUMOS!#REF!</f>
        <v>#REF!</v>
      </c>
      <c r="F119" s="79" t="e">
        <f>+D119*E119</f>
        <v>#REF!</v>
      </c>
      <c r="J119" s="244"/>
      <c r="K119" s="244"/>
      <c r="L119" s="244"/>
      <c r="M119" s="3"/>
      <c r="N119" s="3"/>
      <c r="O119" s="64"/>
      <c r="P119" s="64"/>
      <c r="Q119" s="64"/>
      <c r="R119" s="64"/>
      <c r="S119" s="3"/>
      <c r="T119" s="3"/>
    </row>
    <row r="120" spans="1:20" s="2" customFormat="1">
      <c r="A120" s="529"/>
      <c r="B120" s="165" t="s">
        <v>515</v>
      </c>
      <c r="C120" s="77" t="s">
        <v>21</v>
      </c>
      <c r="D120" s="78">
        <v>3</v>
      </c>
      <c r="E120" s="79">
        <f>INSUMOS!D26</f>
        <v>112.76</v>
      </c>
      <c r="F120" s="79">
        <f>+D120*E120</f>
        <v>338.28000000000003</v>
      </c>
      <c r="J120" s="244"/>
      <c r="K120" s="244"/>
      <c r="L120" s="244"/>
      <c r="M120" s="3"/>
      <c r="N120" s="3"/>
      <c r="O120" s="64"/>
      <c r="P120" s="64"/>
      <c r="Q120" s="64"/>
      <c r="R120" s="64"/>
      <c r="S120" s="3"/>
      <c r="T120" s="3"/>
    </row>
    <row r="121" spans="1:20">
      <c r="A121" s="529"/>
      <c r="B121" s="165" t="s">
        <v>229</v>
      </c>
      <c r="C121" s="77" t="s">
        <v>68</v>
      </c>
      <c r="D121" s="78">
        <v>0.05</v>
      </c>
      <c r="E121" s="79">
        <f>SUM(F120)</f>
        <v>338.28000000000003</v>
      </c>
      <c r="F121" s="79">
        <f>+D121*E121</f>
        <v>16.914000000000001</v>
      </c>
    </row>
    <row r="122" spans="1:20">
      <c r="A122" s="529"/>
      <c r="B122" s="165" t="s">
        <v>11</v>
      </c>
      <c r="C122" s="77" t="s">
        <v>284</v>
      </c>
      <c r="D122" s="78">
        <v>0.03</v>
      </c>
      <c r="E122" s="79">
        <f>+F123</f>
        <v>182.94008596298633</v>
      </c>
      <c r="F122" s="79">
        <f>(D122*E122)</f>
        <v>5.4882025788895898</v>
      </c>
    </row>
    <row r="123" spans="1:20">
      <c r="A123" s="529"/>
      <c r="B123" s="165" t="s">
        <v>9</v>
      </c>
      <c r="C123" s="77" t="s">
        <v>10</v>
      </c>
      <c r="D123" s="80">
        <v>7.0000000000000001E-3</v>
      </c>
      <c r="E123" s="79">
        <f>+'VALOR CUADRILLAS MO'!D75</f>
        <v>26134.297994712331</v>
      </c>
      <c r="F123" s="79">
        <f>+D123*E123</f>
        <v>182.94008596298633</v>
      </c>
    </row>
    <row r="124" spans="1:20">
      <c r="A124" s="529"/>
      <c r="B124" s="165"/>
      <c r="C124" s="77"/>
      <c r="D124" s="80"/>
      <c r="E124" s="79"/>
      <c r="F124" s="79"/>
    </row>
    <row r="125" spans="1:20" s="2" customFormat="1" ht="33" customHeight="1">
      <c r="A125" s="246">
        <f>A118+1</f>
        <v>24</v>
      </c>
      <c r="B125" s="83" t="s">
        <v>644</v>
      </c>
      <c r="C125" s="76" t="s">
        <v>119</v>
      </c>
      <c r="D125" s="73"/>
      <c r="E125" s="74"/>
      <c r="F125" s="75" t="e">
        <f>ROUND(SUM(F126:F132),0)</f>
        <v>#REF!</v>
      </c>
      <c r="J125" s="244"/>
      <c r="K125" s="244"/>
      <c r="L125" s="244"/>
      <c r="M125" s="3"/>
      <c r="N125" s="3"/>
      <c r="O125" s="64"/>
      <c r="P125" s="64"/>
      <c r="Q125" s="64"/>
      <c r="R125" s="64"/>
      <c r="S125" s="3"/>
      <c r="T125" s="3"/>
    </row>
    <row r="126" spans="1:20" s="2" customFormat="1">
      <c r="A126" s="529"/>
      <c r="B126" s="165" t="s">
        <v>22</v>
      </c>
      <c r="C126" s="77" t="s">
        <v>12</v>
      </c>
      <c r="D126" s="78">
        <v>0.4</v>
      </c>
      <c r="E126" s="79">
        <f>+BASICOS!D203</f>
        <v>214.2</v>
      </c>
      <c r="F126" s="79">
        <f>+D126*E126</f>
        <v>85.68</v>
      </c>
      <c r="J126" s="244"/>
      <c r="K126" s="244"/>
      <c r="L126" s="244"/>
      <c r="M126" s="3"/>
      <c r="N126" s="3"/>
      <c r="O126" s="64"/>
      <c r="P126" s="64"/>
      <c r="Q126" s="64"/>
      <c r="R126" s="64"/>
      <c r="S126" s="3"/>
      <c r="T126" s="3"/>
    </row>
    <row r="127" spans="1:20" s="2" customFormat="1">
      <c r="A127" s="529"/>
      <c r="B127" s="165" t="s">
        <v>67</v>
      </c>
      <c r="C127" s="77" t="s">
        <v>121</v>
      </c>
      <c r="D127" s="78">
        <v>0.02</v>
      </c>
      <c r="E127" s="79">
        <f>+BASICOS!E80</f>
        <v>318331</v>
      </c>
      <c r="F127" s="79">
        <f>+D127*E127</f>
        <v>6366.62</v>
      </c>
      <c r="J127" s="244"/>
      <c r="K127" s="244"/>
      <c r="L127" s="244"/>
      <c r="M127" s="3"/>
      <c r="N127" s="3"/>
      <c r="O127" s="64"/>
      <c r="P127" s="64"/>
      <c r="Q127" s="64"/>
      <c r="R127" s="64"/>
      <c r="S127" s="3"/>
      <c r="T127" s="3"/>
    </row>
    <row r="128" spans="1:20" s="2" customFormat="1">
      <c r="A128" s="529"/>
      <c r="B128" s="165" t="s">
        <v>643</v>
      </c>
      <c r="C128" s="77" t="s">
        <v>120</v>
      </c>
      <c r="D128" s="78">
        <f>+D127*185*0.1</f>
        <v>0.37000000000000005</v>
      </c>
      <c r="E128" s="79" t="e">
        <f>+INSUMOS!#REF!</f>
        <v>#REF!</v>
      </c>
      <c r="F128" s="79" t="e">
        <f>+D128*E128</f>
        <v>#REF!</v>
      </c>
      <c r="J128" s="244"/>
      <c r="K128" s="244"/>
      <c r="L128" s="244"/>
      <c r="M128" s="3"/>
      <c r="N128" s="3"/>
      <c r="O128" s="64"/>
      <c r="P128" s="64"/>
      <c r="Q128" s="64"/>
      <c r="R128" s="64"/>
      <c r="S128" s="3"/>
      <c r="T128" s="3"/>
    </row>
    <row r="129" spans="1:20" s="2" customFormat="1">
      <c r="A129" s="529"/>
      <c r="B129" s="165" t="s">
        <v>229</v>
      </c>
      <c r="C129" s="77" t="s">
        <v>68</v>
      </c>
      <c r="D129" s="78">
        <v>0.05</v>
      </c>
      <c r="E129" s="79" t="e">
        <f>SUM(F128)</f>
        <v>#REF!</v>
      </c>
      <c r="F129" s="79" t="e">
        <f>+D129*E129</f>
        <v>#REF!</v>
      </c>
      <c r="J129" s="244"/>
      <c r="K129" s="244"/>
      <c r="L129" s="244"/>
      <c r="M129" s="3"/>
      <c r="N129" s="3"/>
      <c r="O129" s="64"/>
      <c r="P129" s="64"/>
      <c r="Q129" s="64"/>
      <c r="R129" s="64"/>
      <c r="S129" s="3"/>
      <c r="T129" s="3"/>
    </row>
    <row r="130" spans="1:20" s="2" customFormat="1">
      <c r="A130" s="529"/>
      <c r="B130" s="165" t="s">
        <v>136</v>
      </c>
      <c r="C130" s="77" t="s">
        <v>68</v>
      </c>
      <c r="D130" s="78"/>
      <c r="E130" s="79" t="e">
        <f>SUM(F126:F129)</f>
        <v>#REF!</v>
      </c>
      <c r="F130" s="79" t="e">
        <f>+D130*E130</f>
        <v>#REF!</v>
      </c>
      <c r="J130" s="244"/>
      <c r="K130" s="244"/>
      <c r="L130" s="244"/>
      <c r="M130" s="3"/>
      <c r="N130" s="3"/>
      <c r="O130" s="64"/>
      <c r="P130" s="64"/>
      <c r="Q130" s="64"/>
      <c r="R130" s="64"/>
      <c r="S130" s="3"/>
      <c r="T130" s="3"/>
    </row>
    <row r="131" spans="1:20" s="2" customFormat="1">
      <c r="A131" s="529"/>
      <c r="B131" s="165" t="s">
        <v>11</v>
      </c>
      <c r="C131" s="77" t="s">
        <v>284</v>
      </c>
      <c r="D131" s="78">
        <v>0.03</v>
      </c>
      <c r="E131" s="79">
        <f>+F132</f>
        <v>7840.289398413699</v>
      </c>
      <c r="F131" s="79">
        <f>(D131*E131)</f>
        <v>235.20868195241096</v>
      </c>
      <c r="J131" s="244"/>
      <c r="K131" s="244"/>
      <c r="L131" s="244"/>
      <c r="M131" s="3"/>
      <c r="N131" s="3"/>
      <c r="O131" s="64"/>
      <c r="P131" s="64"/>
      <c r="Q131" s="64"/>
      <c r="R131" s="64"/>
      <c r="S131" s="3"/>
      <c r="T131" s="3"/>
    </row>
    <row r="132" spans="1:20" s="2" customFormat="1">
      <c r="A132" s="529"/>
      <c r="B132" s="165" t="s">
        <v>9</v>
      </c>
      <c r="C132" s="77" t="s">
        <v>10</v>
      </c>
      <c r="D132" s="78">
        <v>0.3</v>
      </c>
      <c r="E132" s="79">
        <f>+'VALOR CUADRILLAS MO'!D75</f>
        <v>26134.297994712331</v>
      </c>
      <c r="F132" s="79">
        <f>+D132*E132</f>
        <v>7840.289398413699</v>
      </c>
      <c r="J132" s="244"/>
      <c r="K132" s="244"/>
      <c r="L132" s="244"/>
      <c r="M132" s="3"/>
      <c r="N132" s="3"/>
      <c r="O132" s="64"/>
      <c r="P132" s="64"/>
      <c r="Q132" s="64"/>
      <c r="R132" s="64"/>
      <c r="S132" s="3"/>
      <c r="T132" s="3"/>
    </row>
    <row r="133" spans="1:20" s="2" customFormat="1">
      <c r="A133" s="529"/>
      <c r="B133" s="165"/>
      <c r="C133" s="77"/>
      <c r="D133" s="78"/>
      <c r="E133" s="79"/>
      <c r="F133" s="79"/>
      <c r="J133" s="244"/>
      <c r="K133" s="244"/>
      <c r="L133" s="244"/>
      <c r="M133" s="3"/>
      <c r="N133" s="3"/>
      <c r="O133" s="64"/>
      <c r="P133" s="64"/>
      <c r="Q133" s="64"/>
      <c r="R133" s="64"/>
      <c r="S133" s="3"/>
      <c r="T133" s="3"/>
    </row>
    <row r="134" spans="1:20" s="244" customFormat="1" ht="24.6" customHeight="1">
      <c r="A134" s="530" t="s">
        <v>397</v>
      </c>
      <c r="B134" s="454" t="s">
        <v>2711</v>
      </c>
      <c r="C134" s="459"/>
      <c r="D134" s="460"/>
      <c r="E134" s="461"/>
      <c r="F134" s="461"/>
      <c r="G134" s="2"/>
      <c r="H134" s="2"/>
      <c r="I134" s="2"/>
      <c r="M134" s="3"/>
      <c r="N134" s="3"/>
      <c r="O134" s="64"/>
      <c r="P134" s="64"/>
      <c r="Q134" s="64"/>
      <c r="R134" s="64"/>
      <c r="S134" s="3"/>
      <c r="T134" s="3"/>
    </row>
    <row r="135" spans="1:20" s="2" customFormat="1" ht="19.149999999999999" customHeight="1">
      <c r="A135" s="246">
        <f>A125+1</f>
        <v>25</v>
      </c>
      <c r="B135" s="83" t="s">
        <v>3175</v>
      </c>
      <c r="C135" s="76" t="s">
        <v>119</v>
      </c>
      <c r="D135" s="73"/>
      <c r="E135" s="74"/>
      <c r="F135" s="75">
        <f>ROUND(SUM(F136:F137),0)</f>
        <v>4307</v>
      </c>
      <c r="J135" s="244"/>
      <c r="K135" s="244"/>
      <c r="L135" s="244"/>
      <c r="M135" s="3"/>
      <c r="N135" s="3"/>
      <c r="O135" s="64"/>
      <c r="P135" s="64"/>
      <c r="Q135" s="64"/>
      <c r="R135" s="64"/>
      <c r="S135" s="3"/>
      <c r="T135" s="3"/>
    </row>
    <row r="136" spans="1:20" s="2" customFormat="1">
      <c r="A136" s="529"/>
      <c r="B136" s="165" t="s">
        <v>11</v>
      </c>
      <c r="C136" s="77" t="s">
        <v>284</v>
      </c>
      <c r="D136" s="78">
        <v>0.03</v>
      </c>
      <c r="E136" s="79">
        <f>+F137</f>
        <v>4181.4876791539727</v>
      </c>
      <c r="F136" s="79">
        <f>+D136*E136</f>
        <v>125.44463037461918</v>
      </c>
      <c r="J136" s="244"/>
      <c r="K136" s="244"/>
      <c r="L136" s="244"/>
      <c r="M136" s="3"/>
      <c r="N136" s="3"/>
      <c r="O136" s="64"/>
      <c r="P136" s="64"/>
      <c r="Q136" s="64"/>
      <c r="R136" s="64"/>
      <c r="S136" s="3"/>
      <c r="T136" s="3"/>
    </row>
    <row r="137" spans="1:20" s="2" customFormat="1">
      <c r="A137" s="529"/>
      <c r="B137" s="165" t="s">
        <v>9</v>
      </c>
      <c r="C137" s="77" t="s">
        <v>10</v>
      </c>
      <c r="D137" s="78">
        <f>0.16</f>
        <v>0.16</v>
      </c>
      <c r="E137" s="79">
        <f>+'VALOR CUADRILLAS MO'!D75</f>
        <v>26134.297994712331</v>
      </c>
      <c r="F137" s="79">
        <f>+D137*E137</f>
        <v>4181.4876791539727</v>
      </c>
      <c r="J137" s="244"/>
      <c r="K137" s="244"/>
      <c r="L137" s="244"/>
      <c r="M137" s="3"/>
      <c r="N137" s="3"/>
      <c r="O137" s="64"/>
      <c r="P137" s="64"/>
      <c r="Q137" s="64"/>
      <c r="R137" s="64"/>
      <c r="S137" s="3"/>
      <c r="T137" s="3"/>
    </row>
    <row r="138" spans="1:20" s="2" customFormat="1">
      <c r="A138" s="529"/>
      <c r="B138" s="165"/>
      <c r="C138" s="77"/>
      <c r="D138" s="78"/>
      <c r="E138" s="79"/>
      <c r="F138" s="79"/>
      <c r="J138" s="244"/>
      <c r="K138" s="244"/>
      <c r="L138" s="244"/>
      <c r="M138" s="3"/>
      <c r="N138" s="3"/>
      <c r="O138" s="64"/>
      <c r="P138" s="64"/>
      <c r="Q138" s="64"/>
      <c r="R138" s="64"/>
      <c r="S138" s="3"/>
      <c r="T138" s="3"/>
    </row>
    <row r="139" spans="1:20" s="2" customFormat="1" ht="48.75" customHeight="1">
      <c r="A139" s="246">
        <f>+A135+1</f>
        <v>26</v>
      </c>
      <c r="B139" s="83" t="s">
        <v>3176</v>
      </c>
      <c r="C139" s="76" t="s">
        <v>119</v>
      </c>
      <c r="D139" s="73"/>
      <c r="E139" s="74"/>
      <c r="F139" s="75">
        <f>ROUND(SUM(F140:F142),0)</f>
        <v>3388</v>
      </c>
      <c r="J139" s="244"/>
      <c r="K139" s="244"/>
      <c r="L139" s="244"/>
      <c r="M139" s="3"/>
      <c r="N139" s="3"/>
      <c r="O139" s="64"/>
      <c r="P139" s="64"/>
      <c r="Q139" s="64"/>
      <c r="R139" s="64"/>
      <c r="S139" s="3"/>
      <c r="T139" s="3"/>
    </row>
    <row r="140" spans="1:20" ht="25.5">
      <c r="A140" s="529"/>
      <c r="B140" s="165" t="str">
        <f>+INSUMOS!B29</f>
        <v>MOTONIVELADORA  POTENCIA 215 HP, ANCHO DE CUCHILLA 4,27 M, PESO 18 TON.</v>
      </c>
      <c r="C140" s="77" t="s">
        <v>8</v>
      </c>
      <c r="D140" s="80">
        <v>1.2999999999999999E-3</v>
      </c>
      <c r="E140" s="79">
        <f>+INSUMOS!D29</f>
        <v>182992.44</v>
      </c>
      <c r="F140" s="79">
        <f>+D140*E140</f>
        <v>237.89017199999998</v>
      </c>
    </row>
    <row r="141" spans="1:20">
      <c r="A141" s="529"/>
      <c r="B141" s="165" t="s">
        <v>27</v>
      </c>
      <c r="C141" s="77" t="s">
        <v>20</v>
      </c>
      <c r="D141" s="80">
        <v>2.5999999999999999E-2</v>
      </c>
      <c r="E141" s="79">
        <f>+INSUMOS!D31</f>
        <v>120000</v>
      </c>
      <c r="F141" s="79">
        <f>+D141*E141</f>
        <v>3120</v>
      </c>
    </row>
    <row r="142" spans="1:20" ht="25.5">
      <c r="A142" s="529"/>
      <c r="B142" s="165" t="str">
        <f>+INSUMOS!B32</f>
        <v>CARGADOR : POTENCIA EN EL VOLANTE 110 HP, CLASIFICACIÓN DE RPM DEL MOTOR 2300.</v>
      </c>
      <c r="C142" s="77" t="s">
        <v>8</v>
      </c>
      <c r="D142" s="81">
        <v>2.0000000000000001E-4</v>
      </c>
      <c r="E142" s="79">
        <f>+INSUMOS!D32</f>
        <v>151027.54</v>
      </c>
      <c r="F142" s="79">
        <f>+D142*E142</f>
        <v>30.205508000000002</v>
      </c>
    </row>
    <row r="143" spans="1:20">
      <c r="A143" s="529"/>
      <c r="B143" s="165"/>
      <c r="C143" s="77"/>
      <c r="D143" s="80"/>
      <c r="E143" s="79"/>
      <c r="F143" s="79"/>
    </row>
    <row r="144" spans="1:20" s="244" customFormat="1" ht="24" customHeight="1">
      <c r="A144" s="246">
        <f>A139+1</f>
        <v>27</v>
      </c>
      <c r="B144" s="83" t="s">
        <v>140</v>
      </c>
      <c r="C144" s="76" t="s">
        <v>121</v>
      </c>
      <c r="D144" s="73"/>
      <c r="E144" s="74"/>
      <c r="F144" s="75">
        <f>ROUND(SUM(F145:F146),0)</f>
        <v>34994</v>
      </c>
      <c r="G144" s="2"/>
      <c r="H144" s="2"/>
      <c r="I144" s="2"/>
      <c r="M144" s="3"/>
      <c r="N144" s="3"/>
      <c r="O144" s="64"/>
      <c r="P144" s="64"/>
      <c r="Q144" s="64"/>
      <c r="R144" s="64"/>
      <c r="S144" s="3"/>
      <c r="T144" s="3"/>
    </row>
    <row r="145" spans="1:20" s="244" customFormat="1">
      <c r="A145" s="529"/>
      <c r="B145" s="165" t="s">
        <v>11</v>
      </c>
      <c r="C145" s="77" t="s">
        <v>284</v>
      </c>
      <c r="D145" s="78">
        <v>0.03</v>
      </c>
      <c r="E145" s="79">
        <f>+F146</f>
        <v>33974.587393126028</v>
      </c>
      <c r="F145" s="79">
        <f>(D145*E145)</f>
        <v>1019.2376217937808</v>
      </c>
      <c r="G145" s="2"/>
      <c r="H145" s="2"/>
      <c r="I145" s="2"/>
      <c r="M145" s="3"/>
      <c r="N145" s="3"/>
      <c r="O145" s="64"/>
      <c r="P145" s="64"/>
      <c r="Q145" s="64"/>
      <c r="R145" s="64"/>
      <c r="S145" s="3"/>
      <c r="T145" s="3"/>
    </row>
    <row r="146" spans="1:20" s="244" customFormat="1">
      <c r="A146" s="529"/>
      <c r="B146" s="165" t="s">
        <v>9</v>
      </c>
      <c r="C146" s="77" t="s">
        <v>10</v>
      </c>
      <c r="D146" s="78">
        <v>1.3</v>
      </c>
      <c r="E146" s="79">
        <f>+'VALOR CUADRILLAS MO'!D75</f>
        <v>26134.297994712331</v>
      </c>
      <c r="F146" s="79">
        <f>+D146*E146</f>
        <v>33974.587393126028</v>
      </c>
      <c r="G146" s="2" t="s">
        <v>780</v>
      </c>
      <c r="H146" s="2"/>
      <c r="I146" s="2">
        <v>15000</v>
      </c>
      <c r="J146" s="244">
        <f>I146-F145</f>
        <v>13980.762378206218</v>
      </c>
      <c r="M146" s="3"/>
      <c r="N146" s="3"/>
      <c r="O146" s="64"/>
      <c r="P146" s="64"/>
      <c r="Q146" s="64"/>
      <c r="R146" s="64"/>
      <c r="S146" s="3"/>
      <c r="T146" s="3"/>
    </row>
    <row r="147" spans="1:20" s="244" customFormat="1">
      <c r="A147" s="529"/>
      <c r="B147" s="165"/>
      <c r="C147" s="77"/>
      <c r="D147" s="78"/>
      <c r="E147" s="79"/>
      <c r="F147" s="79"/>
      <c r="G147" s="2"/>
      <c r="H147" s="2"/>
      <c r="I147" s="2"/>
      <c r="M147" s="3"/>
      <c r="N147" s="3"/>
      <c r="O147" s="64"/>
      <c r="P147" s="64"/>
      <c r="Q147" s="64"/>
      <c r="R147" s="64"/>
      <c r="S147" s="3"/>
      <c r="T147" s="3"/>
    </row>
    <row r="148" spans="1:20" s="244" customFormat="1" ht="27" customHeight="1">
      <c r="A148" s="246">
        <f>+A144+1</f>
        <v>28</v>
      </c>
      <c r="B148" s="83" t="s">
        <v>210</v>
      </c>
      <c r="C148" s="76" t="s">
        <v>21</v>
      </c>
      <c r="D148" s="73"/>
      <c r="E148" s="74"/>
      <c r="F148" s="75">
        <f>ROUND(SUM(F149:F150),0)</f>
        <v>1750</v>
      </c>
      <c r="G148" s="2"/>
      <c r="H148" s="2"/>
      <c r="I148" s="2"/>
      <c r="M148" s="3"/>
      <c r="N148" s="3"/>
      <c r="O148" s="64"/>
      <c r="P148" s="64"/>
      <c r="Q148" s="64"/>
      <c r="R148" s="64"/>
      <c r="S148" s="3"/>
      <c r="T148" s="3"/>
    </row>
    <row r="149" spans="1:20" s="244" customFormat="1">
      <c r="A149" s="529"/>
      <c r="B149" s="165" t="s">
        <v>11</v>
      </c>
      <c r="C149" s="77" t="s">
        <v>284</v>
      </c>
      <c r="D149" s="78">
        <v>0.03</v>
      </c>
      <c r="E149" s="79">
        <f>+F150</f>
        <v>1698.7293696563015</v>
      </c>
      <c r="F149" s="79">
        <f>(D149*E149)</f>
        <v>50.961881089689044</v>
      </c>
      <c r="G149" s="2"/>
      <c r="H149" s="2"/>
      <c r="I149" s="2"/>
      <c r="M149" s="3"/>
      <c r="N149" s="3"/>
      <c r="O149" s="64"/>
      <c r="P149" s="64"/>
      <c r="Q149" s="64"/>
      <c r="R149" s="64"/>
      <c r="S149" s="3"/>
      <c r="T149" s="3"/>
    </row>
    <row r="150" spans="1:20" s="244" customFormat="1">
      <c r="A150" s="529"/>
      <c r="B150" s="165" t="s">
        <v>9</v>
      </c>
      <c r="C150" s="77" t="s">
        <v>10</v>
      </c>
      <c r="D150" s="78">
        <f>0.065</f>
        <v>6.5000000000000002E-2</v>
      </c>
      <c r="E150" s="79">
        <f>+'VALOR CUADRILLAS MO'!D75</f>
        <v>26134.297994712331</v>
      </c>
      <c r="F150" s="79">
        <f>+D150*E150</f>
        <v>1698.7293696563015</v>
      </c>
      <c r="G150" s="2"/>
      <c r="H150" s="2"/>
      <c r="I150" s="2"/>
      <c r="M150" s="3"/>
      <c r="N150" s="3"/>
      <c r="O150" s="64"/>
      <c r="P150" s="64"/>
      <c r="Q150" s="64"/>
      <c r="R150" s="64"/>
      <c r="S150" s="3"/>
      <c r="T150" s="3"/>
    </row>
    <row r="151" spans="1:20" s="244" customFormat="1">
      <c r="A151" s="529"/>
      <c r="B151" s="165"/>
      <c r="C151" s="77"/>
      <c r="D151" s="78"/>
      <c r="E151" s="79"/>
      <c r="F151" s="79"/>
      <c r="G151" s="2"/>
      <c r="H151" s="2"/>
      <c r="I151" s="2"/>
      <c r="M151" s="3"/>
      <c r="N151" s="3"/>
      <c r="O151" s="64"/>
      <c r="P151" s="64"/>
      <c r="Q151" s="64"/>
      <c r="R151" s="64"/>
      <c r="S151" s="3"/>
      <c r="T151" s="3"/>
    </row>
    <row r="152" spans="1:20" s="244" customFormat="1" ht="21" customHeight="1">
      <c r="A152" s="246">
        <f>A148+1</f>
        <v>29</v>
      </c>
      <c r="B152" s="83" t="s">
        <v>763</v>
      </c>
      <c r="C152" s="76" t="s">
        <v>121</v>
      </c>
      <c r="D152" s="73"/>
      <c r="E152" s="74"/>
      <c r="F152" s="75">
        <f>ROUND(SUM(F153:F154),0)</f>
        <v>11744</v>
      </c>
      <c r="G152" s="2"/>
      <c r="H152" s="2"/>
      <c r="I152" s="2"/>
      <c r="M152" s="3"/>
      <c r="N152" s="3"/>
      <c r="O152" s="64"/>
      <c r="P152" s="64"/>
      <c r="Q152" s="64"/>
      <c r="R152" s="64"/>
      <c r="S152" s="3"/>
      <c r="T152" s="3"/>
    </row>
    <row r="153" spans="1:20" s="244" customFormat="1" ht="25.5">
      <c r="A153" s="529"/>
      <c r="B153" s="165" t="str">
        <f>INSUMOS!B34</f>
        <v>RETROEXCAVADORA SOBRE LLANTAS, MOTOR 62HP, PROFUNDIDAD DE EXCAVACIÓN DE 5.41 METROS.</v>
      </c>
      <c r="C153" s="77" t="s">
        <v>8</v>
      </c>
      <c r="D153" s="78">
        <v>0.05</v>
      </c>
      <c r="E153" s="79">
        <f>INSUMOS!D34</f>
        <v>193073</v>
      </c>
      <c r="F153" s="79">
        <f>+D153*E153</f>
        <v>9653.65</v>
      </c>
      <c r="G153" s="2"/>
      <c r="H153" s="2"/>
      <c r="I153" s="2"/>
      <c r="M153" s="3"/>
      <c r="N153" s="3"/>
      <c r="O153" s="64"/>
      <c r="P153" s="64"/>
      <c r="Q153" s="64"/>
      <c r="R153" s="64"/>
      <c r="S153" s="3"/>
      <c r="T153" s="3"/>
    </row>
    <row r="154" spans="1:20" s="244" customFormat="1">
      <c r="A154" s="529"/>
      <c r="B154" s="165" t="s">
        <v>764</v>
      </c>
      <c r="C154" s="77" t="s">
        <v>10</v>
      </c>
      <c r="D154" s="80">
        <f>0.08</f>
        <v>0.08</v>
      </c>
      <c r="E154" s="79">
        <f>+'VALOR CUADRILLAS MO'!D75</f>
        <v>26134.297994712331</v>
      </c>
      <c r="F154" s="79">
        <f>+D154*E154</f>
        <v>2090.7438395769864</v>
      </c>
      <c r="G154" s="2"/>
      <c r="H154" s="2"/>
      <c r="I154" s="2"/>
      <c r="M154" s="3"/>
      <c r="N154" s="3"/>
      <c r="O154" s="64"/>
      <c r="P154" s="64"/>
      <c r="Q154" s="64"/>
      <c r="R154" s="64"/>
      <c r="S154" s="3"/>
      <c r="T154" s="3"/>
    </row>
    <row r="155" spans="1:20" s="244" customFormat="1">
      <c r="A155" s="529"/>
      <c r="B155" s="165"/>
      <c r="C155" s="77"/>
      <c r="D155" s="78"/>
      <c r="E155" s="79"/>
      <c r="F155" s="79"/>
      <c r="G155" s="2"/>
      <c r="H155" s="2"/>
      <c r="I155" s="2"/>
      <c r="M155" s="3"/>
      <c r="N155" s="3"/>
      <c r="O155" s="64"/>
      <c r="P155" s="64"/>
      <c r="Q155" s="64"/>
      <c r="R155" s="64"/>
      <c r="S155" s="3"/>
      <c r="T155" s="3"/>
    </row>
    <row r="156" spans="1:20" s="244" customFormat="1" ht="35.450000000000003" customHeight="1">
      <c r="A156" s="246">
        <f>A152+1</f>
        <v>30</v>
      </c>
      <c r="B156" s="83" t="s">
        <v>6</v>
      </c>
      <c r="C156" s="76" t="s">
        <v>121</v>
      </c>
      <c r="D156" s="73"/>
      <c r="E156" s="74"/>
      <c r="F156" s="75">
        <f>ROUND(SUM(F157:F158),0)</f>
        <v>28533</v>
      </c>
      <c r="G156" s="2"/>
      <c r="H156" s="2"/>
      <c r="I156" s="2"/>
      <c r="M156" s="3"/>
      <c r="N156" s="3"/>
      <c r="O156" s="64"/>
      <c r="P156" s="64"/>
      <c r="Q156" s="64"/>
      <c r="R156" s="64"/>
      <c r="S156" s="3"/>
      <c r="T156" s="3"/>
    </row>
    <row r="157" spans="1:20" s="244" customFormat="1">
      <c r="A157" s="529"/>
      <c r="B157" s="165" t="s">
        <v>11</v>
      </c>
      <c r="C157" s="77" t="s">
        <v>284</v>
      </c>
      <c r="D157" s="78">
        <v>0.03</v>
      </c>
      <c r="E157" s="79">
        <f>+F158</f>
        <v>27702.355874395074</v>
      </c>
      <c r="F157" s="79">
        <f>(D157*E157)</f>
        <v>831.07067623185219</v>
      </c>
      <c r="G157" s="2"/>
      <c r="H157" s="2"/>
      <c r="I157" s="2"/>
      <c r="M157" s="3"/>
      <c r="N157" s="3"/>
      <c r="O157" s="64"/>
      <c r="P157" s="64"/>
      <c r="Q157" s="64"/>
      <c r="R157" s="64"/>
      <c r="S157" s="3"/>
      <c r="T157" s="3"/>
    </row>
    <row r="158" spans="1:20" s="244" customFormat="1">
      <c r="A158" s="529"/>
      <c r="B158" s="165" t="s">
        <v>9</v>
      </c>
      <c r="C158" s="77" t="s">
        <v>10</v>
      </c>
      <c r="D158" s="78">
        <f>1*1.06</f>
        <v>1.06</v>
      </c>
      <c r="E158" s="79">
        <f>+'VALOR CUADRILLAS MO'!D75</f>
        <v>26134.297994712331</v>
      </c>
      <c r="F158" s="79">
        <f>+D158*E158</f>
        <v>27702.355874395074</v>
      </c>
      <c r="G158" s="2"/>
      <c r="H158" s="2"/>
      <c r="I158" s="2"/>
      <c r="M158" s="3"/>
      <c r="N158" s="3"/>
      <c r="O158" s="64"/>
      <c r="P158" s="64"/>
      <c r="Q158" s="64"/>
      <c r="R158" s="64"/>
      <c r="S158" s="3"/>
      <c r="T158" s="3"/>
    </row>
    <row r="159" spans="1:20">
      <c r="A159" s="529"/>
      <c r="B159" s="165"/>
      <c r="C159" s="77"/>
      <c r="D159" s="78"/>
      <c r="E159" s="79"/>
      <c r="F159" s="79"/>
    </row>
    <row r="160" spans="1:20" ht="40.9" customHeight="1">
      <c r="A160" s="246">
        <f>+A156+1</f>
        <v>31</v>
      </c>
      <c r="B160" s="83" t="s">
        <v>642</v>
      </c>
      <c r="C160" s="76" t="s">
        <v>119</v>
      </c>
      <c r="D160" s="73"/>
      <c r="E160" s="74"/>
      <c r="F160" s="75" t="e">
        <f>ROUND(SUM(F161:F166),0)</f>
        <v>#REF!</v>
      </c>
    </row>
    <row r="161" spans="1:6">
      <c r="A161" s="529"/>
      <c r="B161" s="358" t="e">
        <f>INSUMOS!#REF!</f>
        <v>#REF!</v>
      </c>
      <c r="C161" s="261" t="s">
        <v>25</v>
      </c>
      <c r="D161" s="262">
        <v>3</v>
      </c>
      <c r="E161" s="263" t="e">
        <f>INSUMOS!#REF!</f>
        <v>#REF!</v>
      </c>
      <c r="F161" s="264" t="e">
        <f>+D161*E161</f>
        <v>#REF!</v>
      </c>
    </row>
    <row r="162" spans="1:6">
      <c r="A162" s="529"/>
      <c r="B162" s="165" t="str">
        <f>+INSUMOS!B38</f>
        <v xml:space="preserve">Carrotanque de agua(1000 Galones) </v>
      </c>
      <c r="C162" s="77" t="s">
        <v>8</v>
      </c>
      <c r="D162" s="78">
        <v>600</v>
      </c>
      <c r="E162" s="79">
        <f>+INSUMOS!D38</f>
        <v>71700</v>
      </c>
      <c r="F162" s="79">
        <f>+E162/D162</f>
        <v>119.5</v>
      </c>
    </row>
    <row r="163" spans="1:6" ht="25.5">
      <c r="A163" s="529"/>
      <c r="B163" s="165" t="str">
        <f>+INSUMOS!B29</f>
        <v>MOTONIVELADORA  POTENCIA 215 HP, ANCHO DE CUCHILLA 4,27 M, PESO 18 TON.</v>
      </c>
      <c r="C163" s="77" t="s">
        <v>8</v>
      </c>
      <c r="D163" s="78">
        <v>600</v>
      </c>
      <c r="E163" s="79">
        <f>+INSUMOS!D29</f>
        <v>182992.44</v>
      </c>
      <c r="F163" s="79">
        <f>+E163/D163</f>
        <v>304.98739999999998</v>
      </c>
    </row>
    <row r="164" spans="1:6">
      <c r="A164" s="529"/>
      <c r="B164" s="165" t="str">
        <f>INSUMOS!B37</f>
        <v xml:space="preserve">Vibrocompatador, potencia 153 HP, peso 10 Ton. </v>
      </c>
      <c r="C164" s="77" t="s">
        <v>8</v>
      </c>
      <c r="D164" s="78">
        <v>600</v>
      </c>
      <c r="E164" s="79">
        <f>+INSUMOS!D37</f>
        <v>116620</v>
      </c>
      <c r="F164" s="79">
        <f>+E164/D164</f>
        <v>194.36666666666667</v>
      </c>
    </row>
    <row r="165" spans="1:6">
      <c r="A165" s="529"/>
      <c r="B165" s="165" t="s">
        <v>11</v>
      </c>
      <c r="C165" s="77" t="s">
        <v>284</v>
      </c>
      <c r="D165" s="78">
        <v>0.03</v>
      </c>
      <c r="E165" s="79">
        <f>+F166</f>
        <v>104.53719197884932</v>
      </c>
      <c r="F165" s="79">
        <f>(D165*E165)</f>
        <v>3.1361157593654796</v>
      </c>
    </row>
    <row r="166" spans="1:6">
      <c r="A166" s="529"/>
      <c r="B166" s="165" t="s">
        <v>9</v>
      </c>
      <c r="C166" s="77" t="s">
        <v>10</v>
      </c>
      <c r="D166" s="80">
        <f>0.004</f>
        <v>4.0000000000000001E-3</v>
      </c>
      <c r="E166" s="79">
        <f>+'VALOR CUADRILLAS MO'!D75</f>
        <v>26134.297994712331</v>
      </c>
      <c r="F166" s="79">
        <f>+D166*E166</f>
        <v>104.53719197884932</v>
      </c>
    </row>
    <row r="167" spans="1:6">
      <c r="A167" s="529"/>
      <c r="B167" s="165"/>
      <c r="C167" s="77"/>
      <c r="D167" s="80"/>
      <c r="E167" s="79"/>
      <c r="F167" s="79"/>
    </row>
    <row r="168" spans="1:6" ht="36" customHeight="1">
      <c r="A168" s="246">
        <f>+A160+1</f>
        <v>32</v>
      </c>
      <c r="B168" s="83" t="s">
        <v>3036</v>
      </c>
      <c r="C168" s="76" t="s">
        <v>119</v>
      </c>
      <c r="D168" s="73"/>
      <c r="E168" s="74"/>
      <c r="F168" s="75" t="e">
        <f>ROUND(SUM(F169:F177),0)</f>
        <v>#REF!</v>
      </c>
    </row>
    <row r="169" spans="1:6">
      <c r="A169" s="529"/>
      <c r="B169" s="36" t="s">
        <v>161</v>
      </c>
      <c r="C169" s="77" t="s">
        <v>75</v>
      </c>
      <c r="D169" s="368">
        <v>0.3</v>
      </c>
      <c r="E169" s="303">
        <f>BASICOS!D18</f>
        <v>14280</v>
      </c>
      <c r="F169" s="303">
        <f t="shared" ref="F169:F175" si="2">+D169*E169</f>
        <v>4284</v>
      </c>
    </row>
    <row r="170" spans="1:6">
      <c r="A170" s="529"/>
      <c r="B170" s="36" t="s">
        <v>228</v>
      </c>
      <c r="C170" s="77" t="s">
        <v>75</v>
      </c>
      <c r="D170" s="368">
        <f>0.3*D169</f>
        <v>0.09</v>
      </c>
      <c r="E170" s="303">
        <f>E169</f>
        <v>14280</v>
      </c>
      <c r="F170" s="303">
        <f t="shared" si="2"/>
        <v>1285.2</v>
      </c>
    </row>
    <row r="171" spans="1:6">
      <c r="A171" s="529"/>
      <c r="B171" s="36" t="s">
        <v>136</v>
      </c>
      <c r="C171" s="77" t="s">
        <v>2431</v>
      </c>
      <c r="D171" s="368">
        <f>10*(D169+D170)</f>
        <v>3.9000000000000004</v>
      </c>
      <c r="E171" s="303">
        <f>INSUMOS!D23</f>
        <v>1094.8912</v>
      </c>
      <c r="F171" s="303">
        <f t="shared" si="2"/>
        <v>4270.0756800000008</v>
      </c>
    </row>
    <row r="172" spans="1:6">
      <c r="A172" s="529"/>
      <c r="B172" s="36" t="s">
        <v>3037</v>
      </c>
      <c r="C172" s="77" t="s">
        <v>8</v>
      </c>
      <c r="D172" s="565">
        <f>1/600</f>
        <v>1.6666666666666668E-3</v>
      </c>
      <c r="E172" s="303">
        <f>+INSUMOS!D38</f>
        <v>71700</v>
      </c>
      <c r="F172" s="303">
        <f t="shared" si="2"/>
        <v>119.50000000000001</v>
      </c>
    </row>
    <row r="173" spans="1:6">
      <c r="A173" s="529"/>
      <c r="B173" s="260" t="s">
        <v>117</v>
      </c>
      <c r="C173" s="261" t="s">
        <v>25</v>
      </c>
      <c r="D173" s="566">
        <v>2</v>
      </c>
      <c r="E173" s="567" t="e">
        <f>INSUMOS!#REF!</f>
        <v>#REF!</v>
      </c>
      <c r="F173" s="568" t="e">
        <f t="shared" si="2"/>
        <v>#REF!</v>
      </c>
    </row>
    <row r="174" spans="1:6">
      <c r="A174" s="529"/>
      <c r="B174" s="36" t="s">
        <v>3034</v>
      </c>
      <c r="C174" s="77" t="s">
        <v>141</v>
      </c>
      <c r="D174" s="565">
        <f>1/600</f>
        <v>1.6666666666666668E-3</v>
      </c>
      <c r="E174" s="390">
        <f>+INSUMOS!D29</f>
        <v>182992.44</v>
      </c>
      <c r="F174" s="303">
        <f t="shared" si="2"/>
        <v>304.98740000000004</v>
      </c>
    </row>
    <row r="175" spans="1:6">
      <c r="A175" s="529"/>
      <c r="B175" s="36" t="s">
        <v>3035</v>
      </c>
      <c r="C175" s="77" t="s">
        <v>141</v>
      </c>
      <c r="D175" s="565">
        <f>1/600</f>
        <v>1.6666666666666668E-3</v>
      </c>
      <c r="E175" s="390">
        <f>+INSUMOS!D25</f>
        <v>136408.60999999999</v>
      </c>
      <c r="F175" s="303">
        <f t="shared" si="2"/>
        <v>227.34768333333332</v>
      </c>
    </row>
    <row r="176" spans="1:6">
      <c r="A176" s="529"/>
      <c r="B176" s="36" t="s">
        <v>11</v>
      </c>
      <c r="C176" s="77" t="s">
        <v>284</v>
      </c>
      <c r="D176" s="569">
        <v>0.03</v>
      </c>
      <c r="E176" s="303">
        <f>F177</f>
        <v>26.13429799471233</v>
      </c>
      <c r="F176" s="303">
        <f>(D176*E176)</f>
        <v>0.7840289398413699</v>
      </c>
    </row>
    <row r="177" spans="1:20">
      <c r="A177" s="529"/>
      <c r="B177" s="36" t="s">
        <v>9</v>
      </c>
      <c r="C177" s="77" t="s">
        <v>10</v>
      </c>
      <c r="D177" s="570">
        <v>1E-3</v>
      </c>
      <c r="E177" s="303">
        <f>+'VALOR CUADRILLAS MO'!D75</f>
        <v>26134.297994712331</v>
      </c>
      <c r="F177" s="303">
        <f>+D177*E177</f>
        <v>26.13429799471233</v>
      </c>
    </row>
    <row r="178" spans="1:20">
      <c r="A178" s="529"/>
      <c r="B178" s="165"/>
      <c r="C178" s="77"/>
      <c r="D178" s="80"/>
      <c r="E178" s="79"/>
      <c r="F178" s="79"/>
    </row>
    <row r="179" spans="1:20" ht="22.15" customHeight="1">
      <c r="A179" s="530" t="s">
        <v>398</v>
      </c>
      <c r="B179" s="454" t="s">
        <v>2712</v>
      </c>
      <c r="C179" s="459"/>
      <c r="D179" s="462"/>
      <c r="E179" s="461"/>
      <c r="F179" s="461"/>
    </row>
    <row r="180" spans="1:20" ht="22.9" customHeight="1">
      <c r="A180" s="246">
        <f>A168+1</f>
        <v>33</v>
      </c>
      <c r="B180" s="83" t="s">
        <v>61</v>
      </c>
      <c r="C180" s="76" t="s">
        <v>121</v>
      </c>
      <c r="D180" s="73"/>
      <c r="E180" s="74"/>
      <c r="F180" s="75">
        <f>ROUND(SUM(F181:F183),0)</f>
        <v>27210</v>
      </c>
      <c r="H180" s="59"/>
      <c r="J180" s="248"/>
    </row>
    <row r="181" spans="1:20">
      <c r="A181" s="529"/>
      <c r="B181" s="165" t="s">
        <v>18</v>
      </c>
      <c r="C181" s="77" t="s">
        <v>12</v>
      </c>
      <c r="D181" s="80">
        <v>1.2E-2</v>
      </c>
      <c r="E181" s="79">
        <f>+BASICOS!D42</f>
        <v>136480.47829830134</v>
      </c>
      <c r="F181" s="79">
        <f>+D181*E181</f>
        <v>1637.7657395796161</v>
      </c>
      <c r="H181" s="59"/>
      <c r="I181" s="59"/>
      <c r="J181" s="59"/>
    </row>
    <row r="182" spans="1:20">
      <c r="A182" s="529"/>
      <c r="B182" s="165" t="s">
        <v>11</v>
      </c>
      <c r="C182" s="77" t="s">
        <v>284</v>
      </c>
      <c r="D182" s="78">
        <v>0.03</v>
      </c>
      <c r="E182" s="79">
        <f>+F183</f>
        <v>24827.583094976715</v>
      </c>
      <c r="F182" s="79">
        <f>(D182*E182)</f>
        <v>744.82749284930139</v>
      </c>
      <c r="H182" s="59"/>
      <c r="I182" s="59"/>
      <c r="J182" s="59"/>
    </row>
    <row r="183" spans="1:20">
      <c r="A183" s="529"/>
      <c r="B183" s="165" t="s">
        <v>9</v>
      </c>
      <c r="C183" s="77" t="s">
        <v>10</v>
      </c>
      <c r="D183" s="78">
        <v>0.95</v>
      </c>
      <c r="E183" s="79">
        <f>+'VALOR CUADRILLAS MO'!D75</f>
        <v>26134.297994712331</v>
      </c>
      <c r="F183" s="79">
        <f>+D183*E183</f>
        <v>24827.583094976715</v>
      </c>
      <c r="H183" s="59"/>
      <c r="I183" s="59"/>
      <c r="J183" s="59"/>
    </row>
    <row r="184" spans="1:20">
      <c r="A184" s="529"/>
      <c r="B184" s="165"/>
      <c r="C184" s="77"/>
      <c r="D184" s="78"/>
      <c r="E184" s="79"/>
      <c r="F184" s="79"/>
      <c r="H184" s="59"/>
      <c r="I184" s="59"/>
      <c r="J184" s="59"/>
    </row>
    <row r="185" spans="1:20" ht="22.9" customHeight="1">
      <c r="A185" s="246">
        <f>A180+1</f>
        <v>34</v>
      </c>
      <c r="B185" s="421" t="s">
        <v>139</v>
      </c>
      <c r="C185" s="76" t="s">
        <v>121</v>
      </c>
      <c r="D185" s="73"/>
      <c r="E185" s="74"/>
      <c r="F185" s="75">
        <f>ROUND(SUM(F186:F191),0)</f>
        <v>52398</v>
      </c>
    </row>
    <row r="186" spans="1:20">
      <c r="A186" s="529"/>
      <c r="B186" s="165" t="s">
        <v>19</v>
      </c>
      <c r="C186" s="77" t="s">
        <v>121</v>
      </c>
      <c r="D186" s="78">
        <v>1</v>
      </c>
      <c r="E186" s="343">
        <f>BASICOS!D18</f>
        <v>14280</v>
      </c>
      <c r="F186" s="79">
        <f>+D186*E186</f>
        <v>14280</v>
      </c>
      <c r="H186" s="59"/>
      <c r="I186" s="59"/>
      <c r="J186" s="59"/>
    </row>
    <row r="187" spans="1:20">
      <c r="A187" s="529"/>
      <c r="B187" s="165" t="s">
        <v>228</v>
      </c>
      <c r="C187" s="77" t="s">
        <v>121</v>
      </c>
      <c r="D187" s="78">
        <v>0.3</v>
      </c>
      <c r="E187" s="79">
        <f>E186</f>
        <v>14280</v>
      </c>
      <c r="F187" s="79">
        <f>+D187*E187</f>
        <v>4284</v>
      </c>
      <c r="H187" s="59"/>
      <c r="I187" s="59"/>
      <c r="J187" s="59"/>
    </row>
    <row r="188" spans="1:20">
      <c r="A188" s="529"/>
      <c r="B188" s="165" t="s">
        <v>136</v>
      </c>
      <c r="C188" s="77" t="s">
        <v>2431</v>
      </c>
      <c r="D188" s="78">
        <f>1.3*10</f>
        <v>13</v>
      </c>
      <c r="E188" s="79">
        <f>+INSUMOS!D23</f>
        <v>1094.8912</v>
      </c>
      <c r="F188" s="79">
        <f>+D188*E188</f>
        <v>14233.5856</v>
      </c>
      <c r="H188" s="59"/>
      <c r="I188" s="59"/>
      <c r="J188" s="59"/>
    </row>
    <row r="189" spans="1:20">
      <c r="A189" s="529"/>
      <c r="B189" s="165" t="s">
        <v>18</v>
      </c>
      <c r="C189" s="77" t="s">
        <v>12</v>
      </c>
      <c r="D189" s="80">
        <v>4.4999999999999998E-2</v>
      </c>
      <c r="E189" s="79">
        <f>+BASICOS!D42</f>
        <v>136480.47829830134</v>
      </c>
      <c r="F189" s="79">
        <f>+D189*E189</f>
        <v>6141.6215234235606</v>
      </c>
      <c r="H189" s="59"/>
      <c r="I189" s="59"/>
      <c r="J189" s="59"/>
    </row>
    <row r="190" spans="1:20">
      <c r="A190" s="529"/>
      <c r="B190" s="165" t="s">
        <v>11</v>
      </c>
      <c r="C190" s="77" t="s">
        <v>284</v>
      </c>
      <c r="D190" s="78">
        <v>0.03</v>
      </c>
      <c r="E190" s="79">
        <f>+F191</f>
        <v>13067.148997356166</v>
      </c>
      <c r="F190" s="79">
        <f>(D190*E190)</f>
        <v>392.01446992068497</v>
      </c>
      <c r="H190" s="59"/>
      <c r="I190" s="59"/>
      <c r="J190" s="59"/>
    </row>
    <row r="191" spans="1:20">
      <c r="A191" s="529"/>
      <c r="B191" s="165" t="s">
        <v>9</v>
      </c>
      <c r="C191" s="77" t="s">
        <v>10</v>
      </c>
      <c r="D191" s="78">
        <v>0.5</v>
      </c>
      <c r="E191" s="79">
        <f>+'VALOR CUADRILLAS MO'!D75</f>
        <v>26134.297994712331</v>
      </c>
      <c r="F191" s="79">
        <f>+D191*E191</f>
        <v>13067.148997356166</v>
      </c>
      <c r="G191" s="2">
        <f>F191/0.3</f>
        <v>43557.163324520552</v>
      </c>
      <c r="H191" s="59"/>
      <c r="I191" s="59"/>
      <c r="J191" s="59"/>
      <c r="M191" s="249"/>
    </row>
    <row r="192" spans="1:20" s="64" customFormat="1">
      <c r="A192" s="529"/>
      <c r="B192" s="165"/>
      <c r="C192" s="77"/>
      <c r="D192" s="78"/>
      <c r="E192" s="79"/>
      <c r="F192" s="79"/>
      <c r="G192" s="2"/>
      <c r="H192" s="59"/>
      <c r="I192" s="59"/>
      <c r="J192" s="59"/>
      <c r="K192" s="244"/>
      <c r="L192" s="244"/>
      <c r="M192" s="3"/>
      <c r="N192" s="3"/>
      <c r="S192" s="3"/>
      <c r="T192" s="3"/>
    </row>
    <row r="193" spans="1:20" s="64" customFormat="1" ht="24" customHeight="1">
      <c r="A193" s="246">
        <f>+A185+1</f>
        <v>35</v>
      </c>
      <c r="B193" s="83" t="s">
        <v>2432</v>
      </c>
      <c r="C193" s="76" t="s">
        <v>121</v>
      </c>
      <c r="D193" s="73"/>
      <c r="E193" s="74"/>
      <c r="F193" s="75">
        <f>ROUND(SUM(F194:F199),0)</f>
        <v>81791</v>
      </c>
      <c r="G193" s="2"/>
      <c r="H193" s="2"/>
      <c r="I193" s="2"/>
      <c r="J193" s="244"/>
      <c r="K193" s="244"/>
      <c r="L193" s="244"/>
      <c r="M193" s="3"/>
      <c r="N193" s="3"/>
      <c r="S193" s="3"/>
      <c r="T193" s="3"/>
    </row>
    <row r="194" spans="1:20" s="64" customFormat="1">
      <c r="A194" s="529"/>
      <c r="B194" s="165" t="s">
        <v>543</v>
      </c>
      <c r="C194" s="77" t="s">
        <v>121</v>
      </c>
      <c r="D194" s="78">
        <v>1</v>
      </c>
      <c r="E194" s="343">
        <f>BASICOS!D16</f>
        <v>36890</v>
      </c>
      <c r="F194" s="79">
        <f>+D194*E194</f>
        <v>36890</v>
      </c>
      <c r="G194" s="2"/>
      <c r="H194" s="59"/>
      <c r="I194" s="2"/>
      <c r="J194" s="244"/>
      <c r="K194" s="244"/>
      <c r="L194" s="244"/>
      <c r="M194" s="3"/>
      <c r="N194" s="3"/>
      <c r="S194" s="3"/>
      <c r="T194" s="3"/>
    </row>
    <row r="195" spans="1:20" s="64" customFormat="1">
      <c r="A195" s="529"/>
      <c r="B195" s="165" t="s">
        <v>228</v>
      </c>
      <c r="C195" s="77" t="s">
        <v>121</v>
      </c>
      <c r="D195" s="78">
        <v>0.3</v>
      </c>
      <c r="E195" s="79">
        <f>E194</f>
        <v>36890</v>
      </c>
      <c r="F195" s="79">
        <f>+D195*E195</f>
        <v>11067</v>
      </c>
      <c r="G195" s="2"/>
      <c r="H195" s="59"/>
      <c r="I195" s="2"/>
      <c r="J195" s="244"/>
      <c r="K195" s="244"/>
      <c r="L195" s="244"/>
      <c r="M195" s="3"/>
      <c r="N195" s="3"/>
      <c r="S195" s="3"/>
      <c r="T195" s="3"/>
    </row>
    <row r="196" spans="1:20" s="64" customFormat="1">
      <c r="A196" s="529"/>
      <c r="B196" s="165" t="s">
        <v>136</v>
      </c>
      <c r="C196" s="77" t="s">
        <v>2431</v>
      </c>
      <c r="D196" s="78">
        <f>1.3*10</f>
        <v>13</v>
      </c>
      <c r="E196" s="79">
        <f>+INSUMOS!D23</f>
        <v>1094.8912</v>
      </c>
      <c r="F196" s="79">
        <f>+D196*E196</f>
        <v>14233.5856</v>
      </c>
      <c r="G196" s="2"/>
      <c r="H196" s="59"/>
      <c r="I196" s="2"/>
      <c r="J196" s="244"/>
      <c r="K196" s="244"/>
      <c r="L196" s="244"/>
      <c r="M196" s="3"/>
      <c r="N196" s="3"/>
      <c r="S196" s="3"/>
      <c r="T196" s="3"/>
    </row>
    <row r="197" spans="1:20" s="64" customFormat="1">
      <c r="A197" s="529"/>
      <c r="B197" s="165" t="s">
        <v>2437</v>
      </c>
      <c r="C197" s="77" t="s">
        <v>12</v>
      </c>
      <c r="D197" s="80">
        <v>4.4999999999999998E-2</v>
      </c>
      <c r="E197" s="79">
        <f>+BASICOS!D42</f>
        <v>136480.47829830134</v>
      </c>
      <c r="F197" s="79">
        <f>+D197*E197</f>
        <v>6141.6215234235606</v>
      </c>
      <c r="G197" s="2"/>
      <c r="H197" s="2"/>
      <c r="I197" s="2"/>
      <c r="J197" s="244"/>
      <c r="K197" s="244"/>
      <c r="L197" s="244"/>
      <c r="M197" s="249"/>
      <c r="N197" s="3"/>
      <c r="S197" s="3"/>
      <c r="T197" s="3"/>
    </row>
    <row r="198" spans="1:20" s="64" customFormat="1">
      <c r="A198" s="529"/>
      <c r="B198" s="165" t="s">
        <v>11</v>
      </c>
      <c r="C198" s="77" t="s">
        <v>284</v>
      </c>
      <c r="D198" s="78">
        <v>0.03</v>
      </c>
      <c r="E198" s="79">
        <f>+F199</f>
        <v>13067.148997356166</v>
      </c>
      <c r="F198" s="79">
        <f>(D198*E198)</f>
        <v>392.01446992068497</v>
      </c>
      <c r="G198" s="2"/>
      <c r="H198" s="2"/>
      <c r="I198" s="2"/>
      <c r="J198" s="244"/>
      <c r="K198" s="244"/>
      <c r="L198" s="244"/>
      <c r="M198" s="3"/>
      <c r="N198" s="3"/>
      <c r="S198" s="3"/>
      <c r="T198" s="3"/>
    </row>
    <row r="199" spans="1:20" s="64" customFormat="1">
      <c r="A199" s="529"/>
      <c r="B199" s="165" t="s">
        <v>9</v>
      </c>
      <c r="C199" s="77" t="s">
        <v>10</v>
      </c>
      <c r="D199" s="78">
        <v>0.5</v>
      </c>
      <c r="E199" s="79">
        <f>+'VALOR CUADRILLAS MO'!D75</f>
        <v>26134.297994712331</v>
      </c>
      <c r="F199" s="79">
        <f>+D199*E199</f>
        <v>13067.148997356166</v>
      </c>
      <c r="G199" s="2"/>
      <c r="H199" s="2"/>
      <c r="I199" s="2"/>
      <c r="J199" s="244"/>
      <c r="K199" s="244"/>
      <c r="L199" s="244"/>
      <c r="M199" s="3"/>
      <c r="N199" s="3"/>
      <c r="S199" s="3"/>
      <c r="T199" s="3"/>
    </row>
    <row r="200" spans="1:20" s="64" customFormat="1">
      <c r="A200" s="531"/>
      <c r="B200" s="165"/>
      <c r="C200" s="77"/>
      <c r="D200" s="78"/>
      <c r="E200" s="79"/>
      <c r="F200" s="79"/>
      <c r="G200" s="2"/>
      <c r="H200" s="2"/>
      <c r="I200" s="2"/>
      <c r="J200" s="244"/>
      <c r="K200" s="244"/>
      <c r="L200" s="244"/>
      <c r="M200" s="3"/>
      <c r="N200" s="3"/>
      <c r="S200" s="3"/>
      <c r="T200" s="3"/>
    </row>
    <row r="201" spans="1:20" ht="21.6" customHeight="1">
      <c r="A201" s="246">
        <f>A193+1</f>
        <v>36</v>
      </c>
      <c r="B201" s="83" t="s">
        <v>603</v>
      </c>
      <c r="C201" s="76" t="s">
        <v>121</v>
      </c>
      <c r="D201" s="73"/>
      <c r="E201" s="74"/>
      <c r="F201" s="75" t="e">
        <f>ROUND(SUM(F202:F209),0)</f>
        <v>#REF!</v>
      </c>
      <c r="H201" s="59"/>
      <c r="I201" s="59"/>
      <c r="J201" s="59"/>
      <c r="O201" s="163"/>
      <c r="P201" s="164"/>
      <c r="Q201" s="299"/>
      <c r="R201" s="305"/>
      <c r="S201" s="306"/>
    </row>
    <row r="202" spans="1:20">
      <c r="A202" s="529"/>
      <c r="B202" s="165" t="s">
        <v>604</v>
      </c>
      <c r="C202" s="77" t="s">
        <v>121</v>
      </c>
      <c r="D202" s="78">
        <v>1.3</v>
      </c>
      <c r="E202" s="343">
        <f>BASICOS!D16</f>
        <v>36890</v>
      </c>
      <c r="F202" s="79">
        <f>+D202*E202</f>
        <v>47957</v>
      </c>
      <c r="H202" s="59"/>
      <c r="I202" s="59"/>
      <c r="J202" s="59"/>
      <c r="O202" s="36"/>
      <c r="P202" s="77"/>
      <c r="Q202" s="78"/>
      <c r="R202" s="79"/>
      <c r="S202" s="307"/>
    </row>
    <row r="203" spans="1:20">
      <c r="A203" s="529"/>
      <c r="B203" s="165" t="s">
        <v>136</v>
      </c>
      <c r="C203" s="77" t="s">
        <v>2431</v>
      </c>
      <c r="D203" s="78">
        <f>10*D202</f>
        <v>13</v>
      </c>
      <c r="E203" s="79">
        <f>+INSUMOS!D23</f>
        <v>1094.8912</v>
      </c>
      <c r="F203" s="79">
        <f>+D203*E203</f>
        <v>14233.5856</v>
      </c>
      <c r="H203" s="59"/>
      <c r="I203" s="59"/>
      <c r="J203" s="59"/>
      <c r="O203" s="36"/>
      <c r="P203" s="77"/>
      <c r="Q203" s="78"/>
      <c r="R203" s="79"/>
      <c r="S203" s="307"/>
    </row>
    <row r="204" spans="1:20" ht="25.5">
      <c r="A204" s="529"/>
      <c r="B204" s="165" t="s">
        <v>2435</v>
      </c>
      <c r="C204" s="77" t="s">
        <v>8</v>
      </c>
      <c r="D204" s="78">
        <v>45</v>
      </c>
      <c r="E204" s="79" t="e">
        <f>INSUMOS!#REF!</f>
        <v>#REF!</v>
      </c>
      <c r="F204" s="79" t="e">
        <f>+E204/D204</f>
        <v>#REF!</v>
      </c>
      <c r="H204" s="59"/>
      <c r="I204" s="59"/>
      <c r="J204" s="59"/>
      <c r="O204" s="36"/>
      <c r="P204" s="77"/>
      <c r="Q204" s="78"/>
      <c r="R204" s="79"/>
      <c r="S204" s="307"/>
    </row>
    <row r="205" spans="1:20" ht="25.5">
      <c r="A205" s="529"/>
      <c r="B205" s="165" t="str">
        <f>+INSUMOS!B29</f>
        <v>MOTONIVELADORA  POTENCIA 215 HP, ANCHO DE CUCHILLA 4,27 M, PESO 18 TON.</v>
      </c>
      <c r="C205" s="77" t="s">
        <v>8</v>
      </c>
      <c r="D205" s="78">
        <v>45</v>
      </c>
      <c r="E205" s="79">
        <f>+INSUMOS!D29</f>
        <v>182992.44</v>
      </c>
      <c r="F205" s="79">
        <f>+E205/D205</f>
        <v>4066.4986666666668</v>
      </c>
      <c r="H205" s="59"/>
      <c r="I205" s="59"/>
      <c r="J205" s="59"/>
      <c r="O205" s="36"/>
      <c r="P205" s="77"/>
      <c r="Q205" s="80"/>
      <c r="R205" s="79"/>
      <c r="S205" s="307"/>
    </row>
    <row r="206" spans="1:20">
      <c r="A206" s="529"/>
      <c r="B206" s="165" t="str">
        <f>+INSUMOS!B38</f>
        <v xml:space="preserve">Carrotanque de agua(1000 Galones) </v>
      </c>
      <c r="C206" s="77" t="s">
        <v>8</v>
      </c>
      <c r="D206" s="78">
        <v>45</v>
      </c>
      <c r="E206" s="79">
        <f>+INSUMOS!D38</f>
        <v>71700</v>
      </c>
      <c r="F206" s="79">
        <f>+E206/D206</f>
        <v>1593.3333333333333</v>
      </c>
      <c r="H206" s="59"/>
      <c r="I206" s="59"/>
      <c r="J206" s="59"/>
      <c r="O206" s="36"/>
      <c r="P206" s="77"/>
      <c r="Q206" s="78"/>
      <c r="R206" s="79"/>
      <c r="S206" s="307"/>
    </row>
    <row r="207" spans="1:20">
      <c r="A207" s="529"/>
      <c r="B207" s="165" t="str">
        <f>+INSUMOS!B25</f>
        <v>VIBROCOMPACTADOR TIPO DINAPAC CA 15</v>
      </c>
      <c r="C207" s="77" t="s">
        <v>8</v>
      </c>
      <c r="D207" s="78">
        <v>45</v>
      </c>
      <c r="E207" s="79">
        <f>+INSUMOS!D25</f>
        <v>136408.60999999999</v>
      </c>
      <c r="F207" s="79">
        <f>+E207/D207</f>
        <v>3031.3024444444441</v>
      </c>
      <c r="H207" s="59"/>
      <c r="I207" s="59"/>
      <c r="J207" s="59"/>
      <c r="O207" s="36"/>
      <c r="P207" s="77"/>
      <c r="Q207" s="78"/>
      <c r="R207" s="79"/>
      <c r="S207" s="307"/>
    </row>
    <row r="208" spans="1:20">
      <c r="A208" s="529"/>
      <c r="B208" s="165" t="s">
        <v>11</v>
      </c>
      <c r="C208" s="77" t="s">
        <v>284</v>
      </c>
      <c r="D208" s="78">
        <v>0.03</v>
      </c>
      <c r="E208" s="79">
        <f>+F209</f>
        <v>13067.148997356166</v>
      </c>
      <c r="F208" s="79">
        <f>(D208*E208)</f>
        <v>392.01446992068497</v>
      </c>
      <c r="H208" s="59"/>
      <c r="I208" s="59"/>
      <c r="J208" s="59"/>
    </row>
    <row r="209" spans="1:19">
      <c r="A209" s="529"/>
      <c r="B209" s="165" t="s">
        <v>9</v>
      </c>
      <c r="C209" s="77" t="s">
        <v>10</v>
      </c>
      <c r="D209" s="78">
        <v>0.5</v>
      </c>
      <c r="E209" s="79">
        <f>+'VALOR CUADRILLAS MO'!D75</f>
        <v>26134.297994712331</v>
      </c>
      <c r="F209" s="79">
        <f>+D209*E209</f>
        <v>13067.148997356166</v>
      </c>
      <c r="H209" s="59"/>
      <c r="I209" s="59"/>
      <c r="J209" s="59"/>
    </row>
    <row r="210" spans="1:19">
      <c r="A210" s="529"/>
      <c r="B210" s="165"/>
      <c r="C210" s="77"/>
      <c r="D210" s="78"/>
      <c r="E210" s="79"/>
      <c r="F210" s="79"/>
      <c r="H210" s="59"/>
      <c r="I210" s="59"/>
      <c r="J210" s="59"/>
    </row>
    <row r="211" spans="1:19" ht="24" customHeight="1">
      <c r="A211" s="246">
        <f>+A201+1</f>
        <v>37</v>
      </c>
      <c r="B211" s="83" t="s">
        <v>202</v>
      </c>
      <c r="C211" s="76" t="s">
        <v>121</v>
      </c>
      <c r="D211" s="73"/>
      <c r="E211" s="74"/>
      <c r="F211" s="75" t="e">
        <f>ROUND(SUM(F212:F219),0)</f>
        <v>#REF!</v>
      </c>
      <c r="O211" s="158"/>
      <c r="P211" s="159"/>
      <c r="Q211" s="172"/>
      <c r="R211" s="173"/>
      <c r="S211" s="168"/>
    </row>
    <row r="212" spans="1:19">
      <c r="A212" s="529"/>
      <c r="B212" s="165" t="s">
        <v>605</v>
      </c>
      <c r="C212" s="77" t="s">
        <v>121</v>
      </c>
      <c r="D212" s="78">
        <v>1.3</v>
      </c>
      <c r="E212" s="343">
        <f>BASICOS!D17</f>
        <v>58310</v>
      </c>
      <c r="F212" s="79">
        <f>+D212*E212</f>
        <v>75803</v>
      </c>
      <c r="O212" s="36"/>
      <c r="P212" s="77"/>
      <c r="Q212" s="169"/>
      <c r="R212" s="170"/>
      <c r="S212" s="170"/>
    </row>
    <row r="213" spans="1:19">
      <c r="A213" s="529"/>
      <c r="B213" s="165" t="s">
        <v>136</v>
      </c>
      <c r="C213" s="77" t="s">
        <v>2431</v>
      </c>
      <c r="D213" s="78">
        <f>10*D212</f>
        <v>13</v>
      </c>
      <c r="E213" s="79">
        <f>+INSUMOS!D23</f>
        <v>1094.8912</v>
      </c>
      <c r="F213" s="79">
        <f>+D213*E213</f>
        <v>14233.5856</v>
      </c>
      <c r="O213" s="36"/>
      <c r="P213" s="77"/>
      <c r="Q213" s="169"/>
      <c r="R213" s="170"/>
      <c r="S213" s="170"/>
    </row>
    <row r="214" spans="1:19" ht="25.5">
      <c r="A214" s="529"/>
      <c r="B214" s="165" t="s">
        <v>2435</v>
      </c>
      <c r="C214" s="77" t="s">
        <v>8</v>
      </c>
      <c r="D214" s="78">
        <v>45</v>
      </c>
      <c r="E214" s="79" t="e">
        <f>E204</f>
        <v>#REF!</v>
      </c>
      <c r="F214" s="79" t="e">
        <f>+E214/D214</f>
        <v>#REF!</v>
      </c>
      <c r="O214" s="36"/>
      <c r="P214" s="77"/>
      <c r="Q214" s="169"/>
      <c r="R214" s="170"/>
      <c r="S214" s="170"/>
    </row>
    <row r="215" spans="1:19" ht="25.5">
      <c r="A215" s="529"/>
      <c r="B215" s="165" t="str">
        <f>+INSUMOS!B29</f>
        <v>MOTONIVELADORA  POTENCIA 215 HP, ANCHO DE CUCHILLA 4,27 M, PESO 18 TON.</v>
      </c>
      <c r="C215" s="77" t="s">
        <v>8</v>
      </c>
      <c r="D215" s="78">
        <v>45</v>
      </c>
      <c r="E215" s="79">
        <f>+INSUMOS!D29</f>
        <v>182992.44</v>
      </c>
      <c r="F215" s="79">
        <f>+E215/D215</f>
        <v>4066.4986666666668</v>
      </c>
      <c r="J215" s="3"/>
      <c r="O215" s="36"/>
      <c r="P215" s="77"/>
      <c r="Q215" s="169"/>
      <c r="R215" s="170"/>
      <c r="S215" s="170"/>
    </row>
    <row r="216" spans="1:19">
      <c r="A216" s="529"/>
      <c r="B216" s="165" t="str">
        <f>+INSUMOS!B38</f>
        <v xml:space="preserve">Carrotanque de agua(1000 Galones) </v>
      </c>
      <c r="C216" s="77" t="s">
        <v>8</v>
      </c>
      <c r="D216" s="78">
        <v>45</v>
      </c>
      <c r="E216" s="79">
        <f>+INSUMOS!D38</f>
        <v>71700</v>
      </c>
      <c r="F216" s="79">
        <f>+E216/D216</f>
        <v>1593.3333333333333</v>
      </c>
      <c r="J216" s="3"/>
      <c r="O216" s="36"/>
      <c r="P216" s="77"/>
      <c r="Q216" s="169"/>
      <c r="R216" s="170"/>
      <c r="S216" s="170"/>
    </row>
    <row r="217" spans="1:19">
      <c r="A217" s="529"/>
      <c r="B217" s="165" t="str">
        <f>+INSUMOS!B25</f>
        <v>VIBROCOMPACTADOR TIPO DINAPAC CA 15</v>
      </c>
      <c r="C217" s="77" t="s">
        <v>8</v>
      </c>
      <c r="D217" s="78">
        <v>45</v>
      </c>
      <c r="E217" s="79">
        <f>+INSUMOS!D25</f>
        <v>136408.60999999999</v>
      </c>
      <c r="F217" s="79">
        <f>+E217/D217</f>
        <v>3031.3024444444441</v>
      </c>
      <c r="J217" s="3"/>
      <c r="O217" s="36"/>
      <c r="P217" s="77"/>
      <c r="Q217" s="169"/>
      <c r="R217" s="170"/>
      <c r="S217" s="170"/>
    </row>
    <row r="218" spans="1:19">
      <c r="A218" s="529"/>
      <c r="B218" s="165" t="s">
        <v>11</v>
      </c>
      <c r="C218" s="77" t="s">
        <v>284</v>
      </c>
      <c r="D218" s="78">
        <v>0.03</v>
      </c>
      <c r="E218" s="79">
        <f>+F219</f>
        <v>13067.148997356166</v>
      </c>
      <c r="F218" s="79">
        <f>(D218*E218)</f>
        <v>392.01446992068497</v>
      </c>
      <c r="J218" s="3"/>
      <c r="O218" s="36"/>
      <c r="P218" s="77"/>
      <c r="Q218" s="169"/>
      <c r="R218" s="170"/>
      <c r="S218" s="170"/>
    </row>
    <row r="219" spans="1:19">
      <c r="A219" s="529"/>
      <c r="B219" s="165" t="s">
        <v>9</v>
      </c>
      <c r="C219" s="77" t="s">
        <v>10</v>
      </c>
      <c r="D219" s="78">
        <v>0.5</v>
      </c>
      <c r="E219" s="79">
        <f>+'VALOR CUADRILLAS MO'!D75</f>
        <v>26134.297994712331</v>
      </c>
      <c r="F219" s="79">
        <f>+D219*E219</f>
        <v>13067.148997356166</v>
      </c>
      <c r="J219" s="3"/>
      <c r="O219" s="36"/>
      <c r="P219" s="77"/>
      <c r="Q219" s="169"/>
      <c r="R219" s="170"/>
      <c r="S219" s="170"/>
    </row>
    <row r="220" spans="1:19">
      <c r="A220" s="529"/>
      <c r="B220" s="165"/>
      <c r="C220" s="77"/>
      <c r="D220" s="78"/>
      <c r="E220" s="79"/>
      <c r="F220" s="79"/>
      <c r="J220" s="3"/>
    </row>
    <row r="221" spans="1:19" ht="39" customHeight="1">
      <c r="A221" s="246">
        <f>A211+1</f>
        <v>38</v>
      </c>
      <c r="B221" s="83" t="s">
        <v>2438</v>
      </c>
      <c r="C221" s="76" t="s">
        <v>121</v>
      </c>
      <c r="D221" s="469"/>
      <c r="E221" s="470"/>
      <c r="F221" s="471">
        <f>ROUND(SUM(F222:F229),0)</f>
        <v>153887</v>
      </c>
      <c r="J221" s="3"/>
    </row>
    <row r="222" spans="1:19">
      <c r="A222" s="529"/>
      <c r="B222" s="165" t="s">
        <v>605</v>
      </c>
      <c r="C222" s="77" t="s">
        <v>121</v>
      </c>
      <c r="D222" s="169">
        <v>1.3</v>
      </c>
      <c r="E222" s="170">
        <f>BASICOS!D17</f>
        <v>58310</v>
      </c>
      <c r="F222" s="170">
        <f>+D222*E222</f>
        <v>75803</v>
      </c>
      <c r="J222" s="3"/>
    </row>
    <row r="223" spans="1:19">
      <c r="A223" s="529"/>
      <c r="B223" s="165" t="s">
        <v>136</v>
      </c>
      <c r="C223" s="77" t="s">
        <v>2431</v>
      </c>
      <c r="D223" s="169">
        <v>13</v>
      </c>
      <c r="E223" s="170">
        <f>+INSUMOS!D23</f>
        <v>1094.8912</v>
      </c>
      <c r="F223" s="170">
        <f>+D223*E223</f>
        <v>14233.5856</v>
      </c>
      <c r="J223" s="3"/>
    </row>
    <row r="224" spans="1:19">
      <c r="A224" s="529"/>
      <c r="B224" s="165" t="s">
        <v>31</v>
      </c>
      <c r="C224" s="77" t="s">
        <v>120</v>
      </c>
      <c r="D224" s="169">
        <v>90</v>
      </c>
      <c r="E224" s="170">
        <f>BASICOS!D7</f>
        <v>606.9</v>
      </c>
      <c r="F224" s="170">
        <f>+D224*E224</f>
        <v>54621</v>
      </c>
      <c r="J224" s="3"/>
    </row>
    <row r="225" spans="1:10">
      <c r="A225" s="529"/>
      <c r="B225" s="165" t="s">
        <v>2439</v>
      </c>
      <c r="C225" s="77" t="s">
        <v>8</v>
      </c>
      <c r="D225" s="169">
        <v>45</v>
      </c>
      <c r="E225" s="170">
        <f>INSUMOS!D30</f>
        <v>182992.44</v>
      </c>
      <c r="F225" s="170">
        <f>E225/D225</f>
        <v>4066.4986666666668</v>
      </c>
      <c r="J225" s="3"/>
    </row>
    <row r="226" spans="1:10">
      <c r="A226" s="529"/>
      <c r="B226" s="165" t="s">
        <v>692</v>
      </c>
      <c r="C226" s="77" t="s">
        <v>8</v>
      </c>
      <c r="D226" s="169">
        <v>45</v>
      </c>
      <c r="E226" s="170">
        <f>INSUMOS!D38</f>
        <v>71700</v>
      </c>
      <c r="F226" s="170">
        <f>E226/D226</f>
        <v>1593.3333333333333</v>
      </c>
      <c r="J226" s="3"/>
    </row>
    <row r="227" spans="1:10">
      <c r="A227" s="529"/>
      <c r="B227" s="165" t="s">
        <v>151</v>
      </c>
      <c r="C227" s="77" t="s">
        <v>8</v>
      </c>
      <c r="D227" s="169">
        <v>45</v>
      </c>
      <c r="E227" s="170">
        <f>+INSUMOS!D25</f>
        <v>136408.60999999999</v>
      </c>
      <c r="F227" s="170">
        <f>E227/D227</f>
        <v>3031.3024444444441</v>
      </c>
      <c r="J227" s="3"/>
    </row>
    <row r="228" spans="1:10">
      <c r="A228" s="529"/>
      <c r="B228" s="165" t="s">
        <v>11</v>
      </c>
      <c r="C228" s="77" t="s">
        <v>284</v>
      </c>
      <c r="D228" s="169">
        <v>0.03</v>
      </c>
      <c r="E228" s="170">
        <f>F229</f>
        <v>522.68595989424659</v>
      </c>
      <c r="F228" s="170">
        <f>+D228*E228</f>
        <v>15.680578796827398</v>
      </c>
      <c r="J228" s="3"/>
    </row>
    <row r="229" spans="1:10">
      <c r="A229" s="529"/>
      <c r="B229" s="165" t="s">
        <v>9</v>
      </c>
      <c r="C229" s="77" t="s">
        <v>10</v>
      </c>
      <c r="D229" s="169">
        <v>0.02</v>
      </c>
      <c r="E229" s="170">
        <f>'VALOR CUADRILLAS MO'!D75</f>
        <v>26134.297994712331</v>
      </c>
      <c r="F229" s="170">
        <f>+D229*E229</f>
        <v>522.68595989424659</v>
      </c>
      <c r="J229" s="3"/>
    </row>
    <row r="230" spans="1:10">
      <c r="A230" s="529"/>
      <c r="B230" s="358"/>
      <c r="C230" s="77"/>
      <c r="D230" s="77"/>
      <c r="E230" s="77"/>
      <c r="F230" s="272"/>
      <c r="J230" s="3"/>
    </row>
    <row r="231" spans="1:10" ht="40.15" customHeight="1">
      <c r="A231" s="246">
        <f>A221+1</f>
        <v>39</v>
      </c>
      <c r="B231" s="83" t="s">
        <v>503</v>
      </c>
      <c r="C231" s="76" t="s">
        <v>121</v>
      </c>
      <c r="D231" s="73"/>
      <c r="E231" s="74"/>
      <c r="F231" s="75">
        <f>ROUND(SUM(F232:F236),0)</f>
        <v>121994</v>
      </c>
      <c r="J231" s="3"/>
    </row>
    <row r="232" spans="1:10">
      <c r="A232" s="529"/>
      <c r="B232" s="165" t="s">
        <v>2635</v>
      </c>
      <c r="C232" s="77" t="s">
        <v>121</v>
      </c>
      <c r="D232" s="78">
        <v>1</v>
      </c>
      <c r="E232" s="343">
        <f>BASICOS!D10</f>
        <v>88160</v>
      </c>
      <c r="F232" s="79">
        <f>+D232*E232</f>
        <v>88160</v>
      </c>
      <c r="J232" s="3"/>
    </row>
    <row r="233" spans="1:10">
      <c r="A233" s="529"/>
      <c r="B233" s="165" t="s">
        <v>136</v>
      </c>
      <c r="C233" s="77" t="s">
        <v>2431</v>
      </c>
      <c r="D233" s="78">
        <f>1.3*10</f>
        <v>13</v>
      </c>
      <c r="E233" s="79">
        <f>+INSUMOS!D23</f>
        <v>1094.8912</v>
      </c>
      <c r="F233" s="79">
        <f>+D233*E233</f>
        <v>14233.5856</v>
      </c>
      <c r="J233" s="3"/>
    </row>
    <row r="234" spans="1:10">
      <c r="A234" s="529"/>
      <c r="B234" s="165" t="s">
        <v>18</v>
      </c>
      <c r="C234" s="77" t="s">
        <v>12</v>
      </c>
      <c r="D234" s="80">
        <v>4.4999999999999998E-2</v>
      </c>
      <c r="E234" s="79">
        <f>+BASICOS!D42</f>
        <v>136480.47829830134</v>
      </c>
      <c r="F234" s="79">
        <f>+D234*E234</f>
        <v>6141.6215234235606</v>
      </c>
      <c r="J234" s="3"/>
    </row>
    <row r="235" spans="1:10">
      <c r="A235" s="529"/>
      <c r="B235" s="165" t="s">
        <v>11</v>
      </c>
      <c r="C235" s="77" t="s">
        <v>284</v>
      </c>
      <c r="D235" s="78">
        <v>0.03</v>
      </c>
      <c r="E235" s="79">
        <f>+F236</f>
        <v>13067.148997356166</v>
      </c>
      <c r="F235" s="79">
        <f>(D235*E235)</f>
        <v>392.01446992068497</v>
      </c>
      <c r="J235" s="3"/>
    </row>
    <row r="236" spans="1:10">
      <c r="A236" s="529"/>
      <c r="B236" s="165" t="s">
        <v>9</v>
      </c>
      <c r="C236" s="77" t="s">
        <v>10</v>
      </c>
      <c r="D236" s="78">
        <v>0.5</v>
      </c>
      <c r="E236" s="79">
        <f>+'VALOR CUADRILLAS MO'!D75</f>
        <v>26134.297994712331</v>
      </c>
      <c r="F236" s="79">
        <f>+D236*E236</f>
        <v>13067.148997356166</v>
      </c>
      <c r="J236" s="3"/>
    </row>
    <row r="237" spans="1:10">
      <c r="A237" s="529"/>
      <c r="B237" s="165"/>
      <c r="C237" s="77"/>
      <c r="D237" s="78"/>
      <c r="E237" s="79"/>
      <c r="F237" s="79"/>
      <c r="J237" s="3"/>
    </row>
    <row r="238" spans="1:10" ht="19.899999999999999" customHeight="1">
      <c r="A238" s="246">
        <f>A231+1</f>
        <v>40</v>
      </c>
      <c r="B238" s="83" t="s">
        <v>3033</v>
      </c>
      <c r="C238" s="76" t="s">
        <v>121</v>
      </c>
      <c r="D238" s="73"/>
      <c r="E238" s="74"/>
      <c r="F238" s="75">
        <f>ROUND(SUM(F239:F244),0)</f>
        <v>110369</v>
      </c>
      <c r="J238" s="3"/>
    </row>
    <row r="239" spans="1:10">
      <c r="A239" s="529"/>
      <c r="B239" s="36" t="s">
        <v>28</v>
      </c>
      <c r="C239" s="77" t="s">
        <v>75</v>
      </c>
      <c r="D239" s="563">
        <v>1</v>
      </c>
      <c r="E239" s="390">
        <f>BASICOS!D8</f>
        <v>73185</v>
      </c>
      <c r="F239" s="390">
        <f>+D239*E239</f>
        <v>73185</v>
      </c>
      <c r="J239" s="3"/>
    </row>
    <row r="240" spans="1:10">
      <c r="A240" s="529"/>
      <c r="B240" s="36" t="s">
        <v>136</v>
      </c>
      <c r="C240" s="77" t="s">
        <v>2431</v>
      </c>
      <c r="D240" s="563">
        <v>10</v>
      </c>
      <c r="E240" s="390">
        <f>+INSUMOS!D23</f>
        <v>1094.8912</v>
      </c>
      <c r="F240" s="390">
        <f>+D240*E240</f>
        <v>10948.912</v>
      </c>
      <c r="J240" s="3"/>
    </row>
    <row r="241" spans="1:10">
      <c r="A241" s="529"/>
      <c r="B241" s="36" t="s">
        <v>3034</v>
      </c>
      <c r="C241" s="77" t="s">
        <v>183</v>
      </c>
      <c r="D241" s="563">
        <f>1/25</f>
        <v>0.04</v>
      </c>
      <c r="E241" s="390">
        <f>INSUMOS!D30</f>
        <v>182992.44</v>
      </c>
      <c r="F241" s="564">
        <f>+D241*E241</f>
        <v>7319.6976000000004</v>
      </c>
      <c r="J241" s="3"/>
    </row>
    <row r="242" spans="1:10">
      <c r="A242" s="529"/>
      <c r="B242" s="36" t="s">
        <v>3035</v>
      </c>
      <c r="C242" s="77" t="s">
        <v>183</v>
      </c>
      <c r="D242" s="563">
        <f>1/25</f>
        <v>0.04</v>
      </c>
      <c r="E242" s="390">
        <f>+INSUMOS!D25</f>
        <v>136408.60999999999</v>
      </c>
      <c r="F242" s="564">
        <f>+D242*E242</f>
        <v>5456.3444</v>
      </c>
      <c r="J242" s="3"/>
    </row>
    <row r="243" spans="1:10">
      <c r="A243" s="529"/>
      <c r="B243" s="36" t="s">
        <v>11</v>
      </c>
      <c r="C243" s="77" t="s">
        <v>284</v>
      </c>
      <c r="D243" s="563">
        <v>0.03</v>
      </c>
      <c r="E243" s="390">
        <f>F244</f>
        <v>13067.148997356166</v>
      </c>
      <c r="F243" s="390">
        <f>(D243*E243)</f>
        <v>392.01446992068497</v>
      </c>
      <c r="J243" s="3"/>
    </row>
    <row r="244" spans="1:10">
      <c r="A244" s="529"/>
      <c r="B244" s="36" t="s">
        <v>9</v>
      </c>
      <c r="C244" s="77" t="s">
        <v>10</v>
      </c>
      <c r="D244" s="563">
        <v>0.5</v>
      </c>
      <c r="E244" s="390">
        <f>+'VALOR CUADRILLAS MO'!D75</f>
        <v>26134.297994712331</v>
      </c>
      <c r="F244" s="390">
        <f>+D244*E244</f>
        <v>13067.148997356166</v>
      </c>
      <c r="J244" s="3"/>
    </row>
    <row r="245" spans="1:10">
      <c r="A245" s="529"/>
      <c r="B245" s="165"/>
      <c r="C245" s="77"/>
      <c r="D245" s="78"/>
      <c r="E245" s="79"/>
      <c r="F245" s="79"/>
      <c r="J245" s="3"/>
    </row>
    <row r="246" spans="1:10" ht="19.899999999999999" customHeight="1">
      <c r="A246" s="453" t="s">
        <v>399</v>
      </c>
      <c r="B246" s="454" t="s">
        <v>278</v>
      </c>
      <c r="C246" s="455"/>
      <c r="D246" s="456"/>
      <c r="E246" s="457"/>
      <c r="F246" s="457"/>
      <c r="G246" s="245"/>
    </row>
    <row r="247" spans="1:10" ht="37.9" customHeight="1">
      <c r="A247" s="246">
        <f>A238+1</f>
        <v>41</v>
      </c>
      <c r="B247" s="83" t="s">
        <v>510</v>
      </c>
      <c r="C247" s="76" t="s">
        <v>26</v>
      </c>
      <c r="D247" s="73"/>
      <c r="E247" s="74"/>
      <c r="F247" s="75" t="e">
        <f>ROUND(SUM(F248:F250),0)</f>
        <v>#REF!</v>
      </c>
      <c r="G247" s="245"/>
    </row>
    <row r="248" spans="1:10" ht="25.5">
      <c r="A248" s="534"/>
      <c r="B248" s="165" t="s">
        <v>511</v>
      </c>
      <c r="C248" s="77" t="s">
        <v>26</v>
      </c>
      <c r="D248" s="78">
        <v>1</v>
      </c>
      <c r="E248" s="79" t="e">
        <f>+INSUMOS!#REF!</f>
        <v>#REF!</v>
      </c>
      <c r="F248" s="79" t="e">
        <f>+D248*E248</f>
        <v>#REF!</v>
      </c>
      <c r="G248" s="245"/>
    </row>
    <row r="249" spans="1:10">
      <c r="A249" s="534"/>
      <c r="B249" s="165" t="s">
        <v>136</v>
      </c>
      <c r="C249" s="77" t="s">
        <v>68</v>
      </c>
      <c r="D249" s="78"/>
      <c r="E249" s="79" t="e">
        <f>SUM(F248)</f>
        <v>#REF!</v>
      </c>
      <c r="F249" s="79" t="e">
        <f>+D249*E249</f>
        <v>#REF!</v>
      </c>
      <c r="G249" s="245"/>
    </row>
    <row r="250" spans="1:10">
      <c r="A250" s="534"/>
      <c r="B250" s="165" t="s">
        <v>9</v>
      </c>
      <c r="C250" s="77" t="s">
        <v>10</v>
      </c>
      <c r="D250" s="78">
        <v>3.5</v>
      </c>
      <c r="E250" s="79">
        <f>+'VALOR CUADRILLAS MO'!D75</f>
        <v>26134.297994712331</v>
      </c>
      <c r="F250" s="79">
        <f>+D250*E250</f>
        <v>91470.042981493156</v>
      </c>
      <c r="G250" s="245"/>
    </row>
    <row r="251" spans="1:10">
      <c r="A251" s="534"/>
      <c r="B251" s="165"/>
      <c r="C251" s="77"/>
      <c r="D251" s="78"/>
      <c r="E251" s="79"/>
      <c r="F251" s="79"/>
      <c r="G251" s="245"/>
    </row>
    <row r="252" spans="1:10" ht="37.9" customHeight="1">
      <c r="A252" s="246">
        <f>+A247+1</f>
        <v>42</v>
      </c>
      <c r="B252" s="83" t="s">
        <v>683</v>
      </c>
      <c r="C252" s="76" t="s">
        <v>26</v>
      </c>
      <c r="D252" s="73"/>
      <c r="E252" s="74"/>
      <c r="F252" s="75" t="e">
        <f>ROUND(SUM(F253:F255),0)</f>
        <v>#REF!</v>
      </c>
      <c r="G252" s="245"/>
    </row>
    <row r="253" spans="1:10" ht="25.5">
      <c r="A253" s="534"/>
      <c r="B253" s="165" t="s">
        <v>512</v>
      </c>
      <c r="C253" s="77" t="s">
        <v>26</v>
      </c>
      <c r="D253" s="78">
        <v>1</v>
      </c>
      <c r="E253" s="79" t="e">
        <f>+INSUMOS!#REF!</f>
        <v>#REF!</v>
      </c>
      <c r="F253" s="79" t="e">
        <f>+D253*E253</f>
        <v>#REF!</v>
      </c>
      <c r="G253" s="245"/>
      <c r="H253" s="2" t="e">
        <f>+F253/0.76</f>
        <v>#REF!</v>
      </c>
    </row>
    <row r="254" spans="1:10">
      <c r="A254" s="534"/>
      <c r="B254" s="165" t="s">
        <v>136</v>
      </c>
      <c r="C254" s="77" t="s">
        <v>68</v>
      </c>
      <c r="D254" s="78"/>
      <c r="E254" s="79" t="e">
        <f>SUM(F253)</f>
        <v>#REF!</v>
      </c>
      <c r="F254" s="79" t="e">
        <f>+D254*E254</f>
        <v>#REF!</v>
      </c>
      <c r="G254" s="245"/>
    </row>
    <row r="255" spans="1:10">
      <c r="A255" s="534"/>
      <c r="B255" s="165" t="s">
        <v>9</v>
      </c>
      <c r="C255" s="77" t="s">
        <v>10</v>
      </c>
      <c r="D255" s="78">
        <v>3.5</v>
      </c>
      <c r="E255" s="79">
        <f>+'VALOR CUADRILLAS MO'!D75</f>
        <v>26134.297994712331</v>
      </c>
      <c r="F255" s="79">
        <f>+D255*E255</f>
        <v>91470.042981493156</v>
      </c>
      <c r="G255" s="245"/>
    </row>
    <row r="256" spans="1:10">
      <c r="A256" s="534"/>
      <c r="B256" s="165"/>
      <c r="C256" s="77"/>
      <c r="D256" s="78"/>
      <c r="E256" s="79"/>
      <c r="F256" s="79"/>
      <c r="G256" s="245"/>
    </row>
    <row r="257" spans="1:19" ht="48.75" customHeight="1">
      <c r="A257" s="246">
        <f>+A252+1</f>
        <v>43</v>
      </c>
      <c r="B257" s="83" t="s">
        <v>519</v>
      </c>
      <c r="C257" s="76" t="s">
        <v>121</v>
      </c>
      <c r="D257" s="73"/>
      <c r="E257" s="74"/>
      <c r="F257" s="75" t="e">
        <f>ROUND(SUM(F258:F268),0)</f>
        <v>#REF!</v>
      </c>
      <c r="O257" s="83"/>
      <c r="P257" s="76"/>
      <c r="Q257" s="73"/>
      <c r="R257" s="377"/>
      <c r="S257" s="378"/>
    </row>
    <row r="258" spans="1:19" ht="17.25" customHeight="1">
      <c r="A258" s="529"/>
      <c r="B258" s="165" t="s">
        <v>2822</v>
      </c>
      <c r="C258" s="77" t="s">
        <v>121</v>
      </c>
      <c r="D258" s="78">
        <v>1</v>
      </c>
      <c r="E258" s="79">
        <f>BASICOS!E105</f>
        <v>463590</v>
      </c>
      <c r="F258" s="79">
        <f>+E258*D258</f>
        <v>463590</v>
      </c>
      <c r="O258" s="165"/>
      <c r="P258" s="77"/>
      <c r="Q258" s="379"/>
      <c r="R258" s="371"/>
      <c r="S258" s="371"/>
    </row>
    <row r="259" spans="1:19">
      <c r="A259" s="529"/>
      <c r="B259" s="165" t="s">
        <v>230</v>
      </c>
      <c r="C259" s="77" t="s">
        <v>26</v>
      </c>
      <c r="D259" s="78">
        <v>0.3</v>
      </c>
      <c r="E259" s="79" t="e">
        <f>INSUMOS!#REF!</f>
        <v>#REF!</v>
      </c>
      <c r="F259" s="79" t="e">
        <f>+E259*D259</f>
        <v>#REF!</v>
      </c>
      <c r="O259" s="36"/>
      <c r="P259" s="77"/>
      <c r="Q259" s="379"/>
      <c r="R259" s="371"/>
      <c r="S259" s="371"/>
    </row>
    <row r="260" spans="1:19">
      <c r="A260" s="529"/>
      <c r="B260" s="165" t="s">
        <v>517</v>
      </c>
      <c r="C260" s="77" t="s">
        <v>120</v>
      </c>
      <c r="D260" s="78">
        <f>+D258*420*0.5%</f>
        <v>2.1</v>
      </c>
      <c r="E260" s="79">
        <f>INSUMOS!D109</f>
        <v>19756</v>
      </c>
      <c r="F260" s="79">
        <f>+E260*D260</f>
        <v>41487.599999999999</v>
      </c>
      <c r="O260" s="36"/>
      <c r="P260" s="77"/>
      <c r="Q260" s="379"/>
      <c r="R260" s="371"/>
      <c r="S260" s="371"/>
    </row>
    <row r="261" spans="1:19">
      <c r="A261" s="529"/>
      <c r="B261" s="165" t="s">
        <v>518</v>
      </c>
      <c r="C261" s="77" t="s">
        <v>120</v>
      </c>
      <c r="D261" s="78">
        <v>4</v>
      </c>
      <c r="E261" s="79">
        <f>+INSUMOS!D110</f>
        <v>8466.85</v>
      </c>
      <c r="F261" s="79">
        <f>+E261*D261</f>
        <v>33867.4</v>
      </c>
      <c r="O261" s="36"/>
      <c r="P261" s="77"/>
      <c r="Q261" s="379"/>
      <c r="R261" s="371"/>
      <c r="S261" s="371"/>
    </row>
    <row r="262" spans="1:19">
      <c r="A262" s="529"/>
      <c r="B262" s="165" t="s">
        <v>229</v>
      </c>
      <c r="C262" s="77" t="s">
        <v>68</v>
      </c>
      <c r="D262" s="78">
        <v>0.05</v>
      </c>
      <c r="E262" s="79" t="e">
        <f>SUM(F258:F261)</f>
        <v>#REF!</v>
      </c>
      <c r="F262" s="79" t="e">
        <f>+D262*E262</f>
        <v>#REF!</v>
      </c>
      <c r="O262" s="36"/>
      <c r="P262" s="77"/>
      <c r="Q262" s="379"/>
      <c r="R262" s="371"/>
      <c r="S262" s="371"/>
    </row>
    <row r="263" spans="1:19">
      <c r="A263" s="529"/>
      <c r="B263" s="165" t="s">
        <v>136</v>
      </c>
      <c r="C263" s="77" t="s">
        <v>68</v>
      </c>
      <c r="D263" s="78"/>
      <c r="E263" s="79" t="e">
        <f>SUM(F258:F262)</f>
        <v>#REF!</v>
      </c>
      <c r="F263" s="79" t="e">
        <f>+D263*E263</f>
        <v>#REF!</v>
      </c>
      <c r="O263" s="36"/>
      <c r="P263" s="77"/>
      <c r="Q263" s="379"/>
      <c r="R263" s="371"/>
      <c r="S263" s="371"/>
    </row>
    <row r="264" spans="1:19">
      <c r="A264" s="529"/>
      <c r="B264" s="165" t="s">
        <v>231</v>
      </c>
      <c r="C264" s="77" t="s">
        <v>142</v>
      </c>
      <c r="D264" s="78">
        <v>0.1</v>
      </c>
      <c r="E264" s="79">
        <f>+BASICOS!D42</f>
        <v>136480.47829830134</v>
      </c>
      <c r="F264" s="79">
        <f>+E264*D264</f>
        <v>13648.047829830135</v>
      </c>
      <c r="O264" s="36"/>
      <c r="P264" s="77"/>
      <c r="Q264" s="379"/>
      <c r="R264" s="371"/>
      <c r="S264" s="371"/>
    </row>
    <row r="265" spans="1:19">
      <c r="A265" s="529"/>
      <c r="B265" s="165" t="s">
        <v>232</v>
      </c>
      <c r="C265" s="77" t="s">
        <v>26</v>
      </c>
      <c r="D265" s="78">
        <v>1</v>
      </c>
      <c r="E265" s="79">
        <f>+(BASICOS!E201*4)+(BASICOS!E196*1)</f>
        <v>172698.75</v>
      </c>
      <c r="F265" s="79">
        <f>+E265*D265</f>
        <v>172698.75</v>
      </c>
      <c r="O265" s="36"/>
      <c r="P265" s="77"/>
      <c r="Q265" s="379"/>
      <c r="R265" s="371"/>
      <c r="S265" s="371"/>
    </row>
    <row r="266" spans="1:19">
      <c r="A266" s="529"/>
      <c r="B266" s="165" t="s">
        <v>530</v>
      </c>
      <c r="C266" s="77" t="s">
        <v>142</v>
      </c>
      <c r="D266" s="78">
        <v>0.15</v>
      </c>
      <c r="E266" s="79">
        <f>+BASICOS!D42</f>
        <v>136480.47829830134</v>
      </c>
      <c r="F266" s="79">
        <f>+E266*D266</f>
        <v>20472.071744745201</v>
      </c>
      <c r="O266" s="36"/>
      <c r="P266" s="77"/>
      <c r="Q266" s="379"/>
      <c r="R266" s="371"/>
      <c r="S266" s="371"/>
    </row>
    <row r="267" spans="1:19">
      <c r="A267" s="529"/>
      <c r="B267" s="165" t="s">
        <v>11</v>
      </c>
      <c r="C267" s="77" t="s">
        <v>284</v>
      </c>
      <c r="D267" s="78">
        <v>0.03</v>
      </c>
      <c r="E267" s="79">
        <f>+F268</f>
        <v>261342.97994712333</v>
      </c>
      <c r="F267" s="79">
        <f>(D267*E267)</f>
        <v>7840.2893984136999</v>
      </c>
      <c r="O267" s="36"/>
      <c r="P267" s="77"/>
      <c r="Q267" s="379"/>
      <c r="R267" s="371"/>
      <c r="S267" s="371"/>
    </row>
    <row r="268" spans="1:19">
      <c r="A268" s="529"/>
      <c r="B268" s="165" t="s">
        <v>9</v>
      </c>
      <c r="C268" s="77" t="s">
        <v>10</v>
      </c>
      <c r="D268" s="78">
        <v>10</v>
      </c>
      <c r="E268" s="79">
        <f>+'VALOR CUADRILLAS MO'!D75</f>
        <v>26134.297994712331</v>
      </c>
      <c r="F268" s="79">
        <f>+E268*D268</f>
        <v>261342.97994712333</v>
      </c>
    </row>
    <row r="269" spans="1:19">
      <c r="A269" s="529"/>
      <c r="B269" s="165"/>
      <c r="C269" s="77"/>
      <c r="D269" s="78"/>
      <c r="E269" s="79"/>
      <c r="F269" s="79"/>
    </row>
    <row r="270" spans="1:19" ht="45.75" customHeight="1">
      <c r="A270" s="246">
        <f>+A257+1</f>
        <v>44</v>
      </c>
      <c r="B270" s="83" t="s">
        <v>123</v>
      </c>
      <c r="C270" s="76" t="s">
        <v>26</v>
      </c>
      <c r="D270" s="73"/>
      <c r="E270" s="74"/>
      <c r="F270" s="75" t="e">
        <f>ROUND(SUM(F271:F280),0)</f>
        <v>#REF!</v>
      </c>
    </row>
    <row r="271" spans="1:19">
      <c r="A271" s="529"/>
      <c r="B271" s="165" t="s">
        <v>31</v>
      </c>
      <c r="C271" s="77" t="s">
        <v>32</v>
      </c>
      <c r="D271" s="78">
        <v>94.38</v>
      </c>
      <c r="E271" s="79">
        <f>+BASICOS!D126</f>
        <v>606.9</v>
      </c>
      <c r="F271" s="79">
        <f t="shared" ref="F271:F277" si="3">+D271*E271</f>
        <v>57279.221999999994</v>
      </c>
    </row>
    <row r="272" spans="1:19">
      <c r="A272" s="529"/>
      <c r="B272" s="165" t="s">
        <v>33</v>
      </c>
      <c r="C272" s="77" t="s">
        <v>32</v>
      </c>
      <c r="D272" s="78">
        <v>0.09</v>
      </c>
      <c r="E272" s="79">
        <f>+INSUMOS!D44</f>
        <v>7066.22</v>
      </c>
      <c r="F272" s="79">
        <f t="shared" si="3"/>
        <v>635.95979999999997</v>
      </c>
    </row>
    <row r="273" spans="1:20">
      <c r="A273" s="529"/>
      <c r="B273" s="165" t="s">
        <v>34</v>
      </c>
      <c r="C273" s="77" t="s">
        <v>26</v>
      </c>
      <c r="D273" s="78">
        <v>133</v>
      </c>
      <c r="E273" s="79">
        <f>+BASICOS!D19</f>
        <v>400</v>
      </c>
      <c r="F273" s="79">
        <f t="shared" si="3"/>
        <v>53200</v>
      </c>
    </row>
    <row r="274" spans="1:20">
      <c r="A274" s="529"/>
      <c r="B274" s="165" t="s">
        <v>35</v>
      </c>
      <c r="C274" s="77" t="s">
        <v>121</v>
      </c>
      <c r="D274" s="78">
        <v>0.09</v>
      </c>
      <c r="E274" s="79">
        <f>+BASICOS!D10</f>
        <v>88160</v>
      </c>
      <c r="F274" s="79">
        <f t="shared" si="3"/>
        <v>7934.4</v>
      </c>
    </row>
    <row r="275" spans="1:20">
      <c r="A275" s="529"/>
      <c r="B275" s="165" t="s">
        <v>36</v>
      </c>
      <c r="C275" s="77" t="s">
        <v>121</v>
      </c>
      <c r="D275" s="78">
        <v>0.24</v>
      </c>
      <c r="E275" s="79">
        <f>+BASICOS!D9</f>
        <v>37500</v>
      </c>
      <c r="F275" s="79">
        <f t="shared" si="3"/>
        <v>9000</v>
      </c>
    </row>
    <row r="276" spans="1:20">
      <c r="A276" s="529"/>
      <c r="B276" s="165" t="s">
        <v>229</v>
      </c>
      <c r="C276" s="77" t="s">
        <v>68</v>
      </c>
      <c r="D276" s="78">
        <v>0.05</v>
      </c>
      <c r="E276" s="79">
        <f>SUM(F271:F275)</f>
        <v>128049.58179999999</v>
      </c>
      <c r="F276" s="79">
        <f t="shared" si="3"/>
        <v>6402.4790899999998</v>
      </c>
    </row>
    <row r="277" spans="1:20">
      <c r="A277" s="529"/>
      <c r="B277" s="165" t="s">
        <v>122</v>
      </c>
      <c r="C277" s="77" t="s">
        <v>26</v>
      </c>
      <c r="D277" s="78">
        <v>1</v>
      </c>
      <c r="E277" s="79" t="e">
        <f>INSUMOS!#REF!</f>
        <v>#REF!</v>
      </c>
      <c r="F277" s="79" t="e">
        <f t="shared" si="3"/>
        <v>#REF!</v>
      </c>
    </row>
    <row r="278" spans="1:20">
      <c r="A278" s="529"/>
      <c r="B278" s="165" t="s">
        <v>136</v>
      </c>
      <c r="C278" s="77" t="s">
        <v>68</v>
      </c>
      <c r="D278" s="78"/>
      <c r="E278" s="79" t="e">
        <f>SUM(F271:F277)</f>
        <v>#REF!</v>
      </c>
      <c r="F278" s="79" t="e">
        <f>+D278*E278</f>
        <v>#REF!</v>
      </c>
    </row>
    <row r="279" spans="1:20">
      <c r="A279" s="529"/>
      <c r="B279" s="165" t="s">
        <v>11</v>
      </c>
      <c r="C279" s="77" t="s">
        <v>284</v>
      </c>
      <c r="D279" s="78">
        <v>0.03</v>
      </c>
      <c r="E279" s="79">
        <f>+F280</f>
        <v>55404.711748790149</v>
      </c>
      <c r="F279" s="79">
        <f>(D279*E279)</f>
        <v>1662.1413524637044</v>
      </c>
    </row>
    <row r="280" spans="1:20">
      <c r="A280" s="529"/>
      <c r="B280" s="165" t="s">
        <v>9</v>
      </c>
      <c r="C280" s="77" t="s">
        <v>10</v>
      </c>
      <c r="D280" s="78">
        <f>2*1.06</f>
        <v>2.12</v>
      </c>
      <c r="E280" s="79">
        <f>+'VALOR CUADRILLAS MO'!D75</f>
        <v>26134.297994712331</v>
      </c>
      <c r="F280" s="79">
        <f>+D280*E280</f>
        <v>55404.711748790149</v>
      </c>
    </row>
    <row r="281" spans="1:20" s="64" customFormat="1">
      <c r="A281" s="529"/>
      <c r="B281" s="165"/>
      <c r="C281" s="77"/>
      <c r="D281" s="78"/>
      <c r="E281" s="79"/>
      <c r="F281" s="79"/>
      <c r="G281" s="2"/>
      <c r="H281" s="2"/>
      <c r="I281" s="2"/>
      <c r="J281" s="244"/>
      <c r="K281" s="244"/>
      <c r="L281" s="244"/>
      <c r="M281" s="3"/>
      <c r="N281" s="3"/>
      <c r="S281" s="3"/>
      <c r="T281" s="3"/>
    </row>
    <row r="282" spans="1:20" s="64" customFormat="1" ht="50.25" customHeight="1">
      <c r="A282" s="246">
        <f>+A270+1</f>
        <v>45</v>
      </c>
      <c r="B282" s="83" t="s">
        <v>272</v>
      </c>
      <c r="C282" s="76" t="s">
        <v>21</v>
      </c>
      <c r="D282" s="73"/>
      <c r="E282" s="74"/>
      <c r="F282" s="75" t="e">
        <f>ROUND(SUM(F283:F289),0)</f>
        <v>#REF!</v>
      </c>
      <c r="G282" s="2"/>
      <c r="H282" s="2"/>
      <c r="I282" s="2"/>
      <c r="J282" s="244"/>
      <c r="K282" s="244"/>
      <c r="L282" s="244"/>
      <c r="M282" s="3"/>
      <c r="N282" s="3"/>
      <c r="S282" s="3"/>
      <c r="T282" s="3"/>
    </row>
    <row r="283" spans="1:20" s="64" customFormat="1">
      <c r="A283" s="529"/>
      <c r="B283" s="165" t="s">
        <v>2636</v>
      </c>
      <c r="C283" s="77" t="s">
        <v>121</v>
      </c>
      <c r="D283" s="78">
        <v>0.8</v>
      </c>
      <c r="E283" s="79">
        <f>+BASICOS!E146</f>
        <v>392821</v>
      </c>
      <c r="F283" s="79">
        <f>+D283*E283</f>
        <v>314256.8</v>
      </c>
      <c r="G283" s="59"/>
      <c r="H283" s="2"/>
      <c r="I283" s="2"/>
      <c r="J283" s="244"/>
      <c r="K283" s="244"/>
      <c r="L283" s="244"/>
      <c r="M283" s="3"/>
      <c r="N283" s="3"/>
      <c r="S283" s="3"/>
      <c r="T283" s="3"/>
    </row>
    <row r="284" spans="1:20" s="64" customFormat="1">
      <c r="A284" s="529"/>
      <c r="B284" s="165" t="s">
        <v>229</v>
      </c>
      <c r="C284" s="77" t="s">
        <v>68</v>
      </c>
      <c r="D284" s="78">
        <v>0.05</v>
      </c>
      <c r="E284" s="79">
        <f>SUM(F283)</f>
        <v>314256.8</v>
      </c>
      <c r="F284" s="79">
        <f>+D284*E284</f>
        <v>15712.84</v>
      </c>
      <c r="G284" s="59"/>
      <c r="H284" s="2"/>
      <c r="I284" s="2"/>
      <c r="J284" s="244"/>
      <c r="K284" s="244"/>
      <c r="L284" s="244"/>
      <c r="M284" s="3"/>
      <c r="N284" s="363"/>
      <c r="S284" s="3"/>
      <c r="T284" s="3"/>
    </row>
    <row r="285" spans="1:20" s="64" customFormat="1">
      <c r="A285" s="529"/>
      <c r="B285" s="165" t="s">
        <v>136</v>
      </c>
      <c r="C285" s="77" t="s">
        <v>68</v>
      </c>
      <c r="D285" s="78"/>
      <c r="E285" s="79">
        <f>SUM(F283:F284)</f>
        <v>329969.64</v>
      </c>
      <c r="F285" s="79">
        <f>+D285*E285</f>
        <v>0</v>
      </c>
      <c r="G285" s="59"/>
      <c r="H285" s="2"/>
      <c r="I285" s="2"/>
      <c r="J285" s="244"/>
      <c r="K285" s="244"/>
      <c r="L285" s="244"/>
      <c r="M285" s="3"/>
      <c r="N285" s="3"/>
      <c r="S285" s="3"/>
      <c r="T285" s="3"/>
    </row>
    <row r="286" spans="1:20" s="64" customFormat="1">
      <c r="A286" s="529"/>
      <c r="B286" s="165" t="s">
        <v>187</v>
      </c>
      <c r="C286" s="77" t="s">
        <v>12</v>
      </c>
      <c r="D286" s="78">
        <v>0.03</v>
      </c>
      <c r="E286" s="79">
        <f>+BASICOS!D42</f>
        <v>136480.47829830134</v>
      </c>
      <c r="F286" s="79">
        <f>+D286*E286</f>
        <v>4094.4143489490402</v>
      </c>
      <c r="G286" s="59"/>
      <c r="H286" s="2"/>
      <c r="I286" s="2"/>
      <c r="J286" s="244"/>
      <c r="K286" s="244"/>
      <c r="L286" s="244"/>
      <c r="M286" s="3"/>
      <c r="N286" s="3"/>
      <c r="S286" s="3"/>
      <c r="T286" s="3"/>
    </row>
    <row r="287" spans="1:20" s="64" customFormat="1">
      <c r="A287" s="529"/>
      <c r="B287" s="165" t="s">
        <v>126</v>
      </c>
      <c r="C287" s="77" t="s">
        <v>15</v>
      </c>
      <c r="D287" s="78">
        <f>6</f>
        <v>6</v>
      </c>
      <c r="E287" s="79" t="e">
        <f>INSUMOS!#REF!</f>
        <v>#REF!</v>
      </c>
      <c r="F287" s="79" t="e">
        <f>+D287*E287</f>
        <v>#REF!</v>
      </c>
      <c r="G287" s="59"/>
      <c r="H287" s="2"/>
      <c r="I287" s="2"/>
      <c r="J287" s="244"/>
      <c r="K287" s="244"/>
      <c r="L287" s="244"/>
      <c r="M287" s="3"/>
      <c r="N287" s="3"/>
      <c r="S287" s="3"/>
      <c r="T287" s="3"/>
    </row>
    <row r="288" spans="1:20" s="64" customFormat="1">
      <c r="A288" s="529"/>
      <c r="B288" s="165" t="s">
        <v>11</v>
      </c>
      <c r="C288" s="77" t="s">
        <v>284</v>
      </c>
      <c r="D288" s="78">
        <v>0.03</v>
      </c>
      <c r="E288" s="79">
        <f>+F289</f>
        <v>182940.08596298631</v>
      </c>
      <c r="F288" s="79">
        <f>(D288*E288)</f>
        <v>5488.2025788895889</v>
      </c>
      <c r="G288" s="59"/>
      <c r="H288" s="2"/>
      <c r="I288" s="2"/>
      <c r="J288" s="244"/>
      <c r="K288" s="244"/>
      <c r="L288" s="244"/>
      <c r="M288" s="3"/>
      <c r="N288" s="3"/>
      <c r="S288" s="3"/>
      <c r="T288" s="3"/>
    </row>
    <row r="289" spans="1:20" s="64" customFormat="1">
      <c r="A289" s="529"/>
      <c r="B289" s="165" t="s">
        <v>9</v>
      </c>
      <c r="C289" s="77" t="s">
        <v>10</v>
      </c>
      <c r="D289" s="78">
        <f>7</f>
        <v>7</v>
      </c>
      <c r="E289" s="79">
        <f>+'VALOR CUADRILLAS MO'!D75</f>
        <v>26134.297994712331</v>
      </c>
      <c r="F289" s="79">
        <f>+D289*E289</f>
        <v>182940.08596298631</v>
      </c>
      <c r="G289" s="59"/>
      <c r="H289" s="2"/>
      <c r="I289" s="2"/>
      <c r="J289" s="244"/>
      <c r="K289" s="244"/>
      <c r="L289" s="244"/>
      <c r="M289" s="3"/>
      <c r="N289" s="3"/>
      <c r="S289" s="3"/>
      <c r="T289" s="3"/>
    </row>
    <row r="290" spans="1:20" s="64" customFormat="1">
      <c r="A290" s="529"/>
      <c r="B290" s="165"/>
      <c r="C290" s="77"/>
      <c r="D290" s="78"/>
      <c r="E290" s="79"/>
      <c r="F290" s="79"/>
      <c r="G290" s="59"/>
      <c r="H290" s="2"/>
      <c r="I290" s="2"/>
      <c r="J290" s="244"/>
      <c r="K290" s="244"/>
      <c r="L290" s="244"/>
      <c r="M290" s="3"/>
      <c r="N290" s="3"/>
      <c r="S290" s="3"/>
      <c r="T290" s="3"/>
    </row>
    <row r="291" spans="1:20" s="244" customFormat="1" ht="19.899999999999999" customHeight="1">
      <c r="A291" s="453" t="s">
        <v>400</v>
      </c>
      <c r="B291" s="454" t="s">
        <v>276</v>
      </c>
      <c r="C291" s="455"/>
      <c r="D291" s="456"/>
      <c r="E291" s="457"/>
      <c r="F291" s="457"/>
      <c r="G291" s="245"/>
      <c r="H291" s="2"/>
      <c r="I291" s="2"/>
      <c r="M291" s="3"/>
      <c r="N291" s="3"/>
      <c r="O291" s="64"/>
      <c r="P291" s="64"/>
      <c r="Q291" s="64"/>
      <c r="R291" s="64"/>
      <c r="S291" s="3"/>
      <c r="T291" s="3"/>
    </row>
    <row r="292" spans="1:20" s="244" customFormat="1" ht="68.25" customHeight="1">
      <c r="A292" s="246">
        <f>A282+1</f>
        <v>46</v>
      </c>
      <c r="B292" s="83" t="s">
        <v>499</v>
      </c>
      <c r="C292" s="76" t="s">
        <v>21</v>
      </c>
      <c r="D292" s="73"/>
      <c r="E292" s="74"/>
      <c r="F292" s="75" t="e">
        <f>ROUND(SUM(F293:F299),0)</f>
        <v>#REF!</v>
      </c>
      <c r="G292" s="2"/>
      <c r="H292" s="2"/>
      <c r="I292" s="2"/>
      <c r="M292" s="3"/>
      <c r="N292" s="3"/>
      <c r="O292" s="64"/>
      <c r="P292" s="64"/>
      <c r="Q292" s="64"/>
      <c r="R292" s="64"/>
      <c r="S292" s="3"/>
      <c r="T292" s="3"/>
    </row>
    <row r="293" spans="1:20" s="244" customFormat="1">
      <c r="A293" s="529"/>
      <c r="B293" s="165" t="s">
        <v>393</v>
      </c>
      <c r="C293" s="77" t="s">
        <v>120</v>
      </c>
      <c r="D293" s="78">
        <v>0.05</v>
      </c>
      <c r="E293" s="79" t="e">
        <f>+INSUMOS!#REF!</f>
        <v>#REF!</v>
      </c>
      <c r="F293" s="79" t="e">
        <f>+D293*E293</f>
        <v>#REF!</v>
      </c>
      <c r="G293" s="2"/>
      <c r="H293" s="2"/>
      <c r="I293" s="2"/>
      <c r="M293" s="3"/>
      <c r="N293" s="3"/>
      <c r="O293" s="64"/>
      <c r="P293" s="64"/>
      <c r="Q293" s="64"/>
      <c r="R293" s="64"/>
      <c r="S293" s="3"/>
      <c r="T293" s="3"/>
    </row>
    <row r="294" spans="1:20" s="244" customFormat="1">
      <c r="A294" s="529"/>
      <c r="B294" s="165" t="s">
        <v>394</v>
      </c>
      <c r="C294" s="77" t="s">
        <v>138</v>
      </c>
      <c r="D294" s="78">
        <v>1</v>
      </c>
      <c r="E294" s="79" t="e">
        <f>+INSUMOS!#REF!</f>
        <v>#REF!</v>
      </c>
      <c r="F294" s="79" t="e">
        <f>+D294*E294</f>
        <v>#REF!</v>
      </c>
      <c r="G294" s="2"/>
      <c r="H294" s="2"/>
      <c r="I294" s="2"/>
      <c r="M294" s="3"/>
      <c r="N294" s="3"/>
      <c r="O294" s="64"/>
      <c r="P294" s="64"/>
      <c r="Q294" s="64"/>
      <c r="R294" s="64"/>
      <c r="S294" s="3"/>
      <c r="T294" s="3"/>
    </row>
    <row r="295" spans="1:20" s="244" customFormat="1">
      <c r="A295" s="529"/>
      <c r="B295" s="165" t="s">
        <v>229</v>
      </c>
      <c r="C295" s="77" t="s">
        <v>68</v>
      </c>
      <c r="D295" s="78">
        <v>0.05</v>
      </c>
      <c r="E295" s="79" t="e">
        <f>SUM(F293:F294)</f>
        <v>#REF!</v>
      </c>
      <c r="F295" s="79" t="e">
        <f>+D295*E295</f>
        <v>#REF!</v>
      </c>
      <c r="G295" s="2"/>
      <c r="H295" s="2"/>
      <c r="I295" s="2"/>
      <c r="M295" s="3"/>
      <c r="N295" s="3"/>
      <c r="O295" s="64"/>
      <c r="P295" s="64"/>
      <c r="Q295" s="64"/>
      <c r="R295" s="64"/>
      <c r="S295" s="3"/>
      <c r="T295" s="3"/>
    </row>
    <row r="296" spans="1:20" s="244" customFormat="1" ht="25.5">
      <c r="A296" s="529"/>
      <c r="B296" s="165" t="s">
        <v>262</v>
      </c>
      <c r="C296" s="77" t="s">
        <v>21</v>
      </c>
      <c r="D296" s="78">
        <v>1</v>
      </c>
      <c r="E296" s="79">
        <f>+BASICOS!D40</f>
        <v>6000</v>
      </c>
      <c r="F296" s="79">
        <f>+D296*E296</f>
        <v>6000</v>
      </c>
      <c r="G296" s="2"/>
      <c r="H296" s="2"/>
      <c r="I296" s="2"/>
      <c r="M296" s="3"/>
      <c r="N296" s="3"/>
      <c r="O296" s="64"/>
      <c r="P296" s="64"/>
      <c r="Q296" s="64"/>
      <c r="R296" s="64"/>
      <c r="S296" s="3"/>
      <c r="T296" s="3"/>
    </row>
    <row r="297" spans="1:20" s="244" customFormat="1">
      <c r="A297" s="529"/>
      <c r="B297" s="165" t="s">
        <v>136</v>
      </c>
      <c r="C297" s="77" t="s">
        <v>68</v>
      </c>
      <c r="D297" s="78"/>
      <c r="E297" s="79" t="e">
        <f>SUM(F293:F296)</f>
        <v>#REF!</v>
      </c>
      <c r="F297" s="79" t="e">
        <f>+D297*E297</f>
        <v>#REF!</v>
      </c>
      <c r="G297" s="2"/>
      <c r="H297" s="2"/>
      <c r="I297" s="2"/>
      <c r="M297" s="3"/>
      <c r="N297" s="3"/>
      <c r="O297" s="64"/>
      <c r="P297" s="64"/>
      <c r="Q297" s="64"/>
      <c r="R297" s="64"/>
      <c r="S297" s="3"/>
      <c r="T297" s="3"/>
    </row>
    <row r="298" spans="1:20" s="244" customFormat="1">
      <c r="A298" s="529"/>
      <c r="B298" s="165" t="s">
        <v>11</v>
      </c>
      <c r="C298" s="77" t="s">
        <v>284</v>
      </c>
      <c r="D298" s="78">
        <v>0.03</v>
      </c>
      <c r="E298" s="79">
        <f>+F299</f>
        <v>2352.0868195241096</v>
      </c>
      <c r="F298" s="79">
        <f>(D298*E298)</f>
        <v>70.562604585723292</v>
      </c>
      <c r="G298" s="2"/>
      <c r="H298" s="2"/>
      <c r="I298" s="2"/>
      <c r="M298" s="3"/>
      <c r="N298" s="3"/>
      <c r="O298" s="64"/>
      <c r="P298" s="64"/>
      <c r="Q298" s="64"/>
      <c r="R298" s="64"/>
      <c r="S298" s="3"/>
      <c r="T298" s="3"/>
    </row>
    <row r="299" spans="1:20" s="244" customFormat="1">
      <c r="A299" s="529"/>
      <c r="B299" s="165" t="s">
        <v>9</v>
      </c>
      <c r="C299" s="77" t="s">
        <v>10</v>
      </c>
      <c r="D299" s="80">
        <v>0.09</v>
      </c>
      <c r="E299" s="79">
        <f>+'VALOR CUADRILLAS MO'!D75</f>
        <v>26134.297994712331</v>
      </c>
      <c r="F299" s="79">
        <f>+E299*D299</f>
        <v>2352.0868195241096</v>
      </c>
      <c r="G299" s="2"/>
      <c r="H299" s="2"/>
      <c r="I299" s="2"/>
      <c r="M299" s="3"/>
      <c r="N299" s="3"/>
      <c r="O299" s="64"/>
      <c r="P299" s="64"/>
      <c r="Q299" s="64"/>
      <c r="R299" s="64"/>
      <c r="S299" s="3"/>
      <c r="T299" s="3"/>
    </row>
    <row r="300" spans="1:20" s="244" customFormat="1">
      <c r="A300" s="529"/>
      <c r="B300" s="165"/>
      <c r="C300" s="77"/>
      <c r="D300" s="80"/>
      <c r="E300" s="79"/>
      <c r="F300" s="79"/>
      <c r="G300" s="2"/>
      <c r="H300" s="2"/>
      <c r="I300" s="2"/>
      <c r="M300" s="3"/>
      <c r="N300" s="3"/>
      <c r="O300" s="64"/>
      <c r="P300" s="64"/>
      <c r="Q300" s="64"/>
      <c r="R300" s="64"/>
      <c r="S300" s="3"/>
      <c r="T300" s="3"/>
    </row>
    <row r="301" spans="1:20" s="244" customFormat="1" ht="19.899999999999999" customHeight="1">
      <c r="A301" s="246">
        <f>A292+1</f>
        <v>47</v>
      </c>
      <c r="B301" s="83" t="s">
        <v>3007</v>
      </c>
      <c r="C301" s="76" t="s">
        <v>21</v>
      </c>
      <c r="D301" s="73"/>
      <c r="E301" s="74"/>
      <c r="F301" s="75">
        <f>ROUND(SUM(F302:F303),0)</f>
        <v>1077</v>
      </c>
      <c r="G301" s="2"/>
      <c r="H301" s="2"/>
      <c r="I301" s="2"/>
      <c r="M301" s="3"/>
      <c r="N301" s="3"/>
      <c r="O301" s="64"/>
      <c r="P301" s="64"/>
      <c r="Q301" s="64"/>
      <c r="R301" s="64"/>
      <c r="S301" s="3"/>
      <c r="T301" s="3"/>
    </row>
    <row r="302" spans="1:20" s="244" customFormat="1">
      <c r="A302" s="529"/>
      <c r="B302" s="36" t="s">
        <v>11</v>
      </c>
      <c r="C302" s="77" t="s">
        <v>284</v>
      </c>
      <c r="D302" s="78">
        <v>0.03</v>
      </c>
      <c r="E302" s="79">
        <f>+F303</f>
        <v>1045.3719197884932</v>
      </c>
      <c r="F302" s="303">
        <f>+D302*E302</f>
        <v>31.361157593654795</v>
      </c>
      <c r="G302" s="2"/>
      <c r="H302" s="2"/>
      <c r="I302" s="2"/>
      <c r="M302" s="3"/>
      <c r="N302" s="3"/>
      <c r="O302" s="64"/>
      <c r="P302" s="64"/>
      <c r="Q302" s="64"/>
      <c r="R302" s="64"/>
      <c r="S302" s="3"/>
      <c r="T302" s="3"/>
    </row>
    <row r="303" spans="1:20" s="244" customFormat="1">
      <c r="A303" s="529"/>
      <c r="B303" s="36" t="s">
        <v>9</v>
      </c>
      <c r="C303" s="77" t="s">
        <v>10</v>
      </c>
      <c r="D303" s="78">
        <v>0.04</v>
      </c>
      <c r="E303" s="303">
        <f>+'VALOR CUADRILLAS MO'!D75</f>
        <v>26134.297994712331</v>
      </c>
      <c r="F303" s="303">
        <f>+D303*E303</f>
        <v>1045.3719197884932</v>
      </c>
      <c r="G303" s="2"/>
      <c r="H303" s="2"/>
      <c r="I303" s="2"/>
      <c r="M303" s="3"/>
      <c r="N303" s="3"/>
      <c r="O303" s="64"/>
      <c r="P303" s="64"/>
      <c r="Q303" s="64"/>
      <c r="R303" s="64"/>
      <c r="S303" s="3"/>
      <c r="T303" s="3"/>
    </row>
    <row r="304" spans="1:20" s="244" customFormat="1">
      <c r="A304" s="529"/>
      <c r="B304" s="165"/>
      <c r="C304" s="77"/>
      <c r="D304" s="80"/>
      <c r="E304" s="79"/>
      <c r="F304" s="79"/>
      <c r="G304" s="2"/>
      <c r="H304" s="2"/>
      <c r="I304" s="2"/>
      <c r="M304" s="3"/>
      <c r="N304" s="3"/>
      <c r="O304" s="64"/>
      <c r="P304" s="64"/>
      <c r="Q304" s="64"/>
      <c r="R304" s="64"/>
      <c r="S304" s="3"/>
      <c r="T304" s="3"/>
    </row>
    <row r="305" spans="1:23" s="244" customFormat="1" ht="25.15" customHeight="1">
      <c r="A305" s="246">
        <f>A301+1</f>
        <v>48</v>
      </c>
      <c r="B305" s="83" t="s">
        <v>128</v>
      </c>
      <c r="C305" s="76" t="s">
        <v>21</v>
      </c>
      <c r="D305" s="73"/>
      <c r="E305" s="74"/>
      <c r="F305" s="75" t="e">
        <f>ROUND(SUM(F306:F311),0)</f>
        <v>#REF!</v>
      </c>
      <c r="G305" s="2"/>
      <c r="H305" s="2"/>
      <c r="I305" s="2"/>
      <c r="M305" s="3"/>
      <c r="N305" s="3"/>
      <c r="O305" s="64"/>
      <c r="P305" s="64"/>
      <c r="Q305" s="64"/>
      <c r="R305" s="64"/>
      <c r="S305" s="3"/>
      <c r="T305" s="3"/>
    </row>
    <row r="306" spans="1:23">
      <c r="A306" s="529"/>
      <c r="B306" s="165" t="s">
        <v>72</v>
      </c>
      <c r="C306" s="77" t="s">
        <v>32</v>
      </c>
      <c r="D306" s="78">
        <v>0.5</v>
      </c>
      <c r="E306" s="79" t="e">
        <f>+INSUMOS!#REF!</f>
        <v>#REF!</v>
      </c>
      <c r="F306" s="79" t="e">
        <f>(D306*E306)</f>
        <v>#REF!</v>
      </c>
    </row>
    <row r="307" spans="1:23">
      <c r="A307" s="529"/>
      <c r="B307" s="165" t="s">
        <v>73</v>
      </c>
      <c r="C307" s="77" t="s">
        <v>26</v>
      </c>
      <c r="D307" s="78">
        <v>0.1</v>
      </c>
      <c r="E307" s="79" t="e">
        <f>INSUMOS!#REF!</f>
        <v>#REF!</v>
      </c>
      <c r="F307" s="79" t="e">
        <f>(D307*E307)</f>
        <v>#REF!</v>
      </c>
    </row>
    <row r="308" spans="1:23">
      <c r="A308" s="529"/>
      <c r="B308" s="165" t="s">
        <v>229</v>
      </c>
      <c r="C308" s="77" t="s">
        <v>68</v>
      </c>
      <c r="D308" s="78">
        <v>0.05</v>
      </c>
      <c r="E308" s="79" t="e">
        <f>SUM(F306:F307)</f>
        <v>#REF!</v>
      </c>
      <c r="F308" s="79" t="e">
        <f>(D308*E308)</f>
        <v>#REF!</v>
      </c>
    </row>
    <row r="309" spans="1:23">
      <c r="A309" s="529"/>
      <c r="B309" s="165" t="s">
        <v>136</v>
      </c>
      <c r="C309" s="77" t="s">
        <v>68</v>
      </c>
      <c r="D309" s="78"/>
      <c r="E309" s="79" t="e">
        <f>SUM(F306:F308)</f>
        <v>#REF!</v>
      </c>
      <c r="F309" s="79" t="e">
        <f>+D309*E309</f>
        <v>#REF!</v>
      </c>
    </row>
    <row r="310" spans="1:23">
      <c r="A310" s="529"/>
      <c r="B310" s="165" t="s">
        <v>11</v>
      </c>
      <c r="C310" s="77" t="s">
        <v>12</v>
      </c>
      <c r="D310" s="78">
        <v>0.03</v>
      </c>
      <c r="E310" s="79">
        <f>+F311</f>
        <v>2613.4297994712333</v>
      </c>
      <c r="F310" s="79">
        <f>(D310*E310)</f>
        <v>78.402893984136995</v>
      </c>
    </row>
    <row r="311" spans="1:23">
      <c r="A311" s="529"/>
      <c r="B311" s="165" t="s">
        <v>9</v>
      </c>
      <c r="C311" s="77" t="s">
        <v>10</v>
      </c>
      <c r="D311" s="78">
        <v>0.1</v>
      </c>
      <c r="E311" s="79">
        <f>+'VALOR CUADRILLAS MO'!D75</f>
        <v>26134.297994712331</v>
      </c>
      <c r="F311" s="79">
        <f>(D311*E311)</f>
        <v>2613.4297994712333</v>
      </c>
    </row>
    <row r="312" spans="1:23" ht="13.5" thickBot="1">
      <c r="A312" s="529"/>
      <c r="B312" s="165"/>
      <c r="C312" s="77"/>
      <c r="D312" s="80"/>
      <c r="E312" s="79"/>
      <c r="F312" s="79"/>
    </row>
    <row r="313" spans="1:23" ht="67.150000000000006" customHeight="1" thickBot="1">
      <c r="A313" s="246">
        <f>A305+1</f>
        <v>49</v>
      </c>
      <c r="B313" s="83" t="s">
        <v>2998</v>
      </c>
      <c r="C313" s="76" t="s">
        <v>119</v>
      </c>
      <c r="D313" s="73"/>
      <c r="E313" s="74"/>
      <c r="F313" s="75" t="e">
        <f>ROUND(SUM(F314:F330),0)</f>
        <v>#REF!</v>
      </c>
      <c r="N313" s="1178" t="s">
        <v>3183</v>
      </c>
      <c r="O313" s="1179"/>
      <c r="P313" s="1178" t="s">
        <v>3184</v>
      </c>
      <c r="Q313" s="1179"/>
      <c r="R313" s="1178" t="s">
        <v>3185</v>
      </c>
      <c r="S313" s="1179"/>
      <c r="T313" s="1178" t="s">
        <v>3186</v>
      </c>
      <c r="U313" s="1179"/>
      <c r="V313" s="1178" t="s">
        <v>3187</v>
      </c>
      <c r="W313" s="1179"/>
    </row>
    <row r="314" spans="1:23" ht="13.5" thickBot="1">
      <c r="A314" s="529"/>
      <c r="B314" s="541" t="s">
        <v>2651</v>
      </c>
      <c r="C314" s="77" t="s">
        <v>2652</v>
      </c>
      <c r="D314" s="78">
        <v>36.764705882352942</v>
      </c>
      <c r="E314" s="79" t="e">
        <f>INSUMOS!#REF!</f>
        <v>#REF!</v>
      </c>
      <c r="F314" s="370" t="e">
        <f t="shared" ref="F314:F319" si="4">E314/D314</f>
        <v>#REF!</v>
      </c>
      <c r="N314" s="1166" t="s">
        <v>3188</v>
      </c>
      <c r="O314" s="1167"/>
      <c r="P314" s="650" t="s">
        <v>3189</v>
      </c>
      <c r="Q314" s="650" t="s">
        <v>3190</v>
      </c>
      <c r="R314" s="650" t="s">
        <v>3189</v>
      </c>
      <c r="S314" s="650" t="s">
        <v>3190</v>
      </c>
      <c r="T314" s="650" t="s">
        <v>3189</v>
      </c>
      <c r="U314" s="650" t="s">
        <v>3190</v>
      </c>
      <c r="V314" s="650" t="s">
        <v>3189</v>
      </c>
      <c r="W314" s="650" t="s">
        <v>3190</v>
      </c>
    </row>
    <row r="315" spans="1:23" ht="13.5" thickBot="1">
      <c r="A315" s="529"/>
      <c r="B315" s="541" t="s">
        <v>2653</v>
      </c>
      <c r="C315" s="77" t="s">
        <v>2652</v>
      </c>
      <c r="D315" s="78">
        <v>382.35294117647055</v>
      </c>
      <c r="E315" s="79" t="e">
        <f>INSUMOS!#REF!</f>
        <v>#REF!</v>
      </c>
      <c r="F315" s="370" t="e">
        <f t="shared" si="4"/>
        <v>#REF!</v>
      </c>
      <c r="N315" s="1168"/>
      <c r="O315" s="1169"/>
      <c r="P315" s="651" t="s">
        <v>3191</v>
      </c>
      <c r="Q315" s="651">
        <v>125</v>
      </c>
      <c r="R315" s="652">
        <v>43682</v>
      </c>
      <c r="S315" s="651">
        <v>15</v>
      </c>
      <c r="T315" s="651">
        <v>5</v>
      </c>
      <c r="U315" s="651">
        <v>125</v>
      </c>
      <c r="V315" s="651">
        <v>12</v>
      </c>
      <c r="W315" s="651">
        <v>300</v>
      </c>
    </row>
    <row r="316" spans="1:23" ht="39" thickBot="1">
      <c r="A316" s="529"/>
      <c r="B316" s="541" t="s">
        <v>2654</v>
      </c>
      <c r="C316" s="77" t="s">
        <v>2652</v>
      </c>
      <c r="D316" s="78">
        <v>23.529411764705884</v>
      </c>
      <c r="E316" s="79" t="e">
        <f>INSUMOS!#REF!</f>
        <v>#REF!</v>
      </c>
      <c r="F316" s="370" t="e">
        <f t="shared" si="4"/>
        <v>#REF!</v>
      </c>
      <c r="H316" s="2" t="s">
        <v>681</v>
      </c>
      <c r="I316" s="2">
        <v>5730000</v>
      </c>
      <c r="N316" s="1168"/>
      <c r="O316" s="1169"/>
      <c r="P316" s="651" t="s">
        <v>3192</v>
      </c>
      <c r="Q316" s="651">
        <v>150</v>
      </c>
      <c r="R316" s="652">
        <v>43558</v>
      </c>
      <c r="S316" s="651">
        <v>20</v>
      </c>
      <c r="T316" s="651">
        <v>6</v>
      </c>
      <c r="U316" s="651">
        <v>150</v>
      </c>
      <c r="V316" s="651">
        <v>14</v>
      </c>
      <c r="W316" s="651">
        <v>350</v>
      </c>
    </row>
    <row r="317" spans="1:23" ht="13.5" thickBot="1">
      <c r="A317" s="529"/>
      <c r="B317" s="541" t="s">
        <v>2655</v>
      </c>
      <c r="C317" s="77" t="s">
        <v>2652</v>
      </c>
      <c r="D317" s="78">
        <v>5.8823529411764701</v>
      </c>
      <c r="E317" s="79" t="e">
        <f>INSUMOS!#REF!</f>
        <v>#REF!</v>
      </c>
      <c r="F317" s="370" t="e">
        <f t="shared" si="4"/>
        <v>#REF!</v>
      </c>
      <c r="H317" s="2" t="s">
        <v>680</v>
      </c>
      <c r="N317" s="1168"/>
      <c r="O317" s="1169"/>
      <c r="P317" s="651" t="s">
        <v>3193</v>
      </c>
      <c r="Q317" s="651">
        <v>175</v>
      </c>
      <c r="R317" s="652">
        <v>43684</v>
      </c>
      <c r="S317" s="651">
        <v>25</v>
      </c>
      <c r="T317" s="651">
        <v>6</v>
      </c>
      <c r="U317" s="651">
        <v>150</v>
      </c>
      <c r="V317" s="651">
        <v>14</v>
      </c>
      <c r="W317" s="651">
        <v>350</v>
      </c>
    </row>
    <row r="318" spans="1:23" ht="13.5" thickBot="1">
      <c r="A318" s="529"/>
      <c r="B318" s="541" t="s">
        <v>2656</v>
      </c>
      <c r="C318" s="77" t="s">
        <v>2652</v>
      </c>
      <c r="D318" s="78">
        <v>14.705882352941176</v>
      </c>
      <c r="E318" s="79" t="e">
        <f>INSUMOS!#REF!</f>
        <v>#REF!</v>
      </c>
      <c r="F318" s="370" t="e">
        <f t="shared" si="4"/>
        <v>#REF!</v>
      </c>
      <c r="N318" s="1168"/>
      <c r="O318" s="1169"/>
      <c r="P318" s="651">
        <v>8</v>
      </c>
      <c r="Q318" s="651">
        <v>200</v>
      </c>
      <c r="R318" s="651">
        <v>1</v>
      </c>
      <c r="S318" s="651">
        <v>25</v>
      </c>
      <c r="T318" s="651">
        <v>6</v>
      </c>
      <c r="U318" s="651">
        <v>150</v>
      </c>
      <c r="V318" s="651">
        <v>14</v>
      </c>
      <c r="W318" s="651">
        <v>350</v>
      </c>
    </row>
    <row r="319" spans="1:23" ht="13.5" thickBot="1">
      <c r="A319" s="529"/>
      <c r="B319" s="541" t="s">
        <v>2657</v>
      </c>
      <c r="C319" s="77" t="s">
        <v>2652</v>
      </c>
      <c r="D319" s="78">
        <v>26.470588235294116</v>
      </c>
      <c r="E319" s="79" t="e">
        <f>INSUMOS!#REF!</f>
        <v>#REF!</v>
      </c>
      <c r="F319" s="370" t="e">
        <f t="shared" si="4"/>
        <v>#REF!</v>
      </c>
      <c r="N319" s="1170"/>
      <c r="O319" s="1171"/>
      <c r="P319" s="651">
        <v>9</v>
      </c>
      <c r="Q319" s="651">
        <v>225</v>
      </c>
      <c r="R319" s="653">
        <v>1.125</v>
      </c>
      <c r="S319" s="651">
        <v>30</v>
      </c>
      <c r="T319" s="651">
        <v>7</v>
      </c>
      <c r="U319" s="651">
        <v>180</v>
      </c>
      <c r="V319" s="651">
        <v>16</v>
      </c>
      <c r="W319" s="651">
        <v>400</v>
      </c>
    </row>
    <row r="320" spans="1:23" ht="13.5" thickBot="1">
      <c r="A320" s="529"/>
      <c r="B320" s="533" t="s">
        <v>2658</v>
      </c>
      <c r="C320" s="77" t="s">
        <v>32</v>
      </c>
      <c r="D320" s="78">
        <v>1.2405750000000002</v>
      </c>
      <c r="E320" s="79" t="e">
        <f>INSUMOS!#REF!</f>
        <v>#REF!</v>
      </c>
      <c r="F320" s="370" t="e">
        <f t="shared" ref="F320:F326" si="5">(D320*E320)</f>
        <v>#REF!</v>
      </c>
      <c r="N320" s="654" t="s">
        <v>3194</v>
      </c>
      <c r="O320" s="1176"/>
      <c r="P320" s="651" t="s">
        <v>3192</v>
      </c>
      <c r="Q320" s="651">
        <v>150</v>
      </c>
      <c r="R320" s="652">
        <v>43558</v>
      </c>
      <c r="S320" s="651">
        <v>20</v>
      </c>
      <c r="T320" s="651">
        <v>5</v>
      </c>
      <c r="U320" s="651">
        <v>125</v>
      </c>
      <c r="V320" s="651">
        <v>14</v>
      </c>
      <c r="W320" s="651">
        <v>360</v>
      </c>
    </row>
    <row r="321" spans="1:23" ht="13.5" thickBot="1">
      <c r="A321" s="529"/>
      <c r="B321" s="533" t="s">
        <v>2659</v>
      </c>
      <c r="C321" s="77" t="s">
        <v>32</v>
      </c>
      <c r="D321" s="78">
        <v>0.11816700000000004</v>
      </c>
      <c r="E321" s="79" t="e">
        <f>INSUMOS!#REF!</f>
        <v>#REF!</v>
      </c>
      <c r="F321" s="370" t="e">
        <f t="shared" si="5"/>
        <v>#REF!</v>
      </c>
      <c r="N321" s="655"/>
      <c r="O321" s="1176"/>
      <c r="P321" s="651">
        <v>6.5</v>
      </c>
      <c r="Q321" s="651">
        <v>165</v>
      </c>
      <c r="R321" s="652">
        <v>43684</v>
      </c>
      <c r="S321" s="651">
        <v>22</v>
      </c>
      <c r="T321" s="651">
        <v>5</v>
      </c>
      <c r="U321" s="651">
        <v>125</v>
      </c>
      <c r="V321" s="651">
        <v>14</v>
      </c>
      <c r="W321" s="651">
        <v>360</v>
      </c>
    </row>
    <row r="322" spans="1:23" ht="13.5" thickBot="1">
      <c r="A322" s="529"/>
      <c r="B322" s="533" t="s">
        <v>2660</v>
      </c>
      <c r="C322" s="77" t="s">
        <v>29</v>
      </c>
      <c r="D322" s="78">
        <v>0.68</v>
      </c>
      <c r="E322" s="79" t="e">
        <f>INSUMOS!#REF!</f>
        <v>#REF!</v>
      </c>
      <c r="F322" s="370" t="e">
        <f t="shared" si="5"/>
        <v>#REF!</v>
      </c>
      <c r="N322" s="654" t="s">
        <v>3195</v>
      </c>
      <c r="O322" s="1176"/>
      <c r="P322" s="651" t="s">
        <v>3193</v>
      </c>
      <c r="Q322" s="651">
        <v>180</v>
      </c>
      <c r="R322" s="651">
        <v>1</v>
      </c>
      <c r="S322" s="651">
        <v>25</v>
      </c>
      <c r="T322" s="651">
        <v>6</v>
      </c>
      <c r="U322" s="651">
        <v>150</v>
      </c>
      <c r="V322" s="651">
        <v>16</v>
      </c>
      <c r="W322" s="651">
        <v>400</v>
      </c>
    </row>
    <row r="323" spans="1:23" ht="13.5" thickBot="1">
      <c r="A323" s="529"/>
      <c r="B323" s="533" t="s">
        <v>2661</v>
      </c>
      <c r="C323" s="77" t="s">
        <v>29</v>
      </c>
      <c r="D323" s="78">
        <v>0.68</v>
      </c>
      <c r="E323" s="79" t="e">
        <f>INSUMOS!#REF!</f>
        <v>#REF!</v>
      </c>
      <c r="F323" s="370" t="e">
        <f t="shared" si="5"/>
        <v>#REF!</v>
      </c>
      <c r="N323" s="655"/>
      <c r="O323" s="1176"/>
      <c r="P323" s="651">
        <v>7.5</v>
      </c>
      <c r="Q323" s="651">
        <v>190</v>
      </c>
      <c r="R323" s="653">
        <v>1.125</v>
      </c>
      <c r="S323" s="651">
        <v>28</v>
      </c>
      <c r="T323" s="651">
        <v>7</v>
      </c>
      <c r="U323" s="651">
        <v>180</v>
      </c>
      <c r="V323" s="651">
        <v>16</v>
      </c>
      <c r="W323" s="651">
        <v>400</v>
      </c>
    </row>
    <row r="324" spans="1:23" ht="13.5" thickBot="1">
      <c r="A324" s="529"/>
      <c r="B324" s="533" t="s">
        <v>2662</v>
      </c>
      <c r="C324" s="77" t="s">
        <v>32</v>
      </c>
      <c r="D324" s="78">
        <v>0.19040000000000001</v>
      </c>
      <c r="E324" s="79" t="e">
        <f>INSUMOS!#REF!</f>
        <v>#REF!</v>
      </c>
      <c r="F324" s="370" t="e">
        <f t="shared" si="5"/>
        <v>#REF!</v>
      </c>
      <c r="N324" s="656" t="s">
        <v>3196</v>
      </c>
      <c r="O324" s="1177"/>
      <c r="P324" s="651">
        <v>8</v>
      </c>
      <c r="Q324" s="651">
        <v>225</v>
      </c>
      <c r="R324" s="653">
        <v>1.25</v>
      </c>
      <c r="S324" s="651">
        <v>32</v>
      </c>
      <c r="T324" s="651">
        <v>8</v>
      </c>
      <c r="U324" s="651">
        <v>200</v>
      </c>
      <c r="V324" s="651">
        <v>17</v>
      </c>
      <c r="W324" s="651">
        <v>430</v>
      </c>
    </row>
    <row r="325" spans="1:23" s="244" customFormat="1" ht="13.5" thickBot="1">
      <c r="A325" s="529"/>
      <c r="B325" s="533" t="s">
        <v>2967</v>
      </c>
      <c r="C325" s="77" t="s">
        <v>75</v>
      </c>
      <c r="D325" s="78">
        <v>0.17</v>
      </c>
      <c r="E325" s="71">
        <f>'CONCRETO PREMEZCLADO'!D9</f>
        <v>370781.39</v>
      </c>
      <c r="F325" s="370">
        <f t="shared" si="5"/>
        <v>63032.83630000001</v>
      </c>
      <c r="G325" s="2"/>
      <c r="H325" s="2"/>
      <c r="I325" s="2"/>
      <c r="M325" s="3"/>
      <c r="N325" s="1172" t="s">
        <v>3197</v>
      </c>
      <c r="O325" s="1173"/>
      <c r="P325" s="651">
        <v>10</v>
      </c>
      <c r="Q325" s="651">
        <v>250</v>
      </c>
      <c r="R325" s="651">
        <v>250</v>
      </c>
      <c r="S325" s="651">
        <v>30</v>
      </c>
      <c r="T325" s="653">
        <v>7.5</v>
      </c>
      <c r="U325" s="651">
        <v>190</v>
      </c>
      <c r="V325" s="651" t="s">
        <v>3198</v>
      </c>
      <c r="W325" s="651" t="s">
        <v>3199</v>
      </c>
    </row>
    <row r="326" spans="1:23" s="244" customFormat="1" ht="13.5" thickBot="1">
      <c r="A326" s="529"/>
      <c r="B326" s="533" t="s">
        <v>2663</v>
      </c>
      <c r="C326" s="77" t="s">
        <v>32</v>
      </c>
      <c r="D326" s="78">
        <v>1.0263152151410824</v>
      </c>
      <c r="E326" s="79">
        <f>INSUMOS!D46</f>
        <v>5600</v>
      </c>
      <c r="F326" s="370">
        <f t="shared" si="5"/>
        <v>5747.3652047900614</v>
      </c>
      <c r="G326" s="2"/>
      <c r="H326" s="2"/>
      <c r="I326" s="2"/>
      <c r="M326" s="3"/>
      <c r="N326" s="1174"/>
      <c r="O326" s="1175"/>
      <c r="P326" s="651">
        <v>10</v>
      </c>
      <c r="Q326" s="651">
        <v>300</v>
      </c>
      <c r="R326" s="653">
        <v>1.25</v>
      </c>
      <c r="S326" s="651">
        <v>40</v>
      </c>
      <c r="T326" s="651">
        <v>9</v>
      </c>
      <c r="U326" s="651">
        <v>225</v>
      </c>
      <c r="V326" s="651" t="s">
        <v>3200</v>
      </c>
      <c r="W326" s="651" t="s">
        <v>3201</v>
      </c>
    </row>
    <row r="327" spans="1:23" s="244" customFormat="1">
      <c r="A327" s="529"/>
      <c r="B327" s="165" t="s">
        <v>229</v>
      </c>
      <c r="C327" s="77" t="s">
        <v>68</v>
      </c>
      <c r="D327" s="78">
        <v>0.05</v>
      </c>
      <c r="E327" s="79" t="e">
        <f>SUM(F320:F326)</f>
        <v>#REF!</v>
      </c>
      <c r="F327" s="370" t="e">
        <f>+D327*E327</f>
        <v>#REF!</v>
      </c>
      <c r="G327" s="2"/>
      <c r="H327" s="2"/>
      <c r="I327" s="2"/>
      <c r="M327" s="3"/>
      <c r="N327" s="3"/>
      <c r="O327" s="64"/>
      <c r="P327" s="64"/>
      <c r="Q327" s="64"/>
      <c r="R327" s="64"/>
      <c r="S327" s="3"/>
      <c r="T327" s="3"/>
    </row>
    <row r="328" spans="1:23" s="244" customFormat="1">
      <c r="A328" s="529"/>
      <c r="B328" s="533" t="s">
        <v>2664</v>
      </c>
      <c r="C328" s="77" t="s">
        <v>2665</v>
      </c>
      <c r="D328" s="78">
        <v>2.21</v>
      </c>
      <c r="E328" s="79" t="e">
        <f>EDIFICACION!#REF!</f>
        <v>#REF!</v>
      </c>
      <c r="F328" s="370" t="e">
        <f>(D328*E328)</f>
        <v>#REF!</v>
      </c>
      <c r="G328" s="2"/>
      <c r="H328" s="2"/>
      <c r="I328" s="2"/>
      <c r="M328" s="3"/>
      <c r="N328" s="3"/>
      <c r="O328" s="64"/>
      <c r="P328" s="64"/>
      <c r="Q328" s="64"/>
      <c r="R328" s="64"/>
      <c r="S328" s="3"/>
      <c r="T328" s="3"/>
    </row>
    <row r="329" spans="1:23" s="244" customFormat="1">
      <c r="A329" s="529"/>
      <c r="B329" s="165" t="s">
        <v>11</v>
      </c>
      <c r="C329" s="77" t="s">
        <v>284</v>
      </c>
      <c r="D329" s="78">
        <v>0.03</v>
      </c>
      <c r="E329" s="79">
        <f>F330</f>
        <v>16882.756504584166</v>
      </c>
      <c r="F329" s="370">
        <f>+D329*E329</f>
        <v>506.48269513752496</v>
      </c>
      <c r="G329" s="2"/>
      <c r="H329" s="2"/>
      <c r="I329" s="2"/>
      <c r="M329" s="3"/>
      <c r="N329" s="3"/>
      <c r="O329" s="64"/>
      <c r="P329" s="64"/>
      <c r="Q329" s="64"/>
      <c r="R329" s="64"/>
      <c r="S329" s="3"/>
      <c r="T329" s="3"/>
    </row>
    <row r="330" spans="1:23" s="244" customFormat="1">
      <c r="A330" s="529"/>
      <c r="B330" s="165" t="s">
        <v>9</v>
      </c>
      <c r="C330" s="77" t="s">
        <v>10</v>
      </c>
      <c r="D330" s="78">
        <v>0.64600000000000002</v>
      </c>
      <c r="E330" s="79">
        <f>+'VALOR CUADRILLAS MO'!D75</f>
        <v>26134.297994712331</v>
      </c>
      <c r="F330" s="370">
        <f>+D330*E330</f>
        <v>16882.756504584166</v>
      </c>
      <c r="G330" s="2"/>
      <c r="H330" s="2"/>
      <c r="I330" s="2"/>
      <c r="M330" s="3"/>
      <c r="N330" s="3"/>
      <c r="O330" s="64"/>
      <c r="P330" s="64"/>
      <c r="Q330" s="64"/>
      <c r="R330" s="64"/>
      <c r="S330" s="3"/>
      <c r="T330" s="3"/>
    </row>
    <row r="331" spans="1:23" s="244" customFormat="1" ht="30.75">
      <c r="A331" s="529"/>
      <c r="B331" s="165"/>
      <c r="C331" s="77"/>
      <c r="D331" s="78"/>
      <c r="E331" s="79"/>
      <c r="F331" s="79"/>
      <c r="G331" s="2"/>
      <c r="H331" s="2"/>
      <c r="I331" s="2"/>
      <c r="M331" s="3"/>
      <c r="N331" s="3"/>
      <c r="O331" s="64"/>
      <c r="P331" s="64"/>
      <c r="Q331" s="64"/>
      <c r="R331" s="64"/>
      <c r="S331" s="657" t="s">
        <v>3202</v>
      </c>
      <c r="T331" s="3"/>
    </row>
    <row r="332" spans="1:23" s="244" customFormat="1" ht="68.45" customHeight="1">
      <c r="A332" s="246">
        <f>A313+1</f>
        <v>50</v>
      </c>
      <c r="B332" s="83" t="s">
        <v>2650</v>
      </c>
      <c r="C332" s="76" t="s">
        <v>121</v>
      </c>
      <c r="D332" s="73"/>
      <c r="E332" s="467"/>
      <c r="F332" s="468" t="e">
        <f>ROUND(SUM(F333:F349),0)</f>
        <v>#REF!</v>
      </c>
      <c r="G332" s="2"/>
      <c r="H332" s="2"/>
      <c r="I332" s="2"/>
      <c r="M332" s="468" t="e">
        <f>F332*0.17</f>
        <v>#REF!</v>
      </c>
      <c r="N332" s="43" t="s">
        <v>119</v>
      </c>
      <c r="O332" s="64"/>
      <c r="P332" s="64"/>
      <c r="Q332" s="64"/>
      <c r="R332" s="64"/>
      <c r="S332"/>
      <c r="T332" s="3"/>
    </row>
    <row r="333" spans="1:23" s="244" customFormat="1">
      <c r="A333" s="529"/>
      <c r="B333" s="541" t="s">
        <v>2651</v>
      </c>
      <c r="C333" s="77" t="s">
        <v>2652</v>
      </c>
      <c r="D333" s="78">
        <v>6.25</v>
      </c>
      <c r="E333" s="79" t="e">
        <f>INSUMOS!#REF!</f>
        <v>#REF!</v>
      </c>
      <c r="F333" s="370" t="e">
        <f t="shared" ref="F333:F338" si="6">E333/D333</f>
        <v>#REF!</v>
      </c>
      <c r="G333" s="2"/>
      <c r="H333" s="2"/>
      <c r="I333" s="2"/>
      <c r="M333" s="3"/>
      <c r="N333" s="3"/>
      <c r="O333" s="64"/>
      <c r="P333" s="64"/>
      <c r="Q333" s="64"/>
      <c r="R333" s="64"/>
      <c r="S333" s="658"/>
      <c r="T333" s="3"/>
    </row>
    <row r="334" spans="1:23" s="244" customFormat="1">
      <c r="A334" s="529"/>
      <c r="B334" s="541" t="s">
        <v>2653</v>
      </c>
      <c r="C334" s="77" t="s">
        <v>2652</v>
      </c>
      <c r="D334" s="78">
        <v>65</v>
      </c>
      <c r="E334" s="79" t="e">
        <f>INSUMOS!#REF!</f>
        <v>#REF!</v>
      </c>
      <c r="F334" s="370" t="e">
        <f t="shared" si="6"/>
        <v>#REF!</v>
      </c>
      <c r="G334" s="2"/>
      <c r="H334" s="2"/>
      <c r="I334" s="2"/>
      <c r="M334" s="3"/>
      <c r="N334" s="3"/>
      <c r="O334" s="64"/>
      <c r="P334" s="64"/>
      <c r="Q334" s="64"/>
      <c r="R334" s="64"/>
      <c r="S334"/>
      <c r="T334" s="3"/>
    </row>
    <row r="335" spans="1:23" s="244" customFormat="1" ht="38.25">
      <c r="A335" s="529"/>
      <c r="B335" s="541" t="s">
        <v>2654</v>
      </c>
      <c r="C335" s="77" t="s">
        <v>2652</v>
      </c>
      <c r="D335" s="78">
        <v>4</v>
      </c>
      <c r="E335" s="79" t="e">
        <f>INSUMOS!#REF!</f>
        <v>#REF!</v>
      </c>
      <c r="F335" s="370" t="e">
        <f t="shared" si="6"/>
        <v>#REF!</v>
      </c>
      <c r="G335" s="2"/>
      <c r="H335" s="2"/>
      <c r="I335" s="2"/>
      <c r="M335" s="3"/>
      <c r="N335" s="3"/>
      <c r="O335" s="64"/>
      <c r="P335" s="64"/>
      <c r="Q335" s="64"/>
      <c r="R335" s="64"/>
      <c r="S335" t="s">
        <v>3203</v>
      </c>
      <c r="T335" s="3"/>
    </row>
    <row r="336" spans="1:23" s="244" customFormat="1">
      <c r="A336" s="529"/>
      <c r="B336" s="541" t="s">
        <v>2655</v>
      </c>
      <c r="C336" s="77" t="s">
        <v>2652</v>
      </c>
      <c r="D336" s="78">
        <v>1</v>
      </c>
      <c r="E336" s="79" t="e">
        <f>INSUMOS!#REF!</f>
        <v>#REF!</v>
      </c>
      <c r="F336" s="370" t="e">
        <f t="shared" si="6"/>
        <v>#REF!</v>
      </c>
      <c r="G336" s="2"/>
      <c r="H336" s="2"/>
      <c r="I336" s="2"/>
      <c r="M336" s="370" t="e">
        <f>E335/D335</f>
        <v>#REF!</v>
      </c>
      <c r="N336" s="3"/>
      <c r="O336" s="64"/>
      <c r="P336" s="64"/>
      <c r="Q336" s="64"/>
      <c r="R336" s="64"/>
      <c r="S336"/>
      <c r="T336" s="3"/>
    </row>
    <row r="337" spans="1:20" s="244" customFormat="1">
      <c r="A337" s="529"/>
      <c r="B337" s="541" t="s">
        <v>2656</v>
      </c>
      <c r="C337" s="77" t="s">
        <v>2652</v>
      </c>
      <c r="D337" s="78">
        <v>2.5</v>
      </c>
      <c r="E337" s="79" t="e">
        <f>INSUMOS!#REF!</f>
        <v>#REF!</v>
      </c>
      <c r="F337" s="370" t="e">
        <f t="shared" si="6"/>
        <v>#REF!</v>
      </c>
      <c r="G337" s="2"/>
      <c r="H337" s="2"/>
      <c r="I337" s="2"/>
      <c r="M337" s="3"/>
      <c r="N337" s="3"/>
      <c r="O337" s="64"/>
      <c r="P337" s="64"/>
      <c r="Q337" s="64"/>
      <c r="R337" s="64"/>
      <c r="S337" s="659">
        <v>150</v>
      </c>
      <c r="T337" s="3"/>
    </row>
    <row r="338" spans="1:20" s="244" customFormat="1">
      <c r="A338" s="529"/>
      <c r="B338" s="541" t="s">
        <v>2657</v>
      </c>
      <c r="C338" s="77" t="s">
        <v>2652</v>
      </c>
      <c r="D338" s="78">
        <v>4.5</v>
      </c>
      <c r="E338" s="79" t="e">
        <f>INSUMOS!#REF!</f>
        <v>#REF!</v>
      </c>
      <c r="F338" s="370" t="e">
        <f t="shared" si="6"/>
        <v>#REF!</v>
      </c>
      <c r="G338" s="2"/>
      <c r="H338" s="2"/>
      <c r="I338" s="2"/>
      <c r="M338" s="3"/>
      <c r="N338" s="3"/>
      <c r="O338" s="64"/>
      <c r="P338" s="64"/>
      <c r="Q338" s="64"/>
      <c r="R338" s="64"/>
      <c r="S338"/>
      <c r="T338" s="3"/>
    </row>
    <row r="339" spans="1:20" s="244" customFormat="1">
      <c r="A339" s="529"/>
      <c r="B339" s="533" t="s">
        <v>2658</v>
      </c>
      <c r="C339" s="77" t="s">
        <v>32</v>
      </c>
      <c r="D339" s="78">
        <v>7.2975000000000003</v>
      </c>
      <c r="E339" s="79" t="e">
        <f>INSUMOS!#REF!</f>
        <v>#REF!</v>
      </c>
      <c r="F339" s="370" t="e">
        <f t="shared" ref="F339:F345" si="7">(D339*E339)</f>
        <v>#REF!</v>
      </c>
      <c r="G339" s="2"/>
      <c r="H339" s="2"/>
      <c r="I339" s="2"/>
      <c r="M339" s="3"/>
      <c r="N339" s="3"/>
      <c r="O339" s="64"/>
      <c r="P339" s="64"/>
      <c r="Q339" s="64"/>
      <c r="R339" s="64"/>
      <c r="S339" t="s">
        <v>3204</v>
      </c>
      <c r="T339" s="3"/>
    </row>
    <row r="340" spans="1:20" s="244" customFormat="1">
      <c r="A340" s="529"/>
      <c r="B340" s="533" t="s">
        <v>2659</v>
      </c>
      <c r="C340" s="77" t="s">
        <v>32</v>
      </c>
      <c r="D340" s="78">
        <v>0.69510000000000005</v>
      </c>
      <c r="E340" s="79" t="e">
        <f>INSUMOS!#REF!</f>
        <v>#REF!</v>
      </c>
      <c r="F340" s="370" t="e">
        <f t="shared" si="7"/>
        <v>#REF!</v>
      </c>
      <c r="G340" s="2"/>
      <c r="H340" s="2"/>
      <c r="I340" s="2"/>
      <c r="M340" s="3"/>
      <c r="N340" s="3"/>
      <c r="O340" s="64"/>
      <c r="P340" s="64"/>
      <c r="Q340" s="64"/>
      <c r="R340" s="64"/>
      <c r="S340" s="3"/>
      <c r="T340" s="3"/>
    </row>
    <row r="341" spans="1:20" s="244" customFormat="1">
      <c r="A341" s="529"/>
      <c r="B341" s="533" t="s">
        <v>2660</v>
      </c>
      <c r="C341" s="77" t="s">
        <v>29</v>
      </c>
      <c r="D341" s="78">
        <v>4</v>
      </c>
      <c r="E341" s="79" t="e">
        <f>INSUMOS!#REF!</f>
        <v>#REF!</v>
      </c>
      <c r="F341" s="370" t="e">
        <f t="shared" si="7"/>
        <v>#REF!</v>
      </c>
      <c r="G341" s="2"/>
      <c r="H341" s="2"/>
      <c r="I341" s="2"/>
      <c r="M341" s="3"/>
      <c r="N341" s="3"/>
      <c r="O341" s="64"/>
      <c r="P341" s="64"/>
      <c r="Q341" s="64"/>
      <c r="R341" s="64"/>
      <c r="S341" s="3"/>
      <c r="T341" s="3"/>
    </row>
    <row r="342" spans="1:20" s="244" customFormat="1">
      <c r="A342" s="529"/>
      <c r="B342" s="533" t="s">
        <v>2661</v>
      </c>
      <c r="C342" s="77" t="s">
        <v>29</v>
      </c>
      <c r="D342" s="78">
        <v>4</v>
      </c>
      <c r="E342" s="79" t="e">
        <f>INSUMOS!#REF!</f>
        <v>#REF!</v>
      </c>
      <c r="F342" s="370" t="e">
        <f t="shared" si="7"/>
        <v>#REF!</v>
      </c>
      <c r="G342" s="2"/>
      <c r="H342" s="2"/>
      <c r="I342" s="2"/>
      <c r="M342" s="3"/>
      <c r="N342" s="3"/>
      <c r="O342" s="64"/>
      <c r="P342" s="64"/>
      <c r="Q342" s="64"/>
      <c r="R342" s="64"/>
      <c r="S342" s="3"/>
      <c r="T342" s="3"/>
    </row>
    <row r="343" spans="1:20" s="244" customFormat="1">
      <c r="A343" s="529"/>
      <c r="B343" s="533" t="s">
        <v>2662</v>
      </c>
      <c r="C343" s="77" t="s">
        <v>32</v>
      </c>
      <c r="D343" s="78">
        <v>1.1200000000000001</v>
      </c>
      <c r="E343" s="79" t="e">
        <f>INSUMOS!#REF!</f>
        <v>#REF!</v>
      </c>
      <c r="F343" s="370" t="e">
        <f t="shared" si="7"/>
        <v>#REF!</v>
      </c>
      <c r="G343" s="2"/>
      <c r="H343" s="2"/>
      <c r="I343" s="2"/>
      <c r="M343" s="3"/>
      <c r="N343" s="3"/>
      <c r="O343" s="64"/>
      <c r="P343" s="64"/>
      <c r="Q343" s="64"/>
      <c r="R343" s="64"/>
      <c r="S343" s="3"/>
      <c r="T343" s="3"/>
    </row>
    <row r="344" spans="1:20" s="244" customFormat="1">
      <c r="A344" s="529"/>
      <c r="B344" s="533" t="s">
        <v>2967</v>
      </c>
      <c r="C344" s="77" t="s">
        <v>75</v>
      </c>
      <c r="D344" s="78">
        <v>1</v>
      </c>
      <c r="E344" s="71">
        <f>'CONCRETO PREMEZCLADO'!D9</f>
        <v>370781.39</v>
      </c>
      <c r="F344" s="370">
        <f t="shared" si="7"/>
        <v>370781.39</v>
      </c>
      <c r="G344" s="2"/>
      <c r="H344" s="2"/>
      <c r="I344" s="2"/>
      <c r="M344" s="429">
        <f>294000*1.19</f>
        <v>349860</v>
      </c>
      <c r="N344" s="535">
        <f>M344-E344</f>
        <v>-20921.390000000014</v>
      </c>
      <c r="O344" s="64"/>
      <c r="P344" s="64"/>
      <c r="Q344" s="64"/>
      <c r="R344" s="64"/>
      <c r="S344" s="3"/>
      <c r="T344" s="3"/>
    </row>
    <row r="345" spans="1:20" s="244" customFormat="1">
      <c r="A345" s="529"/>
      <c r="B345" s="533" t="s">
        <v>2663</v>
      </c>
      <c r="C345" s="77" t="s">
        <v>32</v>
      </c>
      <c r="D345" s="78">
        <v>6.0371483243593067</v>
      </c>
      <c r="E345" s="79">
        <f>INSUMOS!D46</f>
        <v>5600</v>
      </c>
      <c r="F345" s="370">
        <f t="shared" si="7"/>
        <v>33808.030616412121</v>
      </c>
      <c r="G345" s="2"/>
      <c r="H345" s="2"/>
      <c r="I345" s="2"/>
      <c r="M345" s="3"/>
      <c r="N345" s="3"/>
      <c r="O345" s="64"/>
      <c r="P345" s="64"/>
      <c r="Q345" s="64"/>
      <c r="R345" s="64"/>
      <c r="S345" s="3"/>
      <c r="T345" s="3"/>
    </row>
    <row r="346" spans="1:20" s="244" customFormat="1">
      <c r="A346" s="529"/>
      <c r="B346" s="165" t="s">
        <v>229</v>
      </c>
      <c r="C346" s="77" t="s">
        <v>68</v>
      </c>
      <c r="D346" s="78">
        <v>0.05</v>
      </c>
      <c r="E346" s="79" t="e">
        <f>SUM(F339:F345)</f>
        <v>#REF!</v>
      </c>
      <c r="F346" s="370" t="e">
        <f>+D346*E346</f>
        <v>#REF!</v>
      </c>
      <c r="G346" s="2"/>
      <c r="H346" s="2"/>
      <c r="I346" s="2"/>
      <c r="M346" s="3"/>
      <c r="N346" s="3"/>
      <c r="O346" s="64"/>
      <c r="P346" s="64"/>
      <c r="Q346" s="64"/>
      <c r="R346" s="64"/>
      <c r="S346" s="3"/>
      <c r="T346" s="3"/>
    </row>
    <row r="347" spans="1:20" s="244" customFormat="1">
      <c r="A347" s="529"/>
      <c r="B347" s="533" t="s">
        <v>2664</v>
      </c>
      <c r="C347" s="77" t="s">
        <v>2665</v>
      </c>
      <c r="D347" s="78">
        <v>13</v>
      </c>
      <c r="E347" s="79" t="e">
        <f>EDIFICACION!#REF!</f>
        <v>#REF!</v>
      </c>
      <c r="F347" s="370" t="e">
        <f>(D347*E347)</f>
        <v>#REF!</v>
      </c>
      <c r="G347" s="2"/>
      <c r="H347" s="2"/>
      <c r="I347" s="2"/>
      <c r="M347" s="3"/>
      <c r="N347" s="3"/>
      <c r="O347" s="64"/>
      <c r="P347" s="64"/>
      <c r="Q347" s="64"/>
      <c r="R347" s="64"/>
      <c r="S347" s="3"/>
      <c r="T347" s="3"/>
    </row>
    <row r="348" spans="1:20" s="244" customFormat="1">
      <c r="A348" s="529"/>
      <c r="B348" s="165" t="s">
        <v>11</v>
      </c>
      <c r="C348" s="77" t="s">
        <v>284</v>
      </c>
      <c r="D348" s="78">
        <v>0.03</v>
      </c>
      <c r="E348" s="79">
        <f>F349</f>
        <v>99310.33237990686</v>
      </c>
      <c r="F348" s="370">
        <f>+D348*E348</f>
        <v>2979.3099713972056</v>
      </c>
      <c r="G348" s="2"/>
      <c r="H348" s="2"/>
      <c r="I348" s="2"/>
      <c r="M348" s="3"/>
      <c r="N348" s="3"/>
      <c r="O348" s="64"/>
      <c r="P348" s="64"/>
      <c r="Q348" s="64"/>
      <c r="R348" s="64"/>
      <c r="S348" s="3"/>
      <c r="T348" s="3"/>
    </row>
    <row r="349" spans="1:20" s="244" customFormat="1">
      <c r="A349" s="529"/>
      <c r="B349" s="165" t="s">
        <v>9</v>
      </c>
      <c r="C349" s="77" t="s">
        <v>10</v>
      </c>
      <c r="D349" s="78">
        <v>3.8</v>
      </c>
      <c r="E349" s="79">
        <f>'VALOR CUADRILLAS MO'!D75</f>
        <v>26134.297994712331</v>
      </c>
      <c r="F349" s="370">
        <f>+D349*E349</f>
        <v>99310.33237990686</v>
      </c>
      <c r="G349" s="2"/>
      <c r="H349" s="2"/>
      <c r="I349" s="2"/>
      <c r="M349" s="535"/>
      <c r="N349" s="3"/>
      <c r="O349" s="64"/>
      <c r="P349" s="64"/>
      <c r="Q349" s="64"/>
      <c r="R349" s="64"/>
      <c r="S349" s="3"/>
      <c r="T349" s="3"/>
    </row>
    <row r="350" spans="1:20" s="244" customFormat="1">
      <c r="A350" s="529"/>
      <c r="B350" s="165"/>
      <c r="C350" s="77"/>
      <c r="D350" s="78"/>
      <c r="E350" s="79"/>
      <c r="F350" s="79"/>
      <c r="G350" s="2"/>
      <c r="H350" s="2"/>
      <c r="I350" s="2"/>
      <c r="M350" s="3"/>
      <c r="N350" s="3"/>
      <c r="O350" s="64"/>
      <c r="P350" s="64"/>
      <c r="Q350" s="64"/>
      <c r="R350" s="64"/>
      <c r="S350" s="3"/>
      <c r="T350" s="3"/>
    </row>
    <row r="351" spans="1:20" s="244" customFormat="1" ht="69" customHeight="1">
      <c r="A351" s="246">
        <f>A332+1</f>
        <v>51</v>
      </c>
      <c r="B351" s="83" t="s">
        <v>2999</v>
      </c>
      <c r="C351" s="76" t="s">
        <v>119</v>
      </c>
      <c r="D351" s="73"/>
      <c r="E351" s="74"/>
      <c r="F351" s="75" t="e">
        <f>ROUND(SUM(F352:F361),0)</f>
        <v>#REF!</v>
      </c>
      <c r="G351" s="2"/>
      <c r="H351" s="2"/>
      <c r="I351" s="66"/>
      <c r="M351" s="3"/>
      <c r="N351" s="3"/>
      <c r="O351" s="64"/>
      <c r="P351" s="64"/>
      <c r="Q351" s="64"/>
      <c r="R351" s="64"/>
      <c r="S351" s="3"/>
      <c r="T351" s="3"/>
    </row>
    <row r="352" spans="1:20" s="244" customFormat="1">
      <c r="A352" s="529"/>
      <c r="B352" s="165" t="s">
        <v>364</v>
      </c>
      <c r="C352" s="77" t="s">
        <v>158</v>
      </c>
      <c r="D352" s="78">
        <v>0.2</v>
      </c>
      <c r="E352" s="79">
        <f>+INSUMOS!D113</f>
        <v>18421.2</v>
      </c>
      <c r="F352" s="79">
        <f>+D352*E352</f>
        <v>3684.2400000000002</v>
      </c>
      <c r="G352" s="2"/>
      <c r="H352" s="2"/>
      <c r="I352" s="2"/>
      <c r="M352" s="3"/>
      <c r="N352" s="3"/>
      <c r="O352" s="64"/>
      <c r="P352" s="64"/>
      <c r="Q352" s="64"/>
      <c r="R352" s="64"/>
      <c r="S352" s="3"/>
      <c r="T352" s="3"/>
    </row>
    <row r="353" spans="1:20" s="244" customFormat="1">
      <c r="A353" s="529"/>
      <c r="B353" s="165" t="s">
        <v>2967</v>
      </c>
      <c r="C353" s="77" t="s">
        <v>121</v>
      </c>
      <c r="D353" s="78">
        <v>0.25</v>
      </c>
      <c r="E353" s="79">
        <f>'CONCRETO PREMEZCLADO'!D9</f>
        <v>370781.39</v>
      </c>
      <c r="F353" s="79">
        <f>+E353*D353</f>
        <v>92695.347500000003</v>
      </c>
      <c r="G353" s="2"/>
      <c r="H353" s="2"/>
      <c r="I353" s="2"/>
      <c r="M353" s="3"/>
      <c r="N353" s="3"/>
      <c r="O353" s="64"/>
      <c r="P353" s="64"/>
      <c r="Q353" s="64"/>
      <c r="R353" s="64"/>
      <c r="S353" s="3"/>
      <c r="T353" s="3"/>
    </row>
    <row r="354" spans="1:20" s="244" customFormat="1">
      <c r="A354" s="529"/>
      <c r="B354" s="165" t="s">
        <v>229</v>
      </c>
      <c r="C354" s="77" t="s">
        <v>68</v>
      </c>
      <c r="D354" s="78">
        <v>0.05</v>
      </c>
      <c r="E354" s="79">
        <f>SUM(F352:F353)</f>
        <v>96379.587500000009</v>
      </c>
      <c r="F354" s="79">
        <f t="shared" ref="F354:F359" si="8">+D354*E354</f>
        <v>4818.9793750000008</v>
      </c>
      <c r="G354" s="2"/>
      <c r="H354" s="2"/>
      <c r="I354" s="2"/>
      <c r="M354" s="3"/>
      <c r="N354" s="3"/>
      <c r="O354" s="64"/>
      <c r="P354" s="64"/>
      <c r="Q354" s="64"/>
      <c r="R354" s="64"/>
      <c r="S354" s="3"/>
      <c r="T354" s="3"/>
    </row>
    <row r="355" spans="1:20" s="244" customFormat="1">
      <c r="A355" s="529"/>
      <c r="B355" s="165" t="s">
        <v>494</v>
      </c>
      <c r="C355" s="77" t="s">
        <v>120</v>
      </c>
      <c r="D355" s="78">
        <v>2.68</v>
      </c>
      <c r="E355" s="79" t="e">
        <f>+F373</f>
        <v>#REF!</v>
      </c>
      <c r="F355" s="79" t="e">
        <f t="shared" si="8"/>
        <v>#REF!</v>
      </c>
      <c r="G355" s="2"/>
      <c r="H355" s="2"/>
      <c r="I355" s="2"/>
      <c r="M355" s="3"/>
      <c r="N355" s="3"/>
      <c r="O355" s="64"/>
      <c r="P355" s="64"/>
      <c r="Q355" s="64"/>
      <c r="R355" s="64"/>
      <c r="S355" s="3"/>
      <c r="T355" s="3"/>
    </row>
    <row r="356" spans="1:20" s="244" customFormat="1">
      <c r="A356" s="529"/>
      <c r="B356" s="165" t="s">
        <v>268</v>
      </c>
      <c r="C356" s="77" t="s">
        <v>120</v>
      </c>
      <c r="D356" s="78">
        <v>0.24</v>
      </c>
      <c r="E356" s="79">
        <f>+F384</f>
        <v>4286</v>
      </c>
      <c r="F356" s="79">
        <f t="shared" si="8"/>
        <v>1028.6399999999999</v>
      </c>
      <c r="G356" s="2"/>
      <c r="H356" s="2"/>
      <c r="I356" s="2"/>
      <c r="M356" s="3"/>
      <c r="N356" s="3"/>
      <c r="O356" s="64"/>
      <c r="P356" s="64"/>
      <c r="Q356" s="64"/>
      <c r="R356" s="64"/>
      <c r="S356" s="3"/>
      <c r="T356" s="3"/>
    </row>
    <row r="357" spans="1:20" s="244" customFormat="1">
      <c r="A357" s="529"/>
      <c r="B357" s="165" t="s">
        <v>136</v>
      </c>
      <c r="C357" s="77" t="s">
        <v>68</v>
      </c>
      <c r="D357" s="78"/>
      <c r="E357" s="79" t="e">
        <f>SUM(F352:F356)</f>
        <v>#REF!</v>
      </c>
      <c r="F357" s="79" t="e">
        <f>+D357*E357</f>
        <v>#REF!</v>
      </c>
      <c r="G357" s="2"/>
      <c r="H357" s="2"/>
      <c r="I357" s="2"/>
      <c r="M357" s="3"/>
      <c r="N357" s="3"/>
      <c r="O357" s="64"/>
      <c r="P357" s="64"/>
      <c r="Q357" s="64"/>
      <c r="R357" s="64"/>
      <c r="S357" s="3"/>
      <c r="T357" s="3"/>
    </row>
    <row r="358" spans="1:20" s="244" customFormat="1">
      <c r="A358" s="529"/>
      <c r="B358" s="165" t="s">
        <v>187</v>
      </c>
      <c r="C358" s="77" t="s">
        <v>12</v>
      </c>
      <c r="D358" s="80">
        <v>8.9999999999999993E-3</v>
      </c>
      <c r="E358" s="79">
        <f>+BASICOS!D42</f>
        <v>136480.47829830134</v>
      </c>
      <c r="F358" s="79">
        <f t="shared" si="8"/>
        <v>1228.3243046847119</v>
      </c>
      <c r="G358" s="2"/>
      <c r="H358" s="2"/>
      <c r="I358" s="2"/>
      <c r="M358" s="3"/>
      <c r="N358" s="3"/>
      <c r="O358" s="64"/>
      <c r="P358" s="64"/>
      <c r="Q358" s="64"/>
      <c r="R358" s="64"/>
      <c r="S358" s="3"/>
      <c r="T358" s="3"/>
    </row>
    <row r="359" spans="1:20" s="244" customFormat="1">
      <c r="A359" s="529"/>
      <c r="B359" s="165" t="s">
        <v>263</v>
      </c>
      <c r="C359" s="77" t="s">
        <v>12</v>
      </c>
      <c r="D359" s="78">
        <v>0.2</v>
      </c>
      <c r="E359" s="79">
        <f>+BASICOS!D48</f>
        <v>1785</v>
      </c>
      <c r="F359" s="79">
        <f t="shared" si="8"/>
        <v>357</v>
      </c>
      <c r="G359" s="2"/>
      <c r="H359" s="2"/>
      <c r="I359" s="2"/>
      <c r="M359" s="3"/>
      <c r="N359" s="3"/>
      <c r="O359" s="64"/>
      <c r="P359" s="64"/>
      <c r="Q359" s="64"/>
      <c r="R359" s="64"/>
      <c r="S359" s="3"/>
      <c r="T359" s="3"/>
    </row>
    <row r="360" spans="1:20" s="244" customFormat="1">
      <c r="A360" s="529"/>
      <c r="B360" s="165" t="s">
        <v>11</v>
      </c>
      <c r="C360" s="77" t="s">
        <v>284</v>
      </c>
      <c r="D360" s="78">
        <v>0.03</v>
      </c>
      <c r="E360" s="79">
        <f>+F361</f>
        <v>18294.00859629863</v>
      </c>
      <c r="F360" s="79">
        <f>(D360*E360)</f>
        <v>548.82025788895885</v>
      </c>
      <c r="G360" s="2"/>
      <c r="H360" s="2"/>
      <c r="I360" s="2"/>
      <c r="M360" s="3"/>
      <c r="N360" s="3"/>
      <c r="O360" s="64"/>
      <c r="P360" s="64"/>
      <c r="Q360" s="64"/>
      <c r="R360" s="64"/>
      <c r="S360" s="3"/>
      <c r="T360" s="3"/>
    </row>
    <row r="361" spans="1:20" s="244" customFormat="1">
      <c r="A361" s="529"/>
      <c r="B361" s="165" t="s">
        <v>9</v>
      </c>
      <c r="C361" s="77" t="s">
        <v>10</v>
      </c>
      <c r="D361" s="78">
        <v>0.7</v>
      </c>
      <c r="E361" s="79">
        <f>+'VALOR CUADRILLAS MO'!D75</f>
        <v>26134.297994712331</v>
      </c>
      <c r="F361" s="79">
        <f>+E361*D361</f>
        <v>18294.00859629863</v>
      </c>
      <c r="G361" s="2"/>
      <c r="H361" s="2"/>
      <c r="I361" s="2"/>
      <c r="M361" s="3"/>
      <c r="N361" s="3"/>
      <c r="O361" s="64"/>
      <c r="P361" s="64"/>
      <c r="Q361" s="64"/>
      <c r="R361" s="64"/>
      <c r="S361" s="3"/>
      <c r="T361" s="3"/>
    </row>
    <row r="362" spans="1:20" s="244" customFormat="1">
      <c r="A362" s="529"/>
      <c r="B362" s="165"/>
      <c r="C362" s="77"/>
      <c r="D362" s="78"/>
      <c r="E362" s="79"/>
      <c r="F362" s="79"/>
      <c r="G362" s="2"/>
      <c r="H362" s="2"/>
      <c r="I362" s="2"/>
      <c r="M362" s="3"/>
      <c r="N362" s="3"/>
      <c r="O362" s="64"/>
      <c r="P362" s="64"/>
      <c r="Q362" s="64"/>
      <c r="R362" s="64"/>
      <c r="S362" s="3"/>
      <c r="T362" s="3"/>
    </row>
    <row r="363" spans="1:20" s="244" customFormat="1" ht="19.899999999999999" customHeight="1">
      <c r="A363" s="246">
        <f>A351+1</f>
        <v>52</v>
      </c>
      <c r="B363" s="83" t="s">
        <v>714</v>
      </c>
      <c r="C363" s="76" t="s">
        <v>119</v>
      </c>
      <c r="D363" s="73"/>
      <c r="E363" s="74"/>
      <c r="F363" s="75">
        <f>ROUND(SUM(F364:F371),0)</f>
        <v>101405</v>
      </c>
      <c r="G363" s="2"/>
      <c r="H363" s="2"/>
      <c r="I363" s="2"/>
      <c r="M363" s="3"/>
      <c r="N363" s="3"/>
      <c r="O363" s="64"/>
      <c r="P363" s="64"/>
      <c r="Q363" s="64"/>
      <c r="R363" s="64"/>
      <c r="S363" s="3"/>
      <c r="T363" s="3"/>
    </row>
    <row r="364" spans="1:20" s="244" customFormat="1">
      <c r="A364" s="529"/>
      <c r="B364" s="165" t="s">
        <v>364</v>
      </c>
      <c r="C364" s="77" t="s">
        <v>158</v>
      </c>
      <c r="D364" s="78">
        <v>0.2</v>
      </c>
      <c r="E364" s="79">
        <f>+INSUMOS!D113</f>
        <v>18421.2</v>
      </c>
      <c r="F364" s="79">
        <f>+D364*E364</f>
        <v>3684.2400000000002</v>
      </c>
      <c r="G364" s="2"/>
      <c r="H364" s="2"/>
      <c r="I364" s="2"/>
      <c r="M364" s="3"/>
      <c r="N364" s="3"/>
      <c r="O364" s="64"/>
      <c r="P364" s="64"/>
      <c r="Q364" s="64"/>
      <c r="R364" s="64"/>
      <c r="S364" s="3"/>
      <c r="T364" s="3"/>
    </row>
    <row r="365" spans="1:20" s="2" customFormat="1">
      <c r="A365" s="529"/>
      <c r="B365" s="165" t="s">
        <v>2636</v>
      </c>
      <c r="C365" s="77" t="s">
        <v>121</v>
      </c>
      <c r="D365" s="78">
        <v>0.2</v>
      </c>
      <c r="E365" s="79">
        <f>BASICOS!E146</f>
        <v>392821</v>
      </c>
      <c r="F365" s="79">
        <f>+E365*D365</f>
        <v>78564.2</v>
      </c>
      <c r="J365" s="244"/>
      <c r="K365" s="244"/>
      <c r="L365" s="244"/>
      <c r="M365" s="3"/>
      <c r="N365" s="3"/>
      <c r="O365" s="64"/>
      <c r="P365" s="64"/>
      <c r="Q365" s="64"/>
      <c r="R365" s="64"/>
      <c r="S365" s="3"/>
      <c r="T365" s="3"/>
    </row>
    <row r="366" spans="1:20" s="2" customFormat="1">
      <c r="A366" s="529"/>
      <c r="B366" s="165" t="s">
        <v>229</v>
      </c>
      <c r="C366" s="77" t="s">
        <v>68</v>
      </c>
      <c r="D366" s="78">
        <v>0.05</v>
      </c>
      <c r="E366" s="79">
        <f>SUM(F364:F365)</f>
        <v>82248.44</v>
      </c>
      <c r="F366" s="79">
        <f>+D366*E366</f>
        <v>4112.4220000000005</v>
      </c>
      <c r="J366" s="244"/>
      <c r="K366" s="244"/>
      <c r="L366" s="244"/>
      <c r="M366" s="3"/>
      <c r="N366" s="3"/>
      <c r="O366" s="64"/>
      <c r="P366" s="64"/>
      <c r="Q366" s="64"/>
      <c r="R366" s="64"/>
      <c r="S366" s="3"/>
      <c r="T366" s="3"/>
    </row>
    <row r="367" spans="1:20" s="2" customFormat="1">
      <c r="A367" s="529"/>
      <c r="B367" s="165" t="s">
        <v>136</v>
      </c>
      <c r="C367" s="77" t="s">
        <v>68</v>
      </c>
      <c r="D367" s="78"/>
      <c r="E367" s="79">
        <f>SUM(F364:F366)</f>
        <v>86360.862000000008</v>
      </c>
      <c r="F367" s="79">
        <f>+D367*E367</f>
        <v>0</v>
      </c>
      <c r="J367" s="244"/>
      <c r="K367" s="244"/>
      <c r="L367" s="244"/>
      <c r="M367" s="3"/>
      <c r="N367" s="3"/>
      <c r="O367" s="64"/>
      <c r="P367" s="64"/>
      <c r="Q367" s="64"/>
      <c r="R367" s="64"/>
      <c r="S367" s="3"/>
      <c r="T367" s="3"/>
    </row>
    <row r="368" spans="1:20" s="2" customFormat="1">
      <c r="A368" s="529"/>
      <c r="B368" s="165" t="s">
        <v>187</v>
      </c>
      <c r="C368" s="77" t="s">
        <v>12</v>
      </c>
      <c r="D368" s="80">
        <v>8.9999999999999993E-3</v>
      </c>
      <c r="E368" s="79">
        <f>+BASICOS!D42</f>
        <v>136480.47829830134</v>
      </c>
      <c r="F368" s="79">
        <f>+D368*E368</f>
        <v>1228.3243046847119</v>
      </c>
      <c r="J368" s="244"/>
      <c r="K368" s="244"/>
      <c r="L368" s="244"/>
      <c r="M368" s="3"/>
      <c r="N368" s="3"/>
      <c r="O368" s="64"/>
      <c r="P368" s="64"/>
      <c r="Q368" s="64"/>
      <c r="R368" s="64"/>
      <c r="S368" s="3"/>
      <c r="T368" s="3"/>
    </row>
    <row r="369" spans="1:20" s="2" customFormat="1">
      <c r="A369" s="529"/>
      <c r="B369" s="165" t="s">
        <v>263</v>
      </c>
      <c r="C369" s="77" t="s">
        <v>12</v>
      </c>
      <c r="D369" s="78">
        <v>0.2</v>
      </c>
      <c r="E369" s="79">
        <f>+BASICOS!D48</f>
        <v>1785</v>
      </c>
      <c r="F369" s="79">
        <f>+D369*E369</f>
        <v>357</v>
      </c>
      <c r="J369" s="244"/>
      <c r="K369" s="244"/>
      <c r="L369" s="244"/>
      <c r="M369" s="3"/>
      <c r="N369" s="3"/>
      <c r="O369" s="64"/>
      <c r="P369" s="64"/>
      <c r="Q369" s="64"/>
      <c r="R369" s="64"/>
      <c r="S369" s="3"/>
      <c r="T369" s="3"/>
    </row>
    <row r="370" spans="1:20" s="2" customFormat="1">
      <c r="A370" s="529"/>
      <c r="B370" s="165" t="s">
        <v>11</v>
      </c>
      <c r="C370" s="77" t="s">
        <v>284</v>
      </c>
      <c r="D370" s="78">
        <v>0.03</v>
      </c>
      <c r="E370" s="79">
        <f>+F371</f>
        <v>13067.148997356166</v>
      </c>
      <c r="F370" s="79">
        <f>(D370*E370)</f>
        <v>392.01446992068497</v>
      </c>
      <c r="J370" s="244"/>
      <c r="K370" s="244"/>
      <c r="L370" s="244"/>
      <c r="M370" s="3"/>
      <c r="N370" s="3"/>
      <c r="O370" s="64"/>
      <c r="P370" s="64"/>
      <c r="Q370" s="64"/>
      <c r="R370" s="64"/>
      <c r="S370" s="3"/>
      <c r="T370" s="3"/>
    </row>
    <row r="371" spans="1:20" s="2" customFormat="1">
      <c r="A371" s="529"/>
      <c r="B371" s="165" t="s">
        <v>9</v>
      </c>
      <c r="C371" s="77" t="s">
        <v>10</v>
      </c>
      <c r="D371" s="78">
        <v>0.5</v>
      </c>
      <c r="E371" s="79">
        <f>+'VALOR CUADRILLAS MO'!D75</f>
        <v>26134.297994712331</v>
      </c>
      <c r="F371" s="79">
        <f>+E371*D371</f>
        <v>13067.148997356166</v>
      </c>
      <c r="J371" s="244"/>
      <c r="K371" s="244"/>
      <c r="L371" s="244"/>
      <c r="M371" s="3"/>
      <c r="N371" s="3"/>
      <c r="O371" s="64"/>
      <c r="P371" s="64"/>
      <c r="Q371" s="64"/>
      <c r="R371" s="64"/>
      <c r="S371" s="3"/>
      <c r="T371" s="3"/>
    </row>
    <row r="372" spans="1:20" s="2" customFormat="1">
      <c r="A372" s="529"/>
      <c r="B372" s="165"/>
      <c r="C372" s="77"/>
      <c r="D372" s="78"/>
      <c r="E372" s="79"/>
      <c r="F372" s="79"/>
      <c r="J372" s="244"/>
      <c r="K372" s="244"/>
      <c r="L372" s="244"/>
      <c r="M372" s="3"/>
      <c r="N372" s="3"/>
      <c r="O372" s="64"/>
      <c r="P372" s="64"/>
      <c r="Q372" s="64"/>
      <c r="R372" s="64"/>
      <c r="S372" s="3"/>
      <c r="T372" s="3"/>
    </row>
    <row r="373" spans="1:20" s="2" customFormat="1" ht="19.899999999999999" customHeight="1">
      <c r="A373" s="246">
        <f>A363+1</f>
        <v>53</v>
      </c>
      <c r="B373" s="83" t="s">
        <v>264</v>
      </c>
      <c r="C373" s="76" t="s">
        <v>120</v>
      </c>
      <c r="D373" s="73"/>
      <c r="E373" s="74"/>
      <c r="F373" s="75" t="e">
        <f>ROUND(SUM(F374:F382),0)</f>
        <v>#REF!</v>
      </c>
      <c r="J373" s="244"/>
      <c r="K373" s="244"/>
      <c r="L373" s="244"/>
      <c r="M373" s="3"/>
      <c r="N373" s="3"/>
      <c r="O373" s="64"/>
      <c r="P373" s="64"/>
      <c r="Q373" s="64"/>
      <c r="R373" s="64"/>
      <c r="S373" s="3"/>
      <c r="T373" s="3"/>
    </row>
    <row r="374" spans="1:20" s="2" customFormat="1" ht="15.75" customHeight="1">
      <c r="A374" s="529"/>
      <c r="B374" s="165" t="s">
        <v>265</v>
      </c>
      <c r="C374" s="77" t="s">
        <v>158</v>
      </c>
      <c r="D374" s="78">
        <v>1</v>
      </c>
      <c r="E374" s="79">
        <f>+INSUMOS!D57</f>
        <v>3737.71</v>
      </c>
      <c r="F374" s="79">
        <f t="shared" ref="F374:F380" si="9">+D374*E374</f>
        <v>3737.71</v>
      </c>
      <c r="J374" s="244"/>
      <c r="K374" s="244"/>
      <c r="L374" s="244"/>
      <c r="M374" s="3"/>
      <c r="N374" s="3"/>
      <c r="O374" s="64"/>
      <c r="P374" s="64"/>
      <c r="Q374" s="64"/>
      <c r="R374" s="64"/>
      <c r="S374" s="3"/>
      <c r="T374" s="3"/>
    </row>
    <row r="375" spans="1:20" s="2" customFormat="1">
      <c r="A375" s="529"/>
      <c r="B375" s="165" t="s">
        <v>33</v>
      </c>
      <c r="C375" s="77" t="s">
        <v>158</v>
      </c>
      <c r="D375" s="78">
        <v>0.03</v>
      </c>
      <c r="E375" s="79">
        <f>+INSUMOS!D44</f>
        <v>7066.22</v>
      </c>
      <c r="F375" s="79">
        <f t="shared" si="9"/>
        <v>211.98660000000001</v>
      </c>
      <c r="J375" s="244"/>
      <c r="K375" s="244"/>
      <c r="L375" s="244"/>
      <c r="M375" s="3"/>
      <c r="N375" s="3"/>
      <c r="O375" s="64"/>
      <c r="P375" s="64"/>
      <c r="Q375" s="64"/>
      <c r="R375" s="64"/>
      <c r="S375" s="3"/>
      <c r="T375" s="3"/>
    </row>
    <row r="376" spans="1:20" s="2" customFormat="1">
      <c r="A376" s="529"/>
      <c r="B376" s="165" t="s">
        <v>266</v>
      </c>
      <c r="C376" s="270" t="s">
        <v>120</v>
      </c>
      <c r="D376" s="80">
        <v>2.3E-2</v>
      </c>
      <c r="E376" s="79" t="e">
        <f>+INSUMOS!#REF!</f>
        <v>#REF!</v>
      </c>
      <c r="F376" s="79" t="e">
        <f t="shared" si="9"/>
        <v>#REF!</v>
      </c>
      <c r="J376" s="244"/>
      <c r="K376" s="244"/>
      <c r="L376" s="244"/>
      <c r="M376" s="3"/>
      <c r="N376" s="3"/>
      <c r="O376" s="64"/>
      <c r="P376" s="64"/>
      <c r="Q376" s="64"/>
      <c r="R376" s="64"/>
      <c r="S376" s="3"/>
      <c r="T376" s="3"/>
    </row>
    <row r="377" spans="1:20" s="2" customFormat="1">
      <c r="A377" s="529"/>
      <c r="B377" s="165" t="s">
        <v>640</v>
      </c>
      <c r="C377" s="77" t="s">
        <v>144</v>
      </c>
      <c r="D377" s="78">
        <v>0.05</v>
      </c>
      <c r="E377" s="79" t="e">
        <f>+INSUMOS!#REF!</f>
        <v>#REF!</v>
      </c>
      <c r="F377" s="79" t="e">
        <f>+E377*D377</f>
        <v>#REF!</v>
      </c>
      <c r="J377" s="244"/>
      <c r="K377" s="244"/>
      <c r="L377" s="244"/>
      <c r="M377" s="3"/>
      <c r="N377" s="3"/>
      <c r="O377" s="64"/>
      <c r="P377" s="64"/>
      <c r="Q377" s="64"/>
      <c r="R377" s="64"/>
      <c r="S377" s="3"/>
      <c r="T377" s="3"/>
    </row>
    <row r="378" spans="1:20" s="2" customFormat="1">
      <c r="A378" s="529"/>
      <c r="B378" s="165" t="s">
        <v>229</v>
      </c>
      <c r="C378" s="77" t="s">
        <v>68</v>
      </c>
      <c r="D378" s="78">
        <v>0.05</v>
      </c>
      <c r="E378" s="79" t="e">
        <f>SUM(F374:F377)</f>
        <v>#REF!</v>
      </c>
      <c r="F378" s="79" t="e">
        <f t="shared" si="9"/>
        <v>#REF!</v>
      </c>
      <c r="J378" s="244"/>
      <c r="K378" s="244"/>
      <c r="L378" s="244"/>
      <c r="M378" s="3"/>
      <c r="N378" s="3"/>
      <c r="O378" s="64"/>
      <c r="P378" s="64"/>
      <c r="Q378" s="64"/>
      <c r="R378" s="64"/>
      <c r="S378" s="3"/>
      <c r="T378" s="3"/>
    </row>
    <row r="379" spans="1:20" s="2" customFormat="1">
      <c r="A379" s="529"/>
      <c r="B379" s="165" t="s">
        <v>136</v>
      </c>
      <c r="C379" s="77" t="s">
        <v>68</v>
      </c>
      <c r="D379" s="78"/>
      <c r="E379" s="79" t="e">
        <f>SUM(F374:F378)</f>
        <v>#REF!</v>
      </c>
      <c r="F379" s="79" t="e">
        <f t="shared" si="9"/>
        <v>#REF!</v>
      </c>
      <c r="J379" s="244"/>
      <c r="K379" s="244"/>
      <c r="L379" s="244"/>
      <c r="M379" s="3"/>
      <c r="N379" s="3"/>
      <c r="O379" s="64"/>
      <c r="P379" s="64"/>
      <c r="Q379" s="64"/>
      <c r="R379" s="64"/>
      <c r="S379" s="3"/>
      <c r="T379" s="3"/>
    </row>
    <row r="380" spans="1:20" s="2" customFormat="1">
      <c r="A380" s="529"/>
      <c r="B380" s="165" t="s">
        <v>267</v>
      </c>
      <c r="C380" s="77" t="s">
        <v>120</v>
      </c>
      <c r="D380" s="78">
        <v>1.05</v>
      </c>
      <c r="E380" s="79">
        <f>+INSUMOS!D46</f>
        <v>5600</v>
      </c>
      <c r="F380" s="79">
        <f t="shared" si="9"/>
        <v>5880</v>
      </c>
      <c r="J380" s="244"/>
      <c r="K380" s="244"/>
      <c r="L380" s="244"/>
      <c r="M380" s="3"/>
      <c r="N380" s="3"/>
      <c r="O380" s="64"/>
      <c r="P380" s="64"/>
      <c r="Q380" s="64"/>
      <c r="R380" s="64"/>
      <c r="S380" s="3"/>
      <c r="T380" s="3"/>
    </row>
    <row r="381" spans="1:20" s="2" customFormat="1">
      <c r="A381" s="529"/>
      <c r="B381" s="165" t="s">
        <v>11</v>
      </c>
      <c r="C381" s="77" t="s">
        <v>284</v>
      </c>
      <c r="D381" s="78">
        <v>0.03</v>
      </c>
      <c r="E381" s="79">
        <f>+F382</f>
        <v>914.70042981493168</v>
      </c>
      <c r="F381" s="79">
        <f>(D381*E381)</f>
        <v>27.441012894447951</v>
      </c>
      <c r="J381" s="244"/>
      <c r="K381" s="244"/>
      <c r="L381" s="244"/>
      <c r="M381" s="3"/>
      <c r="N381" s="3"/>
      <c r="O381" s="64"/>
      <c r="P381" s="64"/>
      <c r="Q381" s="64"/>
      <c r="R381" s="64"/>
      <c r="S381" s="3"/>
      <c r="T381" s="3"/>
    </row>
    <row r="382" spans="1:20" s="2" customFormat="1">
      <c r="A382" s="529"/>
      <c r="B382" s="165" t="s">
        <v>9</v>
      </c>
      <c r="C382" s="77" t="s">
        <v>10</v>
      </c>
      <c r="D382" s="80">
        <f>0.035</f>
        <v>3.5000000000000003E-2</v>
      </c>
      <c r="E382" s="79">
        <f>+'VALOR CUADRILLAS MO'!D75</f>
        <v>26134.297994712331</v>
      </c>
      <c r="F382" s="79">
        <f>+E382*D382</f>
        <v>914.70042981493168</v>
      </c>
      <c r="J382" s="244"/>
      <c r="K382" s="244"/>
      <c r="L382" s="244"/>
      <c r="M382" s="3"/>
      <c r="N382" s="3"/>
      <c r="O382" s="64"/>
      <c r="P382" s="64"/>
      <c r="Q382" s="64"/>
      <c r="R382" s="64"/>
      <c r="S382" s="3"/>
      <c r="T382" s="3"/>
    </row>
    <row r="383" spans="1:20" s="2" customFormat="1">
      <c r="A383" s="529"/>
      <c r="B383" s="165"/>
      <c r="C383" s="77"/>
      <c r="D383" s="80"/>
      <c r="E383" s="79"/>
      <c r="F383" s="79"/>
      <c r="J383" s="244"/>
      <c r="K383" s="244"/>
      <c r="L383" s="244"/>
      <c r="M383" s="3"/>
      <c r="N383" s="3"/>
      <c r="O383" s="64"/>
      <c r="P383" s="64"/>
      <c r="Q383" s="64"/>
      <c r="R383" s="64"/>
      <c r="S383" s="3"/>
      <c r="T383" s="3"/>
    </row>
    <row r="384" spans="1:20" s="2" customFormat="1" ht="19.899999999999999" customHeight="1">
      <c r="A384" s="246">
        <f>A373+1</f>
        <v>54</v>
      </c>
      <c r="B384" s="83" t="s">
        <v>268</v>
      </c>
      <c r="C384" s="76" t="s">
        <v>120</v>
      </c>
      <c r="D384" s="73"/>
      <c r="E384" s="74"/>
      <c r="F384" s="75">
        <f>ROUND(SUM(F385:F390),0)</f>
        <v>4286</v>
      </c>
      <c r="J384" s="244"/>
      <c r="K384" s="244"/>
      <c r="L384" s="244"/>
      <c r="M384" s="3"/>
      <c r="N384" s="3"/>
      <c r="O384" s="64"/>
      <c r="P384" s="64"/>
      <c r="Q384" s="64"/>
      <c r="R384" s="64"/>
      <c r="S384" s="3"/>
      <c r="T384" s="3"/>
    </row>
    <row r="385" spans="1:20" s="2" customFormat="1">
      <c r="A385" s="529"/>
      <c r="B385" s="165" t="s">
        <v>269</v>
      </c>
      <c r="C385" s="77" t="s">
        <v>158</v>
      </c>
      <c r="D385" s="78">
        <v>1</v>
      </c>
      <c r="E385" s="79">
        <f>INSUMOS!D52</f>
        <v>2973</v>
      </c>
      <c r="F385" s="79">
        <f>+D385*E385</f>
        <v>2973</v>
      </c>
      <c r="J385" s="244"/>
      <c r="K385" s="244"/>
      <c r="L385" s="244"/>
      <c r="M385" s="3"/>
      <c r="N385" s="3"/>
      <c r="O385" s="64"/>
      <c r="P385" s="64"/>
      <c r="Q385" s="64"/>
      <c r="R385" s="64"/>
      <c r="S385" s="3"/>
      <c r="T385" s="3"/>
    </row>
    <row r="386" spans="1:20" s="2" customFormat="1">
      <c r="A386" s="529"/>
      <c r="B386" s="165" t="s">
        <v>33</v>
      </c>
      <c r="C386" s="77" t="s">
        <v>158</v>
      </c>
      <c r="D386" s="78">
        <v>0.03</v>
      </c>
      <c r="E386" s="79">
        <f>+INSUMOS!D44</f>
        <v>7066.22</v>
      </c>
      <c r="F386" s="79">
        <f>+D386*E386</f>
        <v>211.98660000000001</v>
      </c>
      <c r="J386" s="244"/>
      <c r="K386" s="244"/>
      <c r="L386" s="244"/>
      <c r="M386" s="3"/>
      <c r="N386" s="3"/>
      <c r="O386" s="64"/>
      <c r="P386" s="64"/>
      <c r="Q386" s="64"/>
      <c r="R386" s="64"/>
      <c r="S386" s="3"/>
      <c r="T386" s="3"/>
    </row>
    <row r="387" spans="1:20" s="2" customFormat="1">
      <c r="A387" s="529"/>
      <c r="B387" s="165" t="s">
        <v>229</v>
      </c>
      <c r="C387" s="77" t="s">
        <v>68</v>
      </c>
      <c r="D387" s="78">
        <v>0.05</v>
      </c>
      <c r="E387" s="79">
        <f>SUM(F385:F386)</f>
        <v>3184.9866000000002</v>
      </c>
      <c r="F387" s="79">
        <f>+D387*E387</f>
        <v>159.24933000000001</v>
      </c>
      <c r="J387" s="244"/>
      <c r="K387" s="244"/>
      <c r="L387" s="244"/>
      <c r="M387" s="3"/>
      <c r="N387" s="3"/>
      <c r="O387" s="64"/>
      <c r="P387" s="64"/>
      <c r="Q387" s="64"/>
      <c r="R387" s="64"/>
      <c r="S387" s="3"/>
      <c r="T387" s="3"/>
    </row>
    <row r="388" spans="1:20" s="2" customFormat="1">
      <c r="A388" s="529"/>
      <c r="B388" s="165" t="s">
        <v>136</v>
      </c>
      <c r="C388" s="77" t="s">
        <v>68</v>
      </c>
      <c r="D388" s="78"/>
      <c r="E388" s="79">
        <f>SUM(F385:F387)</f>
        <v>3344.2359300000003</v>
      </c>
      <c r="F388" s="79">
        <f>+D388*E388</f>
        <v>0</v>
      </c>
      <c r="J388" s="244"/>
      <c r="K388" s="244"/>
      <c r="L388" s="244"/>
      <c r="M388" s="3"/>
      <c r="N388" s="3"/>
      <c r="O388" s="64"/>
      <c r="P388" s="64"/>
      <c r="Q388" s="64"/>
      <c r="R388" s="64"/>
      <c r="S388" s="3"/>
      <c r="T388" s="3"/>
    </row>
    <row r="389" spans="1:20" s="2" customFormat="1">
      <c r="A389" s="529"/>
      <c r="B389" s="165" t="s">
        <v>11</v>
      </c>
      <c r="C389" s="77" t="s">
        <v>12</v>
      </c>
      <c r="D389" s="78">
        <v>0.03</v>
      </c>
      <c r="E389" s="79">
        <f>+F390</f>
        <v>914.70042981493168</v>
      </c>
      <c r="F389" s="79">
        <f>3%*F390</f>
        <v>27.441012894447951</v>
      </c>
      <c r="J389" s="244"/>
      <c r="K389" s="244"/>
      <c r="L389" s="244"/>
      <c r="M389" s="3"/>
      <c r="N389" s="3"/>
      <c r="O389" s="64"/>
      <c r="P389" s="64"/>
      <c r="Q389" s="64"/>
      <c r="R389" s="64"/>
      <c r="S389" s="3"/>
      <c r="T389" s="3"/>
    </row>
    <row r="390" spans="1:20" s="2" customFormat="1">
      <c r="A390" s="529"/>
      <c r="B390" s="165" t="s">
        <v>9</v>
      </c>
      <c r="C390" s="77" t="s">
        <v>10</v>
      </c>
      <c r="D390" s="80">
        <f>0.035</f>
        <v>3.5000000000000003E-2</v>
      </c>
      <c r="E390" s="79">
        <f>+'VALOR CUADRILLAS MO'!D75</f>
        <v>26134.297994712331</v>
      </c>
      <c r="F390" s="79">
        <f>+E390*D390</f>
        <v>914.70042981493168</v>
      </c>
      <c r="J390" s="244"/>
      <c r="K390" s="244"/>
      <c r="L390" s="244"/>
      <c r="M390" s="3"/>
      <c r="N390" s="3"/>
      <c r="O390" s="64"/>
      <c r="P390" s="64"/>
      <c r="Q390" s="64"/>
      <c r="R390" s="64"/>
      <c r="S390" s="3"/>
      <c r="T390" s="3"/>
    </row>
    <row r="391" spans="1:20" s="2" customFormat="1">
      <c r="A391" s="529"/>
      <c r="B391" s="165"/>
      <c r="C391" s="77"/>
      <c r="D391" s="80"/>
      <c r="E391" s="79"/>
      <c r="F391" s="79"/>
      <c r="J391" s="244"/>
      <c r="K391" s="244"/>
      <c r="L391" s="244"/>
      <c r="M391" s="3"/>
      <c r="N391" s="3"/>
      <c r="O391" s="64"/>
      <c r="P391" s="64"/>
      <c r="Q391" s="64"/>
      <c r="R391" s="64"/>
      <c r="S391" s="3"/>
      <c r="T391" s="3"/>
    </row>
    <row r="392" spans="1:20" s="64" customFormat="1" ht="19.899999999999999" customHeight="1">
      <c r="A392" s="246">
        <f>A384+1</f>
        <v>55</v>
      </c>
      <c r="B392" s="83" t="s">
        <v>2697</v>
      </c>
      <c r="C392" s="76" t="s">
        <v>21</v>
      </c>
      <c r="D392" s="73"/>
      <c r="E392" s="467"/>
      <c r="F392" s="468">
        <f>ROUND(SUM(F393:F394),0)</f>
        <v>8523</v>
      </c>
      <c r="G392" s="2"/>
      <c r="H392" s="2"/>
      <c r="I392" s="2"/>
      <c r="J392" s="244"/>
      <c r="K392" s="244"/>
      <c r="L392" s="244"/>
      <c r="M392" s="3"/>
      <c r="N392" s="3"/>
      <c r="S392" s="3"/>
      <c r="T392" s="3"/>
    </row>
    <row r="393" spans="1:20" s="64" customFormat="1">
      <c r="A393" s="529"/>
      <c r="B393" s="165" t="s">
        <v>3</v>
      </c>
      <c r="C393" s="77" t="s">
        <v>21</v>
      </c>
      <c r="D393" s="368">
        <v>1</v>
      </c>
      <c r="E393" s="79">
        <f>BASICOS!D50</f>
        <v>8000</v>
      </c>
      <c r="F393" s="390">
        <f>+D393*E393</f>
        <v>8000</v>
      </c>
      <c r="G393" s="2"/>
      <c r="H393" s="2"/>
      <c r="I393" s="2"/>
      <c r="J393" s="244"/>
      <c r="K393" s="244"/>
      <c r="L393" s="244"/>
      <c r="M393" s="3"/>
      <c r="N393" s="3"/>
      <c r="S393" s="3"/>
      <c r="T393" s="3"/>
    </row>
    <row r="394" spans="1:20" s="64" customFormat="1">
      <c r="A394" s="529"/>
      <c r="B394" s="165" t="s">
        <v>9</v>
      </c>
      <c r="C394" s="77" t="s">
        <v>10</v>
      </c>
      <c r="D394" s="368">
        <v>0.02</v>
      </c>
      <c r="E394" s="390">
        <f>+'VALOR CUADRILLAS MO'!D75</f>
        <v>26134.297994712331</v>
      </c>
      <c r="F394" s="390">
        <f>+D394*E394</f>
        <v>522.68595989424659</v>
      </c>
      <c r="G394" s="2"/>
      <c r="H394" s="2"/>
      <c r="I394" s="2"/>
      <c r="J394" s="244"/>
      <c r="K394" s="244"/>
      <c r="L394" s="244"/>
      <c r="M394" s="3"/>
      <c r="N394" s="3"/>
      <c r="S394" s="3"/>
      <c r="T394" s="3"/>
    </row>
    <row r="395" spans="1:20" s="64" customFormat="1">
      <c r="A395" s="529"/>
      <c r="B395" s="165"/>
      <c r="C395" s="77"/>
      <c r="D395" s="78"/>
      <c r="E395" s="79"/>
      <c r="F395" s="79"/>
      <c r="G395" s="2"/>
      <c r="H395" s="2"/>
      <c r="I395" s="2"/>
      <c r="J395" s="244"/>
      <c r="K395" s="244"/>
      <c r="L395" s="244"/>
      <c r="M395" s="3"/>
      <c r="N395" s="3"/>
      <c r="S395" s="3"/>
      <c r="T395" s="3"/>
    </row>
    <row r="396" spans="1:20" s="64" customFormat="1" ht="38.25">
      <c r="A396" s="246">
        <f>A392+1</f>
        <v>56</v>
      </c>
      <c r="B396" s="83" t="s">
        <v>3000</v>
      </c>
      <c r="C396" s="76" t="s">
        <v>26</v>
      </c>
      <c r="D396" s="73"/>
      <c r="E396" s="467"/>
      <c r="F396" s="468" t="e">
        <f>ROUND(SUM(F397:F403),0)</f>
        <v>#REF!</v>
      </c>
      <c r="G396" s="2"/>
      <c r="H396" s="2"/>
      <c r="I396" s="2"/>
      <c r="J396" s="244"/>
      <c r="K396" s="244"/>
      <c r="L396" s="244"/>
      <c r="M396" s="3"/>
      <c r="N396" s="3"/>
      <c r="S396" s="3"/>
      <c r="T396" s="3"/>
    </row>
    <row r="397" spans="1:20" s="64" customFormat="1">
      <c r="A397" s="529"/>
      <c r="B397" s="36" t="s">
        <v>3001</v>
      </c>
      <c r="C397" s="77" t="s">
        <v>158</v>
      </c>
      <c r="D397" s="78">
        <v>0.1</v>
      </c>
      <c r="E397" s="303">
        <f>+INSUMOS!D113</f>
        <v>18421.2</v>
      </c>
      <c r="F397" s="303">
        <f>+D397*E397</f>
        <v>1842.1200000000001</v>
      </c>
      <c r="G397" s="2"/>
      <c r="H397" s="2"/>
      <c r="I397" s="2"/>
      <c r="J397" s="244"/>
      <c r="K397" s="244"/>
      <c r="L397" s="244"/>
      <c r="M397" s="3"/>
      <c r="N397" s="3"/>
      <c r="S397" s="3"/>
      <c r="T397" s="3"/>
    </row>
    <row r="398" spans="1:20" s="64" customFormat="1">
      <c r="A398" s="529"/>
      <c r="B398" s="36" t="s">
        <v>2636</v>
      </c>
      <c r="C398" s="77" t="s">
        <v>121</v>
      </c>
      <c r="D398" s="78">
        <f>3.1416*0.6*0.6*0.2</f>
        <v>0.22619520000000001</v>
      </c>
      <c r="E398" s="303">
        <f>BASICOS!E146</f>
        <v>392821</v>
      </c>
      <c r="F398" s="303">
        <f>+E398*D398</f>
        <v>88854.224659200001</v>
      </c>
      <c r="G398" s="2"/>
      <c r="H398" s="2"/>
      <c r="I398" s="2"/>
      <c r="J398" s="244"/>
      <c r="K398" s="244"/>
      <c r="L398" s="244"/>
      <c r="M398" s="3"/>
      <c r="N398" s="3"/>
      <c r="S398" s="3"/>
      <c r="T398" s="3"/>
    </row>
    <row r="399" spans="1:20" s="64" customFormat="1">
      <c r="A399" s="529"/>
      <c r="B399" s="36" t="s">
        <v>229</v>
      </c>
      <c r="C399" s="77" t="s">
        <v>68</v>
      </c>
      <c r="D399" s="78">
        <v>0.05</v>
      </c>
      <c r="E399" s="303">
        <f>SUM(F397:F398)</f>
        <v>90696.344659199996</v>
      </c>
      <c r="F399" s="303">
        <f>+D399*E399</f>
        <v>4534.8172329600002</v>
      </c>
      <c r="G399" s="2"/>
      <c r="H399" s="2"/>
      <c r="I399" s="2"/>
      <c r="J399" s="244"/>
      <c r="K399" s="244"/>
      <c r="L399" s="244"/>
      <c r="M399" s="3"/>
      <c r="N399" s="3"/>
      <c r="S399" s="3"/>
      <c r="T399" s="3"/>
    </row>
    <row r="400" spans="1:20" s="64" customFormat="1">
      <c r="A400" s="529"/>
      <c r="B400" s="36" t="s">
        <v>136</v>
      </c>
      <c r="C400" s="77" t="s">
        <v>68</v>
      </c>
      <c r="D400" s="368"/>
      <c r="E400" s="303">
        <f>SUM(F397:F399)</f>
        <v>95231.161892160002</v>
      </c>
      <c r="F400" s="303">
        <f>+D400*E400</f>
        <v>0</v>
      </c>
      <c r="G400" s="2"/>
      <c r="H400" s="2"/>
      <c r="I400" s="2"/>
      <c r="J400" s="244"/>
      <c r="K400" s="244"/>
      <c r="L400" s="244"/>
      <c r="M400" s="3"/>
      <c r="N400" s="3"/>
      <c r="S400" s="3"/>
      <c r="T400" s="3"/>
    </row>
    <row r="401" spans="1:20" s="64" customFormat="1">
      <c r="A401" s="529"/>
      <c r="B401" s="36" t="s">
        <v>3002</v>
      </c>
      <c r="C401" s="77" t="s">
        <v>14</v>
      </c>
      <c r="D401" s="368">
        <v>1</v>
      </c>
      <c r="E401" s="303" t="e">
        <f>INSUMOS!#REF!</f>
        <v>#REF!</v>
      </c>
      <c r="F401" s="303" t="e">
        <f>+E401*D401</f>
        <v>#REF!</v>
      </c>
      <c r="G401" s="2"/>
      <c r="H401" s="2"/>
      <c r="I401" s="2"/>
      <c r="J401" s="244"/>
      <c r="K401" s="244"/>
      <c r="L401" s="244"/>
      <c r="M401" s="3"/>
      <c r="N401" s="3"/>
      <c r="S401" s="3"/>
      <c r="T401" s="3"/>
    </row>
    <row r="402" spans="1:20" s="64" customFormat="1">
      <c r="A402" s="529"/>
      <c r="B402" s="36" t="s">
        <v>11</v>
      </c>
      <c r="C402" s="77" t="s">
        <v>284</v>
      </c>
      <c r="D402" s="368">
        <v>0.03</v>
      </c>
      <c r="E402" s="303">
        <f>F403</f>
        <v>209074.38395769865</v>
      </c>
      <c r="F402" s="303">
        <f>(D402*E402)</f>
        <v>6272.2315187309596</v>
      </c>
      <c r="G402" s="2"/>
      <c r="H402" s="2"/>
      <c r="I402" s="2"/>
      <c r="J402" s="244"/>
      <c r="K402" s="244"/>
      <c r="L402" s="244"/>
      <c r="M402" s="3"/>
      <c r="N402" s="3"/>
      <c r="S402" s="3"/>
      <c r="T402" s="3"/>
    </row>
    <row r="403" spans="1:20" s="64" customFormat="1">
      <c r="A403" s="529"/>
      <c r="B403" s="36" t="s">
        <v>9</v>
      </c>
      <c r="C403" s="77" t="s">
        <v>10</v>
      </c>
      <c r="D403" s="368">
        <v>8</v>
      </c>
      <c r="E403" s="303">
        <f>+'VALOR CUADRILLAS MO'!D75</f>
        <v>26134.297994712331</v>
      </c>
      <c r="F403" s="303">
        <f>+D403*E403</f>
        <v>209074.38395769865</v>
      </c>
      <c r="G403" s="2"/>
      <c r="H403" s="2"/>
      <c r="I403" s="2"/>
      <c r="J403" s="244"/>
      <c r="K403" s="244"/>
      <c r="L403" s="244"/>
      <c r="M403" s="3"/>
      <c r="N403" s="3"/>
      <c r="S403" s="3"/>
      <c r="T403" s="3"/>
    </row>
    <row r="404" spans="1:20" s="64" customFormat="1">
      <c r="A404" s="529"/>
      <c r="B404" s="165"/>
      <c r="C404" s="77"/>
      <c r="D404" s="78"/>
      <c r="E404" s="79"/>
      <c r="F404" s="79"/>
      <c r="G404" s="2"/>
      <c r="H404" s="2"/>
      <c r="I404" s="2"/>
      <c r="J404" s="244"/>
      <c r="K404" s="244"/>
      <c r="L404" s="244"/>
      <c r="M404" s="3"/>
      <c r="N404" s="3"/>
      <c r="S404" s="3"/>
      <c r="T404" s="3"/>
    </row>
    <row r="405" spans="1:20" s="64" customFormat="1" ht="63" customHeight="1">
      <c r="A405" s="246">
        <f>A396+1</f>
        <v>57</v>
      </c>
      <c r="B405" s="83" t="s">
        <v>3008</v>
      </c>
      <c r="C405" s="76" t="s">
        <v>21</v>
      </c>
      <c r="D405" s="73"/>
      <c r="E405" s="467"/>
      <c r="F405" s="468" t="e">
        <f>ROUND(SUM(F406:F417),0)</f>
        <v>#REF!</v>
      </c>
      <c r="G405" s="2"/>
      <c r="H405" s="2"/>
      <c r="I405" s="2"/>
      <c r="J405" s="244"/>
      <c r="K405" s="244"/>
      <c r="L405" s="244"/>
      <c r="M405" s="3"/>
      <c r="N405" s="3"/>
      <c r="S405" s="3"/>
      <c r="T405" s="3"/>
    </row>
    <row r="406" spans="1:20" s="64" customFormat="1">
      <c r="A406" s="529"/>
      <c r="B406" s="373" t="s">
        <v>3009</v>
      </c>
      <c r="C406" s="374" t="s">
        <v>142</v>
      </c>
      <c r="D406" s="376">
        <v>0.01</v>
      </c>
      <c r="E406" s="557" t="e">
        <f>INSUMOS!#REF!</f>
        <v>#REF!</v>
      </c>
      <c r="F406" s="303" t="e">
        <f t="shared" ref="F406:F417" si="10">+D406*E406</f>
        <v>#REF!</v>
      </c>
      <c r="G406" s="2"/>
      <c r="H406" s="2"/>
      <c r="I406" s="2"/>
      <c r="J406" s="244"/>
      <c r="K406" s="244"/>
      <c r="L406" s="244"/>
      <c r="M406" s="3"/>
      <c r="N406" s="3"/>
      <c r="S406" s="3"/>
      <c r="T406" s="3"/>
    </row>
    <row r="407" spans="1:20" s="64" customFormat="1">
      <c r="A407" s="529"/>
      <c r="B407" s="373" t="s">
        <v>3010</v>
      </c>
      <c r="C407" s="374" t="s">
        <v>142</v>
      </c>
      <c r="D407" s="376">
        <v>0.01</v>
      </c>
      <c r="E407" s="557" t="e">
        <f>INSUMOS!#REF!</f>
        <v>#REF!</v>
      </c>
      <c r="F407" s="303" t="e">
        <f t="shared" si="10"/>
        <v>#REF!</v>
      </c>
      <c r="G407" s="2"/>
      <c r="H407" s="2"/>
      <c r="I407" s="2"/>
      <c r="J407" s="244"/>
      <c r="K407" s="244"/>
      <c r="L407" s="244"/>
      <c r="M407" s="3"/>
      <c r="N407" s="3"/>
      <c r="S407" s="3"/>
      <c r="T407" s="3"/>
    </row>
    <row r="408" spans="1:20" s="64" customFormat="1">
      <c r="A408" s="529"/>
      <c r="B408" s="373" t="s">
        <v>3011</v>
      </c>
      <c r="C408" s="374" t="s">
        <v>144</v>
      </c>
      <c r="D408" s="376">
        <v>0.05</v>
      </c>
      <c r="E408" s="557" t="e">
        <f>INSUMOS!#REF!</f>
        <v>#REF!</v>
      </c>
      <c r="F408" s="303" t="e">
        <f t="shared" si="10"/>
        <v>#REF!</v>
      </c>
      <c r="G408" s="2"/>
      <c r="H408" s="2"/>
      <c r="I408" s="2"/>
      <c r="J408" s="244"/>
      <c r="K408" s="244"/>
      <c r="L408" s="244"/>
      <c r="M408" s="3"/>
      <c r="N408" s="3"/>
      <c r="S408" s="3"/>
      <c r="T408" s="3"/>
    </row>
    <row r="409" spans="1:20" s="64" customFormat="1">
      <c r="A409" s="529"/>
      <c r="B409" s="373" t="s">
        <v>3012</v>
      </c>
      <c r="C409" s="374" t="s">
        <v>144</v>
      </c>
      <c r="D409" s="376">
        <v>6.5</v>
      </c>
      <c r="E409" s="557" t="e">
        <f>INSUMOS!#REF!</f>
        <v>#REF!</v>
      </c>
      <c r="F409" s="303" t="e">
        <f t="shared" si="10"/>
        <v>#REF!</v>
      </c>
      <c r="G409" s="2"/>
      <c r="H409" s="2"/>
      <c r="I409" s="2"/>
      <c r="J409" s="244"/>
      <c r="K409" s="244"/>
      <c r="L409" s="244"/>
      <c r="M409" s="3"/>
      <c r="N409" s="3"/>
      <c r="S409" s="3"/>
      <c r="T409" s="3"/>
    </row>
    <row r="410" spans="1:20" s="64" customFormat="1">
      <c r="A410" s="529"/>
      <c r="B410" s="373" t="s">
        <v>3013</v>
      </c>
      <c r="C410" s="374" t="s">
        <v>25</v>
      </c>
      <c r="D410" s="376">
        <v>3</v>
      </c>
      <c r="E410" s="557">
        <f>BASICOS!D11</f>
        <v>65</v>
      </c>
      <c r="F410" s="303">
        <f t="shared" si="10"/>
        <v>195</v>
      </c>
      <c r="G410" s="2"/>
      <c r="H410" s="2"/>
      <c r="I410" s="2"/>
      <c r="J410" s="244"/>
      <c r="K410" s="244"/>
      <c r="L410" s="244"/>
      <c r="M410" s="3"/>
      <c r="N410" s="3"/>
      <c r="S410" s="3"/>
      <c r="T410" s="3"/>
    </row>
    <row r="411" spans="1:20" s="64" customFormat="1">
      <c r="A411" s="529"/>
      <c r="B411" s="373" t="s">
        <v>3014</v>
      </c>
      <c r="C411" s="374" t="s">
        <v>121</v>
      </c>
      <c r="D411" s="376">
        <v>0.1</v>
      </c>
      <c r="E411" s="557" t="e">
        <f>INSUMOS!#REF!</f>
        <v>#REF!</v>
      </c>
      <c r="F411" s="303" t="e">
        <f t="shared" si="10"/>
        <v>#REF!</v>
      </c>
      <c r="G411" s="2"/>
      <c r="H411" s="2"/>
      <c r="I411" s="2"/>
      <c r="J411" s="244"/>
      <c r="K411" s="244"/>
      <c r="L411" s="244"/>
      <c r="M411" s="3"/>
      <c r="N411" s="3"/>
      <c r="S411" s="3"/>
      <c r="T411" s="3"/>
    </row>
    <row r="412" spans="1:20" s="64" customFormat="1">
      <c r="A412" s="529"/>
      <c r="B412" s="373" t="s">
        <v>3015</v>
      </c>
      <c r="C412" s="374" t="s">
        <v>3016</v>
      </c>
      <c r="D412" s="376">
        <v>0.1</v>
      </c>
      <c r="E412" s="557" t="e">
        <f>INSUMOS!#REF!</f>
        <v>#REF!</v>
      </c>
      <c r="F412" s="303" t="e">
        <f t="shared" si="10"/>
        <v>#REF!</v>
      </c>
      <c r="G412" s="2"/>
      <c r="H412" s="2"/>
      <c r="I412" s="2"/>
      <c r="J412" s="244"/>
      <c r="K412" s="244"/>
      <c r="L412" s="244"/>
      <c r="M412" s="3"/>
      <c r="N412" s="3"/>
      <c r="S412" s="3"/>
      <c r="T412" s="3"/>
    </row>
    <row r="413" spans="1:20" s="64" customFormat="1">
      <c r="A413" s="529"/>
      <c r="B413" s="558" t="s">
        <v>3017</v>
      </c>
      <c r="C413" s="374" t="s">
        <v>14</v>
      </c>
      <c r="D413" s="376">
        <v>0.1</v>
      </c>
      <c r="E413" s="557" t="e">
        <f>INSUMOS!#REF!</f>
        <v>#REF!</v>
      </c>
      <c r="F413" s="303" t="e">
        <f t="shared" si="10"/>
        <v>#REF!</v>
      </c>
      <c r="G413" s="2"/>
      <c r="H413" s="2"/>
      <c r="I413" s="2"/>
      <c r="J413" s="244"/>
      <c r="K413" s="244"/>
      <c r="L413" s="244"/>
      <c r="M413" s="3"/>
      <c r="N413" s="3"/>
      <c r="S413" s="3"/>
      <c r="T413" s="3"/>
    </row>
    <row r="414" spans="1:20" s="64" customFormat="1">
      <c r="A414" s="529"/>
      <c r="B414" s="373" t="s">
        <v>229</v>
      </c>
      <c r="C414" s="374" t="s">
        <v>68</v>
      </c>
      <c r="D414" s="376">
        <v>0.05</v>
      </c>
      <c r="E414" s="559" t="e">
        <f>SUM(F408:F413)</f>
        <v>#REF!</v>
      </c>
      <c r="F414" s="303" t="e">
        <f t="shared" si="10"/>
        <v>#REF!</v>
      </c>
      <c r="G414" s="2"/>
      <c r="H414" s="2"/>
      <c r="I414" s="2"/>
      <c r="J414" s="244"/>
      <c r="K414" s="244"/>
      <c r="L414" s="244"/>
      <c r="M414" s="3"/>
      <c r="N414" s="3"/>
      <c r="S414" s="3"/>
      <c r="T414" s="3"/>
    </row>
    <row r="415" spans="1:20" s="64" customFormat="1">
      <c r="A415" s="529"/>
      <c r="B415" s="373" t="s">
        <v>136</v>
      </c>
      <c r="C415" s="374" t="s">
        <v>68</v>
      </c>
      <c r="D415" s="376"/>
      <c r="E415" s="559" t="e">
        <f>SUM(F406:F414)</f>
        <v>#REF!</v>
      </c>
      <c r="F415" s="303" t="e">
        <f t="shared" si="10"/>
        <v>#REF!</v>
      </c>
      <c r="G415" s="2"/>
      <c r="H415" s="2"/>
      <c r="I415" s="2"/>
      <c r="J415" s="244"/>
      <c r="K415" s="244"/>
      <c r="L415" s="244"/>
      <c r="M415" s="3"/>
      <c r="N415" s="3"/>
      <c r="S415" s="3"/>
      <c r="T415" s="3"/>
    </row>
    <row r="416" spans="1:20" s="64" customFormat="1">
      <c r="A416" s="529"/>
      <c r="B416" s="373" t="s">
        <v>11</v>
      </c>
      <c r="C416" s="374" t="s">
        <v>284</v>
      </c>
      <c r="D416" s="376">
        <v>0.03</v>
      </c>
      <c r="E416" s="559">
        <f>F417</f>
        <v>18032.665616351504</v>
      </c>
      <c r="F416" s="303">
        <f t="shared" si="10"/>
        <v>540.97996849054505</v>
      </c>
      <c r="G416" s="2"/>
      <c r="H416" s="2"/>
      <c r="I416" s="2"/>
      <c r="J416" s="244"/>
      <c r="K416" s="244"/>
      <c r="L416" s="244"/>
      <c r="M416" s="3"/>
      <c r="N416" s="3"/>
      <c r="S416" s="3"/>
      <c r="T416" s="3"/>
    </row>
    <row r="417" spans="1:20" s="64" customFormat="1">
      <c r="A417" s="529"/>
      <c r="B417" s="373" t="s">
        <v>102</v>
      </c>
      <c r="C417" s="374" t="s">
        <v>10</v>
      </c>
      <c r="D417" s="376">
        <v>0.6</v>
      </c>
      <c r="E417" s="559">
        <f>'VALOR CUADRILLAS MO'!D101</f>
        <v>30054.442693919176</v>
      </c>
      <c r="F417" s="303">
        <f t="shared" si="10"/>
        <v>18032.665616351504</v>
      </c>
      <c r="G417" s="2"/>
      <c r="H417" s="2"/>
      <c r="I417" s="2"/>
      <c r="J417" s="244"/>
      <c r="K417" s="244"/>
      <c r="L417" s="244"/>
      <c r="M417" s="3"/>
      <c r="N417" s="3"/>
      <c r="S417" s="3"/>
      <c r="T417" s="3"/>
    </row>
    <row r="418" spans="1:20" s="64" customFormat="1">
      <c r="A418" s="529"/>
      <c r="B418" s="558"/>
      <c r="C418" s="558"/>
      <c r="D418" s="558"/>
      <c r="E418" s="558"/>
      <c r="F418" s="558"/>
      <c r="G418" s="2"/>
      <c r="H418" s="2"/>
      <c r="I418" s="2"/>
      <c r="J418" s="244"/>
      <c r="K418" s="244"/>
      <c r="L418" s="244"/>
      <c r="M418" s="3"/>
      <c r="N418" s="3"/>
      <c r="S418" s="3"/>
      <c r="T418" s="3"/>
    </row>
    <row r="419" spans="1:20" s="64" customFormat="1" ht="42" customHeight="1">
      <c r="A419" s="246">
        <f>A405+1</f>
        <v>58</v>
      </c>
      <c r="B419" s="83" t="s">
        <v>3018</v>
      </c>
      <c r="C419" s="76" t="s">
        <v>21</v>
      </c>
      <c r="D419" s="73"/>
      <c r="E419" s="467"/>
      <c r="F419" s="468" t="e">
        <f>ROUND(SUM(F420:F428),0)</f>
        <v>#REF!</v>
      </c>
      <c r="G419" s="2"/>
      <c r="H419" s="2"/>
      <c r="I419" s="2"/>
      <c r="J419" s="244"/>
      <c r="K419" s="244"/>
      <c r="L419" s="244"/>
      <c r="M419" s="3"/>
      <c r="N419" s="3"/>
      <c r="S419" s="3"/>
      <c r="T419" s="3"/>
    </row>
    <row r="420" spans="1:20" s="64" customFormat="1">
      <c r="A420" s="529"/>
      <c r="B420" s="373" t="s">
        <v>3019</v>
      </c>
      <c r="C420" s="374" t="s">
        <v>142</v>
      </c>
      <c r="D420" s="560">
        <v>1.5E-3</v>
      </c>
      <c r="E420" s="557" t="e">
        <f>INSUMOS!#REF!</f>
        <v>#REF!</v>
      </c>
      <c r="F420" s="303" t="e">
        <f t="shared" ref="F420:F428" si="11">+D420*E420</f>
        <v>#REF!</v>
      </c>
      <c r="G420" s="2"/>
      <c r="H420" s="2"/>
      <c r="I420" s="2"/>
      <c r="J420" s="244"/>
      <c r="K420" s="244"/>
      <c r="L420" s="244"/>
      <c r="M420" s="3"/>
      <c r="N420" s="3"/>
      <c r="S420" s="3"/>
      <c r="T420" s="3"/>
    </row>
    <row r="421" spans="1:20" s="64" customFormat="1">
      <c r="A421" s="529"/>
      <c r="B421" s="373" t="s">
        <v>3010</v>
      </c>
      <c r="C421" s="374" t="s">
        <v>142</v>
      </c>
      <c r="D421" s="561">
        <v>4.0000000000000001E-3</v>
      </c>
      <c r="E421" s="557" t="e">
        <f>INSUMOS!#REF!</f>
        <v>#REF!</v>
      </c>
      <c r="F421" s="303" t="e">
        <f t="shared" si="11"/>
        <v>#REF!</v>
      </c>
      <c r="G421" s="2"/>
      <c r="H421" s="2"/>
      <c r="I421" s="2"/>
      <c r="J421" s="244"/>
      <c r="K421" s="244"/>
      <c r="L421" s="244"/>
      <c r="M421" s="3"/>
      <c r="N421" s="3"/>
      <c r="S421" s="3"/>
      <c r="T421" s="3"/>
    </row>
    <row r="422" spans="1:20" s="64" customFormat="1">
      <c r="A422" s="529"/>
      <c r="B422" s="373" t="s">
        <v>3020</v>
      </c>
      <c r="C422" s="374" t="s">
        <v>3006</v>
      </c>
      <c r="D422" s="561">
        <v>8.0000000000000002E-3</v>
      </c>
      <c r="E422" s="557" t="e">
        <f>INSUMOS!#REF!</f>
        <v>#REF!</v>
      </c>
      <c r="F422" s="303" t="e">
        <f t="shared" si="11"/>
        <v>#REF!</v>
      </c>
      <c r="G422" s="2"/>
      <c r="H422" s="2"/>
      <c r="I422" s="2"/>
      <c r="J422" s="244"/>
      <c r="K422" s="244"/>
      <c r="L422" s="244"/>
      <c r="M422" s="3"/>
      <c r="N422" s="3"/>
      <c r="S422" s="3"/>
      <c r="T422" s="3"/>
    </row>
    <row r="423" spans="1:20" s="64" customFormat="1">
      <c r="A423" s="529"/>
      <c r="B423" s="373" t="s">
        <v>3015</v>
      </c>
      <c r="C423" s="374" t="s">
        <v>3006</v>
      </c>
      <c r="D423" s="376">
        <v>0.05</v>
      </c>
      <c r="E423" s="557" t="e">
        <f>INSUMOS!#REF!</f>
        <v>#REF!</v>
      </c>
      <c r="F423" s="303" t="e">
        <f t="shared" si="11"/>
        <v>#REF!</v>
      </c>
      <c r="G423" s="2"/>
      <c r="H423" s="2"/>
      <c r="I423" s="2"/>
      <c r="J423" s="244"/>
      <c r="K423" s="244"/>
      <c r="L423" s="244"/>
      <c r="M423" s="3"/>
      <c r="N423" s="3"/>
      <c r="S423" s="3"/>
      <c r="T423" s="3"/>
    </row>
    <row r="424" spans="1:20" s="64" customFormat="1">
      <c r="A424" s="529"/>
      <c r="B424" s="558" t="s">
        <v>3017</v>
      </c>
      <c r="C424" s="374" t="s">
        <v>14</v>
      </c>
      <c r="D424" s="376">
        <v>0.05</v>
      </c>
      <c r="E424" s="557" t="e">
        <f>INSUMOS!#REF!</f>
        <v>#REF!</v>
      </c>
      <c r="F424" s="303" t="e">
        <f t="shared" si="11"/>
        <v>#REF!</v>
      </c>
      <c r="G424" s="2"/>
      <c r="H424" s="2"/>
      <c r="I424" s="2"/>
      <c r="J424" s="244"/>
      <c r="K424" s="244"/>
      <c r="L424" s="244"/>
      <c r="M424" s="3"/>
      <c r="N424" s="3"/>
      <c r="S424" s="3"/>
      <c r="T424" s="3"/>
    </row>
    <row r="425" spans="1:20" s="64" customFormat="1">
      <c r="A425" s="529"/>
      <c r="B425" s="373" t="s">
        <v>229</v>
      </c>
      <c r="C425" s="374" t="s">
        <v>68</v>
      </c>
      <c r="D425" s="376">
        <v>0.05</v>
      </c>
      <c r="E425" s="559" t="e">
        <f>SUM(F422:F424)</f>
        <v>#REF!</v>
      </c>
      <c r="F425" s="303" t="e">
        <f t="shared" si="11"/>
        <v>#REF!</v>
      </c>
      <c r="G425" s="2"/>
      <c r="H425" s="2"/>
      <c r="I425" s="2"/>
      <c r="J425" s="244"/>
      <c r="K425" s="244"/>
      <c r="L425" s="244"/>
      <c r="M425" s="3"/>
      <c r="N425" s="3"/>
      <c r="S425" s="3"/>
      <c r="T425" s="3"/>
    </row>
    <row r="426" spans="1:20" s="64" customFormat="1">
      <c r="A426" s="529"/>
      <c r="B426" s="373" t="s">
        <v>136</v>
      </c>
      <c r="C426" s="374" t="s">
        <v>68</v>
      </c>
      <c r="D426" s="376"/>
      <c r="E426" s="559" t="e">
        <f>SUM(F420:F425)</f>
        <v>#REF!</v>
      </c>
      <c r="F426" s="303" t="e">
        <f t="shared" si="11"/>
        <v>#REF!</v>
      </c>
      <c r="G426" s="2"/>
      <c r="H426" s="2"/>
      <c r="I426" s="2"/>
      <c r="J426" s="244"/>
      <c r="K426" s="244"/>
      <c r="L426" s="244"/>
      <c r="M426" s="3"/>
      <c r="N426" s="3"/>
      <c r="S426" s="3"/>
      <c r="T426" s="3"/>
    </row>
    <row r="427" spans="1:20" s="64" customFormat="1">
      <c r="A427" s="529"/>
      <c r="B427" s="373" t="s">
        <v>11</v>
      </c>
      <c r="C427" s="374" t="s">
        <v>284</v>
      </c>
      <c r="D427" s="376">
        <v>0.03</v>
      </c>
      <c r="E427" s="559">
        <f>F428</f>
        <v>450.81664040878763</v>
      </c>
      <c r="F427" s="303">
        <f t="shared" si="11"/>
        <v>13.524499212263629</v>
      </c>
      <c r="G427" s="2"/>
      <c r="H427" s="2"/>
      <c r="I427" s="2"/>
      <c r="J427" s="244"/>
      <c r="K427" s="244"/>
      <c r="L427" s="244"/>
      <c r="M427" s="3"/>
      <c r="N427" s="3"/>
      <c r="S427" s="3"/>
      <c r="T427" s="3"/>
    </row>
    <row r="428" spans="1:20" s="64" customFormat="1">
      <c r="A428" s="529"/>
      <c r="B428" s="373" t="s">
        <v>102</v>
      </c>
      <c r="C428" s="374" t="s">
        <v>10</v>
      </c>
      <c r="D428" s="561">
        <v>1.4999999999999999E-2</v>
      </c>
      <c r="E428" s="559">
        <f>'VALOR CUADRILLAS MO'!D101</f>
        <v>30054.442693919176</v>
      </c>
      <c r="F428" s="303">
        <f t="shared" si="11"/>
        <v>450.81664040878763</v>
      </c>
      <c r="G428" s="2"/>
      <c r="H428" s="2"/>
      <c r="I428" s="2"/>
      <c r="J428" s="244"/>
      <c r="K428" s="244"/>
      <c r="L428" s="244"/>
      <c r="M428" s="3"/>
      <c r="N428" s="3"/>
      <c r="S428" s="3"/>
      <c r="T428" s="3"/>
    </row>
    <row r="429" spans="1:20" s="64" customFormat="1">
      <c r="A429" s="529"/>
      <c r="B429" s="562"/>
      <c r="C429" s="562"/>
      <c r="D429" s="562"/>
      <c r="E429" s="562"/>
      <c r="F429" s="562"/>
      <c r="G429" s="2"/>
      <c r="H429" s="2"/>
      <c r="I429" s="2"/>
      <c r="J429" s="244"/>
      <c r="K429" s="244"/>
      <c r="L429" s="244"/>
      <c r="M429" s="3"/>
      <c r="N429" s="3"/>
      <c r="S429" s="3"/>
      <c r="T429" s="3"/>
    </row>
    <row r="430" spans="1:20" s="64" customFormat="1" ht="51.6" customHeight="1">
      <c r="A430" s="246">
        <f>A419+1</f>
        <v>59</v>
      </c>
      <c r="B430" s="83" t="s">
        <v>3021</v>
      </c>
      <c r="C430" s="76" t="s">
        <v>119</v>
      </c>
      <c r="D430" s="73"/>
      <c r="E430" s="467"/>
      <c r="F430" s="468" t="e">
        <f>ROUND(SUM(F431:F439),0)</f>
        <v>#REF!</v>
      </c>
      <c r="G430" s="2"/>
      <c r="H430" s="2"/>
      <c r="I430" s="2"/>
      <c r="J430" s="244"/>
      <c r="K430" s="244"/>
      <c r="L430" s="244"/>
      <c r="M430" s="3"/>
      <c r="N430" s="3"/>
      <c r="S430" s="3"/>
      <c r="T430" s="3"/>
    </row>
    <row r="431" spans="1:20" s="64" customFormat="1">
      <c r="A431" s="529"/>
      <c r="B431" s="373" t="s">
        <v>3022</v>
      </c>
      <c r="C431" s="374" t="s">
        <v>142</v>
      </c>
      <c r="D431" s="561">
        <v>5.0000000000000001E-3</v>
      </c>
      <c r="E431" s="557" t="e">
        <f>INSUMOS!#REF!</f>
        <v>#REF!</v>
      </c>
      <c r="F431" s="303" t="e">
        <f t="shared" ref="F431:F439" si="12">+D431*E431</f>
        <v>#REF!</v>
      </c>
      <c r="G431" s="2"/>
      <c r="H431" s="2"/>
      <c r="I431" s="2"/>
      <c r="J431" s="244"/>
      <c r="K431" s="244"/>
      <c r="L431" s="244"/>
      <c r="M431" s="3"/>
      <c r="N431" s="3"/>
      <c r="S431" s="3"/>
      <c r="T431" s="3"/>
    </row>
    <row r="432" spans="1:20" s="64" customFormat="1">
      <c r="A432" s="529"/>
      <c r="B432" s="373" t="s">
        <v>3023</v>
      </c>
      <c r="C432" s="374" t="s">
        <v>142</v>
      </c>
      <c r="D432" s="561">
        <v>5.0000000000000001E-3</v>
      </c>
      <c r="E432" s="557" t="e">
        <f>INSUMOS!#REF!</f>
        <v>#REF!</v>
      </c>
      <c r="F432" s="303" t="e">
        <f t="shared" si="12"/>
        <v>#REF!</v>
      </c>
      <c r="G432" s="2"/>
      <c r="H432" s="2"/>
      <c r="I432" s="2"/>
      <c r="J432" s="244"/>
      <c r="K432" s="244"/>
      <c r="L432" s="244"/>
      <c r="M432" s="3"/>
      <c r="N432" s="3"/>
      <c r="S432" s="3"/>
      <c r="T432" s="3"/>
    </row>
    <row r="433" spans="1:20" s="64" customFormat="1">
      <c r="A433" s="529"/>
      <c r="B433" s="373" t="s">
        <v>3024</v>
      </c>
      <c r="C433" s="374" t="s">
        <v>120</v>
      </c>
      <c r="D433" s="561">
        <v>7.7</v>
      </c>
      <c r="E433" s="557" t="e">
        <f>INSUMOS!#REF!</f>
        <v>#REF!</v>
      </c>
      <c r="F433" s="303" t="e">
        <f t="shared" si="12"/>
        <v>#REF!</v>
      </c>
      <c r="G433" s="2"/>
      <c r="H433" s="2"/>
      <c r="I433" s="2"/>
      <c r="J433" s="244"/>
      <c r="K433" s="244"/>
      <c r="L433" s="244"/>
      <c r="M433" s="3"/>
      <c r="N433" s="3"/>
      <c r="S433" s="3"/>
      <c r="T433" s="3"/>
    </row>
    <row r="434" spans="1:20" s="64" customFormat="1">
      <c r="A434" s="529"/>
      <c r="B434" s="373" t="s">
        <v>3015</v>
      </c>
      <c r="C434" s="374" t="s">
        <v>3006</v>
      </c>
      <c r="D434" s="376">
        <v>0.02</v>
      </c>
      <c r="E434" s="557" t="e">
        <f>INSUMOS!#REF!</f>
        <v>#REF!</v>
      </c>
      <c r="F434" s="303" t="e">
        <f t="shared" si="12"/>
        <v>#REF!</v>
      </c>
      <c r="G434" s="2"/>
      <c r="H434" s="2"/>
      <c r="I434" s="2"/>
      <c r="J434" s="244"/>
      <c r="K434" s="244"/>
      <c r="L434" s="244"/>
      <c r="M434" s="3"/>
      <c r="N434" s="3"/>
      <c r="S434" s="3"/>
      <c r="T434" s="3"/>
    </row>
    <row r="435" spans="1:20" s="64" customFormat="1">
      <c r="A435" s="529"/>
      <c r="B435" s="373" t="s">
        <v>3013</v>
      </c>
      <c r="C435" s="374" t="s">
        <v>25</v>
      </c>
      <c r="D435" s="376">
        <v>3</v>
      </c>
      <c r="E435" s="557">
        <f>BASICOS!D11</f>
        <v>65</v>
      </c>
      <c r="F435" s="303">
        <f t="shared" si="12"/>
        <v>195</v>
      </c>
      <c r="G435" s="2"/>
      <c r="H435" s="2"/>
      <c r="I435" s="2"/>
      <c r="J435" s="244"/>
      <c r="K435" s="244"/>
      <c r="L435" s="244"/>
      <c r="M435" s="3"/>
      <c r="N435" s="3"/>
      <c r="S435" s="3"/>
      <c r="T435" s="3"/>
    </row>
    <row r="436" spans="1:20" s="64" customFormat="1">
      <c r="A436" s="529"/>
      <c r="B436" s="373" t="s">
        <v>229</v>
      </c>
      <c r="C436" s="374" t="s">
        <v>68</v>
      </c>
      <c r="D436" s="376">
        <v>0.05</v>
      </c>
      <c r="E436" s="559" t="e">
        <f>SUM(F433:F435)</f>
        <v>#REF!</v>
      </c>
      <c r="F436" s="303" t="e">
        <f t="shared" si="12"/>
        <v>#REF!</v>
      </c>
      <c r="G436" s="2"/>
      <c r="H436" s="2"/>
      <c r="I436" s="2"/>
      <c r="J436" s="244"/>
      <c r="K436" s="244"/>
      <c r="L436" s="244"/>
      <c r="M436" s="3"/>
      <c r="N436" s="3"/>
      <c r="S436" s="3"/>
      <c r="T436" s="3"/>
    </row>
    <row r="437" spans="1:20" s="64" customFormat="1">
      <c r="A437" s="529"/>
      <c r="B437" s="373" t="s">
        <v>136</v>
      </c>
      <c r="C437" s="374" t="s">
        <v>68</v>
      </c>
      <c r="D437" s="376"/>
      <c r="E437" s="559" t="e">
        <f>SUM(F431:F436)</f>
        <v>#REF!</v>
      </c>
      <c r="F437" s="303" t="e">
        <f t="shared" si="12"/>
        <v>#REF!</v>
      </c>
      <c r="G437" s="2"/>
      <c r="H437" s="2"/>
      <c r="I437" s="2"/>
      <c r="J437" s="244"/>
      <c r="K437" s="244"/>
      <c r="L437" s="244"/>
      <c r="M437" s="3"/>
      <c r="N437" s="3"/>
      <c r="S437" s="3"/>
      <c r="T437" s="3"/>
    </row>
    <row r="438" spans="1:20" s="64" customFormat="1">
      <c r="A438" s="529"/>
      <c r="B438" s="373" t="s">
        <v>11</v>
      </c>
      <c r="C438" s="374" t="s">
        <v>284</v>
      </c>
      <c r="D438" s="376">
        <v>0.03</v>
      </c>
      <c r="E438" s="559">
        <f>F439</f>
        <v>9617.4216620541374</v>
      </c>
      <c r="F438" s="303">
        <f t="shared" si="12"/>
        <v>288.52264986162413</v>
      </c>
      <c r="G438" s="2"/>
      <c r="H438" s="2"/>
      <c r="I438" s="2"/>
      <c r="J438" s="244"/>
      <c r="K438" s="244"/>
      <c r="L438" s="244"/>
      <c r="M438" s="3"/>
      <c r="N438" s="3"/>
      <c r="S438" s="3"/>
      <c r="T438" s="3"/>
    </row>
    <row r="439" spans="1:20" s="64" customFormat="1">
      <c r="A439" s="529"/>
      <c r="B439" s="373" t="s">
        <v>102</v>
      </c>
      <c r="C439" s="374" t="s">
        <v>10</v>
      </c>
      <c r="D439" s="561">
        <v>0.32</v>
      </c>
      <c r="E439" s="559">
        <f>'VALOR CUADRILLAS MO'!D101</f>
        <v>30054.442693919176</v>
      </c>
      <c r="F439" s="303">
        <f t="shared" si="12"/>
        <v>9617.4216620541374</v>
      </c>
      <c r="G439" s="2"/>
      <c r="H439" s="2"/>
      <c r="I439" s="2"/>
      <c r="J439" s="244"/>
      <c r="K439" s="244"/>
      <c r="L439" s="244"/>
      <c r="M439" s="3"/>
      <c r="N439" s="3"/>
      <c r="S439" s="3"/>
      <c r="T439" s="3"/>
    </row>
    <row r="440" spans="1:20" s="64" customFormat="1">
      <c r="A440" s="529"/>
      <c r="B440" s="165"/>
      <c r="C440" s="77"/>
      <c r="D440" s="78"/>
      <c r="E440" s="79"/>
      <c r="F440" s="79"/>
      <c r="G440" s="2"/>
      <c r="H440" s="2"/>
      <c r="I440" s="2"/>
      <c r="J440" s="244"/>
      <c r="K440" s="244"/>
      <c r="L440" s="244"/>
      <c r="M440" s="3"/>
      <c r="N440" s="3"/>
      <c r="S440" s="3"/>
      <c r="T440" s="3"/>
    </row>
    <row r="441" spans="1:20" s="64" customFormat="1" ht="36.6" customHeight="1">
      <c r="A441" s="246">
        <f>A430+1</f>
        <v>60</v>
      </c>
      <c r="B441" s="83" t="s">
        <v>3025</v>
      </c>
      <c r="C441" s="76" t="s">
        <v>26</v>
      </c>
      <c r="D441" s="73"/>
      <c r="E441" s="467"/>
      <c r="F441" s="468" t="e">
        <f>ROUND(+SUM(F442:F450),0)</f>
        <v>#REF!</v>
      </c>
      <c r="G441" s="2"/>
      <c r="H441" s="2"/>
      <c r="I441" s="2"/>
      <c r="J441" s="244"/>
      <c r="K441" s="244"/>
      <c r="L441" s="244"/>
      <c r="M441" s="3"/>
      <c r="N441" s="3"/>
      <c r="S441" s="3"/>
      <c r="T441" s="3"/>
    </row>
    <row r="442" spans="1:20" s="64" customFormat="1">
      <c r="A442" s="529"/>
      <c r="B442" s="36" t="s">
        <v>3026</v>
      </c>
      <c r="C442" s="77" t="s">
        <v>153</v>
      </c>
      <c r="D442" s="379">
        <v>0.34927586206896549</v>
      </c>
      <c r="E442" s="396" t="e">
        <f>INSUMOS!#REF!</f>
        <v>#REF!</v>
      </c>
      <c r="F442" s="396" t="e">
        <f>+D442*E442</f>
        <v>#REF!</v>
      </c>
      <c r="G442" s="2"/>
      <c r="H442" s="2"/>
      <c r="I442" s="2"/>
      <c r="J442" s="244"/>
      <c r="K442" s="244"/>
      <c r="L442" s="244"/>
      <c r="M442" s="3"/>
      <c r="N442" s="3"/>
      <c r="S442" s="3"/>
      <c r="T442" s="3"/>
    </row>
    <row r="443" spans="1:20" s="64" customFormat="1">
      <c r="A443" s="529"/>
      <c r="B443" s="36" t="s">
        <v>3027</v>
      </c>
      <c r="C443" s="77" t="s">
        <v>153</v>
      </c>
      <c r="D443" s="379">
        <v>0.32</v>
      </c>
      <c r="E443" s="396" t="e">
        <f>INSUMOS!#REF!</f>
        <v>#REF!</v>
      </c>
      <c r="F443" s="396" t="e">
        <f>+D443*E443</f>
        <v>#REF!</v>
      </c>
      <c r="G443" s="2"/>
      <c r="H443" s="2"/>
      <c r="I443" s="2"/>
      <c r="J443" s="244"/>
      <c r="K443" s="244"/>
      <c r="L443" s="244"/>
      <c r="M443" s="3"/>
      <c r="N443" s="3"/>
      <c r="S443" s="3"/>
      <c r="T443" s="3"/>
    </row>
    <row r="444" spans="1:20" s="64" customFormat="1">
      <c r="A444" s="529"/>
      <c r="B444" s="36" t="s">
        <v>3028</v>
      </c>
      <c r="C444" s="77" t="s">
        <v>146</v>
      </c>
      <c r="D444" s="379">
        <v>1</v>
      </c>
      <c r="E444" s="396" t="e">
        <f>INSUMOS!#REF!</f>
        <v>#REF!</v>
      </c>
      <c r="F444" s="396" t="e">
        <f>+D444*E444</f>
        <v>#REF!</v>
      </c>
      <c r="G444" s="2"/>
      <c r="H444" s="2"/>
      <c r="I444" s="2"/>
      <c r="J444" s="244"/>
      <c r="K444" s="244"/>
      <c r="L444" s="244"/>
      <c r="M444" s="3"/>
      <c r="N444" s="3"/>
      <c r="S444" s="3"/>
      <c r="T444" s="3"/>
    </row>
    <row r="445" spans="1:20" s="64" customFormat="1">
      <c r="A445" s="529"/>
      <c r="B445" s="36" t="s">
        <v>3029</v>
      </c>
      <c r="C445" s="77" t="s">
        <v>120</v>
      </c>
      <c r="D445" s="379">
        <v>5</v>
      </c>
      <c r="E445" s="396" t="e">
        <f>INSUMOS!#REF!</f>
        <v>#REF!</v>
      </c>
      <c r="F445" s="396" t="e">
        <f>+E445/D445</f>
        <v>#REF!</v>
      </c>
      <c r="G445" s="2"/>
      <c r="H445" s="2"/>
      <c r="I445" s="2"/>
      <c r="J445" s="244"/>
      <c r="K445" s="244"/>
      <c r="L445" s="244"/>
      <c r="M445" s="3"/>
      <c r="N445" s="3"/>
      <c r="S445" s="3"/>
      <c r="T445" s="3"/>
    </row>
    <row r="446" spans="1:20" s="64" customFormat="1">
      <c r="A446" s="529"/>
      <c r="B446" s="36" t="s">
        <v>3030</v>
      </c>
      <c r="C446" s="77" t="s">
        <v>3031</v>
      </c>
      <c r="D446" s="379">
        <v>1.0674999999999999</v>
      </c>
      <c r="E446" s="396" t="e">
        <f>INSUMOS!#REF!</f>
        <v>#REF!</v>
      </c>
      <c r="F446" s="396" t="e">
        <f>+D446*E446</f>
        <v>#REF!</v>
      </c>
      <c r="G446" s="2"/>
      <c r="H446" s="2"/>
      <c r="I446" s="2"/>
      <c r="J446" s="244"/>
      <c r="K446" s="244"/>
      <c r="L446" s="244"/>
      <c r="M446" s="3"/>
      <c r="N446" s="3"/>
      <c r="S446" s="3"/>
      <c r="T446" s="3"/>
    </row>
    <row r="447" spans="1:20" s="64" customFormat="1">
      <c r="A447" s="529"/>
      <c r="B447" s="36" t="s">
        <v>3032</v>
      </c>
      <c r="C447" s="77" t="s">
        <v>68</v>
      </c>
      <c r="D447" s="379">
        <v>0.05</v>
      </c>
      <c r="E447" s="396" t="e">
        <f>SUM(F442:F446)</f>
        <v>#REF!</v>
      </c>
      <c r="F447" s="396" t="e">
        <f>+D447*E447</f>
        <v>#REF!</v>
      </c>
      <c r="G447" s="2"/>
      <c r="H447" s="2"/>
      <c r="I447" s="2"/>
      <c r="J447" s="244"/>
      <c r="K447" s="244"/>
      <c r="L447" s="244"/>
      <c r="M447" s="3"/>
      <c r="N447" s="3"/>
      <c r="S447" s="3"/>
      <c r="T447" s="3"/>
    </row>
    <row r="448" spans="1:20" s="64" customFormat="1">
      <c r="A448" s="529"/>
      <c r="B448" s="373" t="s">
        <v>136</v>
      </c>
      <c r="C448" s="374" t="s">
        <v>68</v>
      </c>
      <c r="D448" s="376"/>
      <c r="E448" s="559" t="e">
        <f>SUM(F442:F447)</f>
        <v>#REF!</v>
      </c>
      <c r="F448" s="303" t="e">
        <f t="shared" ref="F448:F449" si="13">+D448*E448</f>
        <v>#REF!</v>
      </c>
      <c r="G448" s="2"/>
      <c r="H448" s="2"/>
      <c r="I448" s="2"/>
      <c r="J448" s="244"/>
      <c r="K448" s="244"/>
      <c r="L448" s="244"/>
      <c r="M448" s="3"/>
      <c r="N448" s="3"/>
      <c r="S448" s="3"/>
      <c r="T448" s="3"/>
    </row>
    <row r="449" spans="1:20" s="64" customFormat="1">
      <c r="A449" s="529"/>
      <c r="B449" s="36" t="s">
        <v>11</v>
      </c>
      <c r="C449" s="77" t="s">
        <v>68</v>
      </c>
      <c r="D449" s="379">
        <v>0.03</v>
      </c>
      <c r="E449" s="396">
        <f>SUM(F450:F450)</f>
        <v>1907.803753614</v>
      </c>
      <c r="F449" s="303">
        <f t="shared" si="13"/>
        <v>57.234112608419998</v>
      </c>
      <c r="G449" s="2"/>
      <c r="H449" s="2"/>
      <c r="I449" s="2"/>
      <c r="J449" s="244"/>
      <c r="K449" s="244"/>
      <c r="L449" s="244"/>
      <c r="M449" s="3"/>
      <c r="N449" s="3"/>
      <c r="S449" s="3"/>
      <c r="T449" s="3"/>
    </row>
    <row r="450" spans="1:20" s="64" customFormat="1">
      <c r="A450" s="529"/>
      <c r="B450" s="36" t="s">
        <v>9</v>
      </c>
      <c r="C450" s="77" t="s">
        <v>10</v>
      </c>
      <c r="D450" s="379">
        <v>7.2999999999999995E-2</v>
      </c>
      <c r="E450" s="396">
        <f>+'VALOR CUADRILLAS MO'!D75</f>
        <v>26134.297994712331</v>
      </c>
      <c r="F450" s="396">
        <f>+D450*E450</f>
        <v>1907.803753614</v>
      </c>
      <c r="G450" s="2"/>
      <c r="H450" s="2"/>
      <c r="I450" s="2"/>
      <c r="J450" s="244"/>
      <c r="K450" s="244"/>
      <c r="L450" s="244"/>
      <c r="M450" s="3"/>
      <c r="N450" s="3"/>
      <c r="S450" s="3"/>
      <c r="T450" s="3"/>
    </row>
    <row r="451" spans="1:20" s="64" customFormat="1">
      <c r="A451" s="529"/>
      <c r="B451" s="165"/>
      <c r="C451" s="77"/>
      <c r="D451" s="78"/>
      <c r="E451" s="79"/>
      <c r="F451" s="79"/>
      <c r="G451" s="2"/>
      <c r="H451" s="2"/>
      <c r="I451" s="2"/>
      <c r="J451" s="244"/>
      <c r="K451" s="244"/>
      <c r="L451" s="244"/>
      <c r="M451" s="3"/>
      <c r="N451" s="3"/>
      <c r="S451" s="3"/>
      <c r="T451" s="3"/>
    </row>
    <row r="452" spans="1:20" s="64" customFormat="1" ht="58.15" customHeight="1">
      <c r="A452" s="246">
        <f>A441+1</f>
        <v>61</v>
      </c>
      <c r="B452" s="83" t="s">
        <v>3047</v>
      </c>
      <c r="C452" s="76" t="s">
        <v>119</v>
      </c>
      <c r="D452" s="73"/>
      <c r="E452" s="467"/>
      <c r="F452" s="468" t="e">
        <f>ROUND(SUM(F453:F468),0)</f>
        <v>#REF!</v>
      </c>
      <c r="G452" s="2"/>
      <c r="H452" s="2"/>
      <c r="I452" s="2"/>
      <c r="J452" s="244"/>
      <c r="K452" s="244"/>
      <c r="L452" s="244"/>
      <c r="M452" s="3"/>
      <c r="N452" s="3"/>
      <c r="S452" s="3"/>
      <c r="T452" s="3"/>
    </row>
    <row r="453" spans="1:20" s="64" customFormat="1">
      <c r="A453" s="529"/>
      <c r="B453" s="574" t="s">
        <v>2651</v>
      </c>
      <c r="C453" s="77" t="s">
        <v>2652</v>
      </c>
      <c r="D453" s="368">
        <v>36.764705882352942</v>
      </c>
      <c r="E453" s="390" t="e">
        <f>INSUMOS!#REF!</f>
        <v>#REF!</v>
      </c>
      <c r="F453" s="390" t="e">
        <f>E453/D453</f>
        <v>#REF!</v>
      </c>
      <c r="G453" s="2"/>
      <c r="H453" s="2"/>
      <c r="I453" s="2"/>
      <c r="J453" s="244"/>
      <c r="K453" s="244"/>
      <c r="L453" s="244"/>
      <c r="M453" s="3"/>
      <c r="N453" s="3"/>
      <c r="S453" s="3"/>
      <c r="T453" s="3"/>
    </row>
    <row r="454" spans="1:20" s="64" customFormat="1">
      <c r="A454" s="529"/>
      <c r="B454" s="574" t="s">
        <v>2653</v>
      </c>
      <c r="C454" s="77" t="s">
        <v>2652</v>
      </c>
      <c r="D454" s="368">
        <v>382.35294117647055</v>
      </c>
      <c r="E454" s="390" t="e">
        <f>INSUMOS!#REF!</f>
        <v>#REF!</v>
      </c>
      <c r="F454" s="390" t="e">
        <f t="shared" ref="F454:F459" si="14">E454/D454</f>
        <v>#REF!</v>
      </c>
      <c r="G454" s="2"/>
      <c r="H454" s="2"/>
      <c r="I454" s="2"/>
      <c r="J454" s="244"/>
      <c r="K454" s="244"/>
      <c r="L454" s="244"/>
      <c r="M454" s="3"/>
      <c r="N454" s="3"/>
      <c r="S454" s="3"/>
      <c r="T454" s="3"/>
    </row>
    <row r="455" spans="1:20" s="64" customFormat="1" ht="38.25">
      <c r="A455" s="529"/>
      <c r="B455" s="574" t="s">
        <v>2654</v>
      </c>
      <c r="C455" s="77" t="s">
        <v>2652</v>
      </c>
      <c r="D455" s="368">
        <v>23.529411764705884</v>
      </c>
      <c r="E455" s="390" t="e">
        <f>INSUMOS!#REF!</f>
        <v>#REF!</v>
      </c>
      <c r="F455" s="390" t="e">
        <f t="shared" si="14"/>
        <v>#REF!</v>
      </c>
      <c r="G455" s="2"/>
      <c r="H455" s="2"/>
      <c r="I455" s="2"/>
      <c r="J455" s="244"/>
      <c r="K455" s="244"/>
      <c r="L455" s="244"/>
      <c r="M455" s="3"/>
      <c r="N455" s="3"/>
      <c r="S455" s="3"/>
      <c r="T455" s="3"/>
    </row>
    <row r="456" spans="1:20" s="64" customFormat="1">
      <c r="A456" s="529"/>
      <c r="B456" s="574" t="s">
        <v>3048</v>
      </c>
      <c r="C456" s="77" t="s">
        <v>3049</v>
      </c>
      <c r="D456" s="367">
        <v>2E-3</v>
      </c>
      <c r="E456" s="390" t="e">
        <f>INSUMOS!#REF!</f>
        <v>#REF!</v>
      </c>
      <c r="F456" s="390" t="e">
        <f>(D456*E456)</f>
        <v>#REF!</v>
      </c>
      <c r="G456" s="2"/>
      <c r="H456" s="2"/>
      <c r="I456" s="2"/>
      <c r="J456" s="244"/>
      <c r="K456" s="244"/>
      <c r="L456" s="244"/>
      <c r="M456" s="3"/>
      <c r="N456" s="3"/>
      <c r="S456" s="3"/>
      <c r="T456" s="3"/>
    </row>
    <row r="457" spans="1:20" s="64" customFormat="1">
      <c r="A457" s="529"/>
      <c r="B457" s="574" t="s">
        <v>2655</v>
      </c>
      <c r="C457" s="77" t="s">
        <v>2652</v>
      </c>
      <c r="D457" s="368">
        <v>5.8823529411764701</v>
      </c>
      <c r="E457" s="390" t="e">
        <f>INSUMOS!#REF!</f>
        <v>#REF!</v>
      </c>
      <c r="F457" s="390" t="e">
        <f t="shared" si="14"/>
        <v>#REF!</v>
      </c>
      <c r="G457" s="2"/>
      <c r="H457" s="2"/>
      <c r="I457" s="2"/>
      <c r="J457" s="244"/>
      <c r="K457" s="244"/>
      <c r="L457" s="244"/>
      <c r="M457" s="3"/>
      <c r="N457" s="3"/>
      <c r="S457" s="3"/>
      <c r="T457" s="3"/>
    </row>
    <row r="458" spans="1:20" s="64" customFormat="1">
      <c r="A458" s="529"/>
      <c r="B458" s="574" t="s">
        <v>3050</v>
      </c>
      <c r="C458" s="77" t="s">
        <v>2652</v>
      </c>
      <c r="D458" s="368">
        <v>20.833333333333336</v>
      </c>
      <c r="E458" s="390" t="e">
        <f>INSUMOS!#REF!</f>
        <v>#REF!</v>
      </c>
      <c r="F458" s="390" t="e">
        <f t="shared" si="14"/>
        <v>#REF!</v>
      </c>
      <c r="G458" s="2"/>
      <c r="H458" s="2"/>
      <c r="I458" s="2"/>
      <c r="J458" s="244"/>
      <c r="K458" s="244"/>
      <c r="L458" s="244"/>
      <c r="M458" s="3"/>
      <c r="N458" s="3"/>
      <c r="S458" s="3"/>
      <c r="T458" s="3"/>
    </row>
    <row r="459" spans="1:20" s="64" customFormat="1">
      <c r="A459" s="529"/>
      <c r="B459" s="574" t="s">
        <v>2657</v>
      </c>
      <c r="C459" s="77" t="s">
        <v>2652</v>
      </c>
      <c r="D459" s="368">
        <v>26.470588235294116</v>
      </c>
      <c r="E459" s="390" t="e">
        <f>INSUMOS!#REF!</f>
        <v>#REF!</v>
      </c>
      <c r="F459" s="390" t="e">
        <f t="shared" si="14"/>
        <v>#REF!</v>
      </c>
      <c r="G459" s="2"/>
      <c r="H459" s="2"/>
      <c r="I459" s="2"/>
      <c r="J459" s="244"/>
      <c r="K459" s="244"/>
      <c r="L459" s="244"/>
      <c r="M459" s="3"/>
      <c r="N459" s="3"/>
      <c r="S459" s="3"/>
      <c r="T459" s="3"/>
    </row>
    <row r="460" spans="1:20" s="64" customFormat="1">
      <c r="A460" s="529"/>
      <c r="B460" s="575" t="s">
        <v>2660</v>
      </c>
      <c r="C460" s="77" t="s">
        <v>29</v>
      </c>
      <c r="D460" s="368">
        <v>0.68</v>
      </c>
      <c r="E460" s="79" t="e">
        <f>INSUMOS!#REF!</f>
        <v>#REF!</v>
      </c>
      <c r="F460" s="390" t="e">
        <f>(D460*E460)</f>
        <v>#REF!</v>
      </c>
      <c r="G460" s="2"/>
      <c r="H460" s="2"/>
      <c r="I460" s="2"/>
      <c r="J460" s="244"/>
      <c r="K460" s="244"/>
      <c r="L460" s="244"/>
      <c r="M460" s="3"/>
      <c r="N460" s="3"/>
      <c r="S460" s="3"/>
      <c r="T460" s="3"/>
    </row>
    <row r="461" spans="1:20" s="64" customFormat="1">
      <c r="A461" s="529"/>
      <c r="B461" s="575" t="s">
        <v>2661</v>
      </c>
      <c r="C461" s="77" t="s">
        <v>29</v>
      </c>
      <c r="D461" s="368">
        <v>0.68</v>
      </c>
      <c r="E461" s="79" t="e">
        <f>INSUMOS!#REF!</f>
        <v>#REF!</v>
      </c>
      <c r="F461" s="390" t="e">
        <f>(D461*E461)</f>
        <v>#REF!</v>
      </c>
      <c r="G461" s="2"/>
      <c r="H461" s="2"/>
      <c r="I461" s="2"/>
      <c r="J461" s="244"/>
      <c r="K461" s="244"/>
      <c r="L461" s="244"/>
      <c r="M461" s="3"/>
      <c r="N461" s="3"/>
      <c r="S461" s="3"/>
      <c r="T461" s="3"/>
    </row>
    <row r="462" spans="1:20" s="64" customFormat="1">
      <c r="A462" s="529"/>
      <c r="B462" s="575" t="s">
        <v>2662</v>
      </c>
      <c r="C462" s="77" t="s">
        <v>32</v>
      </c>
      <c r="D462" s="368">
        <v>0.19</v>
      </c>
      <c r="E462" s="79" t="e">
        <f>INSUMOS!#REF!</f>
        <v>#REF!</v>
      </c>
      <c r="F462" s="390" t="e">
        <f>(D462*E462)</f>
        <v>#REF!</v>
      </c>
      <c r="G462" s="2"/>
      <c r="H462" s="2"/>
      <c r="I462" s="2"/>
      <c r="J462" s="244"/>
      <c r="K462" s="244"/>
      <c r="L462" s="244"/>
      <c r="M462" s="3"/>
      <c r="N462" s="3"/>
      <c r="S462" s="3"/>
      <c r="T462" s="3"/>
    </row>
    <row r="463" spans="1:20" s="64" customFormat="1">
      <c r="A463" s="529"/>
      <c r="B463" s="575" t="s">
        <v>3051</v>
      </c>
      <c r="C463" s="77" t="s">
        <v>75</v>
      </c>
      <c r="D463" s="368">
        <v>0.12</v>
      </c>
      <c r="E463" s="679">
        <f>'CONCRETO PREMEZCLADO'!D9</f>
        <v>370781.39</v>
      </c>
      <c r="F463" s="390">
        <f>(D463*E463)</f>
        <v>44493.766799999998</v>
      </c>
      <c r="G463" s="2"/>
      <c r="H463" s="2"/>
      <c r="I463" s="2"/>
      <c r="J463" s="244"/>
      <c r="K463" s="244"/>
      <c r="L463" s="244"/>
      <c r="M463" s="3"/>
      <c r="N463" s="3"/>
      <c r="S463" s="3"/>
      <c r="T463" s="3"/>
    </row>
    <row r="464" spans="1:20" s="64" customFormat="1">
      <c r="A464" s="529"/>
      <c r="B464" s="575" t="s">
        <v>3052</v>
      </c>
      <c r="C464" s="77" t="s">
        <v>29</v>
      </c>
      <c r="D464" s="576">
        <v>2.7000000000000001E-3</v>
      </c>
      <c r="E464" s="390" t="e">
        <f>INSUMOS!#REF!</f>
        <v>#REF!</v>
      </c>
      <c r="F464" s="390" t="e">
        <f>(D464*E464)</f>
        <v>#REF!</v>
      </c>
      <c r="G464" s="2"/>
      <c r="H464" s="2"/>
      <c r="I464" s="2"/>
      <c r="J464" s="244"/>
      <c r="K464" s="244"/>
      <c r="L464" s="244"/>
      <c r="M464" s="3"/>
      <c r="N464" s="3"/>
      <c r="S464" s="3"/>
      <c r="T464" s="3"/>
    </row>
    <row r="465" spans="1:20" s="64" customFormat="1">
      <c r="A465" s="529"/>
      <c r="B465" s="36" t="s">
        <v>3053</v>
      </c>
      <c r="C465" s="77" t="s">
        <v>68</v>
      </c>
      <c r="D465" s="368">
        <v>0.05</v>
      </c>
      <c r="E465" s="390" t="e">
        <f>SUM(F460:F463)+F456+F464</f>
        <v>#REF!</v>
      </c>
      <c r="F465" s="390" t="e">
        <f>+D465*E465</f>
        <v>#REF!</v>
      </c>
      <c r="G465" s="2"/>
      <c r="H465" s="2"/>
      <c r="I465" s="2"/>
      <c r="J465" s="244"/>
      <c r="K465" s="244"/>
      <c r="L465" s="244"/>
      <c r="M465" s="3"/>
      <c r="N465" s="3"/>
      <c r="S465" s="3"/>
      <c r="T465" s="3"/>
    </row>
    <row r="466" spans="1:20" s="64" customFormat="1">
      <c r="A466" s="529"/>
      <c r="B466" s="575" t="s">
        <v>2664</v>
      </c>
      <c r="C466" s="77" t="s">
        <v>2665</v>
      </c>
      <c r="D466" s="368">
        <f>D463*13</f>
        <v>1.56</v>
      </c>
      <c r="E466" s="390">
        <f>INSUMOS!D23</f>
        <v>1094.8912</v>
      </c>
      <c r="F466" s="390">
        <f>(D466*E466)</f>
        <v>1708.0302720000002</v>
      </c>
      <c r="G466" s="2"/>
      <c r="H466" s="2"/>
      <c r="I466" s="2"/>
      <c r="J466" s="244"/>
      <c r="K466" s="244"/>
      <c r="L466" s="244"/>
      <c r="M466" s="3"/>
      <c r="N466" s="3"/>
      <c r="S466" s="3"/>
      <c r="T466" s="3"/>
    </row>
    <row r="467" spans="1:20" s="64" customFormat="1">
      <c r="A467" s="529"/>
      <c r="B467" s="36" t="s">
        <v>3054</v>
      </c>
      <c r="C467" s="77" t="s">
        <v>284</v>
      </c>
      <c r="D467" s="368">
        <v>0.03</v>
      </c>
      <c r="E467" s="390">
        <f>F468</f>
        <v>16987.293696563014</v>
      </c>
      <c r="F467" s="390">
        <f>+D467*E467</f>
        <v>509.61881089689041</v>
      </c>
      <c r="G467" s="2"/>
      <c r="H467" s="2"/>
      <c r="I467" s="2"/>
      <c r="J467" s="244"/>
      <c r="K467" s="244"/>
      <c r="L467" s="244"/>
      <c r="M467" s="3"/>
      <c r="N467" s="3"/>
      <c r="S467" s="3"/>
      <c r="T467" s="3"/>
    </row>
    <row r="468" spans="1:20" s="64" customFormat="1">
      <c r="A468" s="529"/>
      <c r="B468" s="36" t="s">
        <v>3055</v>
      </c>
      <c r="C468" s="77" t="s">
        <v>10</v>
      </c>
      <c r="D468" s="368">
        <v>0.65</v>
      </c>
      <c r="E468" s="390">
        <f>+'VALOR CUADRILLAS MO'!D75</f>
        <v>26134.297994712331</v>
      </c>
      <c r="F468" s="390">
        <f>+D468*E468</f>
        <v>16987.293696563014</v>
      </c>
      <c r="G468" s="2"/>
      <c r="H468" s="2"/>
      <c r="I468" s="2"/>
      <c r="J468" s="244"/>
      <c r="K468" s="244"/>
      <c r="L468" s="244"/>
      <c r="M468" s="3"/>
      <c r="N468" s="3"/>
      <c r="S468" s="3"/>
      <c r="T468" s="3"/>
    </row>
    <row r="469" spans="1:20" s="64" customFormat="1">
      <c r="A469" s="529"/>
      <c r="B469" s="36"/>
      <c r="C469" s="77"/>
      <c r="D469" s="368"/>
      <c r="E469" s="390"/>
      <c r="F469" s="390"/>
      <c r="G469" s="2"/>
      <c r="H469" s="2"/>
      <c r="I469" s="2"/>
      <c r="J469" s="244"/>
      <c r="K469" s="244"/>
      <c r="L469" s="244"/>
      <c r="M469" s="3"/>
      <c r="N469" s="3"/>
      <c r="S469" s="3"/>
      <c r="T469" s="3"/>
    </row>
    <row r="470" spans="1:20" s="64" customFormat="1" ht="120" customHeight="1">
      <c r="A470" s="246">
        <f>A452+1</f>
        <v>62</v>
      </c>
      <c r="B470" s="83" t="s">
        <v>3056</v>
      </c>
      <c r="C470" s="76" t="s">
        <v>119</v>
      </c>
      <c r="D470" s="73"/>
      <c r="E470" s="467"/>
      <c r="F470" s="468" t="e">
        <f>ROUND(SUM(F471:F478),0)</f>
        <v>#REF!</v>
      </c>
      <c r="G470" s="2"/>
      <c r="H470" s="2"/>
      <c r="I470" s="2"/>
      <c r="J470" s="244"/>
      <c r="K470" s="244"/>
      <c r="L470" s="244"/>
      <c r="M470" s="3"/>
      <c r="N470" s="3"/>
      <c r="S470" s="3"/>
      <c r="T470" s="3"/>
    </row>
    <row r="471" spans="1:20" s="64" customFormat="1">
      <c r="A471" s="529"/>
      <c r="B471" s="36" t="s">
        <v>3057</v>
      </c>
      <c r="C471" s="77" t="s">
        <v>124</v>
      </c>
      <c r="D471" s="379">
        <v>0.05</v>
      </c>
      <c r="E471" s="396" t="e">
        <f>INSUMOS!#REF!</f>
        <v>#REF!</v>
      </c>
      <c r="F471" s="390" t="e">
        <f>D471*E471</f>
        <v>#REF!</v>
      </c>
      <c r="G471" s="2"/>
      <c r="H471" s="2"/>
      <c r="I471" s="2"/>
      <c r="J471" s="244"/>
      <c r="K471" s="244"/>
      <c r="L471" s="244"/>
      <c r="M471" s="3"/>
      <c r="N471" s="3"/>
      <c r="S471" s="3"/>
      <c r="T471" s="3"/>
    </row>
    <row r="472" spans="1:20" s="64" customFormat="1">
      <c r="A472" s="529"/>
      <c r="B472" s="36" t="s">
        <v>3058</v>
      </c>
      <c r="C472" s="77" t="s">
        <v>124</v>
      </c>
      <c r="D472" s="379">
        <v>0.05</v>
      </c>
      <c r="E472" s="396" t="e">
        <f>INSUMOS!#REF!</f>
        <v>#REF!</v>
      </c>
      <c r="F472" s="390" t="e">
        <f t="shared" ref="F472:F478" si="15">D472*E472</f>
        <v>#REF!</v>
      </c>
      <c r="G472" s="2"/>
      <c r="H472" s="2"/>
      <c r="I472" s="2"/>
      <c r="J472" s="244"/>
      <c r="K472" s="244"/>
      <c r="L472" s="244"/>
      <c r="M472" s="3"/>
      <c r="N472" s="3"/>
      <c r="S472" s="3"/>
      <c r="T472" s="3"/>
    </row>
    <row r="473" spans="1:20" s="64" customFormat="1">
      <c r="A473" s="529"/>
      <c r="B473" s="36" t="s">
        <v>3059</v>
      </c>
      <c r="C473" s="77" t="s">
        <v>124</v>
      </c>
      <c r="D473" s="379">
        <v>0.1</v>
      </c>
      <c r="E473" s="396">
        <f>INSUMOS!D199</f>
        <v>20857.13</v>
      </c>
      <c r="F473" s="390">
        <f t="shared" si="15"/>
        <v>2085.7130000000002</v>
      </c>
      <c r="G473" s="2"/>
      <c r="H473" s="2"/>
      <c r="I473" s="2"/>
      <c r="J473" s="244"/>
      <c r="K473" s="244"/>
      <c r="L473" s="244"/>
      <c r="M473" s="3"/>
      <c r="N473" s="3"/>
      <c r="S473" s="3"/>
      <c r="T473" s="3"/>
    </row>
    <row r="474" spans="1:20" s="64" customFormat="1">
      <c r="A474" s="529"/>
      <c r="B474" s="36" t="s">
        <v>3060</v>
      </c>
      <c r="C474" s="77" t="s">
        <v>26</v>
      </c>
      <c r="D474" s="379">
        <v>1</v>
      </c>
      <c r="E474" s="396" t="e">
        <f>INSUMOS!#REF!</f>
        <v>#REF!</v>
      </c>
      <c r="F474" s="390" t="e">
        <f t="shared" si="15"/>
        <v>#REF!</v>
      </c>
      <c r="G474" s="2"/>
      <c r="H474" s="2"/>
      <c r="I474" s="2"/>
      <c r="J474" s="244"/>
      <c r="K474" s="244"/>
      <c r="L474" s="244"/>
      <c r="M474" s="3"/>
      <c r="N474" s="3"/>
      <c r="S474" s="3"/>
      <c r="T474" s="3"/>
    </row>
    <row r="475" spans="1:20" s="64" customFormat="1">
      <c r="A475" s="529"/>
      <c r="B475" s="36" t="s">
        <v>229</v>
      </c>
      <c r="C475" s="77" t="s">
        <v>68</v>
      </c>
      <c r="D475" s="379">
        <v>0.05</v>
      </c>
      <c r="E475" s="396" t="e">
        <f>SUM(F471:F474)</f>
        <v>#REF!</v>
      </c>
      <c r="F475" s="390" t="e">
        <f t="shared" si="15"/>
        <v>#REF!</v>
      </c>
      <c r="G475" s="2"/>
      <c r="H475" s="2"/>
      <c r="I475" s="2"/>
      <c r="J475" s="244"/>
      <c r="K475" s="244"/>
      <c r="L475" s="244"/>
      <c r="M475" s="3"/>
      <c r="N475" s="3"/>
      <c r="S475" s="3"/>
      <c r="T475" s="3"/>
    </row>
    <row r="476" spans="1:20" s="64" customFormat="1">
      <c r="A476" s="529"/>
      <c r="B476" s="36" t="s">
        <v>136</v>
      </c>
      <c r="C476" s="77" t="s">
        <v>68</v>
      </c>
      <c r="D476" s="379"/>
      <c r="E476" s="396" t="e">
        <f>SUM(F471:F475)</f>
        <v>#REF!</v>
      </c>
      <c r="F476" s="390" t="e">
        <f t="shared" si="15"/>
        <v>#REF!</v>
      </c>
      <c r="G476" s="2"/>
      <c r="H476" s="2"/>
      <c r="I476" s="2"/>
      <c r="J476" s="244"/>
      <c r="K476" s="244"/>
      <c r="L476" s="244"/>
      <c r="M476" s="3"/>
      <c r="N476" s="3"/>
      <c r="S476" s="3"/>
      <c r="T476" s="3"/>
    </row>
    <row r="477" spans="1:20" s="64" customFormat="1">
      <c r="A477" s="529"/>
      <c r="B477" s="36" t="s">
        <v>11</v>
      </c>
      <c r="C477" s="77" t="s">
        <v>284</v>
      </c>
      <c r="D477" s="379">
        <v>0.03</v>
      </c>
      <c r="E477" s="396">
        <f>+F478</f>
        <v>7065.7994773403989</v>
      </c>
      <c r="F477" s="390">
        <f t="shared" si="15"/>
        <v>211.97398432021197</v>
      </c>
      <c r="G477" s="2"/>
      <c r="H477" s="2"/>
      <c r="I477" s="2"/>
      <c r="J477" s="244"/>
      <c r="K477" s="244"/>
      <c r="L477" s="244"/>
      <c r="M477" s="3"/>
      <c r="N477" s="3"/>
      <c r="S477" s="3"/>
      <c r="T477" s="3"/>
    </row>
    <row r="478" spans="1:20" s="64" customFormat="1">
      <c r="A478" s="529"/>
      <c r="B478" s="36" t="s">
        <v>102</v>
      </c>
      <c r="C478" s="77" t="s">
        <v>182</v>
      </c>
      <c r="D478" s="379">
        <v>0.2351</v>
      </c>
      <c r="E478" s="396">
        <f>'VALOR CUADRILLAS MO'!D101</f>
        <v>30054.442693919176</v>
      </c>
      <c r="F478" s="390">
        <f t="shared" si="15"/>
        <v>7065.7994773403989</v>
      </c>
      <c r="G478" s="2"/>
      <c r="H478" s="2"/>
      <c r="I478" s="2"/>
      <c r="J478" s="244"/>
      <c r="K478" s="244"/>
      <c r="L478" s="244"/>
      <c r="M478" s="3"/>
      <c r="N478" s="3"/>
      <c r="S478" s="3"/>
      <c r="T478" s="3"/>
    </row>
    <row r="479" spans="1:20" s="64" customFormat="1">
      <c r="A479" s="529"/>
      <c r="B479" s="165"/>
      <c r="C479" s="77"/>
      <c r="D479" s="78"/>
      <c r="E479" s="79"/>
      <c r="F479" s="79"/>
      <c r="G479" s="2"/>
      <c r="H479" s="2"/>
      <c r="I479" s="2"/>
      <c r="J479" s="244"/>
      <c r="K479" s="244"/>
      <c r="L479" s="244"/>
      <c r="M479" s="3"/>
      <c r="N479" s="3"/>
      <c r="S479" s="3"/>
      <c r="T479" s="3"/>
    </row>
    <row r="480" spans="1:20" s="2" customFormat="1" ht="19.899999999999999" customHeight="1">
      <c r="A480" s="458" t="s">
        <v>401</v>
      </c>
      <c r="B480" s="454" t="s">
        <v>2713</v>
      </c>
      <c r="C480" s="459"/>
      <c r="D480" s="462"/>
      <c r="E480" s="461"/>
      <c r="F480" s="461"/>
      <c r="J480" s="244"/>
      <c r="K480" s="244"/>
      <c r="L480" s="244"/>
      <c r="M480" s="3"/>
      <c r="N480" s="3"/>
      <c r="O480" s="64"/>
      <c r="P480" s="64"/>
      <c r="Q480" s="64"/>
      <c r="R480" s="64"/>
      <c r="S480" s="3"/>
      <c r="T480" s="3"/>
    </row>
    <row r="481" spans="1:20" s="552" customFormat="1" ht="19.899999999999999" customHeight="1">
      <c r="A481" s="246">
        <f>A470+1</f>
        <v>63</v>
      </c>
      <c r="B481" s="548" t="s">
        <v>3108</v>
      </c>
      <c r="C481" s="549" t="s">
        <v>119</v>
      </c>
      <c r="D481" s="550"/>
      <c r="E481" s="551"/>
      <c r="F481" s="468">
        <f>ROUND(SUM(F482:F487),0)</f>
        <v>40818</v>
      </c>
      <c r="J481" s="553"/>
      <c r="K481" s="553"/>
      <c r="L481" s="553"/>
      <c r="M481" s="553"/>
      <c r="N481" s="553"/>
      <c r="O481" s="554"/>
      <c r="P481" s="554"/>
      <c r="Q481" s="554"/>
      <c r="R481" s="554"/>
      <c r="S481" s="553"/>
      <c r="T481" s="553"/>
    </row>
    <row r="482" spans="1:20" s="2" customFormat="1">
      <c r="A482" s="529"/>
      <c r="B482" s="165" t="s">
        <v>2636</v>
      </c>
      <c r="C482" s="77" t="s">
        <v>121</v>
      </c>
      <c r="D482" s="78">
        <v>7.0000000000000007E-2</v>
      </c>
      <c r="E482" s="79">
        <f>+BASICOS!E146</f>
        <v>392821</v>
      </c>
      <c r="F482" s="79">
        <f>+D482*E482</f>
        <v>27497.47</v>
      </c>
      <c r="J482" s="244"/>
      <c r="K482" s="244"/>
      <c r="L482" s="244"/>
      <c r="M482" s="3"/>
      <c r="N482" s="3"/>
      <c r="O482" s="64"/>
      <c r="P482" s="64"/>
      <c r="Q482" s="64"/>
      <c r="R482" s="64"/>
      <c r="S482" s="3"/>
      <c r="T482" s="3"/>
    </row>
    <row r="483" spans="1:20" s="2" customFormat="1">
      <c r="A483" s="529"/>
      <c r="B483" s="165" t="s">
        <v>229</v>
      </c>
      <c r="C483" s="77" t="s">
        <v>68</v>
      </c>
      <c r="D483" s="78">
        <v>0.05</v>
      </c>
      <c r="E483" s="79">
        <f>SUM(F482:F482)</f>
        <v>27497.47</v>
      </c>
      <c r="F483" s="79">
        <f>+D483*E483</f>
        <v>1374.8735000000001</v>
      </c>
      <c r="J483" s="244"/>
      <c r="K483" s="244"/>
      <c r="L483" s="244"/>
      <c r="M483" s="3"/>
      <c r="N483" s="3"/>
      <c r="O483" s="64"/>
      <c r="P483" s="64"/>
      <c r="Q483" s="64"/>
      <c r="R483" s="64"/>
      <c r="S483" s="3"/>
      <c r="T483" s="3"/>
    </row>
    <row r="484" spans="1:20" s="2" customFormat="1">
      <c r="A484" s="529"/>
      <c r="B484" s="165" t="s">
        <v>136</v>
      </c>
      <c r="C484" s="77" t="s">
        <v>68</v>
      </c>
      <c r="D484" s="78"/>
      <c r="E484" s="79">
        <f>SUM(F482:F483)</f>
        <v>28872.343500000003</v>
      </c>
      <c r="F484" s="79">
        <f>+D484*E484</f>
        <v>0</v>
      </c>
      <c r="J484" s="244"/>
      <c r="K484" s="244"/>
      <c r="L484" s="244"/>
      <c r="M484" s="3"/>
      <c r="N484" s="3"/>
      <c r="O484" s="64"/>
      <c r="P484" s="64"/>
      <c r="Q484" s="64"/>
      <c r="R484" s="64"/>
      <c r="S484" s="3"/>
      <c r="T484" s="3"/>
    </row>
    <row r="485" spans="1:20" s="2" customFormat="1">
      <c r="A485" s="529"/>
      <c r="B485" s="165" t="s">
        <v>263</v>
      </c>
      <c r="C485" s="77" t="s">
        <v>12</v>
      </c>
      <c r="D485" s="78">
        <v>0.66</v>
      </c>
      <c r="E485" s="79">
        <f>+BASICOS!D48</f>
        <v>1785</v>
      </c>
      <c r="F485" s="79">
        <f>+D485*E485</f>
        <v>1178.1000000000001</v>
      </c>
      <c r="J485" s="244"/>
      <c r="K485" s="244"/>
      <c r="L485" s="244"/>
      <c r="M485" s="3"/>
      <c r="N485" s="3"/>
      <c r="O485" s="64"/>
      <c r="P485" s="64"/>
      <c r="Q485" s="64"/>
      <c r="R485" s="64"/>
      <c r="S485" s="3"/>
      <c r="T485" s="3"/>
    </row>
    <row r="486" spans="1:20">
      <c r="A486" s="529"/>
      <c r="B486" s="165" t="s">
        <v>11</v>
      </c>
      <c r="C486" s="77" t="s">
        <v>284</v>
      </c>
      <c r="D486" s="78">
        <v>0.03</v>
      </c>
      <c r="E486" s="79">
        <f>+F487</f>
        <v>10453.719197884933</v>
      </c>
      <c r="F486" s="79">
        <f>(D486*E486)</f>
        <v>313.61157593654798</v>
      </c>
    </row>
    <row r="487" spans="1:20">
      <c r="A487" s="529"/>
      <c r="B487" s="165" t="s">
        <v>9</v>
      </c>
      <c r="C487" s="77" t="s">
        <v>10</v>
      </c>
      <c r="D487" s="78">
        <v>0.4</v>
      </c>
      <c r="E487" s="79">
        <f>+'VALOR CUADRILLAS MO'!D75</f>
        <v>26134.297994712331</v>
      </c>
      <c r="F487" s="79">
        <f>+D487*E487</f>
        <v>10453.719197884933</v>
      </c>
    </row>
    <row r="488" spans="1:20">
      <c r="A488" s="529"/>
      <c r="B488" s="165"/>
      <c r="C488" s="77"/>
      <c r="D488" s="78"/>
      <c r="E488" s="79"/>
      <c r="F488" s="79"/>
    </row>
    <row r="489" spans="1:20" ht="25.5">
      <c r="A489" s="246">
        <f>A481+1</f>
        <v>64</v>
      </c>
      <c r="B489" s="83" t="s">
        <v>496</v>
      </c>
      <c r="C489" s="76" t="s">
        <v>21</v>
      </c>
      <c r="D489" s="73"/>
      <c r="E489" s="74"/>
      <c r="F489" s="75">
        <f>ROUND(SUM(F490:F498),0)</f>
        <v>64026</v>
      </c>
      <c r="O489" s="161"/>
      <c r="P489" s="162"/>
      <c r="Q489" s="364"/>
      <c r="R489" s="365"/>
      <c r="S489" s="366"/>
    </row>
    <row r="490" spans="1:20">
      <c r="A490" s="529"/>
      <c r="B490" s="165" t="s">
        <v>2636</v>
      </c>
      <c r="C490" s="77" t="s">
        <v>121</v>
      </c>
      <c r="D490" s="80">
        <f>0.15*0.6</f>
        <v>0.09</v>
      </c>
      <c r="E490" s="79">
        <f>+BASICOS!E146</f>
        <v>392821</v>
      </c>
      <c r="F490" s="79">
        <f t="shared" ref="F490:F496" si="16">+D490*E490</f>
        <v>35353.89</v>
      </c>
      <c r="O490" s="36"/>
      <c r="P490" s="77"/>
      <c r="Q490" s="367"/>
      <c r="R490" s="303"/>
      <c r="S490" s="303"/>
    </row>
    <row r="491" spans="1:20">
      <c r="A491" s="529"/>
      <c r="B491" s="165" t="s">
        <v>495</v>
      </c>
      <c r="C491" s="77" t="s">
        <v>158</v>
      </c>
      <c r="D491" s="80">
        <v>0.375</v>
      </c>
      <c r="E491" s="79">
        <f>INSUMOS!D48</f>
        <v>4380.84</v>
      </c>
      <c r="F491" s="79">
        <f t="shared" si="16"/>
        <v>1642.8150000000001</v>
      </c>
      <c r="O491" s="36"/>
      <c r="P491" s="77"/>
      <c r="Q491" s="368"/>
      <c r="R491" s="303"/>
      <c r="S491" s="303"/>
    </row>
    <row r="492" spans="1:20">
      <c r="A492" s="529"/>
      <c r="B492" s="165" t="s">
        <v>233</v>
      </c>
      <c r="C492" s="77" t="s">
        <v>158</v>
      </c>
      <c r="D492" s="78">
        <v>0.5</v>
      </c>
      <c r="E492" s="79">
        <f>INSUMOS!D48</f>
        <v>4380.84</v>
      </c>
      <c r="F492" s="79">
        <f t="shared" si="16"/>
        <v>2190.42</v>
      </c>
      <c r="O492" s="36"/>
      <c r="P492" s="77"/>
      <c r="Q492" s="368"/>
      <c r="R492" s="303"/>
      <c r="S492" s="303"/>
    </row>
    <row r="493" spans="1:20">
      <c r="A493" s="529"/>
      <c r="B493" s="165" t="s">
        <v>229</v>
      </c>
      <c r="C493" s="77" t="s">
        <v>68</v>
      </c>
      <c r="D493" s="78">
        <v>0.05</v>
      </c>
      <c r="E493" s="79">
        <f>SUM(F490:F492)</f>
        <v>39187.125</v>
      </c>
      <c r="F493" s="79">
        <f t="shared" si="16"/>
        <v>1959.35625</v>
      </c>
      <c r="O493" s="36"/>
      <c r="P493" s="77"/>
      <c r="Q493" s="368"/>
      <c r="R493" s="303"/>
      <c r="S493" s="303"/>
    </row>
    <row r="494" spans="1:20">
      <c r="A494" s="529"/>
      <c r="B494" s="165" t="s">
        <v>136</v>
      </c>
      <c r="C494" s="77" t="s">
        <v>68</v>
      </c>
      <c r="D494" s="78"/>
      <c r="E494" s="79">
        <f>SUM(F490:F493)</f>
        <v>41146.481249999997</v>
      </c>
      <c r="F494" s="79">
        <f>+D494*E494</f>
        <v>0</v>
      </c>
      <c r="O494" s="36"/>
      <c r="P494" s="77"/>
      <c r="Q494" s="368"/>
      <c r="R494" s="303"/>
      <c r="S494" s="303"/>
    </row>
    <row r="495" spans="1:20">
      <c r="A495" s="529"/>
      <c r="B495" s="165" t="s">
        <v>263</v>
      </c>
      <c r="C495" s="77" t="s">
        <v>12</v>
      </c>
      <c r="D495" s="78">
        <v>0.66</v>
      </c>
      <c r="E495" s="79">
        <f>+BASICOS!D48</f>
        <v>1785</v>
      </c>
      <c r="F495" s="79">
        <f t="shared" si="16"/>
        <v>1178.1000000000001</v>
      </c>
      <c r="O495" s="36"/>
      <c r="P495" s="77"/>
      <c r="Q495" s="368"/>
      <c r="R495" s="303"/>
      <c r="S495" s="303"/>
    </row>
    <row r="496" spans="1:20">
      <c r="A496" s="529"/>
      <c r="B496" s="358" t="s">
        <v>172</v>
      </c>
      <c r="C496" s="77" t="s">
        <v>12</v>
      </c>
      <c r="D496" s="78">
        <v>0.7</v>
      </c>
      <c r="E496" s="79">
        <f>+BASICOS!D38</f>
        <v>238</v>
      </c>
      <c r="F496" s="79">
        <f t="shared" si="16"/>
        <v>166.6</v>
      </c>
      <c r="O496" s="36"/>
      <c r="P496" s="77"/>
      <c r="Q496" s="368"/>
      <c r="R496" s="303"/>
      <c r="S496" s="303"/>
    </row>
    <row r="497" spans="1:20">
      <c r="A497" s="529"/>
      <c r="B497" s="165" t="s">
        <v>11</v>
      </c>
      <c r="C497" s="77" t="s">
        <v>284</v>
      </c>
      <c r="D497" s="78">
        <v>0.03</v>
      </c>
      <c r="E497" s="79">
        <f>+F498</f>
        <v>20907.438395769866</v>
      </c>
      <c r="F497" s="79">
        <f>(D497*E497)</f>
        <v>627.22315187309596</v>
      </c>
    </row>
    <row r="498" spans="1:20">
      <c r="A498" s="529"/>
      <c r="B498" s="165" t="s">
        <v>9</v>
      </c>
      <c r="C498" s="77" t="s">
        <v>10</v>
      </c>
      <c r="D498" s="78">
        <v>0.8</v>
      </c>
      <c r="E498" s="79">
        <f>+'VALOR CUADRILLAS MO'!D75</f>
        <v>26134.297994712331</v>
      </c>
      <c r="F498" s="79">
        <f>+D498*E498</f>
        <v>20907.438395769866</v>
      </c>
    </row>
    <row r="499" spans="1:20">
      <c r="A499" s="529"/>
      <c r="B499" s="165"/>
      <c r="C499" s="77"/>
      <c r="D499" s="78"/>
      <c r="E499" s="79"/>
      <c r="F499" s="79"/>
    </row>
    <row r="500" spans="1:20" ht="25.5">
      <c r="A500" s="246">
        <f>A489+1</f>
        <v>65</v>
      </c>
      <c r="B500" s="83" t="s">
        <v>497</v>
      </c>
      <c r="C500" s="76" t="s">
        <v>21</v>
      </c>
      <c r="D500" s="73"/>
      <c r="E500" s="74"/>
      <c r="F500" s="75">
        <f>ROUND(SUM(F501:F508),0)</f>
        <v>44263</v>
      </c>
    </row>
    <row r="501" spans="1:20">
      <c r="A501" s="529"/>
      <c r="B501" s="165" t="s">
        <v>2636</v>
      </c>
      <c r="C501" s="77" t="s">
        <v>121</v>
      </c>
      <c r="D501" s="80">
        <f>0.15*0.3</f>
        <v>4.4999999999999998E-2</v>
      </c>
      <c r="E501" s="79">
        <f>+BASICOS!E146</f>
        <v>392821</v>
      </c>
      <c r="F501" s="79">
        <f t="shared" ref="F501:F506" si="17">+D501*E501</f>
        <v>17676.945</v>
      </c>
    </row>
    <row r="502" spans="1:20" s="2" customFormat="1">
      <c r="A502" s="529"/>
      <c r="B502" s="165" t="s">
        <v>442</v>
      </c>
      <c r="C502" s="77" t="s">
        <v>158</v>
      </c>
      <c r="D502" s="78">
        <v>0.15</v>
      </c>
      <c r="E502" s="79">
        <f>+INSUMOS!D48</f>
        <v>4380.84</v>
      </c>
      <c r="F502" s="79">
        <f t="shared" si="17"/>
        <v>657.12599999999998</v>
      </c>
      <c r="J502" s="244"/>
      <c r="K502" s="244"/>
      <c r="L502" s="244"/>
      <c r="M502" s="3"/>
      <c r="N502" s="3"/>
      <c r="O502" s="64"/>
      <c r="P502" s="64"/>
      <c r="Q502" s="64"/>
      <c r="R502" s="64"/>
      <c r="S502" s="3"/>
      <c r="T502" s="3"/>
    </row>
    <row r="503" spans="1:20" s="2" customFormat="1">
      <c r="A503" s="529"/>
      <c r="B503" s="165" t="s">
        <v>233</v>
      </c>
      <c r="C503" s="77" t="s">
        <v>158</v>
      </c>
      <c r="D503" s="78">
        <v>0.5</v>
      </c>
      <c r="E503" s="79">
        <f>+INSUMOS!D48</f>
        <v>4380.84</v>
      </c>
      <c r="F503" s="79">
        <f t="shared" si="17"/>
        <v>2190.42</v>
      </c>
      <c r="J503" s="244"/>
      <c r="K503" s="244"/>
      <c r="L503" s="244"/>
      <c r="M503" s="3"/>
      <c r="N503" s="3"/>
      <c r="O503" s="64"/>
      <c r="P503" s="64"/>
      <c r="Q503" s="64"/>
      <c r="R503" s="64"/>
      <c r="S503" s="3"/>
      <c r="T503" s="3"/>
    </row>
    <row r="504" spans="1:20" s="2" customFormat="1">
      <c r="A504" s="529"/>
      <c r="B504" s="165" t="s">
        <v>229</v>
      </c>
      <c r="C504" s="77" t="s">
        <v>68</v>
      </c>
      <c r="D504" s="78">
        <v>0.05</v>
      </c>
      <c r="E504" s="79">
        <f>SUM(F501:F503)</f>
        <v>20524.491000000002</v>
      </c>
      <c r="F504" s="79">
        <f t="shared" si="17"/>
        <v>1026.2245500000001</v>
      </c>
      <c r="J504" s="244"/>
      <c r="K504" s="244"/>
      <c r="L504" s="244"/>
      <c r="M504" s="3"/>
      <c r="N504" s="3"/>
      <c r="O504" s="64"/>
      <c r="P504" s="64"/>
      <c r="Q504" s="64"/>
      <c r="R504" s="64"/>
      <c r="S504" s="3"/>
      <c r="T504" s="3"/>
    </row>
    <row r="505" spans="1:20" s="2" customFormat="1">
      <c r="A505" s="529"/>
      <c r="B505" s="165" t="s">
        <v>136</v>
      </c>
      <c r="C505" s="77" t="s">
        <v>68</v>
      </c>
      <c r="D505" s="78"/>
      <c r="E505" s="79">
        <f>SUM(F501:F504)</f>
        <v>21550.715550000001</v>
      </c>
      <c r="F505" s="79">
        <f t="shared" si="17"/>
        <v>0</v>
      </c>
      <c r="J505" s="244"/>
      <c r="K505" s="244"/>
      <c r="L505" s="244"/>
      <c r="M505" s="3"/>
      <c r="N505" s="3"/>
      <c r="O505" s="64"/>
      <c r="P505" s="64"/>
      <c r="Q505" s="64"/>
      <c r="R505" s="64"/>
      <c r="S505" s="3"/>
      <c r="T505" s="3"/>
    </row>
    <row r="506" spans="1:20" s="2" customFormat="1">
      <c r="A506" s="529"/>
      <c r="B506" s="165" t="s">
        <v>263</v>
      </c>
      <c r="C506" s="77" t="s">
        <v>12</v>
      </c>
      <c r="D506" s="78">
        <v>0.66</v>
      </c>
      <c r="E506" s="79">
        <f>+BASICOS!D48</f>
        <v>1785</v>
      </c>
      <c r="F506" s="79">
        <f t="shared" si="17"/>
        <v>1178.1000000000001</v>
      </c>
      <c r="J506" s="244"/>
      <c r="K506" s="244"/>
      <c r="L506" s="244"/>
      <c r="M506" s="3"/>
      <c r="N506" s="3"/>
      <c r="O506" s="64"/>
      <c r="P506" s="64"/>
      <c r="Q506" s="64"/>
      <c r="R506" s="64"/>
      <c r="S506" s="3"/>
      <c r="T506" s="3"/>
    </row>
    <row r="507" spans="1:20" s="2" customFormat="1">
      <c r="A507" s="529"/>
      <c r="B507" s="165" t="s">
        <v>11</v>
      </c>
      <c r="C507" s="77" t="s">
        <v>284</v>
      </c>
      <c r="D507" s="78">
        <v>0.03</v>
      </c>
      <c r="E507" s="79">
        <f>+F508</f>
        <v>20907.438395769866</v>
      </c>
      <c r="F507" s="79">
        <f>(D507*E507)</f>
        <v>627.22315187309596</v>
      </c>
      <c r="J507" s="244"/>
      <c r="K507" s="244"/>
      <c r="L507" s="244"/>
      <c r="M507" s="3"/>
      <c r="N507" s="3"/>
      <c r="O507" s="64"/>
      <c r="P507" s="64"/>
      <c r="Q507" s="64"/>
      <c r="R507" s="64"/>
      <c r="S507" s="3"/>
      <c r="T507" s="3"/>
    </row>
    <row r="508" spans="1:20" s="2" customFormat="1">
      <c r="A508" s="529"/>
      <c r="B508" s="165" t="s">
        <v>9</v>
      </c>
      <c r="C508" s="77" t="s">
        <v>10</v>
      </c>
      <c r="D508" s="78">
        <v>0.8</v>
      </c>
      <c r="E508" s="79">
        <f>+'VALOR CUADRILLAS MO'!D75</f>
        <v>26134.297994712331</v>
      </c>
      <c r="F508" s="79">
        <f>+D508*E508</f>
        <v>20907.438395769866</v>
      </c>
      <c r="J508" s="244"/>
      <c r="K508" s="244"/>
      <c r="L508" s="244"/>
      <c r="M508" s="3"/>
      <c r="N508" s="3"/>
      <c r="O508" s="64"/>
      <c r="P508" s="64"/>
      <c r="Q508" s="64"/>
      <c r="R508" s="64"/>
      <c r="S508" s="3"/>
      <c r="T508" s="3"/>
    </row>
    <row r="509" spans="1:20" s="2" customFormat="1">
      <c r="A509" s="529"/>
      <c r="B509" s="165"/>
      <c r="C509" s="77"/>
      <c r="D509" s="78"/>
      <c r="E509" s="79"/>
      <c r="F509" s="79"/>
      <c r="J509" s="244"/>
      <c r="K509" s="244"/>
      <c r="L509" s="244"/>
      <c r="M509" s="3"/>
      <c r="N509" s="3"/>
      <c r="O509" s="64"/>
      <c r="P509" s="64"/>
      <c r="Q509" s="64"/>
      <c r="R509" s="64"/>
      <c r="S509" s="3"/>
      <c r="T509" s="3"/>
    </row>
    <row r="510" spans="1:20" s="2" customFormat="1" ht="25.5">
      <c r="A510" s="246">
        <f>A500+1</f>
        <v>66</v>
      </c>
      <c r="B510" s="83" t="s">
        <v>498</v>
      </c>
      <c r="C510" s="76" t="s">
        <v>21</v>
      </c>
      <c r="D510" s="73"/>
      <c r="E510" s="74"/>
      <c r="F510" s="75">
        <f>ROUND(SUM(F511:F518),0)</f>
        <v>49889</v>
      </c>
      <c r="J510" s="244"/>
      <c r="K510" s="244"/>
      <c r="L510" s="244"/>
      <c r="M510" s="3"/>
      <c r="N510" s="3"/>
      <c r="O510" s="64"/>
      <c r="P510" s="64"/>
      <c r="Q510" s="64"/>
      <c r="R510" s="64"/>
      <c r="S510" s="3"/>
      <c r="T510" s="3"/>
    </row>
    <row r="511" spans="1:20" s="2" customFormat="1">
      <c r="A511" s="529"/>
      <c r="B511" s="165" t="s">
        <v>2636</v>
      </c>
      <c r="C511" s="77" t="s">
        <v>121</v>
      </c>
      <c r="D511" s="80">
        <f>0.15*0.3</f>
        <v>4.4999999999999998E-2</v>
      </c>
      <c r="E511" s="79">
        <f>+BASICOS!E146</f>
        <v>392821</v>
      </c>
      <c r="F511" s="79">
        <f t="shared" ref="F511:F516" si="18">+D511*E511</f>
        <v>17676.945</v>
      </c>
      <c r="J511" s="244"/>
      <c r="K511" s="244"/>
      <c r="L511" s="244"/>
      <c r="M511" s="3"/>
      <c r="N511" s="3"/>
      <c r="O511" s="64"/>
      <c r="P511" s="64"/>
      <c r="Q511" s="64"/>
      <c r="R511" s="64"/>
      <c r="S511" s="3"/>
      <c r="T511" s="3"/>
    </row>
    <row r="512" spans="1:20" s="2" customFormat="1">
      <c r="A512" s="529"/>
      <c r="B512" s="165" t="s">
        <v>678</v>
      </c>
      <c r="C512" s="77" t="s">
        <v>158</v>
      </c>
      <c r="D512" s="80">
        <v>1.1200000000000001</v>
      </c>
      <c r="E512" s="79">
        <f>+INSUMOS!D50</f>
        <v>2944.9</v>
      </c>
      <c r="F512" s="79">
        <f t="shared" si="18"/>
        <v>3298.2880000000005</v>
      </c>
      <c r="J512" s="244"/>
      <c r="K512" s="244"/>
      <c r="L512" s="244"/>
      <c r="M512" s="3"/>
      <c r="N512" s="3"/>
      <c r="O512" s="64"/>
      <c r="P512" s="64"/>
      <c r="Q512" s="64"/>
      <c r="R512" s="64"/>
      <c r="S512" s="3"/>
      <c r="T512" s="3"/>
    </row>
    <row r="513" spans="1:20" s="2" customFormat="1">
      <c r="A513" s="529"/>
      <c r="B513" s="165" t="s">
        <v>233</v>
      </c>
      <c r="C513" s="77" t="s">
        <v>158</v>
      </c>
      <c r="D513" s="78">
        <v>1.1200000000000001</v>
      </c>
      <c r="E513" s="79">
        <f>+INSUMOS!D48</f>
        <v>4380.84</v>
      </c>
      <c r="F513" s="79">
        <f t="shared" si="18"/>
        <v>4906.5408000000007</v>
      </c>
      <c r="J513" s="244"/>
      <c r="K513" s="244"/>
      <c r="L513" s="244"/>
      <c r="M513" s="3"/>
      <c r="N513" s="3"/>
      <c r="O513" s="64"/>
      <c r="P513" s="64"/>
      <c r="Q513" s="64"/>
      <c r="R513" s="64"/>
      <c r="S513" s="3"/>
      <c r="T513" s="3"/>
    </row>
    <row r="514" spans="1:20" s="2" customFormat="1">
      <c r="A514" s="529"/>
      <c r="B514" s="165" t="s">
        <v>229</v>
      </c>
      <c r="C514" s="77" t="s">
        <v>68</v>
      </c>
      <c r="D514" s="78">
        <v>0.05</v>
      </c>
      <c r="E514" s="79">
        <f>SUM(F511:F513)</f>
        <v>25881.773800000003</v>
      </c>
      <c r="F514" s="79">
        <f t="shared" si="18"/>
        <v>1294.0886900000003</v>
      </c>
      <c r="J514" s="244"/>
      <c r="K514" s="244"/>
      <c r="L514" s="244"/>
      <c r="M514" s="3"/>
      <c r="N514" s="3"/>
      <c r="O514" s="64"/>
      <c r="P514" s="64"/>
      <c r="Q514" s="64"/>
      <c r="R514" s="64"/>
      <c r="S514" s="3"/>
      <c r="T514" s="3"/>
    </row>
    <row r="515" spans="1:20" s="2" customFormat="1">
      <c r="A515" s="529"/>
      <c r="B515" s="165" t="s">
        <v>136</v>
      </c>
      <c r="C515" s="77" t="s">
        <v>68</v>
      </c>
      <c r="D515" s="78"/>
      <c r="E515" s="79">
        <f>SUM(F511:F514)</f>
        <v>27175.862490000003</v>
      </c>
      <c r="F515" s="79">
        <f t="shared" si="18"/>
        <v>0</v>
      </c>
      <c r="J515" s="244"/>
      <c r="K515" s="244"/>
      <c r="L515" s="244"/>
      <c r="M515" s="3"/>
      <c r="N515" s="3"/>
      <c r="O515" s="64"/>
      <c r="P515" s="64"/>
      <c r="Q515" s="64"/>
      <c r="R515" s="64"/>
      <c r="S515" s="3"/>
      <c r="T515" s="3"/>
    </row>
    <row r="516" spans="1:20" s="2" customFormat="1">
      <c r="A516" s="529"/>
      <c r="B516" s="165" t="s">
        <v>263</v>
      </c>
      <c r="C516" s="77" t="s">
        <v>12</v>
      </c>
      <c r="D516" s="78">
        <v>0.66</v>
      </c>
      <c r="E516" s="79">
        <f>+BASICOS!D48</f>
        <v>1785</v>
      </c>
      <c r="F516" s="79">
        <f t="shared" si="18"/>
        <v>1178.1000000000001</v>
      </c>
      <c r="J516" s="244"/>
      <c r="K516" s="244"/>
      <c r="L516" s="244"/>
      <c r="M516" s="3"/>
      <c r="N516" s="3"/>
      <c r="O516" s="64"/>
      <c r="P516" s="64"/>
      <c r="Q516" s="64"/>
      <c r="R516" s="64"/>
      <c r="S516" s="3"/>
      <c r="T516" s="3"/>
    </row>
    <row r="517" spans="1:20" s="2" customFormat="1">
      <c r="A517" s="529"/>
      <c r="B517" s="165" t="s">
        <v>11</v>
      </c>
      <c r="C517" s="77" t="s">
        <v>284</v>
      </c>
      <c r="D517" s="78">
        <v>0.03</v>
      </c>
      <c r="E517" s="79">
        <f>+F518</f>
        <v>20907.438395769866</v>
      </c>
      <c r="F517" s="79">
        <f>(D517*E517)</f>
        <v>627.22315187309596</v>
      </c>
      <c r="J517" s="244"/>
      <c r="K517" s="244"/>
      <c r="L517" s="244"/>
      <c r="M517" s="3"/>
      <c r="N517" s="3"/>
      <c r="O517" s="64"/>
      <c r="P517" s="64"/>
      <c r="Q517" s="64"/>
      <c r="R517" s="64"/>
      <c r="S517" s="3"/>
      <c r="T517" s="3"/>
    </row>
    <row r="518" spans="1:20" s="244" customFormat="1">
      <c r="A518" s="529"/>
      <c r="B518" s="165" t="s">
        <v>9</v>
      </c>
      <c r="C518" s="77" t="s">
        <v>10</v>
      </c>
      <c r="D518" s="78">
        <v>0.8</v>
      </c>
      <c r="E518" s="79">
        <f>+'VALOR CUADRILLAS MO'!D75</f>
        <v>26134.297994712331</v>
      </c>
      <c r="F518" s="79">
        <f>+D518*E518</f>
        <v>20907.438395769866</v>
      </c>
      <c r="G518" s="2"/>
      <c r="H518" s="2"/>
      <c r="I518" s="2"/>
      <c r="M518" s="3"/>
      <c r="N518" s="3"/>
      <c r="O518" s="64"/>
      <c r="P518" s="64"/>
      <c r="Q518" s="64"/>
      <c r="R518" s="64"/>
      <c r="S518" s="3"/>
      <c r="T518" s="3"/>
    </row>
    <row r="519" spans="1:20" s="244" customFormat="1">
      <c r="A519" s="529"/>
      <c r="B519" s="165"/>
      <c r="C519" s="77"/>
      <c r="D519" s="78"/>
      <c r="E519" s="79"/>
      <c r="F519" s="79"/>
      <c r="G519" s="2"/>
      <c r="H519" s="2"/>
      <c r="I519" s="2"/>
      <c r="M519" s="3"/>
      <c r="N519" s="3"/>
      <c r="O519" s="64"/>
      <c r="P519" s="64"/>
      <c r="Q519" s="64"/>
      <c r="R519" s="64"/>
      <c r="S519" s="3"/>
      <c r="T519" s="3"/>
    </row>
    <row r="520" spans="1:20" s="244" customFormat="1" ht="25.5">
      <c r="A520" s="246">
        <f>A510+1</f>
        <v>67</v>
      </c>
      <c r="B520" s="478" t="s">
        <v>2646</v>
      </c>
      <c r="C520" s="474" t="s">
        <v>21</v>
      </c>
      <c r="D520" s="475"/>
      <c r="E520" s="476"/>
      <c r="F520" s="477">
        <f>ROUND(SUM(F521:F527),0)</f>
        <v>45576</v>
      </c>
      <c r="G520" s="2"/>
      <c r="H520" s="2"/>
      <c r="I520" s="2"/>
      <c r="M520" s="3"/>
      <c r="N520" s="3"/>
      <c r="O520" s="64"/>
      <c r="P520" s="64"/>
      <c r="Q520" s="64"/>
      <c r="R520" s="64"/>
      <c r="S520" s="3"/>
      <c r="T520" s="3"/>
    </row>
    <row r="521" spans="1:20" s="244" customFormat="1">
      <c r="A521" s="529"/>
      <c r="B521" s="165" t="s">
        <v>2636</v>
      </c>
      <c r="C521" s="77" t="s">
        <v>75</v>
      </c>
      <c r="D521" s="367">
        <f>0.15*0.15</f>
        <v>2.2499999999999999E-2</v>
      </c>
      <c r="E521" s="303">
        <f>BASICOS!E146</f>
        <v>392821</v>
      </c>
      <c r="F521" s="303">
        <f>+D521*E521</f>
        <v>8838.4724999999999</v>
      </c>
      <c r="G521" s="2"/>
      <c r="H521" s="2"/>
      <c r="I521" s="2"/>
      <c r="M521" s="3"/>
      <c r="N521" s="3"/>
      <c r="O521" s="64"/>
      <c r="P521" s="64"/>
      <c r="Q521" s="64"/>
      <c r="R521" s="64"/>
      <c r="S521" s="3"/>
      <c r="T521" s="3"/>
    </row>
    <row r="522" spans="1:20" s="244" customFormat="1">
      <c r="A522" s="529"/>
      <c r="B522" s="165" t="s">
        <v>80</v>
      </c>
      <c r="C522" s="77" t="s">
        <v>32</v>
      </c>
      <c r="D522" s="368">
        <v>2.31</v>
      </c>
      <c r="E522" s="303">
        <f>INSUMOS!D46</f>
        <v>5600</v>
      </c>
      <c r="F522" s="303">
        <f>+D522*E522</f>
        <v>12936</v>
      </c>
      <c r="G522" s="2"/>
      <c r="H522" s="2"/>
      <c r="I522" s="2"/>
      <c r="M522" s="3"/>
      <c r="N522" s="3"/>
      <c r="O522" s="64"/>
      <c r="P522" s="64"/>
      <c r="Q522" s="64"/>
      <c r="R522" s="64"/>
      <c r="S522" s="3"/>
      <c r="T522" s="3"/>
    </row>
    <row r="523" spans="1:20" s="244" customFormat="1">
      <c r="A523" s="529"/>
      <c r="B523" s="165" t="s">
        <v>229</v>
      </c>
      <c r="C523" s="77" t="s">
        <v>68</v>
      </c>
      <c r="D523" s="368">
        <v>0.05</v>
      </c>
      <c r="E523" s="303">
        <f>SUM(F521:F522)</f>
        <v>21774.4725</v>
      </c>
      <c r="F523" s="303">
        <f>+D523*E523</f>
        <v>1088.7236250000001</v>
      </c>
      <c r="G523" s="2"/>
      <c r="H523" s="2"/>
      <c r="I523" s="2"/>
      <c r="M523" s="3"/>
      <c r="N523" s="3"/>
      <c r="O523" s="64"/>
      <c r="P523" s="64"/>
      <c r="Q523" s="64"/>
      <c r="R523" s="64"/>
      <c r="S523" s="3"/>
      <c r="T523" s="3"/>
    </row>
    <row r="524" spans="1:20" s="244" customFormat="1">
      <c r="A524" s="529"/>
      <c r="B524" s="165" t="s">
        <v>136</v>
      </c>
      <c r="C524" s="77" t="s">
        <v>68</v>
      </c>
      <c r="D524" s="368"/>
      <c r="E524" s="303">
        <f>SUM(F521:F523)</f>
        <v>22863.196124999999</v>
      </c>
      <c r="F524" s="303">
        <f>+D524*E524</f>
        <v>0</v>
      </c>
      <c r="G524" s="2"/>
      <c r="H524" s="2"/>
      <c r="I524" s="2"/>
      <c r="M524" s="3"/>
      <c r="N524" s="3"/>
      <c r="O524" s="64"/>
      <c r="P524" s="64"/>
      <c r="Q524" s="64"/>
      <c r="R524" s="64"/>
      <c r="S524" s="3"/>
      <c r="T524" s="3"/>
    </row>
    <row r="525" spans="1:20" s="244" customFormat="1">
      <c r="A525" s="529"/>
      <c r="B525" s="165" t="s">
        <v>263</v>
      </c>
      <c r="C525" s="77" t="s">
        <v>12</v>
      </c>
      <c r="D525" s="368">
        <v>0.66</v>
      </c>
      <c r="E525" s="303">
        <f>+BASICOS!D48</f>
        <v>1785</v>
      </c>
      <c r="F525" s="303">
        <f>+D525*E525</f>
        <v>1178.1000000000001</v>
      </c>
      <c r="G525" s="2"/>
      <c r="H525" s="2"/>
      <c r="I525" s="2"/>
      <c r="M525" s="3"/>
      <c r="N525" s="3"/>
      <c r="O525" s="64"/>
      <c r="P525" s="64"/>
      <c r="Q525" s="64"/>
      <c r="R525" s="64"/>
      <c r="S525" s="3"/>
      <c r="T525" s="3"/>
    </row>
    <row r="526" spans="1:20" s="244" customFormat="1">
      <c r="A526" s="529"/>
      <c r="B526" s="165" t="s">
        <v>11</v>
      </c>
      <c r="C526" s="77" t="s">
        <v>284</v>
      </c>
      <c r="D526" s="368">
        <v>0.03</v>
      </c>
      <c r="E526" s="303">
        <f>F527</f>
        <v>20907.438395769866</v>
      </c>
      <c r="F526" s="303">
        <f>(D526*E526)</f>
        <v>627.22315187309596</v>
      </c>
      <c r="G526" s="2"/>
      <c r="H526" s="2"/>
      <c r="I526" s="2"/>
      <c r="M526" s="3"/>
      <c r="N526" s="3"/>
      <c r="O526" s="64"/>
      <c r="P526" s="64"/>
      <c r="Q526" s="64"/>
      <c r="R526" s="64"/>
      <c r="S526" s="3"/>
      <c r="T526" s="3"/>
    </row>
    <row r="527" spans="1:20" s="244" customFormat="1">
      <c r="A527" s="529"/>
      <c r="B527" s="165" t="s">
        <v>9</v>
      </c>
      <c r="C527" s="77" t="s">
        <v>10</v>
      </c>
      <c r="D527" s="368">
        <v>0.8</v>
      </c>
      <c r="E527" s="303">
        <f>'VALOR CUADRILLAS MO'!D75</f>
        <v>26134.297994712331</v>
      </c>
      <c r="F527" s="303">
        <f>+D527*E527</f>
        <v>20907.438395769866</v>
      </c>
      <c r="G527" s="2"/>
      <c r="H527" s="2"/>
      <c r="I527" s="2"/>
      <c r="M527" s="3"/>
      <c r="N527" s="3"/>
      <c r="O527" s="64"/>
      <c r="P527" s="64"/>
      <c r="Q527" s="64"/>
      <c r="R527" s="64"/>
      <c r="S527" s="3"/>
      <c r="T527" s="3"/>
    </row>
    <row r="528" spans="1:20" s="244" customFormat="1">
      <c r="A528" s="529"/>
      <c r="B528" s="165"/>
      <c r="C528" s="77"/>
      <c r="D528" s="368"/>
      <c r="E528" s="303"/>
      <c r="F528" s="303"/>
      <c r="G528" s="2"/>
      <c r="H528" s="2"/>
      <c r="I528" s="2"/>
      <c r="M528" s="3"/>
      <c r="N528" s="3"/>
      <c r="O528" s="64"/>
      <c r="P528" s="64"/>
      <c r="Q528" s="64"/>
      <c r="R528" s="64"/>
      <c r="S528" s="3"/>
      <c r="T528" s="3"/>
    </row>
    <row r="529" spans="1:20" s="244" customFormat="1" ht="19.899999999999999" customHeight="1">
      <c r="A529" s="246">
        <f>A520+1</f>
        <v>68</v>
      </c>
      <c r="B529" s="83" t="s">
        <v>1</v>
      </c>
      <c r="C529" s="76" t="s">
        <v>21</v>
      </c>
      <c r="D529" s="73"/>
      <c r="E529" s="74"/>
      <c r="F529" s="75">
        <f>ROUND(SUM(F530:F535),0)</f>
        <v>35347</v>
      </c>
      <c r="G529" s="2"/>
      <c r="H529" s="2"/>
      <c r="I529" s="2"/>
      <c r="M529" s="3"/>
      <c r="N529" s="3"/>
      <c r="O529" s="64"/>
      <c r="P529" s="64"/>
      <c r="Q529" s="64"/>
      <c r="R529" s="64"/>
      <c r="S529" s="3"/>
      <c r="T529" s="3"/>
    </row>
    <row r="530" spans="1:20" s="244" customFormat="1">
      <c r="A530" s="529"/>
      <c r="B530" s="165" t="s">
        <v>2636</v>
      </c>
      <c r="C530" s="77" t="s">
        <v>121</v>
      </c>
      <c r="D530" s="78">
        <v>0.06</v>
      </c>
      <c r="E530" s="79">
        <f>+BASICOS!E146</f>
        <v>392821</v>
      </c>
      <c r="F530" s="79">
        <f>+D530*E530</f>
        <v>23569.26</v>
      </c>
      <c r="G530" s="2"/>
      <c r="H530" s="2"/>
      <c r="I530" s="2"/>
      <c r="M530" s="3"/>
      <c r="N530" s="3"/>
      <c r="O530" s="64"/>
      <c r="P530" s="64"/>
      <c r="Q530" s="64"/>
      <c r="R530" s="64"/>
      <c r="S530" s="3"/>
      <c r="T530" s="3"/>
    </row>
    <row r="531" spans="1:20" s="244" customFormat="1">
      <c r="A531" s="529"/>
      <c r="B531" s="165" t="s">
        <v>229</v>
      </c>
      <c r="C531" s="77" t="s">
        <v>68</v>
      </c>
      <c r="D531" s="78">
        <v>0.05</v>
      </c>
      <c r="E531" s="79">
        <f>SUM(F530:F530)</f>
        <v>23569.26</v>
      </c>
      <c r="F531" s="79">
        <f>+D531*E531</f>
        <v>1178.463</v>
      </c>
      <c r="G531" s="2"/>
      <c r="H531" s="2"/>
      <c r="I531" s="2"/>
      <c r="M531" s="3"/>
      <c r="N531" s="3"/>
      <c r="O531" s="64"/>
      <c r="P531" s="64"/>
      <c r="Q531" s="64"/>
      <c r="R531" s="64"/>
      <c r="S531" s="3"/>
      <c r="T531" s="3"/>
    </row>
    <row r="532" spans="1:20" s="244" customFormat="1">
      <c r="A532" s="529"/>
      <c r="B532" s="165" t="s">
        <v>136</v>
      </c>
      <c r="C532" s="77" t="s">
        <v>68</v>
      </c>
      <c r="D532" s="78"/>
      <c r="E532" s="79">
        <f>SUM(F530:F531)</f>
        <v>24747.722999999998</v>
      </c>
      <c r="F532" s="79">
        <f>+D532*E532</f>
        <v>0</v>
      </c>
      <c r="G532" s="2"/>
      <c r="H532" s="2"/>
      <c r="I532" s="2"/>
      <c r="M532" s="3"/>
      <c r="N532" s="3"/>
      <c r="O532" s="64"/>
      <c r="P532" s="64"/>
      <c r="Q532" s="64"/>
      <c r="R532" s="64"/>
      <c r="S532" s="3"/>
      <c r="T532" s="3"/>
    </row>
    <row r="533" spans="1:20" s="244" customFormat="1">
      <c r="A533" s="529"/>
      <c r="B533" s="165" t="s">
        <v>263</v>
      </c>
      <c r="C533" s="77" t="s">
        <v>12</v>
      </c>
      <c r="D533" s="78">
        <v>0.66</v>
      </c>
      <c r="E533" s="79">
        <f>+BASICOS!D48</f>
        <v>1785</v>
      </c>
      <c r="F533" s="79">
        <f>+D533*E533</f>
        <v>1178.1000000000001</v>
      </c>
      <c r="G533" s="2"/>
      <c r="H533" s="2"/>
      <c r="I533" s="2"/>
      <c r="M533" s="3"/>
      <c r="N533" s="3"/>
      <c r="O533" s="64"/>
      <c r="P533" s="64"/>
      <c r="Q533" s="64"/>
      <c r="R533" s="64"/>
      <c r="S533" s="3"/>
      <c r="T533" s="3"/>
    </row>
    <row r="534" spans="1:20" s="244" customFormat="1">
      <c r="A534" s="529"/>
      <c r="B534" s="165" t="s">
        <v>11</v>
      </c>
      <c r="C534" s="77" t="s">
        <v>284</v>
      </c>
      <c r="D534" s="78">
        <v>0.03</v>
      </c>
      <c r="E534" s="79">
        <f>+F535</f>
        <v>9147.0042981493152</v>
      </c>
      <c r="F534" s="79">
        <f>(D534*E534)</f>
        <v>274.41012894447942</v>
      </c>
      <c r="G534" s="2"/>
      <c r="H534" s="2"/>
      <c r="I534" s="2"/>
      <c r="M534" s="3"/>
      <c r="N534" s="3"/>
      <c r="O534" s="64"/>
      <c r="P534" s="64"/>
      <c r="Q534" s="64"/>
      <c r="R534" s="64"/>
      <c r="S534" s="3"/>
      <c r="T534" s="3"/>
    </row>
    <row r="535" spans="1:20" s="244" customFormat="1">
      <c r="A535" s="529"/>
      <c r="B535" s="165" t="s">
        <v>9</v>
      </c>
      <c r="C535" s="77" t="s">
        <v>10</v>
      </c>
      <c r="D535" s="78">
        <v>0.35</v>
      </c>
      <c r="E535" s="79">
        <f>+'VALOR CUADRILLAS MO'!D75</f>
        <v>26134.297994712331</v>
      </c>
      <c r="F535" s="79">
        <f>+D535*E535</f>
        <v>9147.0042981493152</v>
      </c>
      <c r="G535" s="2"/>
      <c r="H535" s="2"/>
      <c r="I535" s="2"/>
      <c r="M535" s="3"/>
      <c r="N535" s="3"/>
      <c r="O535" s="64"/>
      <c r="P535" s="64"/>
      <c r="Q535" s="64"/>
      <c r="R535" s="64"/>
      <c r="S535" s="3"/>
      <c r="T535" s="3"/>
    </row>
    <row r="536" spans="1:20" s="244" customFormat="1">
      <c r="A536" s="529"/>
      <c r="B536" s="165"/>
      <c r="C536" s="77"/>
      <c r="D536" s="78"/>
      <c r="E536" s="79"/>
      <c r="F536" s="79"/>
      <c r="G536" s="2"/>
      <c r="H536" s="2"/>
      <c r="I536" s="2"/>
      <c r="M536" s="3"/>
      <c r="N536" s="3"/>
      <c r="O536" s="64"/>
      <c r="P536" s="64"/>
      <c r="Q536" s="64"/>
      <c r="R536" s="64"/>
      <c r="S536" s="3"/>
      <c r="T536" s="3"/>
    </row>
    <row r="537" spans="1:20" s="244" customFormat="1" ht="63" customHeight="1">
      <c r="A537" s="246">
        <f>A529+1</f>
        <v>69</v>
      </c>
      <c r="B537" s="83" t="s">
        <v>222</v>
      </c>
      <c r="C537" s="76" t="s">
        <v>21</v>
      </c>
      <c r="D537" s="73"/>
      <c r="E537" s="74"/>
      <c r="F537" s="75" t="e">
        <f>ROUND(SUM(F538:F544),0)</f>
        <v>#REF!</v>
      </c>
      <c r="G537" s="2"/>
      <c r="H537" s="66"/>
      <c r="I537" s="2"/>
      <c r="M537" s="3"/>
      <c r="N537" s="3"/>
      <c r="O537" s="64"/>
      <c r="P537" s="64"/>
      <c r="Q537" s="64"/>
      <c r="R537" s="64"/>
      <c r="S537" s="3"/>
      <c r="T537" s="3"/>
    </row>
    <row r="538" spans="1:20" s="244" customFormat="1">
      <c r="A538" s="529"/>
      <c r="B538" s="165" t="s">
        <v>221</v>
      </c>
      <c r="C538" s="77" t="s">
        <v>26</v>
      </c>
      <c r="D538" s="78">
        <v>1.2</v>
      </c>
      <c r="E538" s="79" t="e">
        <f>INSUMOS!#REF!</f>
        <v>#REF!</v>
      </c>
      <c r="F538" s="79" t="e">
        <f>+D538*E538</f>
        <v>#REF!</v>
      </c>
      <c r="G538" s="2"/>
      <c r="H538" s="2"/>
      <c r="I538" s="2"/>
      <c r="M538" s="3"/>
      <c r="N538" s="3"/>
      <c r="O538" s="64"/>
      <c r="P538" s="64"/>
      <c r="Q538" s="64"/>
      <c r="R538" s="64"/>
      <c r="S538" s="3"/>
      <c r="T538" s="3"/>
    </row>
    <row r="539" spans="1:20" s="244" customFormat="1">
      <c r="A539" s="529"/>
      <c r="B539" s="165" t="s">
        <v>47</v>
      </c>
      <c r="C539" s="77" t="s">
        <v>121</v>
      </c>
      <c r="D539" s="80">
        <v>0.01</v>
      </c>
      <c r="E539" s="79">
        <f>+BASICOS!E80</f>
        <v>318331</v>
      </c>
      <c r="F539" s="79">
        <f>+D539*E539</f>
        <v>3183.31</v>
      </c>
      <c r="G539" s="2"/>
      <c r="H539" s="2"/>
      <c r="I539" s="2"/>
      <c r="M539" s="3"/>
      <c r="N539" s="3"/>
      <c r="O539" s="64"/>
      <c r="P539" s="64"/>
      <c r="Q539" s="64"/>
      <c r="R539" s="64"/>
      <c r="S539" s="3"/>
      <c r="T539" s="3"/>
    </row>
    <row r="540" spans="1:20" s="244" customFormat="1">
      <c r="A540" s="529"/>
      <c r="B540" s="165" t="s">
        <v>229</v>
      </c>
      <c r="C540" s="77" t="s">
        <v>68</v>
      </c>
      <c r="D540" s="78">
        <v>0.05</v>
      </c>
      <c r="E540" s="79" t="e">
        <f>SUM(F538:F539)</f>
        <v>#REF!</v>
      </c>
      <c r="F540" s="79" t="e">
        <f>+D540*E540</f>
        <v>#REF!</v>
      </c>
      <c r="G540" s="2"/>
      <c r="H540" s="2"/>
      <c r="I540" s="2"/>
      <c r="M540" s="3"/>
      <c r="N540" s="3"/>
      <c r="O540" s="64"/>
      <c r="P540" s="64"/>
      <c r="Q540" s="64"/>
      <c r="R540" s="64"/>
      <c r="S540" s="3"/>
      <c r="T540" s="3"/>
    </row>
    <row r="541" spans="1:20" s="244" customFormat="1">
      <c r="A541" s="529"/>
      <c r="B541" s="165" t="s">
        <v>223</v>
      </c>
      <c r="C541" s="77" t="s">
        <v>21</v>
      </c>
      <c r="D541" s="78">
        <v>1</v>
      </c>
      <c r="E541" s="79">
        <f>+F148</f>
        <v>1750</v>
      </c>
      <c r="F541" s="79">
        <f>+D541*E541</f>
        <v>1750</v>
      </c>
      <c r="G541" s="258"/>
      <c r="H541" s="256"/>
      <c r="I541" s="59"/>
      <c r="J541" s="2"/>
      <c r="K541" s="248"/>
      <c r="M541" s="3"/>
      <c r="N541" s="3"/>
      <c r="O541" s="64"/>
      <c r="P541" s="64"/>
      <c r="Q541" s="64"/>
      <c r="R541" s="64"/>
      <c r="S541" s="3"/>
      <c r="T541" s="3"/>
    </row>
    <row r="542" spans="1:20" s="244" customFormat="1">
      <c r="A542" s="529"/>
      <c r="B542" s="165" t="s">
        <v>224</v>
      </c>
      <c r="C542" s="77" t="s">
        <v>120</v>
      </c>
      <c r="D542" s="78">
        <v>150</v>
      </c>
      <c r="E542" s="79" t="e">
        <f>INSUMOS!#REF!</f>
        <v>#REF!</v>
      </c>
      <c r="F542" s="79" t="e">
        <f>+D542*E542</f>
        <v>#REF!</v>
      </c>
      <c r="G542" s="258"/>
      <c r="H542" s="256"/>
      <c r="I542" s="59"/>
      <c r="J542" s="2"/>
      <c r="K542" s="248"/>
      <c r="M542" s="3"/>
      <c r="N542" s="3"/>
      <c r="O542" s="64"/>
      <c r="P542" s="64"/>
      <c r="Q542" s="64"/>
      <c r="R542" s="64"/>
      <c r="S542" s="3"/>
      <c r="T542" s="3"/>
    </row>
    <row r="543" spans="1:20" s="64" customFormat="1">
      <c r="A543" s="529"/>
      <c r="B543" s="165" t="s">
        <v>11</v>
      </c>
      <c r="C543" s="77" t="s">
        <v>284</v>
      </c>
      <c r="D543" s="78">
        <v>0.03</v>
      </c>
      <c r="E543" s="79">
        <f>+F544</f>
        <v>26134.297994712331</v>
      </c>
      <c r="F543" s="79">
        <f>(D543*E543)</f>
        <v>784.02893984136995</v>
      </c>
      <c r="G543" s="2"/>
      <c r="H543" s="2"/>
      <c r="I543" s="2"/>
      <c r="J543" s="244"/>
      <c r="K543" s="244"/>
      <c r="L543" s="244"/>
      <c r="M543" s="3"/>
      <c r="N543" s="3"/>
      <c r="S543" s="3"/>
      <c r="T543" s="3"/>
    </row>
    <row r="544" spans="1:20" s="64" customFormat="1">
      <c r="A544" s="529"/>
      <c r="B544" s="165" t="s">
        <v>9</v>
      </c>
      <c r="C544" s="77" t="s">
        <v>10</v>
      </c>
      <c r="D544" s="78">
        <v>1</v>
      </c>
      <c r="E544" s="79">
        <f>+'VALOR CUADRILLAS MO'!D75</f>
        <v>26134.297994712331</v>
      </c>
      <c r="F544" s="79">
        <f>+D544*E544</f>
        <v>26134.297994712331</v>
      </c>
      <c r="G544" s="2"/>
      <c r="H544" s="2"/>
      <c r="I544" s="2"/>
      <c r="J544" s="244"/>
      <c r="K544" s="244"/>
      <c r="L544" s="244"/>
      <c r="M544" s="3"/>
      <c r="N544" s="3"/>
      <c r="S544" s="3"/>
      <c r="T544" s="3"/>
    </row>
    <row r="545" spans="1:20" s="64" customFormat="1">
      <c r="A545" s="529"/>
      <c r="B545" s="165"/>
      <c r="C545" s="77"/>
      <c r="D545" s="78"/>
      <c r="E545" s="79"/>
      <c r="F545" s="79"/>
      <c r="G545" s="2"/>
      <c r="H545" s="2"/>
      <c r="I545" s="2"/>
      <c r="J545" s="244"/>
      <c r="K545" s="244"/>
      <c r="L545" s="244"/>
      <c r="M545" s="3"/>
      <c r="N545" s="3"/>
      <c r="S545" s="3"/>
      <c r="T545" s="3"/>
    </row>
    <row r="546" spans="1:20" s="64" customFormat="1" ht="54" customHeight="1">
      <c r="A546" s="246">
        <f>A537+1</f>
        <v>70</v>
      </c>
      <c r="B546" s="83" t="s">
        <v>290</v>
      </c>
      <c r="C546" s="76" t="s">
        <v>119</v>
      </c>
      <c r="D546" s="73"/>
      <c r="E546" s="74"/>
      <c r="F546" s="75">
        <f>ROUND(SUM(F547:F553),0)</f>
        <v>75445</v>
      </c>
      <c r="G546" s="2"/>
      <c r="H546" s="2"/>
      <c r="I546" s="2"/>
      <c r="J546" s="244"/>
      <c r="K546" s="244"/>
      <c r="L546" s="244"/>
      <c r="M546" s="3"/>
      <c r="N546" s="3"/>
      <c r="S546" s="3"/>
      <c r="T546" s="3"/>
    </row>
    <row r="547" spans="1:20" s="64" customFormat="1">
      <c r="A547" s="529"/>
      <c r="B547" s="165" t="s">
        <v>234</v>
      </c>
      <c r="C547" s="77" t="s">
        <v>121</v>
      </c>
      <c r="D547" s="78">
        <f>0.15</f>
        <v>0.15</v>
      </c>
      <c r="E547" s="79">
        <f>+BASICOS!E146</f>
        <v>392821</v>
      </c>
      <c r="F547" s="79">
        <f>+E547*D547</f>
        <v>58923.15</v>
      </c>
      <c r="G547" s="2"/>
      <c r="H547" s="2"/>
      <c r="I547" s="2"/>
      <c r="J547" s="244"/>
      <c r="K547" s="244"/>
      <c r="L547" s="244"/>
      <c r="M547" s="3"/>
      <c r="N547" s="3"/>
      <c r="S547" s="3"/>
      <c r="T547" s="3"/>
    </row>
    <row r="548" spans="1:20" s="64" customFormat="1">
      <c r="A548" s="529"/>
      <c r="B548" s="165" t="s">
        <v>229</v>
      </c>
      <c r="C548" s="77" t="s">
        <v>68</v>
      </c>
      <c r="D548" s="78">
        <v>0.05</v>
      </c>
      <c r="E548" s="79">
        <f>SUM(F547)</f>
        <v>58923.15</v>
      </c>
      <c r="F548" s="79">
        <f>+D548*E548</f>
        <v>2946.1575000000003</v>
      </c>
      <c r="G548" s="2"/>
      <c r="H548" s="2"/>
      <c r="I548" s="2"/>
      <c r="J548" s="244"/>
      <c r="K548" s="244"/>
      <c r="L548" s="244"/>
      <c r="M548" s="3"/>
      <c r="N548" s="3"/>
      <c r="S548" s="3"/>
      <c r="T548" s="3"/>
    </row>
    <row r="549" spans="1:20" s="64" customFormat="1">
      <c r="A549" s="529"/>
      <c r="B549" s="165" t="s">
        <v>136</v>
      </c>
      <c r="C549" s="77" t="s">
        <v>68</v>
      </c>
      <c r="D549" s="78"/>
      <c r="E549" s="79">
        <f>SUM(F547:F548)</f>
        <v>61869.307500000003</v>
      </c>
      <c r="F549" s="79">
        <f>+D549*E549</f>
        <v>0</v>
      </c>
      <c r="G549" s="2"/>
      <c r="H549" s="2"/>
      <c r="I549" s="2"/>
      <c r="J549" s="244"/>
      <c r="K549" s="244"/>
      <c r="L549" s="244"/>
      <c r="M549" s="3"/>
      <c r="N549" s="3"/>
      <c r="S549" s="3"/>
      <c r="T549" s="3"/>
    </row>
    <row r="550" spans="1:20" s="64" customFormat="1">
      <c r="A550" s="529"/>
      <c r="B550" s="165" t="s">
        <v>187</v>
      </c>
      <c r="C550" s="77" t="s">
        <v>142</v>
      </c>
      <c r="D550" s="78">
        <v>5.0000000000000001E-3</v>
      </c>
      <c r="E550" s="79">
        <f>+BASICOS!D42</f>
        <v>136480.47829830134</v>
      </c>
      <c r="F550" s="79">
        <f>+E550*D550</f>
        <v>682.40239149150671</v>
      </c>
      <c r="G550" s="2"/>
      <c r="H550" s="2"/>
      <c r="I550" s="2"/>
      <c r="J550" s="244"/>
      <c r="K550" s="244"/>
      <c r="L550" s="244"/>
      <c r="M550" s="3"/>
      <c r="N550" s="3"/>
      <c r="S550" s="3"/>
      <c r="T550" s="3"/>
    </row>
    <row r="551" spans="1:20" s="64" customFormat="1">
      <c r="A551" s="529"/>
      <c r="B551" s="165" t="s">
        <v>263</v>
      </c>
      <c r="C551" s="77" t="s">
        <v>145</v>
      </c>
      <c r="D551" s="78">
        <v>0.03</v>
      </c>
      <c r="E551" s="79">
        <f>+BASICOS!D48</f>
        <v>1785</v>
      </c>
      <c r="F551" s="79">
        <f>+E551*D551</f>
        <v>53.55</v>
      </c>
      <c r="G551" s="2"/>
      <c r="H551" s="2"/>
      <c r="I551" s="2"/>
      <c r="J551" s="244"/>
      <c r="K551" s="244"/>
      <c r="L551" s="244"/>
      <c r="M551" s="3"/>
      <c r="N551" s="3"/>
      <c r="S551" s="3"/>
      <c r="T551" s="3"/>
    </row>
    <row r="552" spans="1:20" s="64" customFormat="1">
      <c r="A552" s="529"/>
      <c r="B552" s="165" t="s">
        <v>11</v>
      </c>
      <c r="C552" s="77" t="s">
        <v>284</v>
      </c>
      <c r="D552" s="78">
        <v>0.03</v>
      </c>
      <c r="E552" s="79">
        <f>+F553</f>
        <v>12466.060143477784</v>
      </c>
      <c r="F552" s="79">
        <f>(D552*E552)</f>
        <v>373.98180430433348</v>
      </c>
      <c r="G552" s="2"/>
      <c r="H552" s="2"/>
      <c r="I552" s="2"/>
      <c r="J552" s="244"/>
      <c r="K552" s="244"/>
      <c r="L552" s="244"/>
      <c r="M552" s="3"/>
      <c r="N552" s="3"/>
      <c r="S552" s="3"/>
      <c r="T552" s="3"/>
    </row>
    <row r="553" spans="1:20" s="64" customFormat="1">
      <c r="A553" s="529"/>
      <c r="B553" s="165" t="s">
        <v>9</v>
      </c>
      <c r="C553" s="77" t="s">
        <v>10</v>
      </c>
      <c r="D553" s="78">
        <f>0.45*1.06</f>
        <v>0.47700000000000004</v>
      </c>
      <c r="E553" s="79">
        <f>+'VALOR CUADRILLAS MO'!D75</f>
        <v>26134.297994712331</v>
      </c>
      <c r="F553" s="79">
        <f>+D553*E553</f>
        <v>12466.060143477784</v>
      </c>
      <c r="G553" s="2"/>
      <c r="H553" s="2"/>
      <c r="I553" s="2"/>
      <c r="J553" s="244"/>
      <c r="K553" s="244"/>
      <c r="L553" s="244"/>
      <c r="M553" s="3"/>
      <c r="N553" s="3"/>
      <c r="S553" s="3"/>
      <c r="T553" s="3"/>
    </row>
    <row r="554" spans="1:20" s="64" customFormat="1">
      <c r="A554" s="529"/>
      <c r="B554" s="165"/>
      <c r="C554" s="77"/>
      <c r="D554" s="78"/>
      <c r="E554" s="79"/>
      <c r="F554" s="79"/>
      <c r="G554" s="2"/>
      <c r="H554" s="2"/>
      <c r="I554" s="2"/>
      <c r="J554" s="244"/>
      <c r="K554" s="244"/>
      <c r="L554" s="244"/>
      <c r="M554" s="3"/>
      <c r="N554" s="3"/>
      <c r="S554" s="3"/>
      <c r="T554" s="3"/>
    </row>
    <row r="555" spans="1:20" s="64" customFormat="1">
      <c r="A555" s="246">
        <f>+A546+1</f>
        <v>71</v>
      </c>
      <c r="B555" s="83" t="s">
        <v>235</v>
      </c>
      <c r="C555" s="76" t="s">
        <v>119</v>
      </c>
      <c r="D555" s="73"/>
      <c r="E555" s="74"/>
      <c r="F555" s="75">
        <f>ROUND(SUM(F556:F562),0)</f>
        <v>76029</v>
      </c>
      <c r="G555" s="2"/>
      <c r="H555" s="2"/>
      <c r="I555" s="2"/>
      <c r="J555" s="244"/>
      <c r="K555" s="244"/>
      <c r="L555" s="244"/>
      <c r="M555" s="75">
        <v>8134</v>
      </c>
      <c r="N555" s="75">
        <f>SUM(F555:M555)</f>
        <v>84163</v>
      </c>
      <c r="O555" s="43" t="s">
        <v>2647</v>
      </c>
      <c r="S555" s="3"/>
      <c r="T555" s="3"/>
    </row>
    <row r="556" spans="1:20" s="64" customFormat="1">
      <c r="A556" s="529"/>
      <c r="B556" s="165" t="s">
        <v>234</v>
      </c>
      <c r="C556" s="77" t="s">
        <v>121</v>
      </c>
      <c r="D556" s="78">
        <v>0.15</v>
      </c>
      <c r="E556" s="79">
        <f>+BASICOS!E146</f>
        <v>392821</v>
      </c>
      <c r="F556" s="79">
        <f>+E556*D556</f>
        <v>58923.15</v>
      </c>
      <c r="G556" s="2"/>
      <c r="H556" s="2"/>
      <c r="I556" s="2"/>
      <c r="J556" s="244"/>
      <c r="K556" s="244"/>
      <c r="L556" s="244"/>
      <c r="M556" s="3"/>
      <c r="N556" s="3"/>
      <c r="S556" s="3"/>
      <c r="T556" s="3"/>
    </row>
    <row r="557" spans="1:20" s="64" customFormat="1">
      <c r="A557" s="529"/>
      <c r="B557" s="165" t="s">
        <v>229</v>
      </c>
      <c r="C557" s="77" t="s">
        <v>68</v>
      </c>
      <c r="D557" s="78">
        <v>0.05</v>
      </c>
      <c r="E557" s="79">
        <f>SUM(F556)</f>
        <v>58923.15</v>
      </c>
      <c r="F557" s="79">
        <f>+D557*E557</f>
        <v>2946.1575000000003</v>
      </c>
      <c r="G557" s="2"/>
      <c r="H557" s="2"/>
      <c r="I557" s="2"/>
      <c r="J557" s="244"/>
      <c r="K557" s="244"/>
      <c r="L557" s="244"/>
      <c r="M557" s="3"/>
      <c r="N557" s="3"/>
      <c r="S557" s="3"/>
      <c r="T557" s="3"/>
    </row>
    <row r="558" spans="1:20" s="64" customFormat="1">
      <c r="A558" s="529"/>
      <c r="B558" s="165" t="s">
        <v>136</v>
      </c>
      <c r="C558" s="77" t="s">
        <v>68</v>
      </c>
      <c r="D558" s="78"/>
      <c r="E558" s="79">
        <f>SUM(F556:F557)</f>
        <v>61869.307500000003</v>
      </c>
      <c r="F558" s="79">
        <f>+D558*E558</f>
        <v>0</v>
      </c>
      <c r="G558" s="2"/>
      <c r="H558" s="2"/>
      <c r="I558" s="2"/>
      <c r="J558" s="244"/>
      <c r="K558" s="244"/>
      <c r="L558" s="244"/>
      <c r="M558" s="3"/>
      <c r="N558" s="3"/>
      <c r="S558" s="3"/>
      <c r="T558" s="3"/>
    </row>
    <row r="559" spans="1:20" s="2" customFormat="1">
      <c r="A559" s="529"/>
      <c r="B559" s="165" t="s">
        <v>187</v>
      </c>
      <c r="C559" s="77" t="s">
        <v>142</v>
      </c>
      <c r="D559" s="78">
        <v>5.0000000000000001E-3</v>
      </c>
      <c r="E559" s="79">
        <f>+BASICOS!D42</f>
        <v>136480.47829830134</v>
      </c>
      <c r="F559" s="79">
        <f>+E559*D559</f>
        <v>682.40239149150671</v>
      </c>
      <c r="J559" s="244"/>
      <c r="K559" s="244"/>
      <c r="L559" s="244"/>
      <c r="M559" s="3"/>
      <c r="N559" s="3"/>
      <c r="O559" s="64"/>
      <c r="P559" s="64"/>
      <c r="Q559" s="64"/>
      <c r="R559" s="64"/>
      <c r="S559" s="3"/>
      <c r="T559" s="3"/>
    </row>
    <row r="560" spans="1:20" s="2" customFormat="1">
      <c r="A560" s="529"/>
      <c r="B560" s="165" t="s">
        <v>263</v>
      </c>
      <c r="C560" s="77" t="s">
        <v>145</v>
      </c>
      <c r="D560" s="78">
        <v>0.01</v>
      </c>
      <c r="E560" s="79">
        <f>+BASICOS!D48</f>
        <v>1785</v>
      </c>
      <c r="F560" s="79">
        <f>+E560*D560</f>
        <v>17.850000000000001</v>
      </c>
      <c r="J560" s="244"/>
      <c r="K560" s="244"/>
      <c r="L560" s="244"/>
      <c r="M560" s="3"/>
      <c r="N560" s="3"/>
      <c r="O560" s="64"/>
      <c r="P560" s="64"/>
      <c r="Q560" s="64"/>
      <c r="R560" s="64"/>
      <c r="S560" s="3"/>
      <c r="T560" s="3"/>
    </row>
    <row r="561" spans="1:20" s="2" customFormat="1">
      <c r="A561" s="529"/>
      <c r="B561" s="165" t="s">
        <v>11</v>
      </c>
      <c r="C561" s="77" t="s">
        <v>284</v>
      </c>
      <c r="D561" s="78">
        <v>0.03</v>
      </c>
      <c r="E561" s="79">
        <f>+F562</f>
        <v>13067.148997356166</v>
      </c>
      <c r="F561" s="79">
        <f>(D561*E561)</f>
        <v>392.01446992068497</v>
      </c>
      <c r="J561" s="244"/>
      <c r="K561" s="244"/>
      <c r="L561" s="244"/>
      <c r="M561" s="3"/>
      <c r="N561" s="3"/>
      <c r="O561" s="64"/>
      <c r="P561" s="64"/>
      <c r="Q561" s="64"/>
      <c r="R561" s="64"/>
      <c r="S561" s="3"/>
      <c r="T561" s="3"/>
    </row>
    <row r="562" spans="1:20" s="2" customFormat="1">
      <c r="A562" s="529"/>
      <c r="B562" s="165" t="s">
        <v>9</v>
      </c>
      <c r="C562" s="77" t="s">
        <v>10</v>
      </c>
      <c r="D562" s="78">
        <v>0.5</v>
      </c>
      <c r="E562" s="79">
        <f>+'VALOR CUADRILLAS MO'!D75</f>
        <v>26134.297994712331</v>
      </c>
      <c r="F562" s="79">
        <f>+E562*D562</f>
        <v>13067.148997356166</v>
      </c>
      <c r="J562" s="244"/>
      <c r="K562" s="244"/>
      <c r="L562" s="244"/>
      <c r="M562" s="3"/>
      <c r="N562" s="3"/>
      <c r="O562" s="64"/>
      <c r="P562" s="64"/>
      <c r="Q562" s="64"/>
      <c r="R562" s="64"/>
      <c r="S562" s="3"/>
      <c r="T562" s="3"/>
    </row>
    <row r="563" spans="1:20" s="2" customFormat="1">
      <c r="A563" s="529"/>
      <c r="B563" s="165"/>
      <c r="C563" s="77"/>
      <c r="D563" s="78"/>
      <c r="E563" s="79"/>
      <c r="F563" s="79"/>
      <c r="J563" s="244"/>
      <c r="K563" s="244"/>
      <c r="L563" s="244"/>
      <c r="M563" s="3"/>
      <c r="N563" s="3"/>
      <c r="O563" s="64"/>
      <c r="P563" s="64"/>
      <c r="Q563" s="64"/>
      <c r="R563" s="64"/>
      <c r="S563" s="3"/>
      <c r="T563" s="3"/>
    </row>
    <row r="564" spans="1:20" s="2" customFormat="1" ht="36.75" customHeight="1">
      <c r="A564" s="246">
        <f>+A555+1</f>
        <v>72</v>
      </c>
      <c r="B564" s="83" t="s">
        <v>244</v>
      </c>
      <c r="C564" s="76" t="s">
        <v>119</v>
      </c>
      <c r="D564" s="73"/>
      <c r="E564" s="74"/>
      <c r="F564" s="75">
        <f>ROUND(SUM(F565:F571),0)</f>
        <v>50022</v>
      </c>
      <c r="J564" s="244"/>
      <c r="K564" s="244"/>
      <c r="L564" s="244"/>
      <c r="M564" s="3"/>
      <c r="N564" s="3"/>
      <c r="O564" s="64"/>
      <c r="P564" s="64"/>
      <c r="Q564" s="64"/>
      <c r="R564" s="64"/>
      <c r="S564" s="3"/>
      <c r="T564" s="3"/>
    </row>
    <row r="565" spans="1:20" s="2" customFormat="1">
      <c r="A565" s="529"/>
      <c r="B565" s="165" t="s">
        <v>234</v>
      </c>
      <c r="C565" s="77" t="s">
        <v>121</v>
      </c>
      <c r="D565" s="78">
        <v>0.1</v>
      </c>
      <c r="E565" s="79">
        <f>+BASICOS!E146</f>
        <v>392821</v>
      </c>
      <c r="F565" s="79">
        <f>+E565*D565</f>
        <v>39282.1</v>
      </c>
      <c r="J565" s="244"/>
      <c r="K565" s="244"/>
      <c r="L565" s="244"/>
      <c r="M565" s="3"/>
      <c r="N565" s="3"/>
      <c r="O565" s="64"/>
      <c r="P565" s="64"/>
      <c r="Q565" s="64"/>
      <c r="R565" s="64"/>
      <c r="S565" s="3"/>
      <c r="T565" s="3"/>
    </row>
    <row r="566" spans="1:20" s="2" customFormat="1">
      <c r="A566" s="529"/>
      <c r="B566" s="165" t="s">
        <v>229</v>
      </c>
      <c r="C566" s="77" t="s">
        <v>68</v>
      </c>
      <c r="D566" s="78">
        <v>0.05</v>
      </c>
      <c r="E566" s="79">
        <f>SUM(F565)</f>
        <v>39282.1</v>
      </c>
      <c r="F566" s="79">
        <f>+D566*E566</f>
        <v>1964.105</v>
      </c>
      <c r="J566" s="244"/>
      <c r="K566" s="244"/>
      <c r="L566" s="244"/>
      <c r="M566" s="3"/>
      <c r="N566" s="3"/>
      <c r="O566" s="64"/>
      <c r="P566" s="64"/>
      <c r="Q566" s="64"/>
      <c r="R566" s="64"/>
      <c r="S566" s="3"/>
      <c r="T566" s="3"/>
    </row>
    <row r="567" spans="1:20" s="2" customFormat="1">
      <c r="A567" s="529"/>
      <c r="B567" s="165" t="s">
        <v>136</v>
      </c>
      <c r="C567" s="77" t="s">
        <v>68</v>
      </c>
      <c r="D567" s="78"/>
      <c r="E567" s="79">
        <f>SUM(F565:F566)</f>
        <v>41246.205000000002</v>
      </c>
      <c r="F567" s="79">
        <f>+D567*E567</f>
        <v>0</v>
      </c>
      <c r="J567" s="244"/>
      <c r="K567" s="244"/>
      <c r="L567" s="244"/>
      <c r="M567" s="3"/>
      <c r="N567" s="3"/>
      <c r="O567" s="64"/>
      <c r="P567" s="64"/>
      <c r="Q567" s="64"/>
      <c r="R567" s="64"/>
      <c r="S567" s="3"/>
      <c r="T567" s="3"/>
    </row>
    <row r="568" spans="1:20" s="2" customFormat="1">
      <c r="A568" s="529"/>
      <c r="B568" s="165" t="s">
        <v>187</v>
      </c>
      <c r="C568" s="77" t="s">
        <v>142</v>
      </c>
      <c r="D568" s="78">
        <v>5.0000000000000001E-3</v>
      </c>
      <c r="E568" s="79">
        <f>+BASICOS!D42</f>
        <v>136480.47829830134</v>
      </c>
      <c r="F568" s="79">
        <f>+E568*D568</f>
        <v>682.40239149150671</v>
      </c>
      <c r="J568" s="244"/>
      <c r="K568" s="244"/>
      <c r="L568" s="244"/>
      <c r="M568" s="3"/>
      <c r="N568" s="3"/>
      <c r="O568" s="64"/>
      <c r="P568" s="64"/>
      <c r="Q568" s="64"/>
      <c r="R568" s="64"/>
      <c r="S568" s="3"/>
      <c r="T568" s="3"/>
    </row>
    <row r="569" spans="1:20" s="2" customFormat="1">
      <c r="A569" s="529"/>
      <c r="B569" s="165" t="s">
        <v>263</v>
      </c>
      <c r="C569" s="77" t="s">
        <v>145</v>
      </c>
      <c r="D569" s="78">
        <v>0.01</v>
      </c>
      <c r="E569" s="79">
        <f>+BASICOS!D48</f>
        <v>1785</v>
      </c>
      <c r="F569" s="79">
        <f>+E569*D569</f>
        <v>17.850000000000001</v>
      </c>
      <c r="J569" s="244"/>
      <c r="K569" s="244"/>
      <c r="L569" s="244"/>
      <c r="M569" s="3"/>
      <c r="N569" s="3"/>
      <c r="O569" s="64"/>
      <c r="P569" s="64"/>
      <c r="Q569" s="64"/>
      <c r="R569" s="64"/>
      <c r="S569" s="3"/>
      <c r="T569" s="3"/>
    </row>
    <row r="570" spans="1:20" s="2" customFormat="1">
      <c r="A570" s="529"/>
      <c r="B570" s="165" t="s">
        <v>11</v>
      </c>
      <c r="C570" s="77" t="s">
        <v>284</v>
      </c>
      <c r="D570" s="78">
        <v>0.03</v>
      </c>
      <c r="E570" s="79">
        <f>+F571</f>
        <v>7840.289398413699</v>
      </c>
      <c r="F570" s="79">
        <f>(D570*E570)</f>
        <v>235.20868195241096</v>
      </c>
      <c r="J570" s="244"/>
      <c r="K570" s="244"/>
      <c r="L570" s="244"/>
      <c r="M570" s="3"/>
      <c r="N570" s="3"/>
      <c r="O570" s="64"/>
      <c r="P570" s="64"/>
      <c r="Q570" s="64"/>
      <c r="R570" s="64"/>
      <c r="S570" s="3"/>
      <c r="T570" s="3"/>
    </row>
    <row r="571" spans="1:20" s="2" customFormat="1">
      <c r="A571" s="529"/>
      <c r="B571" s="165" t="s">
        <v>9</v>
      </c>
      <c r="C571" s="77" t="s">
        <v>10</v>
      </c>
      <c r="D571" s="78">
        <v>0.3</v>
      </c>
      <c r="E571" s="79">
        <f>+'VALOR CUADRILLAS MO'!D75</f>
        <v>26134.297994712331</v>
      </c>
      <c r="F571" s="79">
        <f>+E571*D571</f>
        <v>7840.289398413699</v>
      </c>
      <c r="J571" s="244"/>
      <c r="K571" s="244"/>
      <c r="L571" s="244"/>
      <c r="M571" s="3"/>
      <c r="N571" s="3"/>
      <c r="O571" s="64"/>
      <c r="P571" s="64"/>
      <c r="Q571" s="64"/>
      <c r="R571" s="64"/>
      <c r="S571" s="3"/>
      <c r="T571" s="3"/>
    </row>
    <row r="572" spans="1:20" s="2" customFormat="1">
      <c r="A572" s="529"/>
      <c r="B572" s="165"/>
      <c r="C572" s="77"/>
      <c r="D572" s="78"/>
      <c r="E572" s="79"/>
      <c r="F572" s="79"/>
      <c r="J572" s="244"/>
      <c r="K572" s="244"/>
      <c r="L572" s="244"/>
      <c r="M572" s="3"/>
      <c r="N572" s="3"/>
      <c r="O572" s="64"/>
      <c r="P572" s="64"/>
      <c r="Q572" s="64"/>
      <c r="R572" s="64"/>
      <c r="S572" s="3"/>
      <c r="T572" s="3"/>
    </row>
    <row r="573" spans="1:20" s="2" customFormat="1" ht="29.25" customHeight="1">
      <c r="A573" s="246">
        <f>+A564+1</f>
        <v>73</v>
      </c>
      <c r="B573" s="83" t="s">
        <v>500</v>
      </c>
      <c r="C573" s="76" t="s">
        <v>121</v>
      </c>
      <c r="D573" s="73"/>
      <c r="E573" s="74"/>
      <c r="F573" s="75" t="e">
        <f>ROUND(SUM(F574:F579),0)</f>
        <v>#REF!</v>
      </c>
      <c r="J573" s="244"/>
      <c r="K573" s="244"/>
      <c r="L573" s="244"/>
      <c r="M573" s="3"/>
      <c r="N573" s="3"/>
      <c r="O573" s="64"/>
      <c r="P573" s="64"/>
      <c r="Q573" s="64"/>
      <c r="R573" s="64"/>
      <c r="S573" s="3"/>
      <c r="T573" s="3"/>
    </row>
    <row r="574" spans="1:20" s="2" customFormat="1">
      <c r="A574" s="529"/>
      <c r="B574" s="165" t="s">
        <v>151</v>
      </c>
      <c r="C574" s="270" t="s">
        <v>153</v>
      </c>
      <c r="D574" s="78">
        <v>3.3000000000000002E-2</v>
      </c>
      <c r="E574" s="79">
        <f>INSUMOS!D25</f>
        <v>136408.60999999999</v>
      </c>
      <c r="F574" s="79">
        <f>+D574*E574</f>
        <v>4501.4841299999998</v>
      </c>
      <c r="J574" s="244"/>
      <c r="K574" s="244"/>
      <c r="L574" s="244"/>
      <c r="M574" s="3"/>
      <c r="N574" s="3"/>
      <c r="O574" s="64"/>
      <c r="P574" s="64"/>
      <c r="Q574" s="64"/>
      <c r="R574" s="64"/>
      <c r="S574" s="3"/>
      <c r="T574" s="3"/>
    </row>
    <row r="575" spans="1:20" s="2" customFormat="1">
      <c r="A575" s="529"/>
      <c r="B575" s="165" t="s">
        <v>152</v>
      </c>
      <c r="C575" s="270" t="s">
        <v>121</v>
      </c>
      <c r="D575" s="78">
        <v>1.25</v>
      </c>
      <c r="E575" s="79" t="e">
        <f>INSUMOS!#REF!</f>
        <v>#REF!</v>
      </c>
      <c r="F575" s="79" t="e">
        <f>+D575*E575</f>
        <v>#REF!</v>
      </c>
      <c r="G575" s="2" t="s">
        <v>775</v>
      </c>
      <c r="H575" s="2" t="s">
        <v>746</v>
      </c>
      <c r="J575" s="244"/>
      <c r="K575" s="244"/>
      <c r="L575" s="244"/>
      <c r="M575" s="3"/>
      <c r="N575" s="3"/>
      <c r="O575" s="64"/>
      <c r="P575" s="64"/>
      <c r="Q575" s="64"/>
      <c r="R575" s="64"/>
      <c r="S575" s="3"/>
      <c r="T575" s="3"/>
    </row>
    <row r="576" spans="1:20" s="2" customFormat="1">
      <c r="A576" s="529"/>
      <c r="B576" s="165" t="s">
        <v>229</v>
      </c>
      <c r="C576" s="77" t="s">
        <v>68</v>
      </c>
      <c r="D576" s="78">
        <v>0.05</v>
      </c>
      <c r="E576" s="79" t="e">
        <f>SUM(F575)</f>
        <v>#REF!</v>
      </c>
      <c r="F576" s="79" t="e">
        <f>+D576*E576</f>
        <v>#REF!</v>
      </c>
      <c r="J576" s="244"/>
      <c r="K576" s="244"/>
      <c r="L576" s="244"/>
      <c r="M576" s="3"/>
      <c r="N576" s="3"/>
      <c r="O576" s="64"/>
      <c r="P576" s="64"/>
      <c r="Q576" s="64"/>
      <c r="R576" s="64"/>
      <c r="S576" s="3"/>
      <c r="T576" s="3"/>
    </row>
    <row r="577" spans="1:20" s="2" customFormat="1">
      <c r="A577" s="529"/>
      <c r="B577" s="165" t="s">
        <v>154</v>
      </c>
      <c r="C577" s="270" t="s">
        <v>2431</v>
      </c>
      <c r="D577" s="78">
        <f>(10*D575)</f>
        <v>12.5</v>
      </c>
      <c r="E577" s="79">
        <f>INSUMOS!D23</f>
        <v>1094.8912</v>
      </c>
      <c r="F577" s="79">
        <f>+D577*E577</f>
        <v>13686.14</v>
      </c>
      <c r="J577" s="244"/>
      <c r="K577" s="244"/>
      <c r="L577" s="244"/>
      <c r="M577" s="3"/>
      <c r="N577" s="3"/>
      <c r="O577" s="64"/>
      <c r="P577" s="64"/>
      <c r="Q577" s="64"/>
      <c r="R577" s="64"/>
      <c r="S577" s="3"/>
      <c r="T577" s="3"/>
    </row>
    <row r="578" spans="1:20" s="2" customFormat="1">
      <c r="A578" s="529"/>
      <c r="B578" s="165" t="s">
        <v>11</v>
      </c>
      <c r="C578" s="77" t="s">
        <v>284</v>
      </c>
      <c r="D578" s="78">
        <v>0.03</v>
      </c>
      <c r="E578" s="79">
        <f>+F579</f>
        <v>11237.748137726303</v>
      </c>
      <c r="F578" s="79">
        <f>(D578*E578)</f>
        <v>337.1324441317891</v>
      </c>
      <c r="J578" s="244"/>
      <c r="K578" s="244"/>
      <c r="L578" s="244"/>
      <c r="M578" s="3"/>
      <c r="N578" s="3"/>
      <c r="O578" s="64"/>
      <c r="P578" s="64"/>
      <c r="Q578" s="64"/>
      <c r="R578" s="64"/>
      <c r="S578" s="3"/>
      <c r="T578" s="3"/>
    </row>
    <row r="579" spans="1:20" s="2" customFormat="1">
      <c r="A579" s="529"/>
      <c r="B579" s="165" t="s">
        <v>9</v>
      </c>
      <c r="C579" s="77" t="s">
        <v>10</v>
      </c>
      <c r="D579" s="78">
        <v>0.43</v>
      </c>
      <c r="E579" s="79">
        <f>+'VALOR CUADRILLAS MO'!D75</f>
        <v>26134.297994712331</v>
      </c>
      <c r="F579" s="79">
        <f>+E579*D579</f>
        <v>11237.748137726303</v>
      </c>
      <c r="G579" s="2">
        <v>7657.0575000000008</v>
      </c>
      <c r="J579" s="244"/>
      <c r="K579" s="244"/>
      <c r="L579" s="244"/>
      <c r="M579" s="3"/>
      <c r="N579" s="3"/>
      <c r="O579" s="64"/>
      <c r="P579" s="64"/>
      <c r="Q579" s="64"/>
      <c r="R579" s="64"/>
      <c r="S579" s="3"/>
      <c r="T579" s="3"/>
    </row>
    <row r="580" spans="1:20" s="2" customFormat="1">
      <c r="A580" s="529"/>
      <c r="B580" s="165"/>
      <c r="C580" s="77"/>
      <c r="D580" s="78"/>
      <c r="E580" s="79"/>
      <c r="F580" s="79"/>
      <c r="J580" s="244"/>
      <c r="K580" s="244"/>
      <c r="L580" s="244"/>
      <c r="M580" s="3"/>
      <c r="N580" s="3"/>
      <c r="O580" s="64"/>
      <c r="P580" s="64"/>
      <c r="Q580" s="64"/>
      <c r="R580" s="64"/>
      <c r="S580" s="3"/>
      <c r="T580" s="3"/>
    </row>
    <row r="581" spans="1:20" s="2" customFormat="1" ht="34.9" customHeight="1">
      <c r="A581" s="246">
        <f>A573+1</f>
        <v>74</v>
      </c>
      <c r="B581" s="83" t="s">
        <v>2673</v>
      </c>
      <c r="C581" s="76" t="s">
        <v>119</v>
      </c>
      <c r="D581" s="73"/>
      <c r="E581" s="74"/>
      <c r="F581" s="75" t="e">
        <f>ROUND(SUM(F582:F588),0)</f>
        <v>#REF!</v>
      </c>
      <c r="J581" s="244"/>
      <c r="K581" s="244"/>
      <c r="L581" s="244"/>
      <c r="M581" s="3"/>
      <c r="N581" s="3"/>
      <c r="O581" s="64"/>
      <c r="P581" s="64"/>
      <c r="Q581" s="64"/>
      <c r="R581" s="64"/>
      <c r="S581" s="3"/>
      <c r="T581" s="3"/>
    </row>
    <row r="582" spans="1:20" s="2" customFormat="1" ht="25.5">
      <c r="A582" s="529"/>
      <c r="B582" s="165" t="s">
        <v>2674</v>
      </c>
      <c r="C582" s="77" t="s">
        <v>153</v>
      </c>
      <c r="D582" s="389">
        <v>2E-3</v>
      </c>
      <c r="E582" s="79" t="e">
        <f>INSUMOS!#REF!</f>
        <v>#REF!</v>
      </c>
      <c r="F582" s="390" t="e">
        <f>+D582*E582</f>
        <v>#REF!</v>
      </c>
      <c r="J582" s="244"/>
      <c r="K582" s="244"/>
      <c r="L582" s="244"/>
      <c r="M582" s="3"/>
      <c r="N582" s="3"/>
      <c r="O582" s="64"/>
      <c r="P582" s="64"/>
      <c r="Q582" s="64"/>
      <c r="R582" s="64"/>
      <c r="S582" s="3"/>
      <c r="T582" s="3"/>
    </row>
    <row r="583" spans="1:20" s="2" customFormat="1">
      <c r="A583" s="529"/>
      <c r="B583" s="165" t="s">
        <v>2675</v>
      </c>
      <c r="C583" s="77" t="s">
        <v>153</v>
      </c>
      <c r="D583" s="389">
        <v>3.0000000000000001E-3</v>
      </c>
      <c r="E583" s="79" t="e">
        <f>INSUMOS!#REF!</f>
        <v>#REF!</v>
      </c>
      <c r="F583" s="390" t="e">
        <f>+D583*E583</f>
        <v>#REF!</v>
      </c>
      <c r="J583" s="244"/>
      <c r="K583" s="244"/>
      <c r="L583" s="244"/>
      <c r="M583" s="3"/>
      <c r="N583" s="3"/>
      <c r="O583" s="64"/>
      <c r="P583" s="64"/>
      <c r="Q583" s="64"/>
      <c r="R583" s="64"/>
      <c r="S583" s="3"/>
      <c r="T583" s="3"/>
    </row>
    <row r="584" spans="1:20" s="2" customFormat="1">
      <c r="A584" s="529"/>
      <c r="B584" s="165" t="s">
        <v>2676</v>
      </c>
      <c r="C584" s="77" t="s">
        <v>527</v>
      </c>
      <c r="D584" s="269">
        <v>1</v>
      </c>
      <c r="E584" s="79" t="e">
        <f>INSUMOS!#REF!</f>
        <v>#REF!</v>
      </c>
      <c r="F584" s="390" t="e">
        <f>+D584*E584</f>
        <v>#REF!</v>
      </c>
      <c r="J584" s="244"/>
      <c r="K584" s="244"/>
      <c r="L584" s="244"/>
      <c r="M584" s="3"/>
      <c r="N584" s="3"/>
      <c r="O584" s="64"/>
      <c r="P584" s="64"/>
      <c r="Q584" s="64"/>
      <c r="R584" s="64"/>
      <c r="S584" s="3"/>
      <c r="T584" s="3"/>
    </row>
    <row r="585" spans="1:20" s="2" customFormat="1">
      <c r="A585" s="529"/>
      <c r="B585" s="385" t="s">
        <v>229</v>
      </c>
      <c r="C585" s="77" t="s">
        <v>68</v>
      </c>
      <c r="D585" s="391">
        <v>0.05</v>
      </c>
      <c r="E585" s="392" t="e">
        <f>SUM(F584)</f>
        <v>#REF!</v>
      </c>
      <c r="F585" s="392" t="e">
        <f>+D585*E585</f>
        <v>#REF!</v>
      </c>
      <c r="J585" s="244"/>
      <c r="K585" s="244"/>
      <c r="L585" s="244"/>
      <c r="M585" s="3"/>
      <c r="N585" s="3"/>
      <c r="O585" s="64"/>
      <c r="P585" s="64"/>
      <c r="Q585" s="64"/>
      <c r="R585" s="64"/>
      <c r="S585" s="3"/>
      <c r="T585" s="3"/>
    </row>
    <row r="586" spans="1:20" s="2" customFormat="1">
      <c r="A586" s="529"/>
      <c r="B586" s="165" t="s">
        <v>136</v>
      </c>
      <c r="C586" s="77" t="s">
        <v>284</v>
      </c>
      <c r="D586" s="269"/>
      <c r="E586" s="390" t="e">
        <f>SUM(F584)</f>
        <v>#REF!</v>
      </c>
      <c r="F586" s="390" t="e">
        <f>(D586*E586)</f>
        <v>#REF!</v>
      </c>
      <c r="J586" s="244"/>
      <c r="K586" s="244"/>
      <c r="L586" s="244"/>
      <c r="M586" s="3"/>
      <c r="N586" s="3"/>
      <c r="O586" s="64"/>
      <c r="P586" s="64"/>
      <c r="Q586" s="64"/>
      <c r="R586" s="64"/>
      <c r="S586" s="3"/>
      <c r="T586" s="3"/>
    </row>
    <row r="587" spans="1:20" s="2" customFormat="1">
      <c r="A587" s="529"/>
      <c r="B587" s="165" t="s">
        <v>11</v>
      </c>
      <c r="C587" s="77" t="s">
        <v>284</v>
      </c>
      <c r="D587" s="269">
        <v>0.03</v>
      </c>
      <c r="E587" s="390">
        <f>F588</f>
        <v>261.3429799471233</v>
      </c>
      <c r="F587" s="390">
        <f>(D587*E587)</f>
        <v>7.8402893984136988</v>
      </c>
      <c r="J587" s="244"/>
      <c r="K587" s="244"/>
      <c r="L587" s="244"/>
      <c r="M587" s="3"/>
      <c r="N587" s="3"/>
      <c r="O587" s="64"/>
      <c r="P587" s="64"/>
      <c r="Q587" s="64"/>
      <c r="R587" s="64"/>
      <c r="S587" s="3"/>
      <c r="T587" s="3"/>
    </row>
    <row r="588" spans="1:20" s="2" customFormat="1">
      <c r="A588" s="529"/>
      <c r="B588" s="165" t="s">
        <v>9</v>
      </c>
      <c r="C588" s="77" t="s">
        <v>10</v>
      </c>
      <c r="D588" s="269">
        <v>0.01</v>
      </c>
      <c r="E588" s="390">
        <f>+'VALOR CUADRILLAS MO'!D75</f>
        <v>26134.297994712331</v>
      </c>
      <c r="F588" s="390">
        <f>+E588*D588</f>
        <v>261.3429799471233</v>
      </c>
      <c r="J588" s="244"/>
      <c r="K588" s="244"/>
      <c r="L588" s="244"/>
      <c r="M588" s="3"/>
      <c r="N588" s="3"/>
      <c r="O588" s="64"/>
      <c r="P588" s="64"/>
      <c r="Q588" s="64"/>
      <c r="R588" s="64"/>
      <c r="S588" s="3"/>
      <c r="T588" s="3"/>
    </row>
    <row r="589" spans="1:20" s="2" customFormat="1">
      <c r="A589" s="529"/>
      <c r="B589" s="165"/>
      <c r="C589" s="77"/>
      <c r="D589" s="78"/>
      <c r="E589" s="79"/>
      <c r="F589" s="79"/>
      <c r="J589" s="244"/>
      <c r="K589" s="244"/>
      <c r="L589" s="244"/>
      <c r="M589" s="3"/>
      <c r="N589" s="3"/>
      <c r="O589" s="64"/>
      <c r="P589" s="64"/>
      <c r="Q589" s="64"/>
      <c r="R589" s="64"/>
      <c r="S589" s="3"/>
      <c r="T589" s="3"/>
    </row>
    <row r="590" spans="1:20" s="2" customFormat="1" ht="57.6" customHeight="1">
      <c r="A590" s="246">
        <f>A581+1</f>
        <v>75</v>
      </c>
      <c r="B590" s="83" t="s">
        <v>2678</v>
      </c>
      <c r="C590" s="76" t="s">
        <v>21</v>
      </c>
      <c r="D590" s="73"/>
      <c r="E590" s="467"/>
      <c r="F590" s="468" t="e">
        <f>SUM(F591:F596)</f>
        <v>#REF!</v>
      </c>
      <c r="J590" s="244"/>
      <c r="K590" s="244"/>
      <c r="L590" s="244"/>
      <c r="M590" s="3"/>
      <c r="N590" s="3"/>
      <c r="O590" s="64"/>
      <c r="P590" s="64"/>
      <c r="Q590" s="64"/>
      <c r="R590" s="64"/>
      <c r="S590" s="3"/>
      <c r="T590" s="3"/>
    </row>
    <row r="591" spans="1:20" s="2" customFormat="1" ht="25.5">
      <c r="A591" s="529"/>
      <c r="B591" s="165" t="s">
        <v>2679</v>
      </c>
      <c r="C591" s="77" t="s">
        <v>26</v>
      </c>
      <c r="D591" s="393">
        <v>1.2</v>
      </c>
      <c r="E591" s="394" t="e">
        <f>INSUMOS!#REF!</f>
        <v>#REF!</v>
      </c>
      <c r="F591" s="390" t="e">
        <f t="shared" ref="F591:F596" si="19">+D591*E591</f>
        <v>#REF!</v>
      </c>
      <c r="J591" s="244"/>
      <c r="K591" s="244"/>
      <c r="L591" s="244"/>
      <c r="M591" s="3"/>
      <c r="N591" s="3"/>
      <c r="O591" s="64"/>
      <c r="P591" s="64"/>
      <c r="Q591" s="64"/>
      <c r="R591" s="64"/>
      <c r="S591" s="3"/>
      <c r="T591" s="3"/>
    </row>
    <row r="592" spans="1:20" s="2" customFormat="1">
      <c r="A592" s="529"/>
      <c r="B592" s="165" t="s">
        <v>47</v>
      </c>
      <c r="C592" s="77" t="s">
        <v>121</v>
      </c>
      <c r="D592" s="393">
        <v>0.01</v>
      </c>
      <c r="E592" s="390">
        <f>BASICOS!E80</f>
        <v>318331</v>
      </c>
      <c r="F592" s="390">
        <f t="shared" si="19"/>
        <v>3183.31</v>
      </c>
      <c r="J592" s="244"/>
      <c r="K592" s="244"/>
      <c r="L592" s="244"/>
      <c r="M592" s="3"/>
      <c r="N592" s="3"/>
      <c r="O592" s="64"/>
      <c r="P592" s="64"/>
      <c r="Q592" s="64"/>
      <c r="R592" s="64"/>
      <c r="S592" s="3"/>
      <c r="T592" s="3"/>
    </row>
    <row r="593" spans="1:20" s="2" customFormat="1">
      <c r="A593" s="529"/>
      <c r="B593" s="165" t="s">
        <v>229</v>
      </c>
      <c r="C593" s="77" t="s">
        <v>68</v>
      </c>
      <c r="D593" s="393">
        <v>0.05</v>
      </c>
      <c r="E593" s="390" t="e">
        <f>SUM(F591)</f>
        <v>#REF!</v>
      </c>
      <c r="F593" s="390" t="e">
        <f t="shared" si="19"/>
        <v>#REF!</v>
      </c>
      <c r="J593" s="244"/>
      <c r="K593" s="244"/>
      <c r="L593" s="244"/>
      <c r="M593" s="3"/>
      <c r="N593" s="3"/>
      <c r="O593" s="64"/>
      <c r="P593" s="64"/>
      <c r="Q593" s="64"/>
      <c r="R593" s="64"/>
      <c r="S593" s="3"/>
      <c r="T593" s="3"/>
    </row>
    <row r="594" spans="1:20" s="2" customFormat="1">
      <c r="A594" s="529"/>
      <c r="B594" s="165" t="s">
        <v>223</v>
      </c>
      <c r="C594" s="77" t="s">
        <v>121</v>
      </c>
      <c r="D594" s="393">
        <f>0.2*0.2</f>
        <v>4.0000000000000008E-2</v>
      </c>
      <c r="E594" s="390">
        <f>F144</f>
        <v>34994</v>
      </c>
      <c r="F594" s="390">
        <f t="shared" si="19"/>
        <v>1399.7600000000002</v>
      </c>
      <c r="J594" s="244"/>
      <c r="K594" s="244"/>
      <c r="L594" s="244"/>
      <c r="M594" s="3"/>
      <c r="N594" s="3"/>
      <c r="O594" s="64"/>
      <c r="P594" s="64"/>
      <c r="Q594" s="64"/>
      <c r="R594" s="64"/>
      <c r="S594" s="3"/>
      <c r="T594" s="3"/>
    </row>
    <row r="595" spans="1:20" s="2" customFormat="1">
      <c r="A595" s="529"/>
      <c r="B595" s="165" t="s">
        <v>11</v>
      </c>
      <c r="C595" s="77" t="s">
        <v>284</v>
      </c>
      <c r="D595" s="393">
        <v>0.03</v>
      </c>
      <c r="E595" s="390">
        <f>F596</f>
        <v>13067.148997356166</v>
      </c>
      <c r="F595" s="390">
        <f t="shared" si="19"/>
        <v>392.01446992068497</v>
      </c>
      <c r="J595" s="244"/>
      <c r="K595" s="244"/>
      <c r="L595" s="244"/>
      <c r="M595" s="3"/>
      <c r="N595" s="3"/>
      <c r="O595" s="64"/>
      <c r="P595" s="64"/>
      <c r="Q595" s="64"/>
      <c r="R595" s="64"/>
      <c r="S595" s="3"/>
      <c r="T595" s="3"/>
    </row>
    <row r="596" spans="1:20" s="2" customFormat="1">
      <c r="A596" s="529"/>
      <c r="B596" s="165" t="s">
        <v>9</v>
      </c>
      <c r="C596" s="77" t="s">
        <v>10</v>
      </c>
      <c r="D596" s="393">
        <v>0.5</v>
      </c>
      <c r="E596" s="390">
        <f>'VALOR CUADRILLAS MO'!D75</f>
        <v>26134.297994712331</v>
      </c>
      <c r="F596" s="390">
        <f t="shared" si="19"/>
        <v>13067.148997356166</v>
      </c>
      <c r="J596" s="244"/>
      <c r="K596" s="244"/>
      <c r="L596" s="244"/>
      <c r="M596" s="3"/>
      <c r="N596" s="3"/>
      <c r="O596" s="64"/>
      <c r="P596" s="64"/>
      <c r="Q596" s="64"/>
      <c r="R596" s="64"/>
      <c r="S596" s="3"/>
      <c r="T596" s="3"/>
    </row>
    <row r="597" spans="1:20" s="2" customFormat="1">
      <c r="A597" s="529"/>
      <c r="B597" s="165"/>
      <c r="C597" s="77"/>
      <c r="D597" s="78"/>
      <c r="E597" s="79"/>
      <c r="F597" s="79"/>
      <c r="J597" s="244"/>
      <c r="K597" s="244"/>
      <c r="L597" s="244"/>
      <c r="M597" s="3"/>
      <c r="N597" s="3"/>
      <c r="O597" s="64"/>
      <c r="P597" s="64"/>
      <c r="Q597" s="64"/>
      <c r="R597" s="64"/>
      <c r="S597" s="3"/>
      <c r="T597" s="3"/>
    </row>
    <row r="598" spans="1:20" s="2" customFormat="1" ht="57" customHeight="1">
      <c r="A598" s="246">
        <f>A590+1</f>
        <v>76</v>
      </c>
      <c r="B598" s="83" t="s">
        <v>2680</v>
      </c>
      <c r="C598" s="76" t="s">
        <v>21</v>
      </c>
      <c r="D598" s="73"/>
      <c r="E598" s="467"/>
      <c r="F598" s="468" t="e">
        <f>ROUND(SUM(F599:F604),0)</f>
        <v>#REF!</v>
      </c>
      <c r="J598" s="244"/>
      <c r="K598" s="244"/>
      <c r="L598" s="244"/>
      <c r="M598" s="3"/>
      <c r="N598" s="3"/>
      <c r="O598" s="64"/>
      <c r="P598" s="64"/>
      <c r="Q598" s="64"/>
      <c r="R598" s="64"/>
      <c r="S598" s="3"/>
      <c r="T598" s="3"/>
    </row>
    <row r="599" spans="1:20" s="2" customFormat="1" ht="25.5">
      <c r="A599" s="529"/>
      <c r="B599" s="165" t="s">
        <v>2681</v>
      </c>
      <c r="C599" s="77" t="s">
        <v>26</v>
      </c>
      <c r="D599" s="393">
        <v>1.2</v>
      </c>
      <c r="E599" s="394" t="e">
        <f>INSUMOS!#REF!</f>
        <v>#REF!</v>
      </c>
      <c r="F599" s="395" t="e">
        <f t="shared" ref="F599:F604" si="20">D599*E599</f>
        <v>#REF!</v>
      </c>
      <c r="J599" s="244"/>
      <c r="K599" s="244"/>
      <c r="L599" s="244"/>
      <c r="M599" s="3"/>
      <c r="N599" s="3"/>
      <c r="O599" s="64"/>
      <c r="P599" s="64"/>
      <c r="Q599" s="64"/>
      <c r="R599" s="64"/>
      <c r="S599" s="3"/>
      <c r="T599" s="3"/>
    </row>
    <row r="600" spans="1:20" s="2" customFormat="1">
      <c r="A600" s="529"/>
      <c r="B600" s="165" t="s">
        <v>47</v>
      </c>
      <c r="C600" s="77" t="s">
        <v>121</v>
      </c>
      <c r="D600" s="393">
        <v>0.01</v>
      </c>
      <c r="E600" s="390">
        <f>BASICOS!E80</f>
        <v>318331</v>
      </c>
      <c r="F600" s="395">
        <f t="shared" si="20"/>
        <v>3183.31</v>
      </c>
      <c r="J600" s="244"/>
      <c r="K600" s="244"/>
      <c r="L600" s="244"/>
      <c r="M600" s="3"/>
      <c r="N600" s="3"/>
      <c r="O600" s="64"/>
      <c r="P600" s="64"/>
      <c r="Q600" s="64"/>
      <c r="R600" s="64"/>
      <c r="S600" s="3"/>
      <c r="T600" s="3"/>
    </row>
    <row r="601" spans="1:20" s="2" customFormat="1">
      <c r="A601" s="529"/>
      <c r="B601" s="165" t="s">
        <v>229</v>
      </c>
      <c r="C601" s="77" t="s">
        <v>68</v>
      </c>
      <c r="D601" s="393">
        <v>0.05</v>
      </c>
      <c r="E601" s="390" t="e">
        <f>F599</f>
        <v>#REF!</v>
      </c>
      <c r="F601" s="395" t="e">
        <f t="shared" si="20"/>
        <v>#REF!</v>
      </c>
      <c r="J601" s="244"/>
      <c r="K601" s="244"/>
      <c r="L601" s="244"/>
      <c r="M601" s="3"/>
      <c r="N601" s="3"/>
      <c r="O601" s="64"/>
      <c r="P601" s="64"/>
      <c r="Q601" s="64"/>
      <c r="R601" s="64"/>
      <c r="S601" s="3"/>
      <c r="T601" s="3"/>
    </row>
    <row r="602" spans="1:20" s="2" customFormat="1">
      <c r="A602" s="529"/>
      <c r="B602" s="165" t="s">
        <v>223</v>
      </c>
      <c r="C602" s="77" t="s">
        <v>121</v>
      </c>
      <c r="D602" s="393">
        <f>0.2*0.2</f>
        <v>4.0000000000000008E-2</v>
      </c>
      <c r="E602" s="390">
        <f>E594</f>
        <v>34994</v>
      </c>
      <c r="F602" s="395">
        <f t="shared" si="20"/>
        <v>1399.7600000000002</v>
      </c>
      <c r="J602" s="244"/>
      <c r="K602" s="244"/>
      <c r="L602" s="244"/>
      <c r="M602" s="3"/>
      <c r="N602" s="3"/>
      <c r="O602" s="64"/>
      <c r="P602" s="64"/>
      <c r="Q602" s="64"/>
      <c r="R602" s="64"/>
      <c r="S602" s="3"/>
      <c r="T602" s="3"/>
    </row>
    <row r="603" spans="1:20" s="2" customFormat="1">
      <c r="A603" s="529"/>
      <c r="B603" s="165" t="s">
        <v>11</v>
      </c>
      <c r="C603" s="77" t="s">
        <v>284</v>
      </c>
      <c r="D603" s="393">
        <v>0.03</v>
      </c>
      <c r="E603" s="390">
        <f>F604</f>
        <v>13067.148997356166</v>
      </c>
      <c r="F603" s="395">
        <f t="shared" si="20"/>
        <v>392.01446992068497</v>
      </c>
      <c r="J603" s="244"/>
      <c r="K603" s="244"/>
      <c r="L603" s="244"/>
      <c r="M603" s="3"/>
      <c r="N603" s="3"/>
      <c r="O603" s="64"/>
      <c r="P603" s="64"/>
      <c r="Q603" s="64"/>
      <c r="R603" s="64"/>
      <c r="S603" s="3"/>
      <c r="T603" s="3"/>
    </row>
    <row r="604" spans="1:20" s="2" customFormat="1">
      <c r="A604" s="529"/>
      <c r="B604" s="165" t="s">
        <v>9</v>
      </c>
      <c r="C604" s="77" t="s">
        <v>10</v>
      </c>
      <c r="D604" s="393">
        <v>0.5</v>
      </c>
      <c r="E604" s="390">
        <f>'VALOR CUADRILLAS MO'!D75</f>
        <v>26134.297994712331</v>
      </c>
      <c r="F604" s="395">
        <f t="shared" si="20"/>
        <v>13067.148997356166</v>
      </c>
      <c r="J604" s="244"/>
      <c r="K604" s="244"/>
      <c r="L604" s="244"/>
      <c r="M604" s="3"/>
      <c r="N604" s="3"/>
      <c r="O604" s="64"/>
      <c r="P604" s="64"/>
      <c r="Q604" s="64"/>
      <c r="R604" s="64"/>
      <c r="S604" s="3"/>
      <c r="T604" s="3"/>
    </row>
    <row r="605" spans="1:20" s="2" customFormat="1">
      <c r="A605" s="529"/>
      <c r="B605" s="165"/>
      <c r="C605" s="77"/>
      <c r="D605" s="78"/>
      <c r="E605" s="79"/>
      <c r="F605" s="79"/>
      <c r="J605" s="244"/>
      <c r="K605" s="244"/>
      <c r="L605" s="244"/>
      <c r="M605" s="3"/>
      <c r="N605" s="3"/>
      <c r="O605" s="64"/>
      <c r="P605" s="64"/>
      <c r="Q605" s="64"/>
      <c r="R605" s="64"/>
      <c r="S605" s="3"/>
      <c r="T605" s="3"/>
    </row>
    <row r="606" spans="1:20" s="2" customFormat="1" ht="55.9" customHeight="1">
      <c r="A606" s="246">
        <f>A598+1</f>
        <v>77</v>
      </c>
      <c r="B606" s="83" t="s">
        <v>2682</v>
      </c>
      <c r="C606" s="76" t="s">
        <v>21</v>
      </c>
      <c r="D606" s="73"/>
      <c r="E606" s="467"/>
      <c r="F606" s="468" t="e">
        <f>ROUND(SUM(F607:F612),0)</f>
        <v>#REF!</v>
      </c>
      <c r="J606" s="244"/>
      <c r="K606" s="244"/>
      <c r="L606" s="244"/>
      <c r="M606" s="3"/>
      <c r="N606" s="3"/>
      <c r="O606" s="64"/>
      <c r="P606" s="64"/>
      <c r="Q606" s="64"/>
      <c r="R606" s="64"/>
      <c r="S606" s="3"/>
      <c r="T606" s="3"/>
    </row>
    <row r="607" spans="1:20" s="2" customFormat="1" ht="25.5">
      <c r="A607" s="529"/>
      <c r="B607" s="165" t="s">
        <v>3120</v>
      </c>
      <c r="C607" s="77" t="s">
        <v>26</v>
      </c>
      <c r="D607" s="393">
        <v>1.2</v>
      </c>
      <c r="E607" s="394" t="e">
        <f>INSUMOS!#REF!</f>
        <v>#REF!</v>
      </c>
      <c r="F607" s="395" t="e">
        <f t="shared" ref="F607:F612" si="21">D607*E607</f>
        <v>#REF!</v>
      </c>
      <c r="J607" s="244"/>
      <c r="K607" s="244"/>
      <c r="L607" s="244"/>
      <c r="M607" s="3"/>
      <c r="N607" s="3"/>
      <c r="O607" s="64"/>
      <c r="P607" s="64"/>
      <c r="Q607" s="64"/>
      <c r="R607" s="64"/>
      <c r="S607" s="3"/>
      <c r="T607" s="3"/>
    </row>
    <row r="608" spans="1:20" s="2" customFormat="1">
      <c r="A608" s="529"/>
      <c r="B608" s="165" t="s">
        <v>47</v>
      </c>
      <c r="C608" s="77" t="s">
        <v>121</v>
      </c>
      <c r="D608" s="393">
        <v>0.01</v>
      </c>
      <c r="E608" s="390">
        <f>BASICOS!E80</f>
        <v>318331</v>
      </c>
      <c r="F608" s="395">
        <f t="shared" si="21"/>
        <v>3183.31</v>
      </c>
      <c r="J608" s="244"/>
      <c r="K608" s="244"/>
      <c r="L608" s="244"/>
      <c r="M608" s="3"/>
      <c r="N608" s="3"/>
      <c r="O608" s="64"/>
      <c r="P608" s="64"/>
      <c r="Q608" s="64"/>
      <c r="R608" s="64"/>
      <c r="S608" s="3"/>
      <c r="T608" s="3"/>
    </row>
    <row r="609" spans="1:20" s="2" customFormat="1">
      <c r="A609" s="529"/>
      <c r="B609" s="165" t="s">
        <v>229</v>
      </c>
      <c r="C609" s="77" t="s">
        <v>68</v>
      </c>
      <c r="D609" s="393">
        <v>0.05</v>
      </c>
      <c r="E609" s="390" t="e">
        <f>SUM(F607)</f>
        <v>#REF!</v>
      </c>
      <c r="F609" s="395" t="e">
        <f t="shared" si="21"/>
        <v>#REF!</v>
      </c>
      <c r="J609" s="244"/>
      <c r="K609" s="244"/>
      <c r="L609" s="244"/>
      <c r="M609" s="3"/>
      <c r="N609" s="3"/>
      <c r="O609" s="64"/>
      <c r="P609" s="64"/>
      <c r="Q609" s="64"/>
      <c r="R609" s="64"/>
      <c r="S609" s="3"/>
      <c r="T609" s="3"/>
    </row>
    <row r="610" spans="1:20" s="2" customFormat="1">
      <c r="A610" s="529"/>
      <c r="B610" s="165" t="s">
        <v>223</v>
      </c>
      <c r="C610" s="77" t="str">
        <f>C602</f>
        <v>M3</v>
      </c>
      <c r="D610" s="393">
        <f>D602</f>
        <v>4.0000000000000008E-2</v>
      </c>
      <c r="E610" s="390">
        <f>E602</f>
        <v>34994</v>
      </c>
      <c r="F610" s="395">
        <f t="shared" si="21"/>
        <v>1399.7600000000002</v>
      </c>
      <c r="J610" s="244"/>
      <c r="K610" s="244"/>
      <c r="L610" s="244"/>
      <c r="M610" s="3"/>
      <c r="N610" s="3"/>
      <c r="O610" s="64"/>
      <c r="P610" s="64"/>
      <c r="Q610" s="64"/>
      <c r="R610" s="64"/>
      <c r="S610" s="3"/>
      <c r="T610" s="3"/>
    </row>
    <row r="611" spans="1:20" s="2" customFormat="1">
      <c r="A611" s="529"/>
      <c r="B611" s="165" t="s">
        <v>11</v>
      </c>
      <c r="C611" s="77" t="s">
        <v>284</v>
      </c>
      <c r="D611" s="393">
        <v>0.03</v>
      </c>
      <c r="E611" s="390">
        <f>F612</f>
        <v>13067.148997356166</v>
      </c>
      <c r="F611" s="395">
        <f t="shared" si="21"/>
        <v>392.01446992068497</v>
      </c>
      <c r="J611" s="244"/>
      <c r="K611" s="244"/>
      <c r="L611" s="244"/>
      <c r="M611" s="3"/>
      <c r="N611" s="3"/>
      <c r="O611" s="64"/>
      <c r="P611" s="64"/>
      <c r="Q611" s="64"/>
      <c r="R611" s="64"/>
      <c r="S611" s="3"/>
      <c r="T611" s="3"/>
    </row>
    <row r="612" spans="1:20" s="2" customFormat="1">
      <c r="A612" s="529"/>
      <c r="B612" s="165" t="s">
        <v>9</v>
      </c>
      <c r="C612" s="77" t="s">
        <v>10</v>
      </c>
      <c r="D612" s="393">
        <v>0.5</v>
      </c>
      <c r="E612" s="390">
        <f>'VALOR CUADRILLAS MO'!D75</f>
        <v>26134.297994712331</v>
      </c>
      <c r="F612" s="395">
        <f t="shared" si="21"/>
        <v>13067.148997356166</v>
      </c>
      <c r="J612" s="244"/>
      <c r="K612" s="244"/>
      <c r="L612" s="244"/>
      <c r="M612" s="3"/>
      <c r="N612" s="3"/>
      <c r="O612" s="64"/>
      <c r="P612" s="64"/>
      <c r="Q612" s="64"/>
      <c r="R612" s="64"/>
      <c r="S612" s="3"/>
      <c r="T612" s="3"/>
    </row>
    <row r="613" spans="1:20" s="2" customFormat="1">
      <c r="A613" s="529"/>
      <c r="B613" s="165"/>
      <c r="C613" s="77"/>
      <c r="D613" s="78"/>
      <c r="E613" s="79"/>
      <c r="F613" s="79"/>
      <c r="J613" s="244"/>
      <c r="K613" s="244"/>
      <c r="L613" s="244"/>
      <c r="M613" s="3"/>
      <c r="N613" s="3"/>
      <c r="O613" s="64"/>
      <c r="P613" s="64"/>
      <c r="Q613" s="64"/>
      <c r="R613" s="64"/>
      <c r="S613" s="3"/>
      <c r="T613" s="3"/>
    </row>
    <row r="614" spans="1:20" s="2" customFormat="1" ht="48.6" customHeight="1">
      <c r="A614" s="246">
        <f>A606+1</f>
        <v>78</v>
      </c>
      <c r="B614" s="83" t="s">
        <v>2683</v>
      </c>
      <c r="C614" s="76" t="s">
        <v>21</v>
      </c>
      <c r="D614" s="73"/>
      <c r="E614" s="467"/>
      <c r="F614" s="468" t="e">
        <f>ROUND(SUM(F615:F620),0)</f>
        <v>#REF!</v>
      </c>
      <c r="J614" s="244"/>
      <c r="K614" s="244"/>
      <c r="L614" s="244"/>
      <c r="M614" s="3"/>
      <c r="N614" s="3"/>
      <c r="O614" s="64"/>
      <c r="P614" s="64"/>
      <c r="Q614" s="64"/>
      <c r="R614" s="64"/>
      <c r="S614" s="3"/>
      <c r="T614" s="3"/>
    </row>
    <row r="615" spans="1:20" s="2" customFormat="1" ht="34.9" customHeight="1">
      <c r="A615" s="529"/>
      <c r="B615" s="165" t="s">
        <v>3121</v>
      </c>
      <c r="C615" s="77" t="s">
        <v>26</v>
      </c>
      <c r="D615" s="393">
        <v>1.2</v>
      </c>
      <c r="E615" s="394" t="e">
        <f>INSUMOS!#REF!</f>
        <v>#REF!</v>
      </c>
      <c r="F615" s="395" t="e">
        <f t="shared" ref="F615:F620" si="22">D615*E615</f>
        <v>#REF!</v>
      </c>
      <c r="J615" s="244"/>
      <c r="K615" s="244"/>
      <c r="L615" s="244"/>
      <c r="M615" s="3"/>
      <c r="N615" s="3"/>
      <c r="O615" s="64"/>
      <c r="P615" s="64"/>
      <c r="Q615" s="64"/>
      <c r="R615" s="64"/>
      <c r="S615" s="3"/>
      <c r="T615" s="3"/>
    </row>
    <row r="616" spans="1:20" s="2" customFormat="1">
      <c r="A616" s="529"/>
      <c r="B616" s="165" t="s">
        <v>47</v>
      </c>
      <c r="C616" s="77" t="s">
        <v>121</v>
      </c>
      <c r="D616" s="393">
        <v>0.01</v>
      </c>
      <c r="E616" s="390">
        <f>BASICOS!E80</f>
        <v>318331</v>
      </c>
      <c r="F616" s="395">
        <f t="shared" si="22"/>
        <v>3183.31</v>
      </c>
      <c r="J616" s="244"/>
      <c r="K616" s="244"/>
      <c r="L616" s="244"/>
      <c r="M616" s="3"/>
      <c r="N616" s="3"/>
      <c r="O616" s="64"/>
      <c r="P616" s="64"/>
      <c r="Q616" s="64"/>
      <c r="R616" s="64"/>
      <c r="S616" s="3"/>
      <c r="T616" s="3"/>
    </row>
    <row r="617" spans="1:20" s="2" customFormat="1">
      <c r="A617" s="529"/>
      <c r="B617" s="165" t="s">
        <v>229</v>
      </c>
      <c r="C617" s="77" t="s">
        <v>68</v>
      </c>
      <c r="D617" s="393">
        <v>0.05</v>
      </c>
      <c r="E617" s="390" t="e">
        <f>SUM(F615:F616)</f>
        <v>#REF!</v>
      </c>
      <c r="F617" s="395" t="e">
        <f t="shared" si="22"/>
        <v>#REF!</v>
      </c>
      <c r="J617" s="244"/>
      <c r="K617" s="244"/>
      <c r="L617" s="244"/>
      <c r="M617" s="3"/>
      <c r="N617" s="3"/>
      <c r="O617" s="64"/>
      <c r="P617" s="64"/>
      <c r="Q617" s="64"/>
      <c r="R617" s="64"/>
      <c r="S617" s="3"/>
      <c r="T617" s="3"/>
    </row>
    <row r="618" spans="1:20" s="2" customFormat="1">
      <c r="A618" s="529"/>
      <c r="B618" s="165" t="s">
        <v>223</v>
      </c>
      <c r="C618" s="77" t="str">
        <f>C610</f>
        <v>M3</v>
      </c>
      <c r="D618" s="393">
        <f>D610</f>
        <v>4.0000000000000008E-2</v>
      </c>
      <c r="E618" s="390">
        <f>E610</f>
        <v>34994</v>
      </c>
      <c r="F618" s="395">
        <f t="shared" si="22"/>
        <v>1399.7600000000002</v>
      </c>
      <c r="J618" s="244"/>
      <c r="K618" s="244"/>
      <c r="L618" s="244"/>
      <c r="M618" s="3"/>
      <c r="N618" s="3"/>
      <c r="O618" s="64"/>
      <c r="P618" s="64"/>
      <c r="Q618" s="64"/>
      <c r="R618" s="64"/>
      <c r="S618" s="3"/>
      <c r="T618" s="3"/>
    </row>
    <row r="619" spans="1:20" s="2" customFormat="1">
      <c r="A619" s="529"/>
      <c r="B619" s="165" t="s">
        <v>11</v>
      </c>
      <c r="C619" s="77" t="s">
        <v>284</v>
      </c>
      <c r="D619" s="393">
        <v>0.03</v>
      </c>
      <c r="E619" s="390">
        <f>F620</f>
        <v>13067.148997356166</v>
      </c>
      <c r="F619" s="395">
        <f t="shared" si="22"/>
        <v>392.01446992068497</v>
      </c>
      <c r="J619" s="244"/>
      <c r="K619" s="244"/>
      <c r="L619" s="244"/>
      <c r="M619" s="3"/>
      <c r="N619" s="3"/>
      <c r="O619" s="64"/>
      <c r="P619" s="64"/>
      <c r="Q619" s="64"/>
      <c r="R619" s="64"/>
      <c r="S619" s="3"/>
      <c r="T619" s="3"/>
    </row>
    <row r="620" spans="1:20" s="2" customFormat="1">
      <c r="A620" s="529"/>
      <c r="B620" s="165" t="s">
        <v>9</v>
      </c>
      <c r="C620" s="77" t="s">
        <v>10</v>
      </c>
      <c r="D620" s="393">
        <v>0.5</v>
      </c>
      <c r="E620" s="390">
        <f>'VALOR CUADRILLAS MO'!D75</f>
        <v>26134.297994712331</v>
      </c>
      <c r="F620" s="395">
        <f t="shared" si="22"/>
        <v>13067.148997356166</v>
      </c>
      <c r="J620" s="244"/>
      <c r="K620" s="244"/>
      <c r="L620" s="244"/>
      <c r="M620" s="3"/>
      <c r="N620" s="3"/>
      <c r="O620" s="64"/>
      <c r="P620" s="64"/>
      <c r="Q620" s="64"/>
      <c r="R620" s="64"/>
      <c r="S620" s="3"/>
      <c r="T620" s="3"/>
    </row>
    <row r="621" spans="1:20" s="2" customFormat="1">
      <c r="A621" s="529"/>
      <c r="B621" s="165"/>
      <c r="C621" s="77"/>
      <c r="D621" s="78"/>
      <c r="E621" s="79"/>
      <c r="F621" s="79"/>
      <c r="J621" s="244"/>
      <c r="K621" s="244"/>
      <c r="L621" s="244"/>
      <c r="M621" s="3"/>
      <c r="N621" s="3"/>
      <c r="O621" s="64"/>
      <c r="P621" s="64"/>
      <c r="Q621" s="64"/>
      <c r="R621" s="64"/>
      <c r="S621" s="3"/>
      <c r="T621" s="3"/>
    </row>
    <row r="622" spans="1:20" s="2" customFormat="1" ht="48.6" customHeight="1">
      <c r="A622" s="246">
        <f>A614+1</f>
        <v>79</v>
      </c>
      <c r="B622" s="83" t="s">
        <v>2684</v>
      </c>
      <c r="C622" s="76" t="s">
        <v>21</v>
      </c>
      <c r="D622" s="73"/>
      <c r="E622" s="467"/>
      <c r="F622" s="468" t="e">
        <f>ROUND(SUM(F623:F628),0)</f>
        <v>#REF!</v>
      </c>
      <c r="J622" s="244"/>
      <c r="K622" s="244"/>
      <c r="L622" s="244"/>
      <c r="M622" s="3"/>
      <c r="N622" s="3"/>
      <c r="O622" s="64"/>
      <c r="P622" s="64"/>
      <c r="Q622" s="64"/>
      <c r="R622" s="64"/>
      <c r="S622" s="3"/>
      <c r="T622" s="3"/>
    </row>
    <row r="623" spans="1:20" s="2" customFormat="1" ht="38.25">
      <c r="A623" s="529"/>
      <c r="B623" s="165" t="s">
        <v>2685</v>
      </c>
      <c r="C623" s="77" t="s">
        <v>26</v>
      </c>
      <c r="D623" s="368">
        <v>1.2</v>
      </c>
      <c r="E623" s="394" t="e">
        <f>INSUMOS!#REF!</f>
        <v>#REF!</v>
      </c>
      <c r="F623" s="395" t="e">
        <f t="shared" ref="F623:F628" si="23">D623*E623</f>
        <v>#REF!</v>
      </c>
      <c r="J623" s="244"/>
      <c r="K623" s="244"/>
      <c r="L623" s="244"/>
      <c r="M623" s="3"/>
      <c r="N623" s="3"/>
      <c r="O623" s="64"/>
      <c r="P623" s="64"/>
      <c r="Q623" s="64"/>
      <c r="R623" s="64"/>
      <c r="S623" s="3"/>
      <c r="T623" s="3"/>
    </row>
    <row r="624" spans="1:20" s="2" customFormat="1">
      <c r="A624" s="529"/>
      <c r="B624" s="165" t="s">
        <v>47</v>
      </c>
      <c r="C624" s="77" t="s">
        <v>121</v>
      </c>
      <c r="D624" s="367">
        <v>0.01</v>
      </c>
      <c r="E624" s="390">
        <f>BASICOS!E80</f>
        <v>318331</v>
      </c>
      <c r="F624" s="395">
        <f t="shared" si="23"/>
        <v>3183.31</v>
      </c>
      <c r="J624" s="244"/>
      <c r="K624" s="244"/>
      <c r="L624" s="244"/>
      <c r="M624" s="3"/>
      <c r="N624" s="3"/>
      <c r="O624" s="64"/>
      <c r="P624" s="64"/>
      <c r="Q624" s="64"/>
      <c r="R624" s="64"/>
      <c r="S624" s="3"/>
      <c r="T624" s="3"/>
    </row>
    <row r="625" spans="1:20" s="2" customFormat="1">
      <c r="A625" s="529"/>
      <c r="B625" s="165" t="s">
        <v>229</v>
      </c>
      <c r="C625" s="77" t="s">
        <v>68</v>
      </c>
      <c r="D625" s="368">
        <v>0.05</v>
      </c>
      <c r="E625" s="390" t="e">
        <f>SUM(F623:F624)</f>
        <v>#REF!</v>
      </c>
      <c r="F625" s="395" t="e">
        <f t="shared" si="23"/>
        <v>#REF!</v>
      </c>
      <c r="J625" s="244"/>
      <c r="K625" s="244"/>
      <c r="L625" s="244"/>
      <c r="M625" s="3"/>
      <c r="N625" s="3"/>
      <c r="O625" s="64"/>
      <c r="P625" s="64"/>
      <c r="Q625" s="64"/>
      <c r="R625" s="64"/>
      <c r="S625" s="3"/>
      <c r="T625" s="3"/>
    </row>
    <row r="626" spans="1:20" s="2" customFormat="1">
      <c r="A626" s="529"/>
      <c r="B626" s="165" t="s">
        <v>223</v>
      </c>
      <c r="C626" s="77" t="str">
        <f>C618</f>
        <v>M3</v>
      </c>
      <c r="D626" s="368">
        <f>D618</f>
        <v>4.0000000000000008E-2</v>
      </c>
      <c r="E626" s="390">
        <f>E618</f>
        <v>34994</v>
      </c>
      <c r="F626" s="395">
        <f t="shared" si="23"/>
        <v>1399.7600000000002</v>
      </c>
      <c r="J626" s="244"/>
      <c r="K626" s="244"/>
      <c r="L626" s="244"/>
      <c r="M626" s="3"/>
      <c r="N626" s="3"/>
      <c r="O626" s="64"/>
      <c r="P626" s="64"/>
      <c r="Q626" s="64"/>
      <c r="R626" s="64"/>
      <c r="S626" s="3"/>
      <c r="T626" s="3"/>
    </row>
    <row r="627" spans="1:20" s="2" customFormat="1">
      <c r="A627" s="529"/>
      <c r="B627" s="165" t="s">
        <v>11</v>
      </c>
      <c r="C627" s="77" t="s">
        <v>284</v>
      </c>
      <c r="D627" s="368">
        <v>0.03</v>
      </c>
      <c r="E627" s="390">
        <f>F628</f>
        <v>13067.148997356166</v>
      </c>
      <c r="F627" s="395">
        <f t="shared" si="23"/>
        <v>392.01446992068497</v>
      </c>
      <c r="J627" s="244"/>
      <c r="K627" s="244"/>
      <c r="L627" s="244"/>
      <c r="M627" s="3"/>
      <c r="N627" s="3"/>
      <c r="O627" s="64"/>
      <c r="P627" s="64"/>
      <c r="Q627" s="64"/>
      <c r="R627" s="64"/>
      <c r="S627" s="3"/>
      <c r="T627" s="3"/>
    </row>
    <row r="628" spans="1:20" s="2" customFormat="1">
      <c r="A628" s="529"/>
      <c r="B628" s="165" t="s">
        <v>9</v>
      </c>
      <c r="C628" s="77" t="s">
        <v>10</v>
      </c>
      <c r="D628" s="368">
        <v>0.5</v>
      </c>
      <c r="E628" s="390">
        <f>'VALOR CUADRILLAS MO'!D75</f>
        <v>26134.297994712331</v>
      </c>
      <c r="F628" s="395">
        <f t="shared" si="23"/>
        <v>13067.148997356166</v>
      </c>
      <c r="J628" s="244"/>
      <c r="K628" s="244"/>
      <c r="L628" s="244"/>
      <c r="M628" s="3"/>
      <c r="N628" s="3"/>
      <c r="O628" s="64"/>
      <c r="P628" s="64"/>
      <c r="Q628" s="64"/>
      <c r="R628" s="64"/>
      <c r="S628" s="3"/>
      <c r="T628" s="3"/>
    </row>
    <row r="629" spans="1:20" s="2" customFormat="1">
      <c r="A629" s="529"/>
      <c r="B629" s="165"/>
      <c r="C629" s="77"/>
      <c r="D629" s="78"/>
      <c r="E629" s="79"/>
      <c r="F629" s="79"/>
      <c r="J629" s="244"/>
      <c r="K629" s="244"/>
      <c r="L629" s="244"/>
      <c r="M629" s="3"/>
      <c r="N629" s="3"/>
      <c r="O629" s="64"/>
      <c r="P629" s="64"/>
      <c r="Q629" s="64"/>
      <c r="R629" s="64"/>
      <c r="S629" s="3"/>
      <c r="T629" s="3"/>
    </row>
    <row r="630" spans="1:20" s="2" customFormat="1" ht="38.25">
      <c r="A630" s="246">
        <f>A622+1</f>
        <v>80</v>
      </c>
      <c r="B630" s="83" t="s">
        <v>2686</v>
      </c>
      <c r="C630" s="76" t="s">
        <v>21</v>
      </c>
      <c r="D630" s="73"/>
      <c r="E630" s="467"/>
      <c r="F630" s="468" t="e">
        <f>ROUND(SUM(F631:F636),0)</f>
        <v>#REF!</v>
      </c>
      <c r="J630" s="244"/>
      <c r="K630" s="244"/>
      <c r="L630" s="244"/>
      <c r="M630" s="3"/>
      <c r="N630" s="3"/>
      <c r="O630" s="64"/>
      <c r="P630" s="64"/>
      <c r="Q630" s="64"/>
      <c r="R630" s="64"/>
      <c r="S630" s="3"/>
      <c r="T630" s="3"/>
    </row>
    <row r="631" spans="1:20" s="2" customFormat="1" ht="25.5">
      <c r="A631" s="529"/>
      <c r="B631" s="165" t="s">
        <v>2687</v>
      </c>
      <c r="C631" s="77" t="s">
        <v>26</v>
      </c>
      <c r="D631" s="368">
        <v>1.2</v>
      </c>
      <c r="E631" s="394" t="e">
        <f>INSUMOS!#REF!</f>
        <v>#REF!</v>
      </c>
      <c r="F631" s="395" t="e">
        <f t="shared" ref="F631:F636" si="24">D631*E631</f>
        <v>#REF!</v>
      </c>
      <c r="J631" s="244"/>
      <c r="K631" s="244"/>
      <c r="L631" s="244"/>
      <c r="M631" s="3"/>
      <c r="N631" s="3"/>
      <c r="O631" s="64"/>
      <c r="P631" s="64"/>
      <c r="Q631" s="64"/>
      <c r="R631" s="64"/>
      <c r="S631" s="3"/>
      <c r="T631" s="3"/>
    </row>
    <row r="632" spans="1:20" s="2" customFormat="1">
      <c r="A632" s="529"/>
      <c r="B632" s="165" t="s">
        <v>47</v>
      </c>
      <c r="C632" s="77" t="s">
        <v>121</v>
      </c>
      <c r="D632" s="367">
        <v>0.01</v>
      </c>
      <c r="E632" s="390">
        <f>BASICOS!E80</f>
        <v>318331</v>
      </c>
      <c r="F632" s="395">
        <f t="shared" si="24"/>
        <v>3183.31</v>
      </c>
      <c r="J632" s="244"/>
      <c r="K632" s="244"/>
      <c r="L632" s="244"/>
      <c r="M632" s="3"/>
      <c r="N632" s="3"/>
      <c r="O632" s="64"/>
      <c r="P632" s="64"/>
      <c r="Q632" s="64"/>
      <c r="R632" s="64"/>
      <c r="S632" s="3"/>
      <c r="T632" s="3"/>
    </row>
    <row r="633" spans="1:20" s="2" customFormat="1">
      <c r="A633" s="529"/>
      <c r="B633" s="165" t="s">
        <v>229</v>
      </c>
      <c r="C633" s="77" t="s">
        <v>68</v>
      </c>
      <c r="D633" s="368">
        <v>0.05</v>
      </c>
      <c r="E633" s="390" t="e">
        <f>SUM(F631:F632)</f>
        <v>#REF!</v>
      </c>
      <c r="F633" s="395" t="e">
        <f t="shared" si="24"/>
        <v>#REF!</v>
      </c>
      <c r="J633" s="244"/>
      <c r="K633" s="244"/>
      <c r="L633" s="244"/>
      <c r="M633" s="3"/>
      <c r="N633" s="3"/>
      <c r="O633" s="64"/>
      <c r="P633" s="64"/>
      <c r="Q633" s="64"/>
      <c r="R633" s="64"/>
      <c r="S633" s="3"/>
      <c r="T633" s="3"/>
    </row>
    <row r="634" spans="1:20" s="2" customFormat="1">
      <c r="A634" s="529"/>
      <c r="B634" s="165" t="s">
        <v>223</v>
      </c>
      <c r="C634" s="77" t="str">
        <f>C626</f>
        <v>M3</v>
      </c>
      <c r="D634" s="368">
        <f>D626</f>
        <v>4.0000000000000008E-2</v>
      </c>
      <c r="E634" s="390">
        <f>E626</f>
        <v>34994</v>
      </c>
      <c r="F634" s="395">
        <f t="shared" si="24"/>
        <v>1399.7600000000002</v>
      </c>
      <c r="J634" s="244"/>
      <c r="K634" s="244"/>
      <c r="L634" s="244"/>
      <c r="M634" s="3"/>
      <c r="N634" s="3"/>
      <c r="O634" s="64"/>
      <c r="P634" s="64"/>
      <c r="Q634" s="64"/>
      <c r="R634" s="64"/>
      <c r="S634" s="3"/>
      <c r="T634" s="3"/>
    </row>
    <row r="635" spans="1:20" s="2" customFormat="1">
      <c r="A635" s="529"/>
      <c r="B635" s="165" t="s">
        <v>11</v>
      </c>
      <c r="C635" s="77" t="s">
        <v>284</v>
      </c>
      <c r="D635" s="368">
        <v>0.03</v>
      </c>
      <c r="E635" s="390">
        <f>F636</f>
        <v>13067.148997356166</v>
      </c>
      <c r="F635" s="395">
        <f t="shared" si="24"/>
        <v>392.01446992068497</v>
      </c>
      <c r="J635" s="244"/>
      <c r="K635" s="244"/>
      <c r="L635" s="244"/>
      <c r="M635" s="3"/>
      <c r="N635" s="3"/>
      <c r="O635" s="64"/>
      <c r="P635" s="64"/>
      <c r="Q635" s="64"/>
      <c r="R635" s="64"/>
      <c r="S635" s="3"/>
      <c r="T635" s="3"/>
    </row>
    <row r="636" spans="1:20" s="2" customFormat="1">
      <c r="A636" s="529"/>
      <c r="B636" s="165" t="s">
        <v>9</v>
      </c>
      <c r="C636" s="77" t="s">
        <v>10</v>
      </c>
      <c r="D636" s="368">
        <v>0.5</v>
      </c>
      <c r="E636" s="390">
        <f>'VALOR CUADRILLAS MO'!D75</f>
        <v>26134.297994712331</v>
      </c>
      <c r="F636" s="395">
        <f t="shared" si="24"/>
        <v>13067.148997356166</v>
      </c>
      <c r="J636" s="244"/>
      <c r="K636" s="244"/>
      <c r="L636" s="244"/>
      <c r="M636" s="3"/>
      <c r="N636" s="3"/>
      <c r="O636" s="64"/>
      <c r="P636" s="64"/>
      <c r="Q636" s="64"/>
      <c r="R636" s="64"/>
      <c r="S636" s="3"/>
      <c r="T636" s="3"/>
    </row>
    <row r="637" spans="1:20" s="2" customFormat="1">
      <c r="A637" s="529"/>
      <c r="B637" s="165"/>
      <c r="C637" s="77"/>
      <c r="D637" s="78"/>
      <c r="E637" s="79"/>
      <c r="F637" s="79"/>
      <c r="J637" s="244"/>
      <c r="K637" s="244"/>
      <c r="L637" s="244"/>
      <c r="M637" s="3"/>
      <c r="N637" s="3"/>
      <c r="O637" s="64"/>
      <c r="P637" s="64"/>
      <c r="Q637" s="64"/>
      <c r="R637" s="64"/>
      <c r="S637" s="3"/>
      <c r="T637" s="3"/>
    </row>
    <row r="638" spans="1:20" s="2" customFormat="1" ht="49.15" customHeight="1">
      <c r="A638" s="246">
        <f>A630+1</f>
        <v>81</v>
      </c>
      <c r="B638" s="83" t="s">
        <v>2688</v>
      </c>
      <c r="C638" s="76" t="s">
        <v>21</v>
      </c>
      <c r="D638" s="73"/>
      <c r="E638" s="467"/>
      <c r="F638" s="468" t="e">
        <f>ROUND(SUM(F639:F644),0)</f>
        <v>#REF!</v>
      </c>
      <c r="J638" s="244"/>
      <c r="K638" s="244"/>
      <c r="L638" s="244"/>
      <c r="M638" s="3"/>
      <c r="N638" s="3"/>
      <c r="O638" s="64"/>
      <c r="P638" s="64"/>
      <c r="Q638" s="64"/>
      <c r="R638" s="64"/>
      <c r="S638" s="3"/>
      <c r="T638" s="3"/>
    </row>
    <row r="639" spans="1:20" s="2" customFormat="1" ht="25.5">
      <c r="A639" s="529"/>
      <c r="B639" s="165" t="s">
        <v>2689</v>
      </c>
      <c r="C639" s="77" t="s">
        <v>26</v>
      </c>
      <c r="D639" s="368">
        <v>1.2</v>
      </c>
      <c r="E639" s="394" t="e">
        <f>INSUMOS!#REF!</f>
        <v>#REF!</v>
      </c>
      <c r="F639" s="395" t="e">
        <f t="shared" ref="F639:F644" si="25">D639*E639</f>
        <v>#REF!</v>
      </c>
      <c r="J639" s="244"/>
      <c r="K639" s="244"/>
      <c r="L639" s="244"/>
      <c r="M639" s="3"/>
      <c r="N639" s="3"/>
      <c r="O639" s="64"/>
      <c r="P639" s="64"/>
      <c r="Q639" s="64"/>
      <c r="R639" s="64"/>
      <c r="S639" s="3"/>
      <c r="T639" s="3"/>
    </row>
    <row r="640" spans="1:20" s="2" customFormat="1">
      <c r="A640" s="529"/>
      <c r="B640" s="165" t="s">
        <v>47</v>
      </c>
      <c r="C640" s="77" t="s">
        <v>121</v>
      </c>
      <c r="D640" s="367">
        <v>0.01</v>
      </c>
      <c r="E640" s="390">
        <f>BASICOS!E80</f>
        <v>318331</v>
      </c>
      <c r="F640" s="395">
        <f t="shared" si="25"/>
        <v>3183.31</v>
      </c>
      <c r="J640" s="244"/>
      <c r="K640" s="244"/>
      <c r="L640" s="244"/>
      <c r="M640" s="3"/>
      <c r="N640" s="3"/>
      <c r="O640" s="64"/>
      <c r="P640" s="64"/>
      <c r="Q640" s="64"/>
      <c r="R640" s="64"/>
      <c r="S640" s="3"/>
      <c r="T640" s="3"/>
    </row>
    <row r="641" spans="1:20" s="2" customFormat="1">
      <c r="A641" s="529"/>
      <c r="B641" s="165" t="s">
        <v>229</v>
      </c>
      <c r="C641" s="77" t="s">
        <v>68</v>
      </c>
      <c r="D641" s="368">
        <v>0.05</v>
      </c>
      <c r="E641" s="390" t="e">
        <f>SUM(F639:F640)</f>
        <v>#REF!</v>
      </c>
      <c r="F641" s="395" t="e">
        <f t="shared" si="25"/>
        <v>#REF!</v>
      </c>
      <c r="J641" s="244"/>
      <c r="K641" s="244"/>
      <c r="L641" s="244"/>
      <c r="M641" s="3"/>
      <c r="N641" s="3"/>
      <c r="O641" s="64"/>
      <c r="P641" s="64"/>
      <c r="Q641" s="64"/>
      <c r="R641" s="64"/>
      <c r="S641" s="3"/>
      <c r="T641" s="3"/>
    </row>
    <row r="642" spans="1:20" s="2" customFormat="1">
      <c r="A642" s="529"/>
      <c r="B642" s="165" t="s">
        <v>223</v>
      </c>
      <c r="C642" s="77" t="str">
        <f>C634</f>
        <v>M3</v>
      </c>
      <c r="D642" s="368">
        <f>D634</f>
        <v>4.0000000000000008E-2</v>
      </c>
      <c r="E642" s="390">
        <f>E634</f>
        <v>34994</v>
      </c>
      <c r="F642" s="395">
        <f t="shared" si="25"/>
        <v>1399.7600000000002</v>
      </c>
      <c r="J642" s="244"/>
      <c r="K642" s="244"/>
      <c r="L642" s="244"/>
      <c r="M642" s="3"/>
      <c r="N642" s="3"/>
      <c r="O642" s="64"/>
      <c r="P642" s="64"/>
      <c r="Q642" s="64"/>
      <c r="R642" s="64"/>
      <c r="S642" s="3"/>
      <c r="T642" s="3"/>
    </row>
    <row r="643" spans="1:20" s="2" customFormat="1">
      <c r="A643" s="529"/>
      <c r="B643" s="165" t="s">
        <v>11</v>
      </c>
      <c r="C643" s="77" t="s">
        <v>284</v>
      </c>
      <c r="D643" s="368">
        <v>0.03</v>
      </c>
      <c r="E643" s="390">
        <f>F644</f>
        <v>13067.148997356166</v>
      </c>
      <c r="F643" s="395">
        <f t="shared" si="25"/>
        <v>392.01446992068497</v>
      </c>
      <c r="J643" s="244"/>
      <c r="K643" s="244"/>
      <c r="L643" s="244"/>
      <c r="M643" s="3"/>
      <c r="N643" s="3"/>
      <c r="O643" s="64"/>
      <c r="P643" s="64"/>
      <c r="Q643" s="64"/>
      <c r="R643" s="64"/>
      <c r="S643" s="3"/>
      <c r="T643" s="3"/>
    </row>
    <row r="644" spans="1:20" s="2" customFormat="1">
      <c r="A644" s="529"/>
      <c r="B644" s="165" t="s">
        <v>9</v>
      </c>
      <c r="C644" s="77" t="s">
        <v>10</v>
      </c>
      <c r="D644" s="368">
        <v>0.5</v>
      </c>
      <c r="E644" s="390">
        <f>'VALOR CUADRILLAS MO'!D75</f>
        <v>26134.297994712331</v>
      </c>
      <c r="F644" s="395">
        <f t="shared" si="25"/>
        <v>13067.148997356166</v>
      </c>
      <c r="J644" s="244"/>
      <c r="K644" s="244"/>
      <c r="L644" s="244"/>
      <c r="M644" s="3"/>
      <c r="N644" s="3"/>
      <c r="O644" s="64"/>
      <c r="P644" s="64"/>
      <c r="Q644" s="64"/>
      <c r="R644" s="64"/>
      <c r="S644" s="3"/>
      <c r="T644" s="3"/>
    </row>
    <row r="645" spans="1:20" s="2" customFormat="1">
      <c r="A645" s="529"/>
      <c r="B645" s="165"/>
      <c r="C645" s="77"/>
      <c r="D645" s="78"/>
      <c r="E645" s="79"/>
      <c r="F645" s="79"/>
      <c r="J645" s="244"/>
      <c r="K645" s="244"/>
      <c r="L645" s="244"/>
      <c r="M645" s="3"/>
      <c r="N645" s="3"/>
      <c r="O645" s="64"/>
      <c r="P645" s="64"/>
      <c r="Q645" s="64"/>
      <c r="R645" s="64"/>
      <c r="S645" s="3"/>
      <c r="T645" s="3"/>
    </row>
    <row r="646" spans="1:20" s="2" customFormat="1" ht="51" customHeight="1">
      <c r="A646" s="246">
        <f>A638+1</f>
        <v>82</v>
      </c>
      <c r="B646" s="83" t="s">
        <v>2690</v>
      </c>
      <c r="C646" s="76" t="s">
        <v>21</v>
      </c>
      <c r="D646" s="73"/>
      <c r="E646" s="467"/>
      <c r="F646" s="468" t="e">
        <f>ROUND(SUM(F647:F652),0)</f>
        <v>#REF!</v>
      </c>
      <c r="J646" s="244"/>
      <c r="K646" s="244"/>
      <c r="L646" s="244"/>
      <c r="M646" s="3"/>
      <c r="N646" s="3"/>
      <c r="O646" s="64"/>
      <c r="P646" s="64"/>
      <c r="Q646" s="64"/>
      <c r="R646" s="64"/>
      <c r="S646" s="3"/>
      <c r="T646" s="3"/>
    </row>
    <row r="647" spans="1:20" s="2" customFormat="1" ht="25.5">
      <c r="A647" s="529"/>
      <c r="B647" s="165" t="s">
        <v>2691</v>
      </c>
      <c r="C647" s="77" t="s">
        <v>26</v>
      </c>
      <c r="D647" s="368">
        <v>1.2</v>
      </c>
      <c r="E647" s="394" t="e">
        <f>INSUMOS!#REF!</f>
        <v>#REF!</v>
      </c>
      <c r="F647" s="395" t="e">
        <f t="shared" ref="F647:F652" si="26">D647*E647</f>
        <v>#REF!</v>
      </c>
      <c r="J647" s="244"/>
      <c r="K647" s="244"/>
      <c r="L647" s="244"/>
      <c r="M647" s="3"/>
      <c r="N647" s="3"/>
      <c r="O647" s="64"/>
      <c r="P647" s="64"/>
      <c r="Q647" s="64"/>
      <c r="R647" s="64"/>
      <c r="S647" s="3"/>
      <c r="T647" s="3"/>
    </row>
    <row r="648" spans="1:20" s="2" customFormat="1">
      <c r="A648" s="529"/>
      <c r="B648" s="165" t="s">
        <v>47</v>
      </c>
      <c r="C648" s="77" t="s">
        <v>121</v>
      </c>
      <c r="D648" s="367">
        <v>0.01</v>
      </c>
      <c r="E648" s="390">
        <f>BASICOS!E80</f>
        <v>318331</v>
      </c>
      <c r="F648" s="395">
        <f t="shared" si="26"/>
        <v>3183.31</v>
      </c>
      <c r="J648" s="244"/>
      <c r="K648" s="244"/>
      <c r="L648" s="244"/>
      <c r="M648" s="3"/>
      <c r="N648" s="3"/>
      <c r="O648" s="64"/>
      <c r="P648" s="64"/>
      <c r="Q648" s="64"/>
      <c r="R648" s="64"/>
      <c r="S648" s="3"/>
      <c r="T648" s="3"/>
    </row>
    <row r="649" spans="1:20" s="2" customFormat="1">
      <c r="A649" s="529"/>
      <c r="B649" s="165" t="s">
        <v>229</v>
      </c>
      <c r="C649" s="77" t="s">
        <v>68</v>
      </c>
      <c r="D649" s="368">
        <v>0.05</v>
      </c>
      <c r="E649" s="390" t="e">
        <f>SUM(F647:F648)</f>
        <v>#REF!</v>
      </c>
      <c r="F649" s="395" t="e">
        <f t="shared" si="26"/>
        <v>#REF!</v>
      </c>
      <c r="J649" s="244"/>
      <c r="K649" s="244"/>
      <c r="L649" s="244"/>
      <c r="M649" s="3"/>
      <c r="N649" s="3"/>
      <c r="O649" s="64"/>
      <c r="P649" s="64"/>
      <c r="Q649" s="64"/>
      <c r="R649" s="64"/>
      <c r="S649" s="3"/>
      <c r="T649" s="3"/>
    </row>
    <row r="650" spans="1:20" s="2" customFormat="1">
      <c r="A650" s="529"/>
      <c r="B650" s="165" t="s">
        <v>223</v>
      </c>
      <c r="C650" s="77" t="str">
        <f>C634</f>
        <v>M3</v>
      </c>
      <c r="D650" s="368">
        <f>D634</f>
        <v>4.0000000000000008E-2</v>
      </c>
      <c r="E650" s="390">
        <f>E634</f>
        <v>34994</v>
      </c>
      <c r="F650" s="395">
        <f t="shared" si="26"/>
        <v>1399.7600000000002</v>
      </c>
      <c r="J650" s="244"/>
      <c r="K650" s="244"/>
      <c r="L650" s="244"/>
      <c r="M650" s="3"/>
      <c r="N650" s="3"/>
      <c r="O650" s="64"/>
      <c r="P650" s="64"/>
      <c r="Q650" s="64"/>
      <c r="R650" s="64"/>
      <c r="S650" s="3"/>
      <c r="T650" s="3"/>
    </row>
    <row r="651" spans="1:20" s="2" customFormat="1">
      <c r="A651" s="529"/>
      <c r="B651" s="165" t="s">
        <v>11</v>
      </c>
      <c r="C651" s="77" t="s">
        <v>284</v>
      </c>
      <c r="D651" s="368">
        <v>0.03</v>
      </c>
      <c r="E651" s="390">
        <f>F652</f>
        <v>13067.148997356166</v>
      </c>
      <c r="F651" s="395">
        <f t="shared" si="26"/>
        <v>392.01446992068497</v>
      </c>
      <c r="J651" s="244"/>
      <c r="K651" s="244"/>
      <c r="L651" s="244"/>
      <c r="M651" s="3"/>
      <c r="N651" s="3"/>
      <c r="O651" s="64"/>
      <c r="P651" s="64"/>
      <c r="Q651" s="64"/>
      <c r="R651" s="64"/>
      <c r="S651" s="3"/>
      <c r="T651" s="3"/>
    </row>
    <row r="652" spans="1:20" s="2" customFormat="1">
      <c r="A652" s="529"/>
      <c r="B652" s="165" t="s">
        <v>9</v>
      </c>
      <c r="C652" s="77" t="s">
        <v>10</v>
      </c>
      <c r="D652" s="368">
        <v>0.5</v>
      </c>
      <c r="E652" s="390">
        <f>'VALOR CUADRILLAS MO'!D75</f>
        <v>26134.297994712331</v>
      </c>
      <c r="F652" s="395">
        <f t="shared" si="26"/>
        <v>13067.148997356166</v>
      </c>
      <c r="J652" s="244"/>
      <c r="K652" s="244"/>
      <c r="L652" s="244"/>
      <c r="M652" s="3"/>
      <c r="N652" s="3"/>
      <c r="O652" s="64"/>
      <c r="P652" s="64"/>
      <c r="Q652" s="64"/>
      <c r="R652" s="64"/>
      <c r="S652" s="3"/>
      <c r="T652" s="3"/>
    </row>
    <row r="653" spans="1:20" s="2" customFormat="1">
      <c r="A653" s="529"/>
      <c r="B653" s="165"/>
      <c r="C653" s="77"/>
      <c r="D653" s="78"/>
      <c r="E653" s="79"/>
      <c r="F653" s="79"/>
      <c r="J653" s="244"/>
      <c r="K653" s="244"/>
      <c r="L653" s="244"/>
      <c r="M653" s="3"/>
      <c r="N653" s="3"/>
      <c r="O653" s="64"/>
      <c r="P653" s="64"/>
      <c r="Q653" s="64"/>
      <c r="R653" s="64"/>
      <c r="S653" s="3"/>
      <c r="T653" s="3"/>
    </row>
    <row r="654" spans="1:20" s="2" customFormat="1" ht="46.15" customHeight="1">
      <c r="A654" s="246">
        <f>A646+1</f>
        <v>83</v>
      </c>
      <c r="B654" s="83" t="s">
        <v>2692</v>
      </c>
      <c r="C654" s="76" t="s">
        <v>119</v>
      </c>
      <c r="D654" s="73"/>
      <c r="E654" s="467"/>
      <c r="F654" s="468" t="e">
        <f>ROUND(SUM(F655:F660),0)</f>
        <v>#REF!</v>
      </c>
      <c r="J654" s="244"/>
      <c r="K654" s="244"/>
      <c r="L654" s="244"/>
      <c r="M654" s="3"/>
      <c r="N654" s="3"/>
      <c r="O654" s="64"/>
      <c r="P654" s="64"/>
      <c r="Q654" s="64"/>
      <c r="R654" s="64"/>
      <c r="S654" s="3"/>
      <c r="T654" s="3"/>
    </row>
    <row r="655" spans="1:20" s="2" customFormat="1" ht="25.5">
      <c r="A655" s="529"/>
      <c r="B655" s="165" t="s">
        <v>2693</v>
      </c>
      <c r="C655" s="77" t="s">
        <v>119</v>
      </c>
      <c r="D655" s="368">
        <v>1</v>
      </c>
      <c r="E655" s="394" t="e">
        <f>INSUMOS!#REF!</f>
        <v>#REF!</v>
      </c>
      <c r="F655" s="395" t="e">
        <f>D655*E655</f>
        <v>#REF!</v>
      </c>
      <c r="J655" s="244"/>
      <c r="K655" s="244"/>
      <c r="L655" s="244"/>
      <c r="M655" s="3"/>
      <c r="N655" s="3"/>
      <c r="O655" s="64"/>
      <c r="P655" s="64"/>
      <c r="Q655" s="64"/>
      <c r="R655" s="64"/>
      <c r="S655" s="3"/>
      <c r="T655" s="3"/>
    </row>
    <row r="656" spans="1:20" s="2" customFormat="1">
      <c r="A656" s="529"/>
      <c r="B656" s="165" t="s">
        <v>4</v>
      </c>
      <c r="C656" s="77" t="s">
        <v>121</v>
      </c>
      <c r="D656" s="367">
        <v>0.05</v>
      </c>
      <c r="E656" s="390">
        <f>BASICOS!D9</f>
        <v>37500</v>
      </c>
      <c r="F656" s="395">
        <f t="shared" ref="F656:F660" si="27">D656*E656</f>
        <v>1875</v>
      </c>
      <c r="J656" s="244"/>
      <c r="K656" s="244"/>
      <c r="L656" s="244"/>
      <c r="M656" s="3"/>
      <c r="N656" s="3"/>
      <c r="O656" s="64"/>
      <c r="P656" s="64"/>
      <c r="Q656" s="64"/>
      <c r="R656" s="64"/>
      <c r="S656" s="3"/>
      <c r="T656" s="3"/>
    </row>
    <row r="657" spans="1:20" s="2" customFormat="1">
      <c r="A657" s="529"/>
      <c r="B657" s="165" t="s">
        <v>5</v>
      </c>
      <c r="C657" s="77" t="s">
        <v>121</v>
      </c>
      <c r="D657" s="368">
        <v>3.0000000000000001E-3</v>
      </c>
      <c r="E657" s="390">
        <f>BASICOS!D9</f>
        <v>37500</v>
      </c>
      <c r="F657" s="395">
        <f t="shared" si="27"/>
        <v>112.5</v>
      </c>
      <c r="J657" s="244"/>
      <c r="K657" s="244"/>
      <c r="L657" s="244"/>
      <c r="M657" s="3"/>
      <c r="N657" s="3"/>
      <c r="O657" s="64"/>
      <c r="P657" s="64"/>
      <c r="Q657" s="64"/>
      <c r="R657" s="64"/>
      <c r="S657" s="3"/>
      <c r="T657" s="3"/>
    </row>
    <row r="658" spans="1:20" s="2" customFormat="1">
      <c r="A658" s="529"/>
      <c r="B658" s="165" t="s">
        <v>229</v>
      </c>
      <c r="C658" s="77" t="s">
        <v>68</v>
      </c>
      <c r="D658" s="368">
        <v>0.05</v>
      </c>
      <c r="E658" s="390" t="e">
        <f>SUM(F655:F657)</f>
        <v>#REF!</v>
      </c>
      <c r="F658" s="395" t="e">
        <f t="shared" si="27"/>
        <v>#REF!</v>
      </c>
      <c r="J658" s="244"/>
      <c r="K658" s="244"/>
      <c r="L658" s="244"/>
      <c r="M658" s="3"/>
      <c r="N658" s="3"/>
      <c r="O658" s="64"/>
      <c r="P658" s="64"/>
      <c r="Q658" s="64"/>
      <c r="R658" s="64"/>
      <c r="S658" s="3"/>
      <c r="T658" s="3"/>
    </row>
    <row r="659" spans="1:20" s="2" customFormat="1">
      <c r="A659" s="529"/>
      <c r="B659" s="165" t="s">
        <v>11</v>
      </c>
      <c r="C659" s="77" t="s">
        <v>284</v>
      </c>
      <c r="D659" s="368">
        <v>0.03</v>
      </c>
      <c r="E659" s="390">
        <f>F660</f>
        <v>13067.148997356166</v>
      </c>
      <c r="F659" s="395">
        <f t="shared" si="27"/>
        <v>392.01446992068497</v>
      </c>
      <c r="J659" s="244"/>
      <c r="K659" s="244"/>
      <c r="L659" s="244"/>
      <c r="M659" s="3"/>
      <c r="N659" s="3"/>
      <c r="O659" s="64"/>
      <c r="P659" s="64"/>
      <c r="Q659" s="64"/>
      <c r="R659" s="64"/>
      <c r="S659" s="3"/>
      <c r="T659" s="3"/>
    </row>
    <row r="660" spans="1:20" s="2" customFormat="1">
      <c r="A660" s="529"/>
      <c r="B660" s="165" t="s">
        <v>9</v>
      </c>
      <c r="C660" s="77" t="s">
        <v>10</v>
      </c>
      <c r="D660" s="368">
        <v>0.5</v>
      </c>
      <c r="E660" s="390">
        <f>'VALOR CUADRILLAS MO'!D75</f>
        <v>26134.297994712331</v>
      </c>
      <c r="F660" s="395">
        <f t="shared" si="27"/>
        <v>13067.148997356166</v>
      </c>
      <c r="J660" s="244"/>
      <c r="K660" s="244"/>
      <c r="L660" s="244"/>
      <c r="M660" s="3"/>
      <c r="N660" s="3"/>
      <c r="O660" s="64"/>
      <c r="P660" s="64"/>
      <c r="Q660" s="64"/>
      <c r="R660" s="64"/>
      <c r="S660" s="3"/>
      <c r="T660" s="3"/>
    </row>
    <row r="661" spans="1:20" s="2" customFormat="1">
      <c r="A661" s="529"/>
      <c r="B661" s="165"/>
      <c r="C661" s="77"/>
      <c r="D661" s="78"/>
      <c r="E661" s="79"/>
      <c r="F661" s="79"/>
      <c r="J661" s="244"/>
      <c r="K661" s="244"/>
      <c r="L661" s="244"/>
      <c r="M661" s="3"/>
      <c r="N661" s="3"/>
      <c r="O661" s="64"/>
      <c r="P661" s="64"/>
      <c r="Q661" s="64"/>
      <c r="R661" s="64"/>
      <c r="S661" s="3"/>
      <c r="T661" s="3"/>
    </row>
    <row r="662" spans="1:20" s="2" customFormat="1" ht="66.599999999999994" customHeight="1">
      <c r="A662" s="246">
        <f>A654+1</f>
        <v>84</v>
      </c>
      <c r="B662" s="83" t="s">
        <v>2694</v>
      </c>
      <c r="C662" s="76" t="s">
        <v>119</v>
      </c>
      <c r="D662" s="73"/>
      <c r="E662" s="467"/>
      <c r="F662" s="468" t="e">
        <f>ROUND(SUM(F663:F669),0)</f>
        <v>#REF!</v>
      </c>
      <c r="J662" s="244"/>
      <c r="K662" s="244"/>
      <c r="L662" s="244"/>
      <c r="M662" s="3"/>
      <c r="N662" s="3"/>
      <c r="O662" s="64"/>
      <c r="P662" s="64"/>
      <c r="Q662" s="64"/>
      <c r="R662" s="64"/>
      <c r="S662" s="3"/>
      <c r="T662" s="3"/>
    </row>
    <row r="663" spans="1:20" s="2" customFormat="1">
      <c r="A663" s="529"/>
      <c r="B663" s="165" t="s">
        <v>3106</v>
      </c>
      <c r="C663" s="77" t="s">
        <v>119</v>
      </c>
      <c r="D663" s="267">
        <v>1</v>
      </c>
      <c r="E663" s="394" t="e">
        <f>INSUMOS!#REF!</f>
        <v>#REF!</v>
      </c>
      <c r="F663" s="390" t="e">
        <f>D663*E663</f>
        <v>#REF!</v>
      </c>
      <c r="J663" s="244"/>
      <c r="K663" s="244"/>
      <c r="L663" s="244"/>
      <c r="M663" s="3"/>
      <c r="N663" s="3"/>
      <c r="O663" s="64"/>
      <c r="P663" s="64"/>
      <c r="Q663" s="64"/>
      <c r="R663" s="64"/>
      <c r="S663" s="3"/>
      <c r="T663" s="3"/>
    </row>
    <row r="664" spans="1:20" s="2" customFormat="1">
      <c r="A664" s="529"/>
      <c r="B664" s="165" t="s">
        <v>36</v>
      </c>
      <c r="C664" s="77" t="s">
        <v>121</v>
      </c>
      <c r="D664" s="267">
        <v>0.05</v>
      </c>
      <c r="E664" s="390">
        <f>BASICOS!D9</f>
        <v>37500</v>
      </c>
      <c r="F664" s="390">
        <f t="shared" ref="F664:F669" si="28">D664*E664</f>
        <v>1875</v>
      </c>
      <c r="J664" s="244"/>
      <c r="K664" s="244"/>
      <c r="L664" s="244"/>
      <c r="M664" s="3"/>
      <c r="N664" s="3"/>
      <c r="O664" s="64"/>
      <c r="P664" s="64"/>
      <c r="Q664" s="64"/>
      <c r="R664" s="64"/>
      <c r="S664" s="3"/>
      <c r="T664" s="3"/>
    </row>
    <row r="665" spans="1:20" s="2" customFormat="1">
      <c r="A665" s="529"/>
      <c r="B665" s="165" t="s">
        <v>229</v>
      </c>
      <c r="C665" s="77" t="s">
        <v>68</v>
      </c>
      <c r="D665" s="267">
        <v>0.05</v>
      </c>
      <c r="E665" s="390" t="e">
        <f>SUM(F663:F664)</f>
        <v>#REF!</v>
      </c>
      <c r="F665" s="390" t="e">
        <f t="shared" si="28"/>
        <v>#REF!</v>
      </c>
      <c r="J665" s="244"/>
      <c r="K665" s="244"/>
      <c r="L665" s="244"/>
      <c r="M665" s="3"/>
      <c r="N665" s="3"/>
      <c r="O665" s="64"/>
      <c r="P665" s="64"/>
      <c r="Q665" s="64"/>
      <c r="R665" s="64"/>
      <c r="S665" s="3"/>
      <c r="T665" s="3"/>
    </row>
    <row r="666" spans="1:20" s="2" customFormat="1">
      <c r="A666" s="529"/>
      <c r="B666" s="165" t="s">
        <v>18</v>
      </c>
      <c r="C666" s="77" t="s">
        <v>12</v>
      </c>
      <c r="D666" s="267">
        <v>0.01</v>
      </c>
      <c r="E666" s="390">
        <f>INSUMOS!D39</f>
        <v>136980.47829830134</v>
      </c>
      <c r="F666" s="390">
        <f t="shared" si="28"/>
        <v>1369.8047829830134</v>
      </c>
      <c r="J666" s="244"/>
      <c r="K666" s="244"/>
      <c r="L666" s="244"/>
      <c r="M666" s="3"/>
      <c r="N666" s="3"/>
      <c r="O666" s="64"/>
      <c r="P666" s="64"/>
      <c r="Q666" s="64"/>
      <c r="R666" s="64"/>
      <c r="S666" s="3"/>
      <c r="T666" s="3"/>
    </row>
    <row r="667" spans="1:20" s="2" customFormat="1">
      <c r="A667" s="529"/>
      <c r="B667" s="165" t="s">
        <v>136</v>
      </c>
      <c r="C667" s="77" t="s">
        <v>68</v>
      </c>
      <c r="D667" s="267"/>
      <c r="E667" s="390" t="e">
        <f>SUM(F663:F666)</f>
        <v>#REF!</v>
      </c>
      <c r="F667" s="390" t="e">
        <f t="shared" si="28"/>
        <v>#REF!</v>
      </c>
      <c r="J667" s="244"/>
      <c r="K667" s="244"/>
      <c r="L667" s="244"/>
      <c r="M667" s="3"/>
      <c r="N667" s="3"/>
      <c r="O667" s="64"/>
      <c r="P667" s="64"/>
      <c r="Q667" s="64"/>
      <c r="R667" s="64"/>
      <c r="S667" s="3"/>
      <c r="T667" s="3"/>
    </row>
    <row r="668" spans="1:20" s="2" customFormat="1">
      <c r="A668" s="529"/>
      <c r="B668" s="165" t="s">
        <v>11</v>
      </c>
      <c r="C668" s="77" t="s">
        <v>284</v>
      </c>
      <c r="D668" s="267">
        <v>0.03</v>
      </c>
      <c r="E668" s="390">
        <f>F669</f>
        <v>13067.148997356166</v>
      </c>
      <c r="F668" s="390">
        <f t="shared" si="28"/>
        <v>392.01446992068497</v>
      </c>
      <c r="J668" s="244"/>
      <c r="K668" s="244"/>
      <c r="L668" s="244"/>
      <c r="M668" s="3"/>
      <c r="N668" s="3"/>
      <c r="O668" s="64"/>
      <c r="P668" s="64"/>
      <c r="Q668" s="64"/>
      <c r="R668" s="64"/>
      <c r="S668" s="3"/>
      <c r="T668" s="3"/>
    </row>
    <row r="669" spans="1:20" s="2" customFormat="1">
      <c r="A669" s="529"/>
      <c r="B669" s="165" t="s">
        <v>9</v>
      </c>
      <c r="C669" s="77" t="s">
        <v>10</v>
      </c>
      <c r="D669" s="267">
        <v>0.5</v>
      </c>
      <c r="E669" s="390">
        <f>'VALOR CUADRILLAS MO'!D75</f>
        <v>26134.297994712331</v>
      </c>
      <c r="F669" s="390">
        <f t="shared" si="28"/>
        <v>13067.148997356166</v>
      </c>
      <c r="J669" s="244"/>
      <c r="K669" s="244"/>
      <c r="L669" s="244"/>
      <c r="M669" s="3"/>
      <c r="N669" s="3"/>
      <c r="O669" s="64"/>
      <c r="P669" s="64"/>
      <c r="Q669" s="64"/>
      <c r="R669" s="64"/>
      <c r="S669" s="3"/>
      <c r="T669" s="3"/>
    </row>
    <row r="670" spans="1:20" s="2" customFormat="1">
      <c r="A670" s="529"/>
      <c r="B670" s="165"/>
      <c r="C670" s="77"/>
      <c r="D670" s="78"/>
      <c r="E670" s="79"/>
      <c r="F670" s="79"/>
      <c r="J670" s="244"/>
      <c r="K670" s="244"/>
      <c r="L670" s="244"/>
      <c r="M670" s="3"/>
      <c r="N670" s="3"/>
      <c r="O670" s="64"/>
      <c r="P670" s="64"/>
      <c r="Q670" s="64"/>
      <c r="R670" s="64"/>
      <c r="S670" s="3"/>
      <c r="T670" s="3"/>
    </row>
    <row r="671" spans="1:20" s="2" customFormat="1" ht="63.75">
      <c r="A671" s="246">
        <f>A662+1</f>
        <v>85</v>
      </c>
      <c r="B671" s="83" t="s">
        <v>2695</v>
      </c>
      <c r="C671" s="76" t="s">
        <v>119</v>
      </c>
      <c r="D671" s="73"/>
      <c r="E671" s="467"/>
      <c r="F671" s="468" t="e">
        <f>ROUND(SUM(F672:F678),0)</f>
        <v>#REF!</v>
      </c>
      <c r="J671" s="244"/>
      <c r="K671" s="244"/>
      <c r="L671" s="244"/>
      <c r="M671" s="3"/>
      <c r="N671" s="3"/>
      <c r="O671" s="64"/>
      <c r="P671" s="64"/>
      <c r="Q671" s="64"/>
      <c r="R671" s="64"/>
      <c r="S671" s="3"/>
      <c r="T671" s="3"/>
    </row>
    <row r="672" spans="1:20" s="2" customFormat="1" ht="38.25">
      <c r="A672" s="529"/>
      <c r="B672" s="165" t="s">
        <v>3173</v>
      </c>
      <c r="C672" s="77" t="s">
        <v>119</v>
      </c>
      <c r="D672" s="368">
        <v>1</v>
      </c>
      <c r="E672" s="394" t="e">
        <f>INSUMOS!#REF!</f>
        <v>#REF!</v>
      </c>
      <c r="F672" s="390" t="e">
        <f t="shared" ref="F672:F678" si="29">D672*E672</f>
        <v>#REF!</v>
      </c>
      <c r="J672" s="244"/>
      <c r="K672" s="244"/>
      <c r="L672" s="244"/>
      <c r="M672" s="3"/>
      <c r="N672" s="3"/>
      <c r="O672" s="64"/>
      <c r="P672" s="64"/>
      <c r="Q672" s="64"/>
      <c r="R672" s="64"/>
      <c r="S672" s="3"/>
      <c r="T672" s="3"/>
    </row>
    <row r="673" spans="1:20" s="2" customFormat="1">
      <c r="A673" s="529"/>
      <c r="B673" s="165" t="s">
        <v>36</v>
      </c>
      <c r="C673" s="77" t="s">
        <v>121</v>
      </c>
      <c r="D673" s="368">
        <v>0.04</v>
      </c>
      <c r="E673" s="390">
        <f>BASICOS!D9</f>
        <v>37500</v>
      </c>
      <c r="F673" s="390">
        <f t="shared" si="29"/>
        <v>1500</v>
      </c>
      <c r="J673" s="244"/>
      <c r="K673" s="244"/>
      <c r="L673" s="244"/>
      <c r="M673" s="3"/>
      <c r="N673" s="3"/>
      <c r="O673" s="64"/>
      <c r="P673" s="64"/>
      <c r="Q673" s="64"/>
      <c r="R673" s="64"/>
      <c r="S673" s="3"/>
      <c r="T673" s="3"/>
    </row>
    <row r="674" spans="1:20" s="2" customFormat="1">
      <c r="A674" s="529"/>
      <c r="B674" s="165" t="s">
        <v>229</v>
      </c>
      <c r="C674" s="77" t="s">
        <v>68</v>
      </c>
      <c r="D674" s="368">
        <v>0.05</v>
      </c>
      <c r="E674" s="390" t="e">
        <f>SUM(F672:F673)</f>
        <v>#REF!</v>
      </c>
      <c r="F674" s="390" t="e">
        <f t="shared" si="29"/>
        <v>#REF!</v>
      </c>
      <c r="J674" s="244"/>
      <c r="K674" s="244"/>
      <c r="L674" s="244"/>
      <c r="M674" s="3"/>
      <c r="N674" s="3"/>
      <c r="O674" s="64"/>
      <c r="P674" s="64"/>
      <c r="Q674" s="64"/>
      <c r="R674" s="64"/>
      <c r="S674" s="3"/>
      <c r="T674" s="3"/>
    </row>
    <row r="675" spans="1:20" s="2" customFormat="1">
      <c r="A675" s="529"/>
      <c r="B675" s="165" t="s">
        <v>18</v>
      </c>
      <c r="C675" s="77" t="s">
        <v>12</v>
      </c>
      <c r="D675" s="267">
        <v>0.01</v>
      </c>
      <c r="E675" s="390">
        <f>INSUMOS!D39</f>
        <v>136980.47829830134</v>
      </c>
      <c r="F675" s="390">
        <f t="shared" si="29"/>
        <v>1369.8047829830134</v>
      </c>
      <c r="J675" s="244"/>
      <c r="K675" s="244"/>
      <c r="L675" s="244"/>
      <c r="M675" s="3"/>
      <c r="N675" s="3"/>
      <c r="O675" s="64"/>
      <c r="P675" s="64"/>
      <c r="Q675" s="64"/>
      <c r="R675" s="64"/>
      <c r="S675" s="3"/>
      <c r="T675" s="3"/>
    </row>
    <row r="676" spans="1:20" s="2" customFormat="1">
      <c r="A676" s="529"/>
      <c r="B676" s="165" t="s">
        <v>136</v>
      </c>
      <c r="C676" s="77" t="s">
        <v>68</v>
      </c>
      <c r="D676" s="368"/>
      <c r="E676" s="390" t="e">
        <f>SUM(F672:F674)</f>
        <v>#REF!</v>
      </c>
      <c r="F676" s="390" t="e">
        <f t="shared" si="29"/>
        <v>#REF!</v>
      </c>
      <c r="J676" s="244"/>
      <c r="K676" s="244"/>
      <c r="L676" s="244"/>
      <c r="M676" s="3"/>
      <c r="N676" s="3"/>
      <c r="O676" s="64"/>
      <c r="P676" s="64"/>
      <c r="Q676" s="64"/>
      <c r="R676" s="64"/>
      <c r="S676" s="3"/>
      <c r="T676" s="3"/>
    </row>
    <row r="677" spans="1:20" s="2" customFormat="1">
      <c r="A677" s="529"/>
      <c r="B677" s="165" t="s">
        <v>11</v>
      </c>
      <c r="C677" s="77" t="s">
        <v>284</v>
      </c>
      <c r="D677" s="368">
        <v>0.03</v>
      </c>
      <c r="E677" s="390">
        <f>F678</f>
        <v>13067.148997356166</v>
      </c>
      <c r="F677" s="390">
        <f t="shared" si="29"/>
        <v>392.01446992068497</v>
      </c>
      <c r="J677" s="244"/>
      <c r="K677" s="244"/>
      <c r="L677" s="244"/>
      <c r="M677" s="3"/>
      <c r="N677" s="3"/>
      <c r="O677" s="64"/>
      <c r="P677" s="64"/>
      <c r="Q677" s="64"/>
      <c r="R677" s="64"/>
      <c r="S677" s="3"/>
      <c r="T677" s="3"/>
    </row>
    <row r="678" spans="1:20" s="2" customFormat="1">
      <c r="A678" s="529"/>
      <c r="B678" s="165" t="s">
        <v>9</v>
      </c>
      <c r="C678" s="77" t="s">
        <v>10</v>
      </c>
      <c r="D678" s="368">
        <v>0.5</v>
      </c>
      <c r="E678" s="390">
        <f>'VALOR CUADRILLAS MO'!D75</f>
        <v>26134.297994712331</v>
      </c>
      <c r="F678" s="390">
        <f t="shared" si="29"/>
        <v>13067.148997356166</v>
      </c>
      <c r="J678" s="244"/>
      <c r="K678" s="244"/>
      <c r="L678" s="244"/>
      <c r="M678" s="3"/>
      <c r="N678" s="3"/>
      <c r="O678" s="64"/>
      <c r="P678" s="64"/>
      <c r="Q678" s="64"/>
      <c r="R678" s="64"/>
      <c r="S678" s="3"/>
      <c r="T678" s="3"/>
    </row>
    <row r="679" spans="1:20" s="2" customFormat="1">
      <c r="A679" s="529"/>
      <c r="B679" s="165"/>
      <c r="C679" s="77"/>
      <c r="D679" s="78"/>
      <c r="E679" s="79"/>
      <c r="F679" s="79"/>
      <c r="J679" s="244"/>
      <c r="K679" s="244"/>
      <c r="L679" s="244"/>
      <c r="M679" s="3"/>
      <c r="N679" s="3"/>
      <c r="O679" s="64"/>
      <c r="P679" s="64"/>
      <c r="Q679" s="64"/>
      <c r="R679" s="64"/>
      <c r="S679" s="3"/>
      <c r="T679" s="3"/>
    </row>
    <row r="680" spans="1:20" s="2" customFormat="1" ht="90" customHeight="1">
      <c r="A680" s="246">
        <f>A671+1</f>
        <v>86</v>
      </c>
      <c r="B680" s="83" t="s">
        <v>3182</v>
      </c>
      <c r="C680" s="76" t="s">
        <v>119</v>
      </c>
      <c r="D680" s="73"/>
      <c r="E680" s="467"/>
      <c r="F680" s="468" t="e">
        <f>ROUND(SUM(F681:F686),0)</f>
        <v>#REF!</v>
      </c>
      <c r="J680" s="244"/>
      <c r="K680" s="244"/>
      <c r="L680" s="244"/>
      <c r="M680" s="3"/>
      <c r="N680" s="3"/>
      <c r="O680" s="64"/>
      <c r="P680" s="64"/>
      <c r="Q680" s="64"/>
      <c r="R680" s="64"/>
      <c r="S680" s="3"/>
      <c r="T680" s="3"/>
    </row>
    <row r="681" spans="1:20" s="2" customFormat="1" ht="38.25">
      <c r="A681" s="529"/>
      <c r="B681" s="165" t="s">
        <v>3174</v>
      </c>
      <c r="C681" s="77" t="s">
        <v>119</v>
      </c>
      <c r="D681" s="368">
        <v>1</v>
      </c>
      <c r="E681" s="394" t="e">
        <f>INSUMOS!#REF!</f>
        <v>#REF!</v>
      </c>
      <c r="F681" s="390" t="e">
        <f t="shared" ref="F681:F686" si="30">D681*E681</f>
        <v>#REF!</v>
      </c>
      <c r="J681" s="244"/>
      <c r="K681" s="244"/>
      <c r="L681" s="244"/>
      <c r="M681" s="3"/>
      <c r="N681" s="3"/>
      <c r="O681" s="64"/>
      <c r="P681" s="64"/>
      <c r="Q681" s="64"/>
      <c r="R681" s="64"/>
      <c r="S681" s="3"/>
      <c r="T681" s="3"/>
    </row>
    <row r="682" spans="1:20" s="2" customFormat="1">
      <c r="A682" s="529"/>
      <c r="B682" s="165" t="s">
        <v>36</v>
      </c>
      <c r="C682" s="77" t="s">
        <v>121</v>
      </c>
      <c r="D682" s="368">
        <v>0.05</v>
      </c>
      <c r="E682" s="390">
        <f>BASICOS!D9</f>
        <v>37500</v>
      </c>
      <c r="F682" s="390">
        <f t="shared" si="30"/>
        <v>1875</v>
      </c>
      <c r="J682" s="244"/>
      <c r="K682" s="244"/>
      <c r="L682" s="244"/>
      <c r="M682" s="3"/>
      <c r="N682" s="3"/>
      <c r="O682" s="64"/>
      <c r="P682" s="64"/>
      <c r="Q682" s="64"/>
      <c r="R682" s="64"/>
      <c r="S682" s="3"/>
      <c r="T682" s="3"/>
    </row>
    <row r="683" spans="1:20" s="2" customFormat="1">
      <c r="A683" s="529"/>
      <c r="B683" s="165" t="s">
        <v>229</v>
      </c>
      <c r="C683" s="77" t="s">
        <v>68</v>
      </c>
      <c r="D683" s="368">
        <v>0.05</v>
      </c>
      <c r="E683" s="390" t="e">
        <f>SUM(F681:F682)</f>
        <v>#REF!</v>
      </c>
      <c r="F683" s="390" t="e">
        <f t="shared" si="30"/>
        <v>#REF!</v>
      </c>
      <c r="J683" s="244"/>
      <c r="K683" s="244"/>
      <c r="L683" s="244"/>
      <c r="M683" s="3"/>
      <c r="N683" s="3"/>
      <c r="O683" s="64"/>
      <c r="P683" s="64"/>
      <c r="Q683" s="64"/>
      <c r="R683" s="64"/>
      <c r="S683" s="3"/>
      <c r="T683" s="3"/>
    </row>
    <row r="684" spans="1:20" s="2" customFormat="1">
      <c r="A684" s="529"/>
      <c r="B684" s="165" t="s">
        <v>136</v>
      </c>
      <c r="C684" s="77" t="s">
        <v>68</v>
      </c>
      <c r="D684" s="368"/>
      <c r="E684" s="390" t="e">
        <f>SUM(F681:F683)</f>
        <v>#REF!</v>
      </c>
      <c r="F684" s="390" t="e">
        <f t="shared" si="30"/>
        <v>#REF!</v>
      </c>
      <c r="J684" s="244"/>
      <c r="K684" s="244"/>
      <c r="L684" s="244"/>
      <c r="M684" s="3"/>
      <c r="N684" s="3"/>
      <c r="O684" s="64"/>
      <c r="P684" s="64"/>
      <c r="Q684" s="64"/>
      <c r="R684" s="64"/>
      <c r="S684" s="3"/>
      <c r="T684" s="3"/>
    </row>
    <row r="685" spans="1:20" s="2" customFormat="1">
      <c r="A685" s="529"/>
      <c r="B685" s="165" t="s">
        <v>11</v>
      </c>
      <c r="C685" s="77" t="s">
        <v>284</v>
      </c>
      <c r="D685" s="368">
        <v>0.03</v>
      </c>
      <c r="E685" s="390">
        <f>F686</f>
        <v>13067.148997356166</v>
      </c>
      <c r="F685" s="390">
        <f t="shared" si="30"/>
        <v>392.01446992068497</v>
      </c>
      <c r="J685" s="244"/>
      <c r="K685" s="244"/>
      <c r="L685" s="244"/>
      <c r="M685" s="3"/>
      <c r="N685" s="3"/>
      <c r="O685" s="64"/>
      <c r="P685" s="64"/>
      <c r="Q685" s="64"/>
      <c r="R685" s="64"/>
      <c r="S685" s="3"/>
      <c r="T685" s="3"/>
    </row>
    <row r="686" spans="1:20" s="2" customFormat="1">
      <c r="A686" s="529"/>
      <c r="B686" s="165" t="s">
        <v>9</v>
      </c>
      <c r="C686" s="77" t="s">
        <v>10</v>
      </c>
      <c r="D686" s="368">
        <v>0.5</v>
      </c>
      <c r="E686" s="390">
        <f>'VALOR CUADRILLAS MO'!D75</f>
        <v>26134.297994712331</v>
      </c>
      <c r="F686" s="390">
        <f t="shared" si="30"/>
        <v>13067.148997356166</v>
      </c>
      <c r="J686" s="244"/>
      <c r="K686" s="244"/>
      <c r="L686" s="244"/>
      <c r="M686" s="3"/>
      <c r="N686" s="3"/>
      <c r="O686" s="64"/>
      <c r="P686" s="64"/>
      <c r="Q686" s="64"/>
      <c r="R686" s="64"/>
      <c r="S686" s="3"/>
      <c r="T686" s="3"/>
    </row>
    <row r="687" spans="1:20" s="2" customFormat="1">
      <c r="A687" s="529"/>
      <c r="B687" s="165"/>
      <c r="C687" s="77"/>
      <c r="D687" s="78"/>
      <c r="E687" s="79"/>
      <c r="F687" s="79"/>
      <c r="J687" s="244"/>
      <c r="K687" s="244"/>
      <c r="L687" s="244"/>
      <c r="M687" s="3"/>
      <c r="N687" s="3"/>
      <c r="O687" s="64"/>
      <c r="P687" s="64"/>
      <c r="Q687" s="64"/>
      <c r="R687" s="64"/>
      <c r="S687" s="3"/>
      <c r="T687" s="3"/>
    </row>
    <row r="688" spans="1:20" s="2" customFormat="1" ht="63.75">
      <c r="A688" s="246">
        <f>A680+1</f>
        <v>87</v>
      </c>
      <c r="B688" s="83" t="s">
        <v>2696</v>
      </c>
      <c r="C688" s="76" t="s">
        <v>21</v>
      </c>
      <c r="D688" s="73"/>
      <c r="E688" s="467"/>
      <c r="F688" s="468" t="e">
        <f>ROUND(SUM(F689:F695),0)</f>
        <v>#REF!</v>
      </c>
      <c r="J688" s="244"/>
      <c r="K688" s="244"/>
      <c r="L688" s="244"/>
      <c r="M688" s="3"/>
      <c r="N688" s="3"/>
      <c r="O688" s="64"/>
      <c r="P688" s="64"/>
      <c r="Q688" s="64"/>
      <c r="R688" s="64"/>
      <c r="S688" s="3"/>
      <c r="T688" s="3"/>
    </row>
    <row r="689" spans="1:20" s="2" customFormat="1" ht="38.25">
      <c r="A689" s="529"/>
      <c r="B689" s="165" t="s">
        <v>3173</v>
      </c>
      <c r="C689" s="77" t="s">
        <v>119</v>
      </c>
      <c r="D689" s="368">
        <v>0.4</v>
      </c>
      <c r="E689" s="394" t="e">
        <f>INSUMOS!#REF!</f>
        <v>#REF!</v>
      </c>
      <c r="F689" s="390" t="e">
        <f t="shared" ref="F689:F695" si="31">D689*E689</f>
        <v>#REF!</v>
      </c>
      <c r="J689" s="244"/>
      <c r="K689" s="244"/>
      <c r="L689" s="244"/>
      <c r="M689" s="3"/>
      <c r="N689" s="3"/>
      <c r="O689" s="64"/>
      <c r="P689" s="64"/>
      <c r="Q689" s="64"/>
      <c r="R689" s="64"/>
      <c r="S689" s="3"/>
      <c r="T689" s="3"/>
    </row>
    <row r="690" spans="1:20" s="2" customFormat="1">
      <c r="A690" s="529"/>
      <c r="B690" s="165" t="s">
        <v>36</v>
      </c>
      <c r="C690" s="77" t="s">
        <v>121</v>
      </c>
      <c r="D690" s="368">
        <v>0.03</v>
      </c>
      <c r="E690" s="390">
        <f>BASICOS!D9</f>
        <v>37500</v>
      </c>
      <c r="F690" s="390">
        <f t="shared" si="31"/>
        <v>1125</v>
      </c>
      <c r="J690" s="244"/>
      <c r="K690" s="244"/>
      <c r="L690" s="244"/>
      <c r="M690" s="3"/>
      <c r="N690" s="3"/>
      <c r="O690" s="64"/>
      <c r="P690" s="64"/>
      <c r="Q690" s="64"/>
      <c r="R690" s="64"/>
      <c r="S690" s="3"/>
      <c r="T690" s="3"/>
    </row>
    <row r="691" spans="1:20" s="2" customFormat="1">
      <c r="A691" s="529"/>
      <c r="B691" s="165" t="s">
        <v>229</v>
      </c>
      <c r="C691" s="77" t="s">
        <v>68</v>
      </c>
      <c r="D691" s="368">
        <v>0.05</v>
      </c>
      <c r="E691" s="390" t="e">
        <f>SUM(F689:F690)</f>
        <v>#REF!</v>
      </c>
      <c r="F691" s="390" t="e">
        <f t="shared" si="31"/>
        <v>#REF!</v>
      </c>
      <c r="J691" s="244"/>
      <c r="K691" s="244"/>
      <c r="L691" s="244"/>
      <c r="M691" s="3"/>
      <c r="N691" s="3"/>
      <c r="O691" s="64"/>
      <c r="P691" s="64"/>
      <c r="Q691" s="64"/>
      <c r="R691" s="64"/>
      <c r="S691" s="3"/>
      <c r="T691" s="3"/>
    </row>
    <row r="692" spans="1:20" s="2" customFormat="1">
      <c r="A692" s="529"/>
      <c r="B692" s="165" t="s">
        <v>18</v>
      </c>
      <c r="C692" s="77" t="s">
        <v>12</v>
      </c>
      <c r="D692" s="267">
        <v>0.01</v>
      </c>
      <c r="E692" s="390">
        <f>INSUMOS!D39</f>
        <v>136980.47829830134</v>
      </c>
      <c r="F692" s="390">
        <f t="shared" si="31"/>
        <v>1369.8047829830134</v>
      </c>
      <c r="J692" s="244"/>
      <c r="K692" s="244"/>
      <c r="L692" s="244"/>
      <c r="M692" s="3"/>
      <c r="N692" s="3"/>
      <c r="O692" s="64"/>
      <c r="P692" s="64"/>
      <c r="Q692" s="64"/>
      <c r="R692" s="64"/>
      <c r="S692" s="3"/>
      <c r="T692" s="3"/>
    </row>
    <row r="693" spans="1:20" s="2" customFormat="1">
      <c r="A693" s="529"/>
      <c r="B693" s="165" t="s">
        <v>136</v>
      </c>
      <c r="C693" s="77" t="s">
        <v>68</v>
      </c>
      <c r="D693" s="368"/>
      <c r="E693" s="390" t="e">
        <f>SUM(F689:F691)</f>
        <v>#REF!</v>
      </c>
      <c r="F693" s="390" t="e">
        <f t="shared" si="31"/>
        <v>#REF!</v>
      </c>
      <c r="J693" s="244"/>
      <c r="K693" s="244"/>
      <c r="L693" s="244"/>
      <c r="M693" s="3"/>
      <c r="N693" s="3"/>
      <c r="O693" s="64"/>
      <c r="P693" s="64"/>
      <c r="Q693" s="64"/>
      <c r="R693" s="64"/>
      <c r="S693" s="3"/>
      <c r="T693" s="3"/>
    </row>
    <row r="694" spans="1:20" s="64" customFormat="1">
      <c r="A694" s="529"/>
      <c r="B694" s="165" t="s">
        <v>11</v>
      </c>
      <c r="C694" s="77" t="s">
        <v>284</v>
      </c>
      <c r="D694" s="368">
        <v>0.03</v>
      </c>
      <c r="E694" s="390">
        <f>F695</f>
        <v>5226.8595989424666</v>
      </c>
      <c r="F694" s="390">
        <f t="shared" si="31"/>
        <v>156.80578796827399</v>
      </c>
      <c r="G694" s="2"/>
      <c r="H694" s="2"/>
      <c r="I694" s="2"/>
      <c r="J694" s="244"/>
      <c r="K694" s="244"/>
      <c r="L694" s="244"/>
      <c r="M694" s="3"/>
      <c r="N694" s="3"/>
      <c r="S694" s="3"/>
      <c r="T694" s="3"/>
    </row>
    <row r="695" spans="1:20" s="64" customFormat="1">
      <c r="A695" s="529"/>
      <c r="B695" s="165" t="s">
        <v>9</v>
      </c>
      <c r="C695" s="77" t="s">
        <v>10</v>
      </c>
      <c r="D695" s="368">
        <v>0.2</v>
      </c>
      <c r="E695" s="390">
        <f>'VALOR CUADRILLAS MO'!D75</f>
        <v>26134.297994712331</v>
      </c>
      <c r="F695" s="390">
        <f t="shared" si="31"/>
        <v>5226.8595989424666</v>
      </c>
      <c r="G695" s="2"/>
      <c r="H695" s="2"/>
      <c r="I695" s="2"/>
      <c r="J695" s="244"/>
      <c r="K695" s="244"/>
      <c r="L695" s="244"/>
      <c r="M695" s="3"/>
      <c r="N695" s="3"/>
      <c r="S695" s="3"/>
      <c r="T695" s="3"/>
    </row>
    <row r="696" spans="1:20">
      <c r="A696" s="529"/>
      <c r="B696" s="165"/>
      <c r="C696" s="270"/>
      <c r="D696" s="272"/>
      <c r="E696" s="266"/>
      <c r="F696" s="266"/>
    </row>
    <row r="697" spans="1:20" ht="19.899999999999999" customHeight="1">
      <c r="A697" s="530" t="s">
        <v>402</v>
      </c>
      <c r="B697" s="454" t="s">
        <v>2803</v>
      </c>
      <c r="C697" s="455"/>
      <c r="D697" s="456"/>
      <c r="E697" s="457"/>
      <c r="F697" s="457"/>
    </row>
    <row r="698" spans="1:20" ht="37.9" customHeight="1">
      <c r="A698" s="246">
        <f>A688+1</f>
        <v>88</v>
      </c>
      <c r="B698" s="83" t="s">
        <v>2759</v>
      </c>
      <c r="C698" s="76" t="s">
        <v>26</v>
      </c>
      <c r="D698" s="73"/>
      <c r="E698" s="430"/>
      <c r="F698" s="378" t="e">
        <f>ROUND(SUM(F699:F706),0)</f>
        <v>#REF!</v>
      </c>
    </row>
    <row r="699" spans="1:20">
      <c r="A699" s="529"/>
      <c r="B699" s="165" t="s">
        <v>2758</v>
      </c>
      <c r="C699" s="77" t="s">
        <v>121</v>
      </c>
      <c r="D699" s="379">
        <f>0.5*0.5*0.7</f>
        <v>0.17499999999999999</v>
      </c>
      <c r="E699" s="396">
        <f>BASICOS!E156</f>
        <v>367144</v>
      </c>
      <c r="F699" s="396">
        <f>+E699*D699</f>
        <v>64250.2</v>
      </c>
    </row>
    <row r="700" spans="1:20">
      <c r="A700" s="529"/>
      <c r="B700" s="165" t="s">
        <v>2760</v>
      </c>
      <c r="C700" s="77" t="s">
        <v>26</v>
      </c>
      <c r="D700" s="379">
        <v>1</v>
      </c>
      <c r="E700" s="390" t="e">
        <f>INSUMOS!#REF!</f>
        <v>#REF!</v>
      </c>
      <c r="F700" s="396" t="e">
        <f>+E700*D700</f>
        <v>#REF!</v>
      </c>
    </row>
    <row r="701" spans="1:20">
      <c r="A701" s="529"/>
      <c r="B701" s="165" t="e">
        <f>INSUMOS!#REF!</f>
        <v>#REF!</v>
      </c>
      <c r="C701" s="77" t="s">
        <v>2992</v>
      </c>
      <c r="D701" s="379">
        <v>0.08</v>
      </c>
      <c r="E701" s="390" t="e">
        <f>INSUMOS!#REF!</f>
        <v>#REF!</v>
      </c>
      <c r="F701" s="396" t="e">
        <f>+E701*D701</f>
        <v>#REF!</v>
      </c>
    </row>
    <row r="702" spans="1:20">
      <c r="A702" s="529"/>
      <c r="B702" s="165" t="e">
        <f>INSUMOS!#REF!</f>
        <v>#REF!</v>
      </c>
      <c r="C702" s="77" t="s">
        <v>2992</v>
      </c>
      <c r="D702" s="379">
        <v>0.02</v>
      </c>
      <c r="E702" s="390" t="e">
        <f>INSUMOS!#REF!</f>
        <v>#REF!</v>
      </c>
      <c r="F702" s="396" t="e">
        <f>+E702*D702</f>
        <v>#REF!</v>
      </c>
    </row>
    <row r="703" spans="1:20">
      <c r="A703" s="529"/>
      <c r="B703" s="165" t="s">
        <v>229</v>
      </c>
      <c r="C703" s="77" t="s">
        <v>68</v>
      </c>
      <c r="D703" s="379">
        <v>0.05</v>
      </c>
      <c r="E703" s="396" t="e">
        <f>SUM(F699:F700)</f>
        <v>#REF!</v>
      </c>
      <c r="F703" s="396" t="e">
        <f>+D703*E703</f>
        <v>#REF!</v>
      </c>
    </row>
    <row r="704" spans="1:20">
      <c r="A704" s="529"/>
      <c r="B704" s="165" t="s">
        <v>136</v>
      </c>
      <c r="C704" s="77" t="s">
        <v>68</v>
      </c>
      <c r="D704" s="379"/>
      <c r="E704" s="396" t="e">
        <f>SUM(F699:F700)</f>
        <v>#REF!</v>
      </c>
      <c r="F704" s="396" t="e">
        <f>+D704*E704</f>
        <v>#REF!</v>
      </c>
    </row>
    <row r="705" spans="1:6">
      <c r="A705" s="529"/>
      <c r="B705" s="165" t="s">
        <v>11</v>
      </c>
      <c r="C705" s="77" t="s">
        <v>284</v>
      </c>
      <c r="D705" s="379">
        <v>0.03</v>
      </c>
      <c r="E705" s="396">
        <f>+F706</f>
        <v>31361.157593654796</v>
      </c>
      <c r="F705" s="396">
        <f>(D705*E705)</f>
        <v>940.83472780964382</v>
      </c>
    </row>
    <row r="706" spans="1:6">
      <c r="A706" s="529"/>
      <c r="B706" s="165" t="s">
        <v>9</v>
      </c>
      <c r="C706" s="77" t="s">
        <v>10</v>
      </c>
      <c r="D706" s="379">
        <v>1.2</v>
      </c>
      <c r="E706" s="396">
        <f>'VALOR CUADRILLAS MO'!D75</f>
        <v>26134.297994712331</v>
      </c>
      <c r="F706" s="396">
        <f>+D706*E706</f>
        <v>31361.157593654796</v>
      </c>
    </row>
    <row r="707" spans="1:6">
      <c r="A707" s="529"/>
      <c r="B707" s="165"/>
      <c r="C707" s="77"/>
      <c r="D707" s="379"/>
      <c r="E707" s="396"/>
      <c r="F707" s="431"/>
    </row>
    <row r="708" spans="1:6" ht="42" customHeight="1">
      <c r="A708" s="246">
        <f>A698+1</f>
        <v>89</v>
      </c>
      <c r="B708" s="83" t="s">
        <v>2740</v>
      </c>
      <c r="C708" s="76" t="s">
        <v>21</v>
      </c>
      <c r="D708" s="73"/>
      <c r="E708" s="430"/>
      <c r="F708" s="378" t="e">
        <f>ROUND(SUM(F709:F715),0)</f>
        <v>#REF!</v>
      </c>
    </row>
    <row r="709" spans="1:6">
      <c r="A709" s="529"/>
      <c r="B709" s="165" t="s">
        <v>505</v>
      </c>
      <c r="C709" s="77" t="s">
        <v>2741</v>
      </c>
      <c r="D709" s="432">
        <v>1.4999999999999999E-2</v>
      </c>
      <c r="E709" s="396" t="e">
        <f>INSUMOS!#REF!</f>
        <v>#REF!</v>
      </c>
      <c r="F709" s="396" t="e">
        <f>+E709*D709</f>
        <v>#REF!</v>
      </c>
    </row>
    <row r="710" spans="1:6">
      <c r="A710" s="529"/>
      <c r="B710" s="165" t="s">
        <v>504</v>
      </c>
      <c r="C710" s="77" t="s">
        <v>120</v>
      </c>
      <c r="D710" s="432">
        <v>4.7E-2</v>
      </c>
      <c r="E710" s="396" t="e">
        <f>INSUMOS!#REF!</f>
        <v>#REF!</v>
      </c>
      <c r="F710" s="396" t="e">
        <f>+E710*D710</f>
        <v>#REF!</v>
      </c>
    </row>
    <row r="711" spans="1:6">
      <c r="A711" s="529"/>
      <c r="B711" s="165" t="s">
        <v>506</v>
      </c>
      <c r="C711" s="77" t="s">
        <v>2741</v>
      </c>
      <c r="D711" s="432">
        <v>4.0000000000000002E-4</v>
      </c>
      <c r="E711" s="396" t="e">
        <f>INSUMOS!#REF!</f>
        <v>#REF!</v>
      </c>
      <c r="F711" s="396" t="e">
        <f>+D711*E711</f>
        <v>#REF!</v>
      </c>
    </row>
    <row r="712" spans="1:6">
      <c r="A712" s="529"/>
      <c r="B712" s="165" t="s">
        <v>229</v>
      </c>
      <c r="C712" s="77" t="s">
        <v>68</v>
      </c>
      <c r="D712" s="432">
        <v>0.05</v>
      </c>
      <c r="E712" s="396" t="e">
        <f>SUM(F709:F711)</f>
        <v>#REF!</v>
      </c>
      <c r="F712" s="396" t="e">
        <f>+D712*E712</f>
        <v>#REF!</v>
      </c>
    </row>
    <row r="713" spans="1:6">
      <c r="A713" s="529"/>
      <c r="B713" s="165" t="s">
        <v>136</v>
      </c>
      <c r="C713" s="77" t="s">
        <v>68</v>
      </c>
      <c r="D713" s="432"/>
      <c r="E713" s="396" t="e">
        <f>SUM(F709:F711)</f>
        <v>#REF!</v>
      </c>
      <c r="F713" s="396" t="e">
        <f>+D713*E713</f>
        <v>#REF!</v>
      </c>
    </row>
    <row r="714" spans="1:6">
      <c r="A714" s="529"/>
      <c r="B714" s="165" t="s">
        <v>3122</v>
      </c>
      <c r="C714" s="77" t="s">
        <v>142</v>
      </c>
      <c r="D714" s="432">
        <v>1E-4</v>
      </c>
      <c r="E714" s="396" t="e">
        <f>INSUMOS!#REF!</f>
        <v>#REF!</v>
      </c>
      <c r="F714" s="396" t="e">
        <f>+E714*D714</f>
        <v>#REF!</v>
      </c>
    </row>
    <row r="715" spans="1:6">
      <c r="A715" s="529"/>
      <c r="B715" s="165" t="s">
        <v>102</v>
      </c>
      <c r="C715" s="77" t="s">
        <v>10</v>
      </c>
      <c r="D715" s="432">
        <f>0.0004</f>
        <v>4.0000000000000002E-4</v>
      </c>
      <c r="E715" s="396">
        <f>'VALOR CUADRILLAS MO'!D101</f>
        <v>30054.442693919176</v>
      </c>
      <c r="F715" s="396">
        <f>+E715*D715</f>
        <v>12.021777077567672</v>
      </c>
    </row>
    <row r="716" spans="1:6">
      <c r="A716" s="529"/>
      <c r="B716" s="165"/>
      <c r="C716" s="77"/>
      <c r="D716" s="433"/>
      <c r="E716" s="396"/>
      <c r="F716" s="431"/>
    </row>
    <row r="717" spans="1:6" ht="30" customHeight="1">
      <c r="A717" s="246">
        <f>A708+1</f>
        <v>90</v>
      </c>
      <c r="B717" s="83" t="s">
        <v>2743</v>
      </c>
      <c r="C717" s="76" t="s">
        <v>21</v>
      </c>
      <c r="D717" s="73"/>
      <c r="E717" s="430"/>
      <c r="F717" s="378" t="e">
        <f>ROUND(SUM(F718:F724),0)</f>
        <v>#REF!</v>
      </c>
    </row>
    <row r="718" spans="1:6">
      <c r="A718" s="529"/>
      <c r="B718" s="165" t="s">
        <v>505</v>
      </c>
      <c r="C718" s="77" t="s">
        <v>2741</v>
      </c>
      <c r="D718" s="432">
        <f>0.015*0.75</f>
        <v>1.125E-2</v>
      </c>
      <c r="E718" s="396" t="e">
        <f>INSUMOS!#REF!</f>
        <v>#REF!</v>
      </c>
      <c r="F718" s="396" t="e">
        <f>+E718*D718</f>
        <v>#REF!</v>
      </c>
    </row>
    <row r="719" spans="1:6">
      <c r="A719" s="529"/>
      <c r="B719" s="165" t="s">
        <v>504</v>
      </c>
      <c r="C719" s="77" t="s">
        <v>120</v>
      </c>
      <c r="D719" s="432">
        <f>0.047*0.75</f>
        <v>3.5250000000000004E-2</v>
      </c>
      <c r="E719" s="396" t="e">
        <f>INSUMOS!#REF!</f>
        <v>#REF!</v>
      </c>
      <c r="F719" s="396" t="e">
        <f>+E719*D719</f>
        <v>#REF!</v>
      </c>
    </row>
    <row r="720" spans="1:6">
      <c r="A720" s="529"/>
      <c r="B720" s="165" t="s">
        <v>506</v>
      </c>
      <c r="C720" s="77" t="s">
        <v>2741</v>
      </c>
      <c r="D720" s="432">
        <f>0.0004*0.75</f>
        <v>3.0000000000000003E-4</v>
      </c>
      <c r="E720" s="396" t="e">
        <f>INSUMOS!#REF!</f>
        <v>#REF!</v>
      </c>
      <c r="F720" s="396" t="e">
        <f>+D720*E720</f>
        <v>#REF!</v>
      </c>
    </row>
    <row r="721" spans="1:6">
      <c r="A721" s="529"/>
      <c r="B721" s="165" t="s">
        <v>229</v>
      </c>
      <c r="C721" s="77" t="s">
        <v>68</v>
      </c>
      <c r="D721" s="434">
        <v>0.05</v>
      </c>
      <c r="E721" s="396" t="e">
        <f>SUM(F718:F720)</f>
        <v>#REF!</v>
      </c>
      <c r="F721" s="396" t="e">
        <f>+D721*E721</f>
        <v>#REF!</v>
      </c>
    </row>
    <row r="722" spans="1:6">
      <c r="A722" s="529"/>
      <c r="B722" s="165" t="s">
        <v>136</v>
      </c>
      <c r="C722" s="77" t="s">
        <v>68</v>
      </c>
      <c r="D722" s="432"/>
      <c r="E722" s="396" t="e">
        <f>SUM(F718:F721)</f>
        <v>#REF!</v>
      </c>
      <c r="F722" s="396" t="e">
        <f>+D722*E722</f>
        <v>#REF!</v>
      </c>
    </row>
    <row r="723" spans="1:6">
      <c r="A723" s="529"/>
      <c r="B723" s="165" t="s">
        <v>3122</v>
      </c>
      <c r="C723" s="77" t="s">
        <v>142</v>
      </c>
      <c r="D723" s="432">
        <v>1E-4</v>
      </c>
      <c r="E723" s="396" t="e">
        <f>INSUMOS!#REF!</f>
        <v>#REF!</v>
      </c>
      <c r="F723" s="396" t="e">
        <f>+E723*D723</f>
        <v>#REF!</v>
      </c>
    </row>
    <row r="724" spans="1:6">
      <c r="A724" s="529"/>
      <c r="B724" s="165" t="s">
        <v>102</v>
      </c>
      <c r="C724" s="77" t="s">
        <v>10</v>
      </c>
      <c r="D724" s="432">
        <f>0.0001</f>
        <v>1E-4</v>
      </c>
      <c r="E724" s="396">
        <f>'VALOR CUADRILLAS MO'!D101</f>
        <v>30054.442693919176</v>
      </c>
      <c r="F724" s="396">
        <f>+E724*D724</f>
        <v>3.0054442693919179</v>
      </c>
    </row>
    <row r="725" spans="1:6">
      <c r="A725" s="529"/>
      <c r="B725" s="165"/>
      <c r="C725" s="77"/>
      <c r="D725" s="433"/>
      <c r="E725" s="396"/>
      <c r="F725" s="431"/>
    </row>
    <row r="726" spans="1:6" ht="19.899999999999999" customHeight="1">
      <c r="A726" s="246">
        <f>A717+1</f>
        <v>91</v>
      </c>
      <c r="B726" s="83" t="s">
        <v>2747</v>
      </c>
      <c r="C726" s="76" t="s">
        <v>119</v>
      </c>
      <c r="D726" s="73"/>
      <c r="E726" s="430"/>
      <c r="F726" s="378" t="e">
        <f>ROUND(SUM(F727:F733),0)</f>
        <v>#REF!</v>
      </c>
    </row>
    <row r="727" spans="1:6">
      <c r="A727" s="529"/>
      <c r="B727" s="165" t="s">
        <v>505</v>
      </c>
      <c r="C727" s="77" t="s">
        <v>2741</v>
      </c>
      <c r="D727" s="432">
        <v>0.12</v>
      </c>
      <c r="E727" s="396" t="e">
        <f>INSUMOS!#REF!</f>
        <v>#REF!</v>
      </c>
      <c r="F727" s="396" t="e">
        <f>+E727*D727</f>
        <v>#REF!</v>
      </c>
    </row>
    <row r="728" spans="1:6">
      <c r="A728" s="529"/>
      <c r="B728" s="165" t="s">
        <v>504</v>
      </c>
      <c r="C728" s="77" t="s">
        <v>120</v>
      </c>
      <c r="D728" s="432">
        <v>0.47</v>
      </c>
      <c r="E728" s="396" t="e">
        <f>INSUMOS!#REF!</f>
        <v>#REF!</v>
      </c>
      <c r="F728" s="396" t="e">
        <f>+D728*E728</f>
        <v>#REF!</v>
      </c>
    </row>
    <row r="729" spans="1:6">
      <c r="A729" s="529"/>
      <c r="B729" s="165" t="s">
        <v>506</v>
      </c>
      <c r="C729" s="77" t="s">
        <v>2741</v>
      </c>
      <c r="D729" s="432">
        <f>0.0004*8</f>
        <v>3.2000000000000002E-3</v>
      </c>
      <c r="E729" s="396" t="e">
        <f>INSUMOS!#REF!</f>
        <v>#REF!</v>
      </c>
      <c r="F729" s="396" t="e">
        <f>+D729*E729</f>
        <v>#REF!</v>
      </c>
    </row>
    <row r="730" spans="1:6">
      <c r="A730" s="529"/>
      <c r="B730" s="165" t="s">
        <v>229</v>
      </c>
      <c r="C730" s="77" t="s">
        <v>68</v>
      </c>
      <c r="D730" s="434">
        <v>0.05</v>
      </c>
      <c r="E730" s="396" t="e">
        <f>SUM(F727:F729)</f>
        <v>#REF!</v>
      </c>
      <c r="F730" s="396" t="e">
        <f>+D730*E730</f>
        <v>#REF!</v>
      </c>
    </row>
    <row r="731" spans="1:6">
      <c r="A731" s="529"/>
      <c r="B731" s="165" t="s">
        <v>136</v>
      </c>
      <c r="C731" s="77" t="s">
        <v>68</v>
      </c>
      <c r="D731" s="432"/>
      <c r="E731" s="396" t="e">
        <f>SUM(F727:F730)</f>
        <v>#REF!</v>
      </c>
      <c r="F731" s="396" t="e">
        <f>+D731*E731</f>
        <v>#REF!</v>
      </c>
    </row>
    <row r="732" spans="1:6">
      <c r="A732" s="529"/>
      <c r="B732" s="165" t="s">
        <v>3122</v>
      </c>
      <c r="C732" s="77" t="s">
        <v>142</v>
      </c>
      <c r="D732" s="432">
        <v>9.5000000000000001E-2</v>
      </c>
      <c r="E732" s="396" t="e">
        <f>INSUMOS!#REF!</f>
        <v>#REF!</v>
      </c>
      <c r="F732" s="396" t="e">
        <f>+E732*D732</f>
        <v>#REF!</v>
      </c>
    </row>
    <row r="733" spans="1:6">
      <c r="A733" s="529"/>
      <c r="B733" s="165" t="s">
        <v>102</v>
      </c>
      <c r="C733" s="77" t="s">
        <v>284</v>
      </c>
      <c r="D733" s="432">
        <v>0.28000000000000003</v>
      </c>
      <c r="E733" s="396">
        <f>'VALOR CUADRILLAS MO'!D101</f>
        <v>30054.442693919176</v>
      </c>
      <c r="F733" s="396">
        <f>(D733*E733)</f>
        <v>8415.2439542973698</v>
      </c>
    </row>
    <row r="734" spans="1:6">
      <c r="A734" s="529"/>
      <c r="B734" s="165"/>
      <c r="C734" s="77"/>
      <c r="D734" s="432"/>
      <c r="E734" s="396"/>
      <c r="F734" s="396"/>
    </row>
    <row r="735" spans="1:6" ht="70.150000000000006" customHeight="1">
      <c r="A735" s="246">
        <f>A726+1</f>
        <v>92</v>
      </c>
      <c r="B735" s="83" t="s">
        <v>2780</v>
      </c>
      <c r="C735" s="76" t="s">
        <v>26</v>
      </c>
      <c r="D735" s="73"/>
      <c r="E735" s="430"/>
      <c r="F735" s="378" t="e">
        <f>ROUND(SUM(F736:F741),0)</f>
        <v>#REF!</v>
      </c>
    </row>
    <row r="736" spans="1:6" ht="51">
      <c r="A736" s="529"/>
      <c r="B736" s="165" t="s">
        <v>2781</v>
      </c>
      <c r="C736" s="77" t="s">
        <v>26</v>
      </c>
      <c r="D736" s="379">
        <v>1</v>
      </c>
      <c r="E736" s="396" t="e">
        <f>INSUMOS!#REF!</f>
        <v>#REF!</v>
      </c>
      <c r="F736" s="396" t="e">
        <f>+E736*D736</f>
        <v>#REF!</v>
      </c>
    </row>
    <row r="737" spans="1:6">
      <c r="A737" s="529"/>
      <c r="B737" s="165" t="s">
        <v>2648</v>
      </c>
      <c r="C737" s="77" t="s">
        <v>121</v>
      </c>
      <c r="D737" s="379">
        <v>4.4999999999999998E-2</v>
      </c>
      <c r="E737" s="396">
        <f>BASICOS!E146</f>
        <v>392821</v>
      </c>
      <c r="F737" s="396">
        <f>+E737*D737</f>
        <v>17676.945</v>
      </c>
    </row>
    <row r="738" spans="1:6">
      <c r="A738" s="529"/>
      <c r="B738" s="165" t="s">
        <v>229</v>
      </c>
      <c r="C738" s="77" t="s">
        <v>68</v>
      </c>
      <c r="D738" s="379">
        <v>0.05</v>
      </c>
      <c r="E738" s="396">
        <f>SUM(F737)</f>
        <v>17676.945</v>
      </c>
      <c r="F738" s="396">
        <f>+D738*E738</f>
        <v>883.84725000000003</v>
      </c>
    </row>
    <row r="739" spans="1:6">
      <c r="A739" s="529"/>
      <c r="B739" s="165" t="s">
        <v>136</v>
      </c>
      <c r="C739" s="77" t="s">
        <v>68</v>
      </c>
      <c r="D739" s="379"/>
      <c r="E739" s="396" t="e">
        <f>SUM(F736:F738)</f>
        <v>#REF!</v>
      </c>
      <c r="F739" s="396" t="e">
        <f>+D739*E739</f>
        <v>#REF!</v>
      </c>
    </row>
    <row r="740" spans="1:6">
      <c r="A740" s="529"/>
      <c r="B740" s="165" t="s">
        <v>11</v>
      </c>
      <c r="C740" s="77" t="s">
        <v>284</v>
      </c>
      <c r="D740" s="379">
        <v>0.03</v>
      </c>
      <c r="E740" s="396">
        <f>+F741</f>
        <v>20907.438395769866</v>
      </c>
      <c r="F740" s="396">
        <f>(D740*E740)</f>
        <v>627.22315187309596</v>
      </c>
    </row>
    <row r="741" spans="1:6">
      <c r="A741" s="529"/>
      <c r="B741" s="165" t="s">
        <v>9</v>
      </c>
      <c r="C741" s="77" t="s">
        <v>10</v>
      </c>
      <c r="D741" s="379">
        <v>0.8</v>
      </c>
      <c r="E741" s="396">
        <f>'VALOR CUADRILLAS MO'!D75</f>
        <v>26134.297994712331</v>
      </c>
      <c r="F741" s="396">
        <f>+D741*E741</f>
        <v>20907.438395769866</v>
      </c>
    </row>
    <row r="742" spans="1:6">
      <c r="A742" s="529"/>
      <c r="B742" s="165"/>
      <c r="C742" s="77"/>
      <c r="D742" s="379"/>
      <c r="E742" s="396"/>
      <c r="F742" s="431"/>
    </row>
    <row r="743" spans="1:6" ht="51">
      <c r="A743" s="246">
        <f>A735+1</f>
        <v>93</v>
      </c>
      <c r="B743" s="83" t="s">
        <v>2782</v>
      </c>
      <c r="C743" s="76" t="s">
        <v>26</v>
      </c>
      <c r="D743" s="73"/>
      <c r="E743" s="430"/>
      <c r="F743" s="378" t="e">
        <f>ROUND(SUM(F744:F749),0)</f>
        <v>#REF!</v>
      </c>
    </row>
    <row r="744" spans="1:6" ht="51">
      <c r="A744" s="529"/>
      <c r="B744" s="165" t="s">
        <v>245</v>
      </c>
      <c r="C744" s="77" t="s">
        <v>26</v>
      </c>
      <c r="D744" s="379">
        <v>1</v>
      </c>
      <c r="E744" s="396" t="e">
        <f>INSUMOS!#REF!</f>
        <v>#REF!</v>
      </c>
      <c r="F744" s="396" t="e">
        <f>+E744*D744</f>
        <v>#REF!</v>
      </c>
    </row>
    <row r="745" spans="1:6">
      <c r="A745" s="529"/>
      <c r="B745" s="165" t="s">
        <v>2648</v>
      </c>
      <c r="C745" s="77" t="s">
        <v>121</v>
      </c>
      <c r="D745" s="379">
        <v>0.12800000000000003</v>
      </c>
      <c r="E745" s="396">
        <f>BASICOS!E146</f>
        <v>392821</v>
      </c>
      <c r="F745" s="396">
        <f>+E745*D745</f>
        <v>50281.088000000011</v>
      </c>
    </row>
    <row r="746" spans="1:6">
      <c r="A746" s="529"/>
      <c r="B746" s="165" t="s">
        <v>229</v>
      </c>
      <c r="C746" s="77" t="s">
        <v>68</v>
      </c>
      <c r="D746" s="379">
        <v>0.05</v>
      </c>
      <c r="E746" s="396">
        <f>SUM(F745)</f>
        <v>50281.088000000011</v>
      </c>
      <c r="F746" s="396">
        <f>+D746*E746</f>
        <v>2514.0544000000009</v>
      </c>
    </row>
    <row r="747" spans="1:6">
      <c r="A747" s="529"/>
      <c r="B747" s="165" t="s">
        <v>136</v>
      </c>
      <c r="C747" s="77" t="s">
        <v>68</v>
      </c>
      <c r="D747" s="379"/>
      <c r="E747" s="396" t="e">
        <f>SUM(F744:F746)</f>
        <v>#REF!</v>
      </c>
      <c r="F747" s="396" t="e">
        <f>+D747*E747</f>
        <v>#REF!</v>
      </c>
    </row>
    <row r="748" spans="1:6">
      <c r="A748" s="529"/>
      <c r="B748" s="165" t="s">
        <v>11</v>
      </c>
      <c r="C748" s="77" t="s">
        <v>284</v>
      </c>
      <c r="D748" s="379">
        <v>0.03</v>
      </c>
      <c r="E748" s="396">
        <f>+F749</f>
        <v>33974.587393126028</v>
      </c>
      <c r="F748" s="396">
        <f>(D748*E748)</f>
        <v>1019.2376217937808</v>
      </c>
    </row>
    <row r="749" spans="1:6">
      <c r="A749" s="529"/>
      <c r="B749" s="165" t="s">
        <v>9</v>
      </c>
      <c r="C749" s="77" t="s">
        <v>10</v>
      </c>
      <c r="D749" s="379">
        <v>1.3</v>
      </c>
      <c r="E749" s="396">
        <f>'VALOR CUADRILLAS MO'!D75</f>
        <v>26134.297994712331</v>
      </c>
      <c r="F749" s="396">
        <f>+D749*E749</f>
        <v>33974.587393126028</v>
      </c>
    </row>
    <row r="750" spans="1:6">
      <c r="A750" s="529"/>
      <c r="B750" s="165"/>
      <c r="C750" s="77"/>
      <c r="D750" s="379"/>
      <c r="E750" s="396"/>
      <c r="F750" s="431"/>
    </row>
    <row r="751" spans="1:6" ht="51">
      <c r="A751" s="246">
        <f>A743+1</f>
        <v>94</v>
      </c>
      <c r="B751" s="83" t="s">
        <v>2806</v>
      </c>
      <c r="C751" s="76" t="s">
        <v>26</v>
      </c>
      <c r="D751" s="73"/>
      <c r="E751" s="430"/>
      <c r="F751" s="378" t="e">
        <f>ROUND(SUM(F752:F757),0)</f>
        <v>#REF!</v>
      </c>
    </row>
    <row r="752" spans="1:6" ht="38.25">
      <c r="A752" s="529"/>
      <c r="B752" s="165" t="s">
        <v>2807</v>
      </c>
      <c r="C752" s="77" t="s">
        <v>146</v>
      </c>
      <c r="D752" s="269">
        <v>1</v>
      </c>
      <c r="E752" s="390" t="e">
        <f>INSUMOS!#REF!</f>
        <v>#REF!</v>
      </c>
      <c r="F752" s="390" t="e">
        <f>+E752*D752</f>
        <v>#REF!</v>
      </c>
    </row>
    <row r="753" spans="1:6">
      <c r="A753" s="529"/>
      <c r="B753" s="165" t="s">
        <v>2648</v>
      </c>
      <c r="C753" s="77" t="s">
        <v>121</v>
      </c>
      <c r="D753" s="269">
        <v>4.4999999999999998E-2</v>
      </c>
      <c r="E753" s="390">
        <f>BASICOS!E146</f>
        <v>392821</v>
      </c>
      <c r="F753" s="390">
        <f>+E753*D753</f>
        <v>17676.945</v>
      </c>
    </row>
    <row r="754" spans="1:6">
      <c r="A754" s="529"/>
      <c r="B754" s="165" t="s">
        <v>229</v>
      </c>
      <c r="C754" s="77" t="s">
        <v>68</v>
      </c>
      <c r="D754" s="269">
        <v>0.04</v>
      </c>
      <c r="E754" s="390">
        <f>F753</f>
        <v>17676.945</v>
      </c>
      <c r="F754" s="390">
        <f>+D754*E754</f>
        <v>707.07780000000002</v>
      </c>
    </row>
    <row r="755" spans="1:6">
      <c r="A755" s="529"/>
      <c r="B755" s="165" t="s">
        <v>136</v>
      </c>
      <c r="C755" s="77" t="s">
        <v>68</v>
      </c>
      <c r="D755" s="269">
        <v>0.03</v>
      </c>
      <c r="E755" s="390" t="e">
        <f>SUM(F752:F754)</f>
        <v>#REF!</v>
      </c>
      <c r="F755" s="390" t="e">
        <f>+D755*E755</f>
        <v>#REF!</v>
      </c>
    </row>
    <row r="756" spans="1:6">
      <c r="A756" s="529"/>
      <c r="B756" s="165" t="s">
        <v>11</v>
      </c>
      <c r="C756" s="77" t="s">
        <v>284</v>
      </c>
      <c r="D756" s="269">
        <v>0.03</v>
      </c>
      <c r="E756" s="390">
        <f>F757</f>
        <v>20907.438395769866</v>
      </c>
      <c r="F756" s="390">
        <f>(D756*E756)</f>
        <v>627.22315187309596</v>
      </c>
    </row>
    <row r="757" spans="1:6">
      <c r="A757" s="529"/>
      <c r="B757" s="165" t="s">
        <v>9</v>
      </c>
      <c r="C757" s="77" t="s">
        <v>10</v>
      </c>
      <c r="D757" s="269">
        <v>0.8</v>
      </c>
      <c r="E757" s="390">
        <f>'VALOR CUADRILLAS MO'!D75</f>
        <v>26134.297994712331</v>
      </c>
      <c r="F757" s="390">
        <f>+D757*E757</f>
        <v>20907.438395769866</v>
      </c>
    </row>
    <row r="758" spans="1:6">
      <c r="A758" s="529"/>
      <c r="B758" s="165"/>
      <c r="C758" s="77"/>
      <c r="D758" s="269"/>
      <c r="E758" s="390"/>
      <c r="F758" s="390"/>
    </row>
    <row r="759" spans="1:6" ht="19.899999999999999" customHeight="1">
      <c r="A759" s="246">
        <f>A751+1</f>
        <v>95</v>
      </c>
      <c r="B759" s="83" t="s">
        <v>2808</v>
      </c>
      <c r="C759" s="76" t="s">
        <v>26</v>
      </c>
      <c r="D759" s="73"/>
      <c r="E759" s="430"/>
      <c r="F759" s="378" t="e">
        <f>ROUND(SUM(F760:F766),0)</f>
        <v>#REF!</v>
      </c>
    </row>
    <row r="760" spans="1:6">
      <c r="A760" s="529"/>
      <c r="B760" s="165" t="s">
        <v>505</v>
      </c>
      <c r="C760" s="77" t="s">
        <v>2741</v>
      </c>
      <c r="D760" s="267">
        <v>0.14000000000000001</v>
      </c>
      <c r="E760" s="390" t="e">
        <f>INSUMOS!#REF!</f>
        <v>#REF!</v>
      </c>
      <c r="F760" s="390" t="e">
        <f>+E760*D760</f>
        <v>#REF!</v>
      </c>
    </row>
    <row r="761" spans="1:6">
      <c r="A761" s="529"/>
      <c r="B761" s="165" t="s">
        <v>504</v>
      </c>
      <c r="C761" s="77" t="s">
        <v>120</v>
      </c>
      <c r="D761" s="267">
        <v>0.55000000000000004</v>
      </c>
      <c r="E761" s="390" t="e">
        <f>INSUMOS!#REF!</f>
        <v>#REF!</v>
      </c>
      <c r="F761" s="390" t="e">
        <f>+D761*E761</f>
        <v>#REF!</v>
      </c>
    </row>
    <row r="762" spans="1:6">
      <c r="A762" s="529"/>
      <c r="B762" s="165" t="s">
        <v>506</v>
      </c>
      <c r="C762" s="77" t="s">
        <v>2741</v>
      </c>
      <c r="D762" s="267">
        <v>0.06</v>
      </c>
      <c r="E762" s="390" t="e">
        <f>INSUMOS!#REF!</f>
        <v>#REF!</v>
      </c>
      <c r="F762" s="390" t="e">
        <f>+D762*E762</f>
        <v>#REF!</v>
      </c>
    </row>
    <row r="763" spans="1:6">
      <c r="A763" s="529"/>
      <c r="B763" s="165" t="s">
        <v>229</v>
      </c>
      <c r="C763" s="77" t="s">
        <v>68</v>
      </c>
      <c r="D763" s="267">
        <v>0.05</v>
      </c>
      <c r="E763" s="390" t="e">
        <f>SUM(F760:F762)</f>
        <v>#REF!</v>
      </c>
      <c r="F763" s="390" t="e">
        <f>+D763*E763</f>
        <v>#REF!</v>
      </c>
    </row>
    <row r="764" spans="1:6">
      <c r="A764" s="529"/>
      <c r="B764" s="165" t="s">
        <v>136</v>
      </c>
      <c r="C764" s="77" t="s">
        <v>68</v>
      </c>
      <c r="D764" s="267"/>
      <c r="E764" s="390" t="e">
        <f>SUM(F760:F763)</f>
        <v>#REF!</v>
      </c>
      <c r="F764" s="390" t="e">
        <f>+D764*E764</f>
        <v>#REF!</v>
      </c>
    </row>
    <row r="765" spans="1:6">
      <c r="A765" s="529"/>
      <c r="B765" s="165" t="s">
        <v>2742</v>
      </c>
      <c r="C765" s="77" t="s">
        <v>142</v>
      </c>
      <c r="D765" s="267">
        <v>9.5000000000000001E-2</v>
      </c>
      <c r="E765" s="303">
        <f>BASICOS!D51</f>
        <v>50000</v>
      </c>
      <c r="F765" s="390">
        <f>+E765*D765</f>
        <v>4750</v>
      </c>
    </row>
    <row r="766" spans="1:6">
      <c r="A766" s="529"/>
      <c r="B766" s="165" t="s">
        <v>102</v>
      </c>
      <c r="C766" s="77" t="s">
        <v>284</v>
      </c>
      <c r="D766" s="267">
        <v>0.5</v>
      </c>
      <c r="E766" s="390">
        <f>'VALOR CUADRILLAS MO'!D101</f>
        <v>30054.442693919176</v>
      </c>
      <c r="F766" s="390">
        <f>(D766*E766)</f>
        <v>15027.221346959588</v>
      </c>
    </row>
    <row r="767" spans="1:6">
      <c r="A767" s="529"/>
      <c r="B767" s="165"/>
      <c r="C767" s="77"/>
      <c r="D767" s="446"/>
      <c r="E767" s="390"/>
      <c r="F767" s="390"/>
    </row>
    <row r="768" spans="1:6" ht="19.899999999999999" customHeight="1">
      <c r="A768" s="246">
        <f>A759+1</f>
        <v>96</v>
      </c>
      <c r="B768" s="83" t="s">
        <v>3003</v>
      </c>
      <c r="C768" s="76" t="s">
        <v>21</v>
      </c>
      <c r="D768" s="73"/>
      <c r="E768" s="430"/>
      <c r="F768" s="378" t="e">
        <f>ROUND(SUM(F769:F775),0)</f>
        <v>#REF!</v>
      </c>
    </row>
    <row r="769" spans="1:6">
      <c r="A769" s="529"/>
      <c r="B769" s="36" t="s">
        <v>3004</v>
      </c>
      <c r="C769" s="77" t="s">
        <v>2741</v>
      </c>
      <c r="D769" s="82">
        <v>5.7000000000000002E-2</v>
      </c>
      <c r="E769" s="303">
        <f>INSUMOS!D107</f>
        <v>70000</v>
      </c>
      <c r="F769" s="303">
        <f>+E769*D769</f>
        <v>3990</v>
      </c>
    </row>
    <row r="770" spans="1:6">
      <c r="A770" s="529"/>
      <c r="B770" s="36" t="s">
        <v>506</v>
      </c>
      <c r="C770" s="77" t="s">
        <v>2741</v>
      </c>
      <c r="D770" s="82">
        <v>3.2000000000000002E-3</v>
      </c>
      <c r="E770" s="303" t="e">
        <f>INSUMOS!#REF!</f>
        <v>#REF!</v>
      </c>
      <c r="F770" s="303" t="e">
        <f>+D770*E770</f>
        <v>#REF!</v>
      </c>
    </row>
    <row r="771" spans="1:6">
      <c r="A771" s="529"/>
      <c r="B771" s="36" t="s">
        <v>229</v>
      </c>
      <c r="C771" s="77" t="s">
        <v>68</v>
      </c>
      <c r="D771" s="555">
        <v>0.05</v>
      </c>
      <c r="E771" s="303" t="e">
        <f>SUM(F769:F770)</f>
        <v>#REF!</v>
      </c>
      <c r="F771" s="303" t="e">
        <f>+D771*E771</f>
        <v>#REF!</v>
      </c>
    </row>
    <row r="772" spans="1:6">
      <c r="A772" s="529"/>
      <c r="B772" s="36" t="s">
        <v>136</v>
      </c>
      <c r="C772" s="77" t="s">
        <v>68</v>
      </c>
      <c r="D772" s="555"/>
      <c r="E772" s="303" t="e">
        <f>SUM(F769:F771)</f>
        <v>#REF!</v>
      </c>
      <c r="F772" s="303" t="e">
        <f>+D772*E772</f>
        <v>#REF!</v>
      </c>
    </row>
    <row r="773" spans="1:6">
      <c r="A773" s="529"/>
      <c r="B773" s="36" t="s">
        <v>3005</v>
      </c>
      <c r="C773" s="77" t="s">
        <v>142</v>
      </c>
      <c r="D773" s="82">
        <v>1E-4</v>
      </c>
      <c r="E773" s="303">
        <f>BASICOS!D51</f>
        <v>50000</v>
      </c>
      <c r="F773" s="303">
        <f>+E773*D773</f>
        <v>5</v>
      </c>
    </row>
    <row r="774" spans="1:6">
      <c r="A774" s="529"/>
      <c r="B774" s="36" t="s">
        <v>11</v>
      </c>
      <c r="C774" s="77" t="s">
        <v>284</v>
      </c>
      <c r="D774" s="556">
        <v>0.03</v>
      </c>
      <c r="E774" s="303">
        <f>F775</f>
        <v>811.46995273581774</v>
      </c>
      <c r="F774" s="303">
        <f>(D774*E774)</f>
        <v>24.34409858207453</v>
      </c>
    </row>
    <row r="775" spans="1:6">
      <c r="A775" s="529"/>
      <c r="B775" s="36" t="s">
        <v>102</v>
      </c>
      <c r="C775" s="77" t="s">
        <v>10</v>
      </c>
      <c r="D775" s="82">
        <v>2.7E-2</v>
      </c>
      <c r="E775" s="303">
        <f>'VALOR CUADRILLAS MO'!D101</f>
        <v>30054.442693919176</v>
      </c>
      <c r="F775" s="303">
        <f>(D775*E775)</f>
        <v>811.46995273581774</v>
      </c>
    </row>
    <row r="776" spans="1:6">
      <c r="A776" s="529"/>
      <c r="B776" s="165"/>
      <c r="C776" s="77"/>
      <c r="D776" s="446"/>
      <c r="E776" s="390"/>
      <c r="F776" s="390"/>
    </row>
    <row r="777" spans="1:6" ht="51">
      <c r="A777" s="246">
        <f>A768+1</f>
        <v>97</v>
      </c>
      <c r="B777" s="83" t="s">
        <v>2809</v>
      </c>
      <c r="C777" s="484" t="s">
        <v>26</v>
      </c>
      <c r="D777" s="485"/>
      <c r="E777" s="486"/>
      <c r="F777" s="487" t="e">
        <f>ROUND(SUM(F778:F781),0)</f>
        <v>#REF!</v>
      </c>
    </row>
    <row r="778" spans="1:6" ht="38.25">
      <c r="A778" s="529"/>
      <c r="B778" s="165" t="s">
        <v>2810</v>
      </c>
      <c r="C778" s="77" t="s">
        <v>689</v>
      </c>
      <c r="D778" s="393">
        <v>1</v>
      </c>
      <c r="E778" s="390" t="e">
        <f>INSUMOS!#REF!</f>
        <v>#REF!</v>
      </c>
      <c r="F778" s="390" t="e">
        <f>+E778*D778</f>
        <v>#REF!</v>
      </c>
    </row>
    <row r="779" spans="1:6">
      <c r="A779" s="529"/>
      <c r="B779" s="165" t="s">
        <v>136</v>
      </c>
      <c r="C779" s="77" t="s">
        <v>68</v>
      </c>
      <c r="D779" s="269"/>
      <c r="E779" s="390" t="e">
        <f>F778</f>
        <v>#REF!</v>
      </c>
      <c r="F779" s="390" t="e">
        <f>+D779*E779</f>
        <v>#REF!</v>
      </c>
    </row>
    <row r="780" spans="1:6">
      <c r="A780" s="529"/>
      <c r="B780" s="165" t="s">
        <v>11</v>
      </c>
      <c r="C780" s="77" t="s">
        <v>284</v>
      </c>
      <c r="D780" s="269">
        <v>0.03</v>
      </c>
      <c r="E780" s="390">
        <f>F781</f>
        <v>901.63328081757527</v>
      </c>
      <c r="F780" s="390">
        <f>(D780*E780)</f>
        <v>27.048998424527259</v>
      </c>
    </row>
    <row r="781" spans="1:6">
      <c r="A781" s="529"/>
      <c r="B781" s="165" t="s">
        <v>102</v>
      </c>
      <c r="C781" s="77" t="s">
        <v>10</v>
      </c>
      <c r="D781" s="445">
        <v>0.03</v>
      </c>
      <c r="E781" s="390">
        <f>'VALOR CUADRILLAS MO'!D101</f>
        <v>30054.442693919176</v>
      </c>
      <c r="F781" s="390">
        <f>+E781*D781</f>
        <v>901.63328081757527</v>
      </c>
    </row>
    <row r="782" spans="1:6">
      <c r="A782" s="529"/>
      <c r="B782" s="165"/>
      <c r="C782" s="77"/>
      <c r="D782" s="446"/>
      <c r="E782" s="390"/>
      <c r="F782" s="390"/>
    </row>
    <row r="783" spans="1:6" ht="38.450000000000003" customHeight="1">
      <c r="A783" s="246">
        <f>A777+1</f>
        <v>98</v>
      </c>
      <c r="B783" s="83" t="s">
        <v>3038</v>
      </c>
      <c r="C783" s="484" t="s">
        <v>26</v>
      </c>
      <c r="D783" s="485"/>
      <c r="E783" s="486"/>
      <c r="F783" s="487" t="e">
        <f>ROUND(SUM(F784:F791),0)</f>
        <v>#REF!</v>
      </c>
    </row>
    <row r="784" spans="1:6" ht="25.5">
      <c r="A784" s="529"/>
      <c r="B784" s="165" t="s">
        <v>3039</v>
      </c>
      <c r="C784" s="77" t="s">
        <v>3040</v>
      </c>
      <c r="D784" s="571">
        <v>1</v>
      </c>
      <c r="E784" s="390" t="e">
        <f>INSUMOS!#REF!</f>
        <v>#REF!</v>
      </c>
      <c r="F784" s="390" t="e">
        <f>+E784*D784</f>
        <v>#REF!</v>
      </c>
    </row>
    <row r="785" spans="1:13">
      <c r="A785" s="529"/>
      <c r="B785" s="36" t="s">
        <v>3041</v>
      </c>
      <c r="C785" s="77" t="s">
        <v>32</v>
      </c>
      <c r="D785" s="571">
        <v>8.6999999999999994E-2</v>
      </c>
      <c r="E785" s="390" t="e">
        <f>INSUMOS!#REF!</f>
        <v>#REF!</v>
      </c>
      <c r="F785" s="390" t="e">
        <f>+E785*D785</f>
        <v>#REF!</v>
      </c>
    </row>
    <row r="786" spans="1:13">
      <c r="A786" s="529"/>
      <c r="B786" s="36" t="s">
        <v>229</v>
      </c>
      <c r="C786" s="77" t="s">
        <v>68</v>
      </c>
      <c r="D786" s="571">
        <v>0.05</v>
      </c>
      <c r="E786" s="390" t="e">
        <f>SUM(F785)</f>
        <v>#REF!</v>
      </c>
      <c r="F786" s="390" t="e">
        <f>+D786*E786</f>
        <v>#REF!</v>
      </c>
    </row>
    <row r="787" spans="1:13">
      <c r="A787" s="529"/>
      <c r="B787" s="36" t="s">
        <v>136</v>
      </c>
      <c r="C787" s="77" t="s">
        <v>68</v>
      </c>
      <c r="D787" s="571"/>
      <c r="E787" s="390" t="e">
        <f>SUM(F784:F786)</f>
        <v>#REF!</v>
      </c>
      <c r="F787" s="390" t="e">
        <f>+D787*E787</f>
        <v>#REF!</v>
      </c>
    </row>
    <row r="788" spans="1:13">
      <c r="A788" s="529"/>
      <c r="B788" s="36" t="s">
        <v>3042</v>
      </c>
      <c r="C788" s="77" t="s">
        <v>153</v>
      </c>
      <c r="D788" s="571">
        <v>5.4545454545454543E-2</v>
      </c>
      <c r="E788" s="390" t="e">
        <f>INSUMOS!#REF!</f>
        <v>#REF!</v>
      </c>
      <c r="F788" s="390" t="e">
        <f>+D788*E788</f>
        <v>#REF!</v>
      </c>
      <c r="M788" s="3">
        <v>900</v>
      </c>
    </row>
    <row r="789" spans="1:13">
      <c r="A789" s="529"/>
      <c r="B789" s="36" t="s">
        <v>3043</v>
      </c>
      <c r="C789" s="77" t="s">
        <v>190</v>
      </c>
      <c r="D789" s="571">
        <v>0.04</v>
      </c>
      <c r="E789" s="390" t="e">
        <f>INSUMOS!#REF!</f>
        <v>#REF!</v>
      </c>
      <c r="F789" s="390" t="e">
        <f>+D789*E789</f>
        <v>#REF!</v>
      </c>
    </row>
    <row r="790" spans="1:13">
      <c r="A790" s="529"/>
      <c r="B790" s="36" t="s">
        <v>11</v>
      </c>
      <c r="C790" s="77" t="s">
        <v>284</v>
      </c>
      <c r="D790" s="571">
        <v>0.03</v>
      </c>
      <c r="E790" s="303">
        <f>F791</f>
        <v>1502.7221346959589</v>
      </c>
      <c r="F790" s="390">
        <f>(D790*E790)</f>
        <v>45.081664040878763</v>
      </c>
    </row>
    <row r="791" spans="1:13">
      <c r="A791" s="529"/>
      <c r="B791" s="165" t="s">
        <v>102</v>
      </c>
      <c r="C791" s="77" t="s">
        <v>10</v>
      </c>
      <c r="D791" s="571">
        <v>0.05</v>
      </c>
      <c r="E791" s="390">
        <f>'VALOR CUADRILLAS MO'!D101</f>
        <v>30054.442693919176</v>
      </c>
      <c r="F791" s="390">
        <f>+D791*E791</f>
        <v>1502.7221346959589</v>
      </c>
    </row>
    <row r="792" spans="1:13">
      <c r="A792" s="529"/>
      <c r="B792" s="165"/>
      <c r="C792" s="77"/>
      <c r="D792" s="446"/>
      <c r="E792" s="390"/>
      <c r="F792" s="390"/>
    </row>
    <row r="793" spans="1:13" ht="36.6" customHeight="1">
      <c r="A793" s="246">
        <f>A783+1</f>
        <v>99</v>
      </c>
      <c r="B793" s="83" t="s">
        <v>2783</v>
      </c>
      <c r="C793" s="76" t="s">
        <v>26</v>
      </c>
      <c r="D793" s="73"/>
      <c r="E793" s="430"/>
      <c r="F793" s="378" t="e">
        <f>ROUND(SUM(F794:F798),0)</f>
        <v>#REF!</v>
      </c>
    </row>
    <row r="794" spans="1:13" ht="25.5">
      <c r="A794" s="529"/>
      <c r="B794" s="165" t="s">
        <v>246</v>
      </c>
      <c r="C794" s="77" t="s">
        <v>26</v>
      </c>
      <c r="D794" s="379">
        <v>1</v>
      </c>
      <c r="E794" s="396" t="e">
        <f>INSUMOS!#REF!</f>
        <v>#REF!</v>
      </c>
      <c r="F794" s="396" t="e">
        <f>+E794*D794</f>
        <v>#REF!</v>
      </c>
    </row>
    <row r="795" spans="1:13">
      <c r="A795" s="529"/>
      <c r="B795" s="165" t="s">
        <v>2648</v>
      </c>
      <c r="C795" s="77" t="s">
        <v>121</v>
      </c>
      <c r="D795" s="379">
        <v>0.12800000000000003</v>
      </c>
      <c r="E795" s="396">
        <f>BASICOS!E146</f>
        <v>392821</v>
      </c>
      <c r="F795" s="396">
        <f>+E795*D795</f>
        <v>50281.088000000011</v>
      </c>
    </row>
    <row r="796" spans="1:13">
      <c r="A796" s="529"/>
      <c r="B796" s="165" t="s">
        <v>229</v>
      </c>
      <c r="C796" s="77" t="s">
        <v>68</v>
      </c>
      <c r="D796" s="379">
        <v>0.05</v>
      </c>
      <c r="E796" s="396">
        <f>SUM(F795)</f>
        <v>50281.088000000011</v>
      </c>
      <c r="F796" s="396">
        <f>+D796*E796</f>
        <v>2514.0544000000009</v>
      </c>
    </row>
    <row r="797" spans="1:13">
      <c r="A797" s="529"/>
      <c r="B797" s="165" t="s">
        <v>11</v>
      </c>
      <c r="C797" s="77" t="s">
        <v>284</v>
      </c>
      <c r="D797" s="379">
        <v>0.03</v>
      </c>
      <c r="E797" s="396">
        <f>+F798</f>
        <v>431215.91691275348</v>
      </c>
      <c r="F797" s="396">
        <f>(D797*E797)</f>
        <v>12936.477507382604</v>
      </c>
    </row>
    <row r="798" spans="1:13">
      <c r="A798" s="529"/>
      <c r="B798" s="165" t="s">
        <v>2784</v>
      </c>
      <c r="C798" s="77" t="s">
        <v>141</v>
      </c>
      <c r="D798" s="379">
        <v>15</v>
      </c>
      <c r="E798" s="396">
        <f>'VALOR CUADRILLAS MO'!D89</f>
        <v>28747.727794183564</v>
      </c>
      <c r="F798" s="396">
        <f>+E798*D798</f>
        <v>431215.91691275348</v>
      </c>
    </row>
    <row r="799" spans="1:13">
      <c r="A799" s="529"/>
      <c r="B799" s="165"/>
      <c r="C799" s="77"/>
      <c r="D799" s="379"/>
      <c r="E799" s="396"/>
      <c r="F799" s="431"/>
    </row>
    <row r="800" spans="1:13" ht="19.899999999999999" customHeight="1">
      <c r="A800" s="246">
        <f>A793+1</f>
        <v>100</v>
      </c>
      <c r="B800" s="83" t="s">
        <v>2800</v>
      </c>
      <c r="C800" s="76" t="s">
        <v>26</v>
      </c>
      <c r="D800" s="73"/>
      <c r="E800" s="430"/>
      <c r="F800" s="378" t="e">
        <f>ROUND(SUM(F801:F805),0)</f>
        <v>#REF!</v>
      </c>
    </row>
    <row r="801" spans="1:6">
      <c r="A801" s="529"/>
      <c r="B801" s="165" t="s">
        <v>2800</v>
      </c>
      <c r="C801" s="77" t="s">
        <v>689</v>
      </c>
      <c r="D801" s="444">
        <v>1</v>
      </c>
      <c r="E801" s="396" t="e">
        <f>INSUMOS!#REF!</f>
        <v>#REF!</v>
      </c>
      <c r="F801" s="396" t="e">
        <f>+E801*D801</f>
        <v>#REF!</v>
      </c>
    </row>
    <row r="802" spans="1:6">
      <c r="A802" s="529"/>
      <c r="B802" s="165" t="s">
        <v>2801</v>
      </c>
      <c r="C802" s="77" t="s">
        <v>120</v>
      </c>
      <c r="D802" s="444">
        <v>0.08</v>
      </c>
      <c r="E802" s="396" t="e">
        <f>INSUMOS!#REF!</f>
        <v>#REF!</v>
      </c>
      <c r="F802" s="396" t="e">
        <f>+E802*D802</f>
        <v>#REF!</v>
      </c>
    </row>
    <row r="803" spans="1:6">
      <c r="A803" s="529"/>
      <c r="B803" s="165" t="s">
        <v>136</v>
      </c>
      <c r="C803" s="77" t="s">
        <v>68</v>
      </c>
      <c r="D803" s="379"/>
      <c r="E803" s="396" t="e">
        <f>SUM(F801:F802)</f>
        <v>#REF!</v>
      </c>
      <c r="F803" s="396" t="e">
        <f>+D803*E803</f>
        <v>#REF!</v>
      </c>
    </row>
    <row r="804" spans="1:6">
      <c r="A804" s="529"/>
      <c r="B804" s="165" t="s">
        <v>2802</v>
      </c>
      <c r="C804" s="77" t="s">
        <v>183</v>
      </c>
      <c r="D804" s="379">
        <v>0.01</v>
      </c>
      <c r="E804" s="396" t="e">
        <f>INSUMOS!#REF!</f>
        <v>#REF!</v>
      </c>
      <c r="F804" s="396" t="e">
        <f>+E804*D804</f>
        <v>#REF!</v>
      </c>
    </row>
    <row r="805" spans="1:6">
      <c r="A805" s="529"/>
      <c r="B805" s="165" t="s">
        <v>9</v>
      </c>
      <c r="C805" s="77" t="s">
        <v>10</v>
      </c>
      <c r="D805" s="445">
        <v>0.03</v>
      </c>
      <c r="E805" s="396">
        <f>'VALOR CUADRILLAS MO'!D75</f>
        <v>26134.297994712331</v>
      </c>
      <c r="F805" s="396">
        <f>+E805*D805</f>
        <v>784.02893984136995</v>
      </c>
    </row>
    <row r="806" spans="1:6">
      <c r="A806" s="529"/>
      <c r="B806" s="165"/>
      <c r="C806" s="77"/>
      <c r="D806" s="445"/>
      <c r="E806" s="396"/>
      <c r="F806" s="396"/>
    </row>
    <row r="807" spans="1:6" ht="19.899999999999999" customHeight="1">
      <c r="A807" s="246">
        <f>A800+1</f>
        <v>101</v>
      </c>
      <c r="B807" s="83" t="s">
        <v>2993</v>
      </c>
      <c r="C807" s="76" t="s">
        <v>26</v>
      </c>
      <c r="D807" s="73"/>
      <c r="E807" s="430"/>
      <c r="F807" s="378" t="e">
        <f>SUM(F808:F813)</f>
        <v>#REF!</v>
      </c>
    </row>
    <row r="808" spans="1:6">
      <c r="A808" s="529"/>
      <c r="B808" s="165" t="s">
        <v>2994</v>
      </c>
      <c r="C808" s="77" t="s">
        <v>689</v>
      </c>
      <c r="D808" s="368">
        <v>1</v>
      </c>
      <c r="E808" s="303" t="e">
        <f>INSUMOS!#REF!</f>
        <v>#REF!</v>
      </c>
      <c r="F808" s="303" t="e">
        <f>+E808*D808</f>
        <v>#REF!</v>
      </c>
    </row>
    <row r="809" spans="1:6">
      <c r="A809" s="529"/>
      <c r="B809" s="36" t="s">
        <v>2995</v>
      </c>
      <c r="C809" s="77" t="s">
        <v>21</v>
      </c>
      <c r="D809" s="368">
        <v>50</v>
      </c>
      <c r="E809" s="303" t="e">
        <f>INSUMOS!#REF!</f>
        <v>#REF!</v>
      </c>
      <c r="F809" s="303" t="e">
        <f>+E809*D809</f>
        <v>#REF!</v>
      </c>
    </row>
    <row r="810" spans="1:6">
      <c r="A810" s="529"/>
      <c r="B810" s="36" t="s">
        <v>229</v>
      </c>
      <c r="C810" s="77" t="s">
        <v>68</v>
      </c>
      <c r="D810" s="368">
        <v>0.05</v>
      </c>
      <c r="E810" s="303" t="e">
        <f>SUM(F809)</f>
        <v>#REF!</v>
      </c>
      <c r="F810" s="303" t="e">
        <f>+D810*E810</f>
        <v>#REF!</v>
      </c>
    </row>
    <row r="811" spans="1:6">
      <c r="A811" s="529"/>
      <c r="B811" s="36" t="s">
        <v>136</v>
      </c>
      <c r="C811" s="77" t="s">
        <v>68</v>
      </c>
      <c r="D811" s="368"/>
      <c r="E811" s="303" t="e">
        <f>SUM(F808:F810)</f>
        <v>#REF!</v>
      </c>
      <c r="F811" s="303" t="e">
        <f>+D811*E811</f>
        <v>#REF!</v>
      </c>
    </row>
    <row r="812" spans="1:6">
      <c r="A812" s="529"/>
      <c r="B812" s="36" t="s">
        <v>11</v>
      </c>
      <c r="C812" s="77" t="s">
        <v>284</v>
      </c>
      <c r="D812" s="368">
        <v>0.03</v>
      </c>
      <c r="E812" s="303">
        <f>F813</f>
        <v>20907.438395769866</v>
      </c>
      <c r="F812" s="303">
        <f>(D812*E812)</f>
        <v>627.22315187309596</v>
      </c>
    </row>
    <row r="813" spans="1:6">
      <c r="A813" s="529"/>
      <c r="B813" s="36" t="s">
        <v>9</v>
      </c>
      <c r="C813" s="77" t="s">
        <v>10</v>
      </c>
      <c r="D813" s="368">
        <v>0.8</v>
      </c>
      <c r="E813" s="303">
        <f>'VALOR CUADRILLAS MO'!D75</f>
        <v>26134.297994712331</v>
      </c>
      <c r="F813" s="303">
        <f>+D813*E813</f>
        <v>20907.438395769866</v>
      </c>
    </row>
    <row r="814" spans="1:6">
      <c r="A814" s="529"/>
      <c r="B814" s="36"/>
      <c r="C814" s="77"/>
      <c r="D814" s="368"/>
      <c r="E814" s="303"/>
      <c r="F814" s="303"/>
    </row>
    <row r="815" spans="1:6" ht="42" customHeight="1">
      <c r="A815" s="246">
        <f>A807+1</f>
        <v>102</v>
      </c>
      <c r="B815" s="83" t="s">
        <v>2996</v>
      </c>
      <c r="C815" s="76" t="s">
        <v>26</v>
      </c>
      <c r="D815" s="73"/>
      <c r="E815" s="430"/>
      <c r="F815" s="378" t="e">
        <f>ROUND(SUM(F816:F819),0)</f>
        <v>#REF!</v>
      </c>
    </row>
    <row r="816" spans="1:6">
      <c r="A816" s="529"/>
      <c r="B816" s="165" t="s">
        <v>2997</v>
      </c>
      <c r="C816" s="77" t="s">
        <v>689</v>
      </c>
      <c r="D816" s="368">
        <v>1</v>
      </c>
      <c r="E816" s="303" t="e">
        <f>INSUMOS!#REF!</f>
        <v>#REF!</v>
      </c>
      <c r="F816" s="303" t="e">
        <f>+E816*D816</f>
        <v>#REF!</v>
      </c>
    </row>
    <row r="817" spans="1:6">
      <c r="A817" s="529"/>
      <c r="B817" s="36" t="s">
        <v>136</v>
      </c>
      <c r="C817" s="77" t="s">
        <v>68</v>
      </c>
      <c r="D817" s="368"/>
      <c r="E817" s="303" t="e">
        <f>F816</f>
        <v>#REF!</v>
      </c>
      <c r="F817" s="303" t="e">
        <f>+D817*E817</f>
        <v>#REF!</v>
      </c>
    </row>
    <row r="818" spans="1:6">
      <c r="A818" s="529"/>
      <c r="B818" s="36" t="s">
        <v>11</v>
      </c>
      <c r="C818" s="77" t="s">
        <v>284</v>
      </c>
      <c r="D818" s="368">
        <v>0.03</v>
      </c>
      <c r="E818" s="303">
        <f>F819</f>
        <v>104537.19197884933</v>
      </c>
      <c r="F818" s="303">
        <f>(D818*E818)</f>
        <v>3136.1157593654798</v>
      </c>
    </row>
    <row r="819" spans="1:6">
      <c r="A819" s="529"/>
      <c r="B819" s="36" t="s">
        <v>9</v>
      </c>
      <c r="C819" s="77" t="s">
        <v>10</v>
      </c>
      <c r="D819" s="368">
        <v>4</v>
      </c>
      <c r="E819" s="303">
        <f>'VALOR CUADRILLAS MO'!D75</f>
        <v>26134.297994712331</v>
      </c>
      <c r="F819" s="303">
        <f>+D819*E819</f>
        <v>104537.19197884933</v>
      </c>
    </row>
    <row r="820" spans="1:6">
      <c r="A820" s="529"/>
      <c r="B820" s="165"/>
      <c r="C820" s="77"/>
      <c r="D820" s="445"/>
      <c r="E820" s="396"/>
      <c r="F820" s="396"/>
    </row>
    <row r="821" spans="1:6" ht="45" customHeight="1">
      <c r="A821" s="246">
        <f>A815+1</f>
        <v>103</v>
      </c>
      <c r="B821" s="83" t="s">
        <v>3145</v>
      </c>
      <c r="C821" s="484" t="s">
        <v>26</v>
      </c>
      <c r="D821" s="485"/>
      <c r="E821" s="486"/>
      <c r="F821" s="487" t="e">
        <f>ROUND(SUM(F822:F829),0)</f>
        <v>#REF!</v>
      </c>
    </row>
    <row r="822" spans="1:6">
      <c r="A822" s="529"/>
      <c r="B822" s="165" t="s">
        <v>3229</v>
      </c>
      <c r="C822" s="77" t="s">
        <v>26</v>
      </c>
      <c r="D822" s="571">
        <v>1</v>
      </c>
      <c r="E822" s="390" t="e">
        <f>INSUMOS!#REF!</f>
        <v>#REF!</v>
      </c>
      <c r="F822" s="390" t="e">
        <f>+E822*D822</f>
        <v>#REF!</v>
      </c>
    </row>
    <row r="823" spans="1:6">
      <c r="A823" s="529"/>
      <c r="B823" s="36" t="s">
        <v>3146</v>
      </c>
      <c r="C823" s="77" t="s">
        <v>26</v>
      </c>
      <c r="D823" s="571">
        <v>0.25</v>
      </c>
      <c r="E823" s="390" t="e">
        <f>INSUMOS!#REF!</f>
        <v>#REF!</v>
      </c>
      <c r="F823" s="390" t="e">
        <f t="shared" ref="F823:F829" si="32">+E823*D823</f>
        <v>#REF!</v>
      </c>
    </row>
    <row r="824" spans="1:6">
      <c r="A824" s="529"/>
      <c r="B824" s="36" t="s">
        <v>3004</v>
      </c>
      <c r="C824" s="77" t="s">
        <v>2741</v>
      </c>
      <c r="D824" s="78">
        <v>0.02</v>
      </c>
      <c r="E824" s="390">
        <f>INSUMOS!D107</f>
        <v>70000</v>
      </c>
      <c r="F824" s="390">
        <f t="shared" si="32"/>
        <v>1400</v>
      </c>
    </row>
    <row r="825" spans="1:6">
      <c r="A825" s="529"/>
      <c r="B825" s="36" t="s">
        <v>229</v>
      </c>
      <c r="C825" s="77" t="s">
        <v>68</v>
      </c>
      <c r="D825" s="571">
        <v>0.05</v>
      </c>
      <c r="E825" s="390" t="e">
        <f>SUM(F823:L824)</f>
        <v>#REF!</v>
      </c>
      <c r="F825" s="390" t="e">
        <f t="shared" si="32"/>
        <v>#REF!</v>
      </c>
    </row>
    <row r="826" spans="1:6">
      <c r="A826" s="529"/>
      <c r="B826" s="36" t="s">
        <v>136</v>
      </c>
      <c r="C826" s="77" t="s">
        <v>68</v>
      </c>
      <c r="D826" s="571"/>
      <c r="E826" s="390" t="e">
        <f>SUM(F822:F825)</f>
        <v>#REF!</v>
      </c>
      <c r="F826" s="390" t="e">
        <f t="shared" si="32"/>
        <v>#REF!</v>
      </c>
    </row>
    <row r="827" spans="1:6">
      <c r="A827" s="529"/>
      <c r="B827" s="36" t="s">
        <v>3042</v>
      </c>
      <c r="C827" s="77" t="s">
        <v>153</v>
      </c>
      <c r="D827" s="571">
        <v>5.4545454545454543E-2</v>
      </c>
      <c r="E827" s="390" t="e">
        <f>INSUMOS!#REF!</f>
        <v>#REF!</v>
      </c>
      <c r="F827" s="390" t="e">
        <f t="shared" si="32"/>
        <v>#REF!</v>
      </c>
    </row>
    <row r="828" spans="1:6">
      <c r="A828" s="529"/>
      <c r="B828" s="36" t="s">
        <v>11</v>
      </c>
      <c r="C828" s="77" t="s">
        <v>284</v>
      </c>
      <c r="D828" s="571">
        <v>0.03</v>
      </c>
      <c r="E828" s="303">
        <f>F829</f>
        <v>11760.434097620549</v>
      </c>
      <c r="F828" s="390">
        <f t="shared" si="32"/>
        <v>352.81302292861648</v>
      </c>
    </row>
    <row r="829" spans="1:6">
      <c r="A829" s="529"/>
      <c r="B829" s="36" t="s">
        <v>9</v>
      </c>
      <c r="C829" s="77" t="s">
        <v>10</v>
      </c>
      <c r="D829" s="571">
        <v>0.45</v>
      </c>
      <c r="E829" s="390">
        <f>'VALOR CUADRILLAS MO'!D75</f>
        <v>26134.297994712331</v>
      </c>
      <c r="F829" s="390">
        <f t="shared" si="32"/>
        <v>11760.434097620549</v>
      </c>
    </row>
    <row r="830" spans="1:6">
      <c r="A830" s="529"/>
      <c r="B830" s="165"/>
      <c r="C830" s="77"/>
      <c r="D830" s="445"/>
      <c r="E830" s="396"/>
      <c r="F830" s="396"/>
    </row>
    <row r="831" spans="1:6" ht="19.899999999999999" customHeight="1">
      <c r="A831" s="530" t="s">
        <v>403</v>
      </c>
      <c r="B831" s="454" t="s">
        <v>2804</v>
      </c>
      <c r="C831" s="459"/>
      <c r="D831" s="463"/>
      <c r="E831" s="464"/>
      <c r="F831" s="464"/>
    </row>
    <row r="832" spans="1:6" ht="19.899999999999999" customHeight="1">
      <c r="A832" s="246">
        <f>A821+1</f>
        <v>104</v>
      </c>
      <c r="B832" s="83" t="s">
        <v>2796</v>
      </c>
      <c r="C832" s="76" t="s">
        <v>2797</v>
      </c>
      <c r="D832" s="73"/>
      <c r="E832" s="430"/>
      <c r="F832" s="378" t="e">
        <f>ROUND(SUM(F833:F836),0)</f>
        <v>#REF!</v>
      </c>
    </row>
    <row r="833" spans="1:6">
      <c r="A833" s="529"/>
      <c r="B833" s="165" t="s">
        <v>69</v>
      </c>
      <c r="C833" s="77" t="s">
        <v>124</v>
      </c>
      <c r="D833" s="379">
        <v>1</v>
      </c>
      <c r="E833" s="396" t="e">
        <f>INSUMOS!#REF!</f>
        <v>#REF!</v>
      </c>
      <c r="F833" s="396" t="e">
        <f>+E833*D833</f>
        <v>#REF!</v>
      </c>
    </row>
    <row r="834" spans="1:6">
      <c r="A834" s="529"/>
      <c r="B834" s="165" t="s">
        <v>70</v>
      </c>
      <c r="C834" s="77" t="s">
        <v>71</v>
      </c>
      <c r="D834" s="379">
        <v>1</v>
      </c>
      <c r="E834" s="396" t="e">
        <f>INSUMOS!#REF!</f>
        <v>#REF!</v>
      </c>
      <c r="F834" s="396" t="e">
        <f>+D834*E834</f>
        <v>#REF!</v>
      </c>
    </row>
    <row r="835" spans="1:6">
      <c r="A835" s="529"/>
      <c r="B835" s="165" t="s">
        <v>11</v>
      </c>
      <c r="C835" s="77" t="s">
        <v>284</v>
      </c>
      <c r="D835" s="379">
        <v>0.03</v>
      </c>
      <c r="E835" s="396">
        <f>+F836</f>
        <v>96225.597872876693</v>
      </c>
      <c r="F835" s="396">
        <f>(D835*E835)</f>
        <v>2886.7679361863006</v>
      </c>
    </row>
    <row r="836" spans="1:6">
      <c r="A836" s="529"/>
      <c r="B836" s="165" t="s">
        <v>181</v>
      </c>
      <c r="C836" s="77" t="s">
        <v>10</v>
      </c>
      <c r="D836" s="379">
        <v>10</v>
      </c>
      <c r="E836" s="396">
        <f>BASICOS!D60</f>
        <v>9622.5597872876697</v>
      </c>
      <c r="F836" s="396">
        <f>+D836*E836</f>
        <v>96225.597872876693</v>
      </c>
    </row>
    <row r="837" spans="1:6">
      <c r="A837" s="529"/>
      <c r="B837" s="165"/>
      <c r="C837" s="77"/>
      <c r="D837" s="379"/>
      <c r="E837" s="396"/>
      <c r="F837" s="396"/>
    </row>
    <row r="838" spans="1:6" ht="36.6" customHeight="1">
      <c r="A838" s="246">
        <f>A832+1</f>
        <v>105</v>
      </c>
      <c r="B838" s="83" t="s">
        <v>2798</v>
      </c>
      <c r="C838" s="76" t="s">
        <v>26</v>
      </c>
      <c r="D838" s="73"/>
      <c r="E838" s="430"/>
      <c r="F838" s="378">
        <f>ROUND(SUM(F839:F841),0)</f>
        <v>584768</v>
      </c>
    </row>
    <row r="839" spans="1:6">
      <c r="A839" s="529"/>
      <c r="B839" s="165" t="s">
        <v>2799</v>
      </c>
      <c r="C839" s="77" t="s">
        <v>3074</v>
      </c>
      <c r="D839" s="379">
        <v>3</v>
      </c>
      <c r="E839" s="443">
        <f>INSUMOS!D31</f>
        <v>120000</v>
      </c>
      <c r="F839" s="396">
        <f>+D839*E839</f>
        <v>360000</v>
      </c>
    </row>
    <row r="840" spans="1:6">
      <c r="A840" s="529"/>
      <c r="B840" s="165" t="s">
        <v>11</v>
      </c>
      <c r="C840" s="77" t="s">
        <v>284</v>
      </c>
      <c r="D840" s="379">
        <v>0.03</v>
      </c>
      <c r="E840" s="396">
        <f>+F841</f>
        <v>218221.38825584797</v>
      </c>
      <c r="F840" s="396">
        <f>+D840*E840</f>
        <v>6546.6416476754384</v>
      </c>
    </row>
    <row r="841" spans="1:6">
      <c r="A841" s="529"/>
      <c r="B841" s="165" t="s">
        <v>9</v>
      </c>
      <c r="C841" s="77" t="s">
        <v>10</v>
      </c>
      <c r="D841" s="379">
        <v>8.35</v>
      </c>
      <c r="E841" s="396">
        <f>'VALOR CUADRILLAS MO'!D75</f>
        <v>26134.297994712331</v>
      </c>
      <c r="F841" s="396">
        <f>+D841*E841</f>
        <v>218221.38825584797</v>
      </c>
    </row>
    <row r="842" spans="1:6">
      <c r="A842" s="529"/>
      <c r="B842" s="165"/>
      <c r="C842" s="77"/>
      <c r="D842" s="379"/>
      <c r="E842" s="396"/>
      <c r="F842" s="396"/>
    </row>
    <row r="843" spans="1:6" ht="45.6" customHeight="1">
      <c r="A843" s="246">
        <f>A838+1</f>
        <v>106</v>
      </c>
      <c r="B843" s="83" t="s">
        <v>3075</v>
      </c>
      <c r="C843" s="76" t="s">
        <v>26</v>
      </c>
      <c r="D843" s="73"/>
      <c r="E843" s="430"/>
      <c r="F843" s="378">
        <f>ROUND(SUM(F844:F846),0)</f>
        <v>212365</v>
      </c>
    </row>
    <row r="844" spans="1:6">
      <c r="A844" s="529"/>
      <c r="B844" s="165" t="s">
        <v>2799</v>
      </c>
      <c r="C844" s="77" t="s">
        <v>3074</v>
      </c>
      <c r="D844" s="368">
        <v>1</v>
      </c>
      <c r="E844" s="390">
        <f>INSUMOS!D31</f>
        <v>120000</v>
      </c>
      <c r="F844" s="390">
        <f>D844*E844</f>
        <v>120000</v>
      </c>
    </row>
    <row r="845" spans="1:6">
      <c r="A845" s="529"/>
      <c r="B845" s="36" t="s">
        <v>11</v>
      </c>
      <c r="C845" s="77" t="s">
        <v>284</v>
      </c>
      <c r="D845" s="368">
        <v>0.03</v>
      </c>
      <c r="E845" s="395">
        <f>F846</f>
        <v>89674.616709256414</v>
      </c>
      <c r="F845" s="390">
        <f>D845*E845</f>
        <v>2690.2385012776922</v>
      </c>
    </row>
    <row r="846" spans="1:6">
      <c r="A846" s="529"/>
      <c r="B846" s="36" t="s">
        <v>9</v>
      </c>
      <c r="C846" s="77" t="s">
        <v>10</v>
      </c>
      <c r="D846" s="368">
        <v>3.4312999999999998</v>
      </c>
      <c r="E846" s="390">
        <f>'VALOR CUADRILLAS MO'!D75</f>
        <v>26134.297994712331</v>
      </c>
      <c r="F846" s="390">
        <f>D846*E846</f>
        <v>89674.616709256414</v>
      </c>
    </row>
    <row r="847" spans="1:6">
      <c r="A847" s="529"/>
      <c r="B847" s="165"/>
      <c r="C847" s="77"/>
      <c r="D847" s="379"/>
      <c r="E847" s="396"/>
      <c r="F847" s="396"/>
    </row>
    <row r="848" spans="1:6" ht="61.15" customHeight="1">
      <c r="A848" s="246">
        <f>A843+1</f>
        <v>107</v>
      </c>
      <c r="B848" s="83" t="s">
        <v>2761</v>
      </c>
      <c r="C848" s="76" t="s">
        <v>26</v>
      </c>
      <c r="D848" s="73"/>
      <c r="E848" s="430"/>
      <c r="F848" s="378" t="e">
        <f>ROUND(SUM(F849:F855),0)</f>
        <v>#REF!</v>
      </c>
    </row>
    <row r="849" spans="1:6">
      <c r="A849" s="529"/>
      <c r="B849" s="165" t="s">
        <v>239</v>
      </c>
      <c r="C849" s="77" t="s">
        <v>141</v>
      </c>
      <c r="D849" s="379">
        <v>0.4</v>
      </c>
      <c r="E849" s="396" t="e">
        <f>INSUMOS!#REF!</f>
        <v>#REF!</v>
      </c>
      <c r="F849" s="396" t="e">
        <f>+E849*D849</f>
        <v>#REF!</v>
      </c>
    </row>
    <row r="850" spans="1:6">
      <c r="A850" s="529"/>
      <c r="B850" s="165" t="s">
        <v>240</v>
      </c>
      <c r="C850" s="77" t="s">
        <v>26</v>
      </c>
      <c r="D850" s="379">
        <v>1</v>
      </c>
      <c r="E850" s="396" t="e">
        <f>INSUMOS!#REF!</f>
        <v>#REF!</v>
      </c>
      <c r="F850" s="396" t="e">
        <f>+E850*D850</f>
        <v>#REF!</v>
      </c>
    </row>
    <row r="851" spans="1:6">
      <c r="A851" s="529"/>
      <c r="B851" s="165" t="s">
        <v>162</v>
      </c>
      <c r="C851" s="77" t="s">
        <v>121</v>
      </c>
      <c r="D851" s="379">
        <v>3</v>
      </c>
      <c r="E851" s="396" t="e">
        <f>INSUMOS!#REF!</f>
        <v>#REF!</v>
      </c>
      <c r="F851" s="396" t="e">
        <f>+E851*D851</f>
        <v>#REF!</v>
      </c>
    </row>
    <row r="852" spans="1:6">
      <c r="A852" s="529"/>
      <c r="B852" s="165" t="s">
        <v>229</v>
      </c>
      <c r="C852" s="77" t="s">
        <v>68</v>
      </c>
      <c r="D852" s="379">
        <v>0.05</v>
      </c>
      <c r="E852" s="396" t="e">
        <f>SUM(F850:F851)</f>
        <v>#REF!</v>
      </c>
      <c r="F852" s="396" t="e">
        <f>+D852*E852</f>
        <v>#REF!</v>
      </c>
    </row>
    <row r="853" spans="1:6">
      <c r="A853" s="529"/>
      <c r="B853" s="165" t="s">
        <v>136</v>
      </c>
      <c r="C853" s="77" t="s">
        <v>68</v>
      </c>
      <c r="D853" s="379"/>
      <c r="E853" s="396" t="e">
        <f>SUM(F850:F851)</f>
        <v>#REF!</v>
      </c>
      <c r="F853" s="396" t="e">
        <f>+D853*E853</f>
        <v>#REF!</v>
      </c>
    </row>
    <row r="854" spans="1:6">
      <c r="A854" s="529"/>
      <c r="B854" s="165" t="s">
        <v>11</v>
      </c>
      <c r="C854" s="77" t="s">
        <v>284</v>
      </c>
      <c r="D854" s="379">
        <v>0.03</v>
      </c>
      <c r="E854" s="396">
        <f>+F855</f>
        <v>52268.595989424663</v>
      </c>
      <c r="F854" s="396">
        <f>(D854*E854)</f>
        <v>1568.0578796827399</v>
      </c>
    </row>
    <row r="855" spans="1:6">
      <c r="A855" s="529"/>
      <c r="B855" s="165" t="s">
        <v>9</v>
      </c>
      <c r="C855" s="77" t="s">
        <v>10</v>
      </c>
      <c r="D855" s="379">
        <v>2</v>
      </c>
      <c r="E855" s="396">
        <f>'VALOR CUADRILLAS MO'!D75</f>
        <v>26134.297994712331</v>
      </c>
      <c r="F855" s="396">
        <f>+E855*D855</f>
        <v>52268.595989424663</v>
      </c>
    </row>
    <row r="856" spans="1:6">
      <c r="A856" s="529"/>
      <c r="B856" s="165"/>
      <c r="C856" s="77"/>
      <c r="D856" s="379"/>
      <c r="E856" s="396"/>
      <c r="F856" s="431"/>
    </row>
    <row r="857" spans="1:6" ht="42" customHeight="1">
      <c r="A857" s="246">
        <f>A848+1</f>
        <v>108</v>
      </c>
      <c r="B857" s="83" t="s">
        <v>2762</v>
      </c>
      <c r="C857" s="76" t="s">
        <v>26</v>
      </c>
      <c r="D857" s="73"/>
      <c r="E857" s="430"/>
      <c r="F857" s="378" t="e">
        <f>ROUND(SUM(F858:F864),0)</f>
        <v>#REF!</v>
      </c>
    </row>
    <row r="858" spans="1:6">
      <c r="A858" s="529"/>
      <c r="B858" s="165" t="s">
        <v>117</v>
      </c>
      <c r="C858" s="77" t="s">
        <v>2763</v>
      </c>
      <c r="D858" s="379">
        <v>45</v>
      </c>
      <c r="E858" s="396">
        <f>BASICOS!D11</f>
        <v>65</v>
      </c>
      <c r="F858" s="437">
        <f>D858*E858</f>
        <v>2925</v>
      </c>
    </row>
    <row r="859" spans="1:6">
      <c r="A859" s="529"/>
      <c r="B859" s="165" t="s">
        <v>241</v>
      </c>
      <c r="C859" s="77" t="s">
        <v>26</v>
      </c>
      <c r="D859" s="379">
        <v>1</v>
      </c>
      <c r="E859" s="396" t="e">
        <f>INSUMOS!#REF!</f>
        <v>#REF!</v>
      </c>
      <c r="F859" s="396" t="e">
        <f>+E859*D859</f>
        <v>#REF!</v>
      </c>
    </row>
    <row r="860" spans="1:6">
      <c r="A860" s="529"/>
      <c r="B860" s="165" t="s">
        <v>162</v>
      </c>
      <c r="C860" s="77" t="s">
        <v>121</v>
      </c>
      <c r="D860" s="379">
        <v>0.8</v>
      </c>
      <c r="E860" s="396" t="e">
        <f>INSUMOS!#REF!</f>
        <v>#REF!</v>
      </c>
      <c r="F860" s="396" t="e">
        <f>+E860*D860</f>
        <v>#REF!</v>
      </c>
    </row>
    <row r="861" spans="1:6">
      <c r="A861" s="529"/>
      <c r="B861" s="165" t="s">
        <v>229</v>
      </c>
      <c r="C861" s="77" t="s">
        <v>68</v>
      </c>
      <c r="D861" s="379">
        <v>0.04</v>
      </c>
      <c r="E861" s="396" t="e">
        <f>F858+F860</f>
        <v>#REF!</v>
      </c>
      <c r="F861" s="396" t="e">
        <f>+D861*E861</f>
        <v>#REF!</v>
      </c>
    </row>
    <row r="862" spans="1:6">
      <c r="A862" s="529"/>
      <c r="B862" s="165" t="s">
        <v>136</v>
      </c>
      <c r="C862" s="77" t="s">
        <v>68</v>
      </c>
      <c r="D862" s="379">
        <v>0.03</v>
      </c>
      <c r="E862" s="396" t="e">
        <f>SUM(F858:F860)</f>
        <v>#REF!</v>
      </c>
      <c r="F862" s="396" t="e">
        <f>+D862*E862</f>
        <v>#REF!</v>
      </c>
    </row>
    <row r="863" spans="1:6">
      <c r="A863" s="529"/>
      <c r="B863" s="165" t="s">
        <v>11</v>
      </c>
      <c r="C863" s="77" t="s">
        <v>284</v>
      </c>
      <c r="D863" s="379">
        <v>0.03</v>
      </c>
      <c r="E863" s="396">
        <f>+F864</f>
        <v>23520.868195241099</v>
      </c>
      <c r="F863" s="396">
        <f>(D863*E863)</f>
        <v>705.62604585723295</v>
      </c>
    </row>
    <row r="864" spans="1:6">
      <c r="A864" s="529"/>
      <c r="B864" s="165" t="s">
        <v>9</v>
      </c>
      <c r="C864" s="77" t="s">
        <v>10</v>
      </c>
      <c r="D864" s="379">
        <v>0.9</v>
      </c>
      <c r="E864" s="396">
        <f>'VALOR CUADRILLAS MO'!D75</f>
        <v>26134.297994712331</v>
      </c>
      <c r="F864" s="396">
        <f>+E864*D864</f>
        <v>23520.868195241099</v>
      </c>
    </row>
    <row r="865" spans="1:6">
      <c r="A865" s="529"/>
      <c r="B865" s="165"/>
      <c r="C865" s="77"/>
      <c r="D865" s="379"/>
      <c r="E865" s="396"/>
      <c r="F865" s="431"/>
    </row>
    <row r="866" spans="1:6" ht="19.899999999999999" customHeight="1">
      <c r="A866" s="246">
        <f>A857+1</f>
        <v>109</v>
      </c>
      <c r="B866" s="83" t="s">
        <v>2764</v>
      </c>
      <c r="C866" s="76" t="s">
        <v>26</v>
      </c>
      <c r="D866" s="73"/>
      <c r="E866" s="430"/>
      <c r="F866" s="378" t="e">
        <f>ROUND(SUM(F867:F872),0)</f>
        <v>#REF!</v>
      </c>
    </row>
    <row r="867" spans="1:6">
      <c r="A867" s="529"/>
      <c r="B867" s="165" t="s">
        <v>117</v>
      </c>
      <c r="C867" s="77" t="s">
        <v>2763</v>
      </c>
      <c r="D867" s="379">
        <v>45</v>
      </c>
      <c r="E867" s="396">
        <f>BASICOS!D11</f>
        <v>65</v>
      </c>
      <c r="F867" s="437">
        <f>D867*E867</f>
        <v>2925</v>
      </c>
    </row>
    <row r="868" spans="1:6">
      <c r="A868" s="529"/>
      <c r="B868" s="165" t="s">
        <v>3044</v>
      </c>
      <c r="C868" s="77" t="s">
        <v>26</v>
      </c>
      <c r="D868" s="379">
        <v>1</v>
      </c>
      <c r="E868" s="396" t="e">
        <f>INSUMOS!#REF!</f>
        <v>#REF!</v>
      </c>
      <c r="F868" s="396" t="e">
        <f>+E868*D868</f>
        <v>#REF!</v>
      </c>
    </row>
    <row r="869" spans="1:6">
      <c r="A869" s="529"/>
      <c r="B869" s="165" t="s">
        <v>162</v>
      </c>
      <c r="C869" s="77" t="s">
        <v>121</v>
      </c>
      <c r="D869" s="379">
        <v>0.8</v>
      </c>
      <c r="E869" s="396" t="e">
        <f>INSUMOS!#REF!</f>
        <v>#REF!</v>
      </c>
      <c r="F869" s="396" t="e">
        <f>+E869*D869</f>
        <v>#REF!</v>
      </c>
    </row>
    <row r="870" spans="1:6">
      <c r="A870" s="529"/>
      <c r="B870" s="165" t="s">
        <v>136</v>
      </c>
      <c r="C870" s="77" t="s">
        <v>68</v>
      </c>
      <c r="D870" s="379"/>
      <c r="E870" s="396" t="e">
        <f>SUM(F868:F869)</f>
        <v>#REF!</v>
      </c>
      <c r="F870" s="396" t="e">
        <f>+D870*E870</f>
        <v>#REF!</v>
      </c>
    </row>
    <row r="871" spans="1:6">
      <c r="A871" s="529"/>
      <c r="B871" s="165" t="s">
        <v>11</v>
      </c>
      <c r="C871" s="77" t="s">
        <v>284</v>
      </c>
      <c r="D871" s="379">
        <v>0.03</v>
      </c>
      <c r="E871" s="396">
        <f>+F872</f>
        <v>23520.868195241099</v>
      </c>
      <c r="F871" s="396">
        <f>(D871*E871)</f>
        <v>705.62604585723295</v>
      </c>
    </row>
    <row r="872" spans="1:6">
      <c r="A872" s="529"/>
      <c r="B872" s="165" t="s">
        <v>9</v>
      </c>
      <c r="C872" s="77" t="s">
        <v>10</v>
      </c>
      <c r="D872" s="379">
        <v>0.9</v>
      </c>
      <c r="E872" s="396">
        <f>'VALOR CUADRILLAS MO'!D75</f>
        <v>26134.297994712331</v>
      </c>
      <c r="F872" s="396">
        <f>+D872*E872</f>
        <v>23520.868195241099</v>
      </c>
    </row>
    <row r="873" spans="1:6">
      <c r="A873" s="529"/>
      <c r="B873" s="165"/>
      <c r="C873" s="77"/>
      <c r="D873" s="379"/>
      <c r="E873" s="396"/>
      <c r="F873" s="431"/>
    </row>
    <row r="874" spans="1:6" ht="68.45" customHeight="1">
      <c r="A874" s="246">
        <f>A866+1</f>
        <v>110</v>
      </c>
      <c r="B874" s="83" t="s">
        <v>2765</v>
      </c>
      <c r="C874" s="76" t="s">
        <v>26</v>
      </c>
      <c r="D874" s="73"/>
      <c r="E874" s="430"/>
      <c r="F874" s="378" t="e">
        <f>ROUND(SUM(F875:F882),0)</f>
        <v>#REF!</v>
      </c>
    </row>
    <row r="875" spans="1:6">
      <c r="A875" s="529"/>
      <c r="B875" s="165" t="s">
        <v>234</v>
      </c>
      <c r="C875" s="77" t="s">
        <v>121</v>
      </c>
      <c r="D875" s="379">
        <v>0.105</v>
      </c>
      <c r="E875" s="396">
        <f>BASICOS!E146</f>
        <v>392821</v>
      </c>
      <c r="F875" s="396">
        <f>+E875*D875</f>
        <v>41246.205000000002</v>
      </c>
    </row>
    <row r="876" spans="1:6">
      <c r="A876" s="529"/>
      <c r="B876" s="165" t="s">
        <v>2766</v>
      </c>
      <c r="C876" s="77" t="s">
        <v>144</v>
      </c>
      <c r="D876" s="379">
        <v>11.58</v>
      </c>
      <c r="E876" s="396">
        <f>INSUMOS!D46</f>
        <v>5600</v>
      </c>
      <c r="F876" s="396">
        <f>+E876*D876</f>
        <v>64848</v>
      </c>
    </row>
    <row r="877" spans="1:6">
      <c r="A877" s="529"/>
      <c r="B877" s="165" t="s">
        <v>33</v>
      </c>
      <c r="C877" s="77" t="s">
        <v>32</v>
      </c>
      <c r="D877" s="379">
        <f>+D876*3%</f>
        <v>0.34739999999999999</v>
      </c>
      <c r="E877" s="396">
        <f>INSUMOS!D44</f>
        <v>7066.22</v>
      </c>
      <c r="F877" s="396">
        <f>+D877*E877</f>
        <v>2454.8048279999998</v>
      </c>
    </row>
    <row r="878" spans="1:6">
      <c r="A878" s="529"/>
      <c r="B878" s="165" t="s">
        <v>2767</v>
      </c>
      <c r="C878" s="77" t="s">
        <v>68</v>
      </c>
      <c r="D878" s="379">
        <v>0.05</v>
      </c>
      <c r="E878" s="396">
        <f>SUM(F875:F877)</f>
        <v>108549.00982799999</v>
      </c>
      <c r="F878" s="396">
        <f>+D878*E878</f>
        <v>5427.4504913999999</v>
      </c>
    </row>
    <row r="879" spans="1:6">
      <c r="A879" s="529"/>
      <c r="B879" s="165" t="s">
        <v>136</v>
      </c>
      <c r="C879" s="77" t="s">
        <v>68</v>
      </c>
      <c r="D879" s="379"/>
      <c r="E879" s="396">
        <f>SUM(F875:F878)</f>
        <v>113976.46031939999</v>
      </c>
      <c r="F879" s="396">
        <f>+D879*E879</f>
        <v>0</v>
      </c>
    </row>
    <row r="880" spans="1:6">
      <c r="A880" s="529"/>
      <c r="B880" s="165" t="s">
        <v>3123</v>
      </c>
      <c r="C880" s="77" t="s">
        <v>14</v>
      </c>
      <c r="D880" s="379">
        <v>0.2</v>
      </c>
      <c r="E880" s="396" t="e">
        <f>INSUMOS!#REF!</f>
        <v>#REF!</v>
      </c>
      <c r="F880" s="396" t="e">
        <f>+E880*D880</f>
        <v>#REF!</v>
      </c>
    </row>
    <row r="881" spans="1:6">
      <c r="A881" s="529"/>
      <c r="B881" s="165" t="s">
        <v>11</v>
      </c>
      <c r="C881" s="77" t="s">
        <v>284</v>
      </c>
      <c r="D881" s="379">
        <v>0.03</v>
      </c>
      <c r="E881" s="396">
        <f>+F882</f>
        <v>135898.34957250411</v>
      </c>
      <c r="F881" s="396">
        <f>(D881*E881)</f>
        <v>4076.9504871751233</v>
      </c>
    </row>
    <row r="882" spans="1:6">
      <c r="A882" s="529"/>
      <c r="B882" s="165" t="s">
        <v>9</v>
      </c>
      <c r="C882" s="77" t="s">
        <v>10</v>
      </c>
      <c r="D882" s="379">
        <v>5.2</v>
      </c>
      <c r="E882" s="396">
        <f>'VALOR CUADRILLAS MO'!D75</f>
        <v>26134.297994712331</v>
      </c>
      <c r="F882" s="396">
        <f>+E882*D882</f>
        <v>135898.34957250411</v>
      </c>
    </row>
    <row r="883" spans="1:6">
      <c r="A883" s="529"/>
      <c r="B883" s="165"/>
      <c r="C883" s="77"/>
      <c r="D883" s="379"/>
      <c r="E883" s="396"/>
      <c r="F883" s="431"/>
    </row>
    <row r="884" spans="1:6" ht="139.9" customHeight="1">
      <c r="A884" s="246">
        <f>A874+1</f>
        <v>111</v>
      </c>
      <c r="B884" s="83" t="s">
        <v>2769</v>
      </c>
      <c r="C884" s="76" t="s">
        <v>26</v>
      </c>
      <c r="D884" s="73"/>
      <c r="E884" s="430"/>
      <c r="F884" s="378" t="e">
        <f>ROUND(SUM(F885:F891),0)</f>
        <v>#REF!</v>
      </c>
    </row>
    <row r="885" spans="1:6">
      <c r="A885" s="529"/>
      <c r="B885" s="165" t="s">
        <v>234</v>
      </c>
      <c r="C885" s="77" t="s">
        <v>121</v>
      </c>
      <c r="D885" s="379">
        <v>0.56999999999999995</v>
      </c>
      <c r="E885" s="396">
        <f>BASICOS!E146</f>
        <v>392821</v>
      </c>
      <c r="F885" s="396">
        <f>+E885*D885</f>
        <v>223907.96999999997</v>
      </c>
    </row>
    <row r="886" spans="1:6">
      <c r="A886" s="529"/>
      <c r="B886" s="165" t="s">
        <v>80</v>
      </c>
      <c r="C886" s="77" t="s">
        <v>32</v>
      </c>
      <c r="D886" s="379">
        <v>8.5</v>
      </c>
      <c r="E886" s="396">
        <f>EDIFICACION!F261</f>
        <v>7437</v>
      </c>
      <c r="F886" s="396">
        <f>+E886*D886</f>
        <v>63214.5</v>
      </c>
    </row>
    <row r="887" spans="1:6">
      <c r="A887" s="529"/>
      <c r="B887" s="165" t="s">
        <v>2767</v>
      </c>
      <c r="C887" s="77" t="s">
        <v>68</v>
      </c>
      <c r="D887" s="379">
        <v>0.05</v>
      </c>
      <c r="E887" s="396">
        <f>SUM(F885:F886)</f>
        <v>287122.46999999997</v>
      </c>
      <c r="F887" s="396">
        <f>+D887*E887</f>
        <v>14356.1235</v>
      </c>
    </row>
    <row r="888" spans="1:6">
      <c r="A888" s="529"/>
      <c r="B888" s="165" t="s">
        <v>136</v>
      </c>
      <c r="C888" s="77" t="s">
        <v>68</v>
      </c>
      <c r="D888" s="379"/>
      <c r="E888" s="396">
        <f>SUM(F885:F887)</f>
        <v>301478.59349999996</v>
      </c>
      <c r="F888" s="396">
        <f>+D888*E888</f>
        <v>0</v>
      </c>
    </row>
    <row r="889" spans="1:6">
      <c r="A889" s="529"/>
      <c r="B889" s="165" t="s">
        <v>2768</v>
      </c>
      <c r="C889" s="77" t="s">
        <v>237</v>
      </c>
      <c r="D889" s="379">
        <v>0.5</v>
      </c>
      <c r="E889" s="396" t="e">
        <f>+E880</f>
        <v>#REF!</v>
      </c>
      <c r="F889" s="396" t="e">
        <f>+E889*D889</f>
        <v>#REF!</v>
      </c>
    </row>
    <row r="890" spans="1:6">
      <c r="A890" s="529"/>
      <c r="B890" s="165" t="s">
        <v>11</v>
      </c>
      <c r="C890" s="77" t="s">
        <v>284</v>
      </c>
      <c r="D890" s="379">
        <v>0.03</v>
      </c>
      <c r="E890" s="396">
        <f>+F891</f>
        <v>70562.604585723297</v>
      </c>
      <c r="F890" s="396">
        <f>(D890*E890)</f>
        <v>2116.878137571699</v>
      </c>
    </row>
    <row r="891" spans="1:6">
      <c r="A891" s="529"/>
      <c r="B891" s="165" t="s">
        <v>9</v>
      </c>
      <c r="C891" s="77" t="s">
        <v>10</v>
      </c>
      <c r="D891" s="379">
        <v>2.7</v>
      </c>
      <c r="E891" s="396">
        <f>'VALOR CUADRILLAS MO'!D75</f>
        <v>26134.297994712331</v>
      </c>
      <c r="F891" s="396">
        <f>+E891*D891</f>
        <v>70562.604585723297</v>
      </c>
    </row>
    <row r="892" spans="1:6">
      <c r="A892" s="529"/>
      <c r="B892" s="165"/>
      <c r="C892" s="77"/>
      <c r="D892" s="379"/>
      <c r="E892" s="396"/>
      <c r="F892" s="431"/>
    </row>
    <row r="893" spans="1:6" ht="19.899999999999999" customHeight="1">
      <c r="A893" s="246">
        <f>A884+1</f>
        <v>112</v>
      </c>
      <c r="B893" s="83" t="s">
        <v>2811</v>
      </c>
      <c r="C893" s="76" t="s">
        <v>121</v>
      </c>
      <c r="D893" s="73"/>
      <c r="E893" s="430"/>
      <c r="F893" s="378" t="e">
        <f>SUM(F894:F898)</f>
        <v>#REF!</v>
      </c>
    </row>
    <row r="894" spans="1:6">
      <c r="A894" s="529"/>
      <c r="B894" s="165" t="s">
        <v>162</v>
      </c>
      <c r="C894" s="77" t="s">
        <v>121</v>
      </c>
      <c r="D894" s="379">
        <v>1</v>
      </c>
      <c r="E894" s="396" t="e">
        <f>INSUMOS!#REF!</f>
        <v>#REF!</v>
      </c>
      <c r="F894" s="396" t="e">
        <f>+E894*D894</f>
        <v>#REF!</v>
      </c>
    </row>
    <row r="895" spans="1:6">
      <c r="A895" s="529"/>
      <c r="B895" s="165" t="s">
        <v>2767</v>
      </c>
      <c r="C895" s="77" t="s">
        <v>68</v>
      </c>
      <c r="D895" s="379">
        <v>0.05</v>
      </c>
      <c r="E895" s="396" t="e">
        <f>SUM(F894)</f>
        <v>#REF!</v>
      </c>
      <c r="F895" s="396" t="e">
        <f>+D895*E895</f>
        <v>#REF!</v>
      </c>
    </row>
    <row r="896" spans="1:6">
      <c r="A896" s="529"/>
      <c r="B896" s="165" t="s">
        <v>136</v>
      </c>
      <c r="C896" s="77" t="s">
        <v>68</v>
      </c>
      <c r="D896" s="379"/>
      <c r="E896" s="396" t="e">
        <f>SUM(F894:F895)</f>
        <v>#REF!</v>
      </c>
      <c r="F896" s="396" t="e">
        <f>+D896*E896</f>
        <v>#REF!</v>
      </c>
    </row>
    <row r="897" spans="1:6">
      <c r="A897" s="529"/>
      <c r="B897" s="165" t="s">
        <v>11</v>
      </c>
      <c r="C897" s="77" t="s">
        <v>284</v>
      </c>
      <c r="D897" s="379">
        <v>0.03</v>
      </c>
      <c r="E897" s="396">
        <f>+F898</f>
        <v>13067.148997356166</v>
      </c>
      <c r="F897" s="396">
        <f>(D897*E897)</f>
        <v>392.01446992068497</v>
      </c>
    </row>
    <row r="898" spans="1:6">
      <c r="A898" s="529"/>
      <c r="B898" s="165" t="s">
        <v>9</v>
      </c>
      <c r="C898" s="77" t="s">
        <v>10</v>
      </c>
      <c r="D898" s="379">
        <v>0.5</v>
      </c>
      <c r="E898" s="396">
        <f>'VALOR CUADRILLAS MO'!D75</f>
        <v>26134.297994712331</v>
      </c>
      <c r="F898" s="396">
        <f>+E898*D898</f>
        <v>13067.148997356166</v>
      </c>
    </row>
    <row r="899" spans="1:6">
      <c r="A899" s="529"/>
      <c r="B899" s="165"/>
      <c r="C899" s="77"/>
      <c r="D899" s="379"/>
      <c r="E899" s="396"/>
      <c r="F899" s="431"/>
    </row>
    <row r="900" spans="1:6" ht="30" customHeight="1">
      <c r="A900" s="246">
        <f>A893+1</f>
        <v>113</v>
      </c>
      <c r="B900" s="83" t="s">
        <v>2770</v>
      </c>
      <c r="C900" s="76" t="s">
        <v>119</v>
      </c>
      <c r="D900" s="73"/>
      <c r="E900" s="430"/>
      <c r="F900" s="378" t="e">
        <f>ROUND(SUM(F901:F907),0)</f>
        <v>#REF!</v>
      </c>
    </row>
    <row r="901" spans="1:6">
      <c r="A901" s="529"/>
      <c r="B901" s="165" t="s">
        <v>117</v>
      </c>
      <c r="C901" s="77" t="s">
        <v>2763</v>
      </c>
      <c r="D901" s="379">
        <v>45</v>
      </c>
      <c r="E901" s="396">
        <f>BASICOS!D11</f>
        <v>65</v>
      </c>
      <c r="F901" s="396">
        <f>+E901*D901</f>
        <v>2925</v>
      </c>
    </row>
    <row r="902" spans="1:6">
      <c r="A902" s="529"/>
      <c r="B902" s="165" t="s">
        <v>2771</v>
      </c>
      <c r="C902" s="77" t="s">
        <v>119</v>
      </c>
      <c r="D902" s="379">
        <v>1</v>
      </c>
      <c r="E902" s="436" t="e">
        <f>INSUMOS!#REF!</f>
        <v>#REF!</v>
      </c>
      <c r="F902" s="396" t="e">
        <f>+E902*D902</f>
        <v>#REF!</v>
      </c>
    </row>
    <row r="903" spans="1:6">
      <c r="A903" s="529"/>
      <c r="B903" s="165" t="s">
        <v>2772</v>
      </c>
      <c r="C903" s="77" t="s">
        <v>121</v>
      </c>
      <c r="D903" s="379">
        <v>7.0000000000000007E-2</v>
      </c>
      <c r="E903" s="396" t="e">
        <f>INSUMOS!#REF!</f>
        <v>#REF!</v>
      </c>
      <c r="F903" s="396" t="e">
        <f>+E903*D903</f>
        <v>#REF!</v>
      </c>
    </row>
    <row r="904" spans="1:6">
      <c r="A904" s="529"/>
      <c r="B904" s="165" t="s">
        <v>136</v>
      </c>
      <c r="C904" s="77" t="s">
        <v>68</v>
      </c>
      <c r="D904" s="379"/>
      <c r="E904" s="396" t="e">
        <f>SUM(F901:F903)</f>
        <v>#REF!</v>
      </c>
      <c r="F904" s="396" t="e">
        <f>+D904*E904</f>
        <v>#REF!</v>
      </c>
    </row>
    <row r="905" spans="1:6">
      <c r="A905" s="529"/>
      <c r="B905" s="165" t="s">
        <v>243</v>
      </c>
      <c r="C905" s="77" t="s">
        <v>26</v>
      </c>
      <c r="D905" s="433">
        <v>2.0000000000000001E-4</v>
      </c>
      <c r="E905" s="396" t="e">
        <f>INSUMOS!#REF!</f>
        <v>#REF!</v>
      </c>
      <c r="F905" s="396" t="e">
        <f>+E905*D905</f>
        <v>#REF!</v>
      </c>
    </row>
    <row r="906" spans="1:6">
      <c r="A906" s="529"/>
      <c r="B906" s="165" t="s">
        <v>11</v>
      </c>
      <c r="C906" s="77" t="s">
        <v>284</v>
      </c>
      <c r="D906" s="379">
        <v>0.03</v>
      </c>
      <c r="E906" s="396">
        <f>+F907</f>
        <v>13067.148997356166</v>
      </c>
      <c r="F906" s="396">
        <f>(D906*E906)</f>
        <v>392.01446992068497</v>
      </c>
    </row>
    <row r="907" spans="1:6">
      <c r="A907" s="529"/>
      <c r="B907" s="165" t="s">
        <v>2773</v>
      </c>
      <c r="C907" s="77" t="s">
        <v>10</v>
      </c>
      <c r="D907" s="379">
        <v>0.5</v>
      </c>
      <c r="E907" s="396">
        <f>'VALOR CUADRILLAS MO'!D75</f>
        <v>26134.297994712331</v>
      </c>
      <c r="F907" s="396">
        <f>+D907*E907</f>
        <v>13067.148997356166</v>
      </c>
    </row>
    <row r="908" spans="1:6">
      <c r="A908" s="529"/>
      <c r="B908" s="165"/>
      <c r="C908" s="77"/>
      <c r="D908" s="379"/>
      <c r="E908" s="396"/>
      <c r="F908" s="431"/>
    </row>
    <row r="909" spans="1:6" ht="34.9" customHeight="1">
      <c r="A909" s="246">
        <f>A900+1</f>
        <v>114</v>
      </c>
      <c r="B909" s="83" t="s">
        <v>2774</v>
      </c>
      <c r="C909" s="76" t="s">
        <v>119</v>
      </c>
      <c r="D909" s="73"/>
      <c r="E909" s="430"/>
      <c r="F909" s="378" t="e">
        <f>ROUND(SUM(F910:F915),0)</f>
        <v>#REF!</v>
      </c>
    </row>
    <row r="910" spans="1:6">
      <c r="A910" s="529"/>
      <c r="B910" s="165" t="s">
        <v>117</v>
      </c>
      <c r="C910" s="77" t="s">
        <v>2763</v>
      </c>
      <c r="D910" s="379">
        <v>45</v>
      </c>
      <c r="E910" s="396">
        <f>BASICOS!D11</f>
        <v>65</v>
      </c>
      <c r="F910" s="396">
        <f>+E910*D910</f>
        <v>2925</v>
      </c>
    </row>
    <row r="911" spans="1:6">
      <c r="A911" s="529"/>
      <c r="B911" s="165" t="s">
        <v>242</v>
      </c>
      <c r="C911" s="77" t="s">
        <v>119</v>
      </c>
      <c r="D911" s="379">
        <v>1</v>
      </c>
      <c r="E911" s="438" t="e">
        <f>INSUMOS!#REF!</f>
        <v>#REF!</v>
      </c>
      <c r="F911" s="396" t="e">
        <f>+E911*D911</f>
        <v>#REF!</v>
      </c>
    </row>
    <row r="912" spans="1:6">
      <c r="A912" s="529"/>
      <c r="B912" s="165" t="s">
        <v>2772</v>
      </c>
      <c r="C912" s="77" t="s">
        <v>121</v>
      </c>
      <c r="D912" s="379">
        <v>7.0000000000000007E-2</v>
      </c>
      <c r="E912" s="396" t="e">
        <f>INSUMOS!#REF!</f>
        <v>#REF!</v>
      </c>
      <c r="F912" s="396" t="e">
        <f>+E912*D912</f>
        <v>#REF!</v>
      </c>
    </row>
    <row r="913" spans="1:6">
      <c r="A913" s="529"/>
      <c r="B913" s="165" t="s">
        <v>136</v>
      </c>
      <c r="C913" s="77" t="s">
        <v>68</v>
      </c>
      <c r="D913" s="379"/>
      <c r="E913" s="396" t="e">
        <f>SUM(F910:F912)</f>
        <v>#REF!</v>
      </c>
      <c r="F913" s="396" t="e">
        <f>+D913*E913</f>
        <v>#REF!</v>
      </c>
    </row>
    <row r="914" spans="1:6">
      <c r="A914" s="529"/>
      <c r="B914" s="165" t="s">
        <v>243</v>
      </c>
      <c r="C914" s="77" t="s">
        <v>26</v>
      </c>
      <c r="D914" s="433">
        <v>2.0000000000000001E-4</v>
      </c>
      <c r="E914" s="396" t="e">
        <f>INSUMOS!#REF!</f>
        <v>#REF!</v>
      </c>
      <c r="F914" s="396" t="e">
        <f>+E914*D914</f>
        <v>#REF!</v>
      </c>
    </row>
    <row r="915" spans="1:6">
      <c r="A915" s="529"/>
      <c r="B915" s="165" t="s">
        <v>9</v>
      </c>
      <c r="C915" s="77" t="s">
        <v>10</v>
      </c>
      <c r="D915" s="379">
        <v>0.35</v>
      </c>
      <c r="E915" s="396">
        <f>'VALOR CUADRILLAS MO'!D75</f>
        <v>26134.297994712331</v>
      </c>
      <c r="F915" s="396">
        <f>+D915*E915</f>
        <v>9147.0042981493152</v>
      </c>
    </row>
    <row r="916" spans="1:6">
      <c r="A916" s="529"/>
      <c r="B916" s="165"/>
      <c r="C916" s="77"/>
      <c r="D916" s="379"/>
      <c r="E916" s="396"/>
      <c r="F916" s="431"/>
    </row>
    <row r="917" spans="1:6" ht="36.6" customHeight="1">
      <c r="A917" s="246">
        <f>A909+1</f>
        <v>115</v>
      </c>
      <c r="B917" s="83" t="s">
        <v>3076</v>
      </c>
      <c r="C917" s="76" t="s">
        <v>21</v>
      </c>
      <c r="D917" s="73"/>
      <c r="E917" s="430"/>
      <c r="F917" s="378" t="e">
        <f>ROUND(SUM(F918:F926),0)</f>
        <v>#REF!</v>
      </c>
    </row>
    <row r="918" spans="1:6">
      <c r="A918" s="529"/>
      <c r="B918" s="36" t="s">
        <v>3077</v>
      </c>
      <c r="C918" s="77" t="s">
        <v>21</v>
      </c>
      <c r="D918" s="368">
        <v>1</v>
      </c>
      <c r="E918" s="390">
        <f>+INSUMOS!D68</f>
        <v>23460.85</v>
      </c>
      <c r="F918" s="390">
        <f t="shared" ref="F918:F926" si="33">D918*E918</f>
        <v>23460.85</v>
      </c>
    </row>
    <row r="919" spans="1:6">
      <c r="A919" s="529"/>
      <c r="B919" s="36" t="s">
        <v>3078</v>
      </c>
      <c r="C919" s="77" t="s">
        <v>26</v>
      </c>
      <c r="D919" s="368">
        <v>0.1</v>
      </c>
      <c r="E919" s="395">
        <f>+INSUMOS!D71</f>
        <v>7109.06</v>
      </c>
      <c r="F919" s="390">
        <f t="shared" si="33"/>
        <v>710.90600000000006</v>
      </c>
    </row>
    <row r="920" spans="1:6">
      <c r="A920" s="529"/>
      <c r="B920" s="36" t="s">
        <v>3079</v>
      </c>
      <c r="C920" s="77" t="s">
        <v>26</v>
      </c>
      <c r="D920" s="368">
        <v>0.1</v>
      </c>
      <c r="E920" s="390">
        <f>INSUMOS!D73</f>
        <v>94253.95</v>
      </c>
      <c r="F920" s="390">
        <f t="shared" si="33"/>
        <v>9425.3950000000004</v>
      </c>
    </row>
    <row r="921" spans="1:6">
      <c r="A921" s="529"/>
      <c r="B921" s="36" t="s">
        <v>3080</v>
      </c>
      <c r="C921" s="77" t="s">
        <v>119</v>
      </c>
      <c r="D921" s="368">
        <v>2</v>
      </c>
      <c r="E921" s="395" t="e">
        <f>INSUMOS!#REF!</f>
        <v>#REF!</v>
      </c>
      <c r="F921" s="390" t="e">
        <f t="shared" si="33"/>
        <v>#REF!</v>
      </c>
    </row>
    <row r="922" spans="1:6">
      <c r="A922" s="529"/>
      <c r="B922" s="36" t="s">
        <v>743</v>
      </c>
      <c r="C922" s="77" t="s">
        <v>75</v>
      </c>
      <c r="D922" s="368">
        <v>0.16</v>
      </c>
      <c r="E922" s="390">
        <f>BASICOS!D10</f>
        <v>88160</v>
      </c>
      <c r="F922" s="390">
        <f t="shared" si="33"/>
        <v>14105.6</v>
      </c>
    </row>
    <row r="923" spans="1:6">
      <c r="A923" s="529"/>
      <c r="B923" s="36" t="s">
        <v>229</v>
      </c>
      <c r="C923" s="77" t="s">
        <v>68</v>
      </c>
      <c r="D923" s="368">
        <v>0.05</v>
      </c>
      <c r="E923" s="395" t="e">
        <f>SUM(F920:F922)</f>
        <v>#REF!</v>
      </c>
      <c r="F923" s="390" t="e">
        <f t="shared" si="33"/>
        <v>#REF!</v>
      </c>
    </row>
    <row r="924" spans="1:6">
      <c r="A924" s="529"/>
      <c r="B924" s="36" t="s">
        <v>136</v>
      </c>
      <c r="C924" s="77" t="s">
        <v>68</v>
      </c>
      <c r="D924" s="368"/>
      <c r="E924" s="390" t="e">
        <f>SUM(F920:F923)</f>
        <v>#REF!</v>
      </c>
      <c r="F924" s="390" t="e">
        <f t="shared" si="33"/>
        <v>#REF!</v>
      </c>
    </row>
    <row r="925" spans="1:6">
      <c r="A925" s="529"/>
      <c r="B925" s="36" t="s">
        <v>11</v>
      </c>
      <c r="C925" s="77" t="s">
        <v>183</v>
      </c>
      <c r="D925" s="368">
        <v>0.5</v>
      </c>
      <c r="E925" s="395">
        <f>+F926</f>
        <v>12936.477507382604</v>
      </c>
      <c r="F925" s="390">
        <f t="shared" si="33"/>
        <v>6468.238753691302</v>
      </c>
    </row>
    <row r="926" spans="1:6">
      <c r="A926" s="529"/>
      <c r="B926" s="36" t="s">
        <v>38</v>
      </c>
      <c r="C926" s="77" t="s">
        <v>141</v>
      </c>
      <c r="D926" s="368">
        <v>0.45</v>
      </c>
      <c r="E926" s="390">
        <f>'VALOR CUADRILLAS MO'!D89</f>
        <v>28747.727794183564</v>
      </c>
      <c r="F926" s="390">
        <f t="shared" si="33"/>
        <v>12936.477507382604</v>
      </c>
    </row>
    <row r="927" spans="1:6">
      <c r="A927" s="529"/>
      <c r="B927" s="165"/>
      <c r="C927" s="77"/>
      <c r="D927" s="379"/>
      <c r="E927" s="396"/>
      <c r="F927" s="431"/>
    </row>
    <row r="928" spans="1:6" ht="19.899999999999999" customHeight="1">
      <c r="A928" s="246">
        <f>A917+1</f>
        <v>116</v>
      </c>
      <c r="B928" s="83" t="s">
        <v>2775</v>
      </c>
      <c r="C928" s="76" t="s">
        <v>26</v>
      </c>
      <c r="D928" s="73"/>
      <c r="E928" s="430"/>
      <c r="F928" s="378">
        <f>ROUND(SUM(F929:F930),0)</f>
        <v>26918</v>
      </c>
    </row>
    <row r="929" spans="1:6">
      <c r="A929" s="529"/>
      <c r="B929" s="165" t="s">
        <v>11</v>
      </c>
      <c r="C929" s="77" t="s">
        <v>284</v>
      </c>
      <c r="D929" s="379">
        <v>0.03</v>
      </c>
      <c r="E929" s="396">
        <f>+F930</f>
        <v>26134.297994712331</v>
      </c>
      <c r="F929" s="396">
        <f>(D929*E929)</f>
        <v>784.02893984136995</v>
      </c>
    </row>
    <row r="930" spans="1:6">
      <c r="A930" s="529"/>
      <c r="B930" s="165" t="s">
        <v>9</v>
      </c>
      <c r="C930" s="77" t="s">
        <v>10</v>
      </c>
      <c r="D930" s="379">
        <v>1</v>
      </c>
      <c r="E930" s="396">
        <f>'VALOR CUADRILLAS MO'!D75</f>
        <v>26134.297994712331</v>
      </c>
      <c r="F930" s="396">
        <f>+E930*D930</f>
        <v>26134.297994712331</v>
      </c>
    </row>
    <row r="931" spans="1:6">
      <c r="A931" s="529"/>
      <c r="B931" s="165"/>
      <c r="C931" s="77"/>
      <c r="D931" s="379"/>
      <c r="E931" s="396"/>
      <c r="F931" s="396"/>
    </row>
    <row r="932" spans="1:6" ht="24.6" customHeight="1">
      <c r="A932" s="246">
        <f>A928+1</f>
        <v>117</v>
      </c>
      <c r="B932" s="83" t="s">
        <v>2776</v>
      </c>
      <c r="C932" s="76" t="s">
        <v>26</v>
      </c>
      <c r="D932" s="73"/>
      <c r="E932" s="430"/>
      <c r="F932" s="378">
        <f>ROUND(SUM(F933:F934),0)</f>
        <v>26918</v>
      </c>
    </row>
    <row r="933" spans="1:6">
      <c r="A933" s="529"/>
      <c r="B933" s="165" t="s">
        <v>11</v>
      </c>
      <c r="C933" s="77" t="s">
        <v>284</v>
      </c>
      <c r="D933" s="379">
        <v>0.03</v>
      </c>
      <c r="E933" s="396">
        <f>+F934</f>
        <v>26134.297994712331</v>
      </c>
      <c r="F933" s="396">
        <f>(D933*E933)</f>
        <v>784.02893984136995</v>
      </c>
    </row>
    <row r="934" spans="1:6">
      <c r="A934" s="529"/>
      <c r="B934" s="165" t="s">
        <v>9</v>
      </c>
      <c r="C934" s="77" t="s">
        <v>10</v>
      </c>
      <c r="D934" s="379">
        <v>1</v>
      </c>
      <c r="E934" s="396">
        <f>'VALOR CUADRILLAS MO'!D75</f>
        <v>26134.297994712331</v>
      </c>
      <c r="F934" s="396">
        <f>+E934*D934</f>
        <v>26134.297994712331</v>
      </c>
    </row>
    <row r="935" spans="1:6">
      <c r="A935" s="529"/>
      <c r="B935" s="165"/>
      <c r="C935" s="77"/>
      <c r="D935" s="379"/>
      <c r="E935" s="396"/>
      <c r="F935" s="431"/>
    </row>
    <row r="936" spans="1:6" ht="67.900000000000006" customHeight="1">
      <c r="A936" s="246">
        <f>A932+1</f>
        <v>118</v>
      </c>
      <c r="B936" s="83" t="s">
        <v>2777</v>
      </c>
      <c r="C936" s="76" t="s">
        <v>121</v>
      </c>
      <c r="D936" s="73"/>
      <c r="E936" s="430"/>
      <c r="F936" s="378" t="e">
        <f>ROUND(SUM(F937:F945),0)</f>
        <v>#REF!</v>
      </c>
    </row>
    <row r="937" spans="1:6" ht="51">
      <c r="A937" s="529"/>
      <c r="B937" s="165" t="s">
        <v>2778</v>
      </c>
      <c r="C937" s="77" t="s">
        <v>120</v>
      </c>
      <c r="D937" s="379">
        <v>4</v>
      </c>
      <c r="E937" s="396" t="e">
        <f>INSUMOS!#REF!</f>
        <v>#REF!</v>
      </c>
      <c r="F937" s="396" t="e">
        <f>+E937*D937</f>
        <v>#REF!</v>
      </c>
    </row>
    <row r="938" spans="1:6">
      <c r="A938" s="529"/>
      <c r="B938" s="165" t="s">
        <v>234</v>
      </c>
      <c r="C938" s="77" t="s">
        <v>121</v>
      </c>
      <c r="D938" s="379">
        <v>1.03</v>
      </c>
      <c r="E938" s="396">
        <f>BASICOS!E146</f>
        <v>392821</v>
      </c>
      <c r="F938" s="396">
        <f>+E938*D938</f>
        <v>404605.63</v>
      </c>
    </row>
    <row r="939" spans="1:6">
      <c r="A939" s="529"/>
      <c r="B939" s="165" t="s">
        <v>2779</v>
      </c>
      <c r="C939" s="77" t="s">
        <v>146</v>
      </c>
      <c r="D939" s="379">
        <v>0.85</v>
      </c>
      <c r="E939" s="396" t="e">
        <f>INSUMOS!#REF!</f>
        <v>#REF!</v>
      </c>
      <c r="F939" s="396" t="e">
        <f>+E939*D939</f>
        <v>#REF!</v>
      </c>
    </row>
    <row r="940" spans="1:6">
      <c r="A940" s="529"/>
      <c r="B940" s="165" t="s">
        <v>229</v>
      </c>
      <c r="C940" s="77" t="s">
        <v>68</v>
      </c>
      <c r="D940" s="379">
        <v>0.05</v>
      </c>
      <c r="E940" s="396" t="e">
        <f>SUM(F937:F939)</f>
        <v>#REF!</v>
      </c>
      <c r="F940" s="396" t="e">
        <f>+D940*E940</f>
        <v>#REF!</v>
      </c>
    </row>
    <row r="941" spans="1:6">
      <c r="A941" s="529"/>
      <c r="B941" s="165" t="s">
        <v>136</v>
      </c>
      <c r="C941" s="77" t="s">
        <v>68</v>
      </c>
      <c r="D941" s="379"/>
      <c r="E941" s="396" t="e">
        <f>SUM(F937:F940)</f>
        <v>#REF!</v>
      </c>
      <c r="F941" s="396" t="e">
        <f>+D941*E941</f>
        <v>#REF!</v>
      </c>
    </row>
    <row r="942" spans="1:6">
      <c r="A942" s="529"/>
      <c r="B942" s="165" t="s">
        <v>3124</v>
      </c>
      <c r="C942" s="77" t="s">
        <v>26</v>
      </c>
      <c r="D942" s="379">
        <v>1</v>
      </c>
      <c r="E942" s="396" t="e">
        <f>INSUMOS!#REF!</f>
        <v>#REF!</v>
      </c>
      <c r="F942" s="396" t="e">
        <f>+E942*D942</f>
        <v>#REF!</v>
      </c>
    </row>
    <row r="943" spans="1:6">
      <c r="A943" s="529"/>
      <c r="B943" s="165" t="s">
        <v>231</v>
      </c>
      <c r="C943" s="77" t="s">
        <v>142</v>
      </c>
      <c r="D943" s="379">
        <v>0.1</v>
      </c>
      <c r="E943" s="396">
        <f>BASICOS!D42</f>
        <v>136480.47829830134</v>
      </c>
      <c r="F943" s="396">
        <f>+E943*D943</f>
        <v>13648.047829830135</v>
      </c>
    </row>
    <row r="944" spans="1:6">
      <c r="A944" s="529"/>
      <c r="B944" s="165" t="s">
        <v>11</v>
      </c>
      <c r="C944" s="77" t="s">
        <v>284</v>
      </c>
      <c r="D944" s="379">
        <v>0.03</v>
      </c>
      <c r="E944" s="396">
        <f>+F945</f>
        <v>104537.19197884933</v>
      </c>
      <c r="F944" s="396">
        <f>(D944*E944)</f>
        <v>3136.1157593654798</v>
      </c>
    </row>
    <row r="945" spans="1:13">
      <c r="A945" s="529"/>
      <c r="B945" s="165" t="s">
        <v>9</v>
      </c>
      <c r="C945" s="77" t="s">
        <v>10</v>
      </c>
      <c r="D945" s="379">
        <v>4</v>
      </c>
      <c r="E945" s="396">
        <f>'VALOR CUADRILLAS MO'!D75</f>
        <v>26134.297994712331</v>
      </c>
      <c r="F945" s="396">
        <f>+E945*D945</f>
        <v>104537.19197884933</v>
      </c>
    </row>
    <row r="946" spans="1:13">
      <c r="A946" s="529"/>
      <c r="B946" s="165"/>
      <c r="C946" s="77"/>
      <c r="D946" s="379"/>
      <c r="E946" s="396"/>
      <c r="F946" s="431"/>
    </row>
    <row r="947" spans="1:13" ht="25.5">
      <c r="A947" s="246">
        <f>A936+1</f>
        <v>119</v>
      </c>
      <c r="B947" s="83" t="s">
        <v>2785</v>
      </c>
      <c r="C947" s="76" t="s">
        <v>26</v>
      </c>
      <c r="D947" s="73"/>
      <c r="E947" s="430"/>
      <c r="F947" s="378" t="e">
        <f>ROUND(SUM(F948:F953),0)</f>
        <v>#REF!</v>
      </c>
      <c r="M947" s="536"/>
    </row>
    <row r="948" spans="1:13">
      <c r="A948" s="529"/>
      <c r="B948" s="165" t="s">
        <v>3065</v>
      </c>
      <c r="C948" s="77" t="s">
        <v>26</v>
      </c>
      <c r="D948" s="379">
        <v>1</v>
      </c>
      <c r="E948" s="396" t="e">
        <f>INSUMOS!#REF!</f>
        <v>#REF!</v>
      </c>
      <c r="F948" s="396" t="e">
        <f>+E948*D948</f>
        <v>#REF!</v>
      </c>
    </row>
    <row r="949" spans="1:13">
      <c r="A949" s="529"/>
      <c r="B949" s="165" t="s">
        <v>2648</v>
      </c>
      <c r="C949" s="77" t="s">
        <v>121</v>
      </c>
      <c r="D949" s="379">
        <v>1.6E-2</v>
      </c>
      <c r="E949" s="396">
        <f>BASICOS!E146</f>
        <v>392821</v>
      </c>
      <c r="F949" s="396">
        <f>+E949*D949</f>
        <v>6285.1360000000004</v>
      </c>
    </row>
    <row r="950" spans="1:13">
      <c r="A950" s="529"/>
      <c r="B950" s="165" t="s">
        <v>229</v>
      </c>
      <c r="C950" s="77" t="s">
        <v>68</v>
      </c>
      <c r="D950" s="379">
        <v>0.05</v>
      </c>
      <c r="E950" s="396">
        <f>SUM(F949)</f>
        <v>6285.1360000000004</v>
      </c>
      <c r="F950" s="396">
        <f>+D950*E950</f>
        <v>314.25680000000006</v>
      </c>
    </row>
    <row r="951" spans="1:13">
      <c r="A951" s="529"/>
      <c r="B951" s="165" t="s">
        <v>136</v>
      </c>
      <c r="C951" s="77" t="s">
        <v>26</v>
      </c>
      <c r="D951" s="439"/>
      <c r="E951" s="390" t="e">
        <f>SUM(F948:F950)</f>
        <v>#REF!</v>
      </c>
      <c r="F951" s="437" t="e">
        <f>D951*E951</f>
        <v>#REF!</v>
      </c>
    </row>
    <row r="952" spans="1:13">
      <c r="A952" s="529"/>
      <c r="B952" s="165" t="s">
        <v>11</v>
      </c>
      <c r="C952" s="77" t="s">
        <v>284</v>
      </c>
      <c r="D952" s="379">
        <v>0.03</v>
      </c>
      <c r="E952" s="396">
        <f>+F953</f>
        <v>19600.723496034247</v>
      </c>
      <c r="F952" s="396">
        <f>(D952*E952)</f>
        <v>588.0217048810274</v>
      </c>
    </row>
    <row r="953" spans="1:13">
      <c r="A953" s="529"/>
      <c r="B953" s="165" t="s">
        <v>9</v>
      </c>
      <c r="C953" s="77" t="s">
        <v>10</v>
      </c>
      <c r="D953" s="379">
        <v>0.75</v>
      </c>
      <c r="E953" s="396">
        <f>'VALOR CUADRILLAS MO'!D75</f>
        <v>26134.297994712331</v>
      </c>
      <c r="F953" s="396">
        <f>+D953*E953</f>
        <v>19600.723496034247</v>
      </c>
    </row>
    <row r="954" spans="1:13">
      <c r="A954" s="529"/>
      <c r="B954" s="165"/>
      <c r="C954" s="77"/>
      <c r="D954" s="379"/>
      <c r="E954" s="396"/>
      <c r="F954" s="431"/>
    </row>
    <row r="955" spans="1:13" ht="58.9" customHeight="1">
      <c r="A955" s="246">
        <f>A947+1</f>
        <v>120</v>
      </c>
      <c r="B955" s="83" t="s">
        <v>3067</v>
      </c>
      <c r="C955" s="76" t="s">
        <v>26</v>
      </c>
      <c r="D955" s="73"/>
      <c r="E955" s="430"/>
      <c r="F955" s="378" t="e">
        <f>ROUND(SUM(F956:F961),0)</f>
        <v>#REF!</v>
      </c>
    </row>
    <row r="956" spans="1:13">
      <c r="A956" s="529"/>
      <c r="B956" s="165" t="s">
        <v>3066</v>
      </c>
      <c r="C956" s="77" t="s">
        <v>26</v>
      </c>
      <c r="D956" s="379">
        <v>1</v>
      </c>
      <c r="E956" s="436" t="e">
        <f>INSUMOS!#REF!</f>
        <v>#REF!</v>
      </c>
      <c r="F956" s="396" t="e">
        <f>+E956*D956</f>
        <v>#REF!</v>
      </c>
    </row>
    <row r="957" spans="1:13">
      <c r="A957" s="529"/>
      <c r="B957" s="165" t="s">
        <v>234</v>
      </c>
      <c r="C957" s="77" t="s">
        <v>121</v>
      </c>
      <c r="D957" s="379">
        <v>0.08</v>
      </c>
      <c r="E957" s="396">
        <f>BASICOS!E146</f>
        <v>392821</v>
      </c>
      <c r="F957" s="396">
        <f>+D957*E957</f>
        <v>31425.68</v>
      </c>
    </row>
    <row r="958" spans="1:13">
      <c r="A958" s="529"/>
      <c r="B958" s="165" t="s">
        <v>136</v>
      </c>
      <c r="C958" s="77" t="s">
        <v>68</v>
      </c>
      <c r="D958" s="379"/>
      <c r="E958" s="396" t="e">
        <f>SUM(F956:F957)</f>
        <v>#REF!</v>
      </c>
      <c r="F958" s="396" t="e">
        <f>+D958*E958</f>
        <v>#REF!</v>
      </c>
    </row>
    <row r="959" spans="1:13">
      <c r="A959" s="529"/>
      <c r="B959" s="165" t="s">
        <v>229</v>
      </c>
      <c r="C959" s="77" t="s">
        <v>68</v>
      </c>
      <c r="D959" s="379">
        <v>0.05</v>
      </c>
      <c r="E959" s="396">
        <f>SUM(F957)</f>
        <v>31425.68</v>
      </c>
      <c r="F959" s="396">
        <f>+D959*E959</f>
        <v>1571.2840000000001</v>
      </c>
    </row>
    <row r="960" spans="1:13">
      <c r="A960" s="529"/>
      <c r="B960" s="165" t="s">
        <v>11</v>
      </c>
      <c r="C960" s="77" t="s">
        <v>284</v>
      </c>
      <c r="D960" s="379">
        <v>0.03</v>
      </c>
      <c r="E960" s="396">
        <f>+F961</f>
        <v>78402.893984136987</v>
      </c>
      <c r="F960" s="396">
        <f>(D960*E960)</f>
        <v>2352.0868195241096</v>
      </c>
    </row>
    <row r="961" spans="1:6">
      <c r="A961" s="529"/>
      <c r="B961" s="165" t="s">
        <v>9</v>
      </c>
      <c r="C961" s="77" t="s">
        <v>10</v>
      </c>
      <c r="D961" s="379">
        <v>3</v>
      </c>
      <c r="E961" s="396">
        <f>'VALOR CUADRILLAS MO'!D75</f>
        <v>26134.297994712331</v>
      </c>
      <c r="F961" s="396">
        <f>+D961*E961</f>
        <v>78402.893984136987</v>
      </c>
    </row>
    <row r="962" spans="1:6">
      <c r="A962" s="529"/>
      <c r="B962" s="165"/>
      <c r="C962" s="77"/>
      <c r="D962" s="379"/>
      <c r="E962" s="396"/>
      <c r="F962" s="431"/>
    </row>
    <row r="963" spans="1:6" ht="35.450000000000003" customHeight="1">
      <c r="A963" s="246">
        <f>A955+1</f>
        <v>121</v>
      </c>
      <c r="B963" s="83" t="s">
        <v>2788</v>
      </c>
      <c r="C963" s="76" t="s">
        <v>26</v>
      </c>
      <c r="D963" s="73"/>
      <c r="E963" s="430"/>
      <c r="F963" s="378" t="e">
        <f>ROUND(SUM(F964:F969),0)</f>
        <v>#REF!</v>
      </c>
    </row>
    <row r="964" spans="1:6">
      <c r="A964" s="529"/>
      <c r="B964" s="165" t="s">
        <v>2789</v>
      </c>
      <c r="C964" s="77" t="s">
        <v>26</v>
      </c>
      <c r="D964" s="379">
        <v>1</v>
      </c>
      <c r="E964" s="436" t="e">
        <f>INSUMOS!#REF!</f>
        <v>#REF!</v>
      </c>
      <c r="F964" s="396" t="e">
        <f>+E964*D964</f>
        <v>#REF!</v>
      </c>
    </row>
    <row r="965" spans="1:6">
      <c r="A965" s="529"/>
      <c r="B965" s="165" t="s">
        <v>234</v>
      </c>
      <c r="C965" s="77" t="s">
        <v>121</v>
      </c>
      <c r="D965" s="379">
        <f>0.2*0.2*0.2*2</f>
        <v>1.6000000000000004E-2</v>
      </c>
      <c r="E965" s="396">
        <f>BASICOS!E146</f>
        <v>392821</v>
      </c>
      <c r="F965" s="396">
        <f>+D965*E965</f>
        <v>6285.1360000000013</v>
      </c>
    </row>
    <row r="966" spans="1:6">
      <c r="A966" s="529"/>
      <c r="B966" s="165" t="s">
        <v>136</v>
      </c>
      <c r="C966" s="77" t="s">
        <v>68</v>
      </c>
      <c r="D966" s="379"/>
      <c r="E966" s="396" t="e">
        <f>SUM(F964:F965)</f>
        <v>#REF!</v>
      </c>
      <c r="F966" s="396" t="e">
        <f>+D966*E966</f>
        <v>#REF!</v>
      </c>
    </row>
    <row r="967" spans="1:6">
      <c r="A967" s="529"/>
      <c r="B967" s="165" t="s">
        <v>229</v>
      </c>
      <c r="C967" s="77" t="s">
        <v>68</v>
      </c>
      <c r="D967" s="379">
        <v>0.05</v>
      </c>
      <c r="E967" s="396">
        <f>SUM(F965)</f>
        <v>6285.1360000000013</v>
      </c>
      <c r="F967" s="396">
        <f>+D967*E967</f>
        <v>314.25680000000011</v>
      </c>
    </row>
    <row r="968" spans="1:6">
      <c r="A968" s="529"/>
      <c r="B968" s="165" t="s">
        <v>11</v>
      </c>
      <c r="C968" s="77" t="s">
        <v>284</v>
      </c>
      <c r="D968" s="379">
        <v>0.03</v>
      </c>
      <c r="E968" s="396">
        <f>+F969</f>
        <v>39201.446992068493</v>
      </c>
      <c r="F968" s="396">
        <f>(D968*E968)</f>
        <v>1176.0434097620548</v>
      </c>
    </row>
    <row r="969" spans="1:6">
      <c r="A969" s="529"/>
      <c r="B969" s="165" t="s">
        <v>9</v>
      </c>
      <c r="C969" s="77" t="s">
        <v>10</v>
      </c>
      <c r="D969" s="379">
        <v>1.5</v>
      </c>
      <c r="E969" s="396">
        <f>'VALOR CUADRILLAS MO'!D75</f>
        <v>26134.297994712331</v>
      </c>
      <c r="F969" s="396">
        <f>+D969*E969</f>
        <v>39201.446992068493</v>
      </c>
    </row>
    <row r="970" spans="1:6">
      <c r="A970" s="529"/>
      <c r="B970" s="165"/>
      <c r="C970" s="77"/>
      <c r="D970" s="379"/>
      <c r="E970" s="396"/>
      <c r="F970" s="431"/>
    </row>
    <row r="971" spans="1:6" ht="37.9" customHeight="1">
      <c r="A971" s="246">
        <f>A963+1</f>
        <v>122</v>
      </c>
      <c r="B971" s="83" t="s">
        <v>2790</v>
      </c>
      <c r="C971" s="76" t="s">
        <v>26</v>
      </c>
      <c r="D971" s="73"/>
      <c r="E971" s="430"/>
      <c r="F971" s="378" t="e">
        <f>ROUND(SUM(F972:F977),0)</f>
        <v>#REF!</v>
      </c>
    </row>
    <row r="972" spans="1:6" ht="25.5">
      <c r="A972" s="529"/>
      <c r="B972" s="165" t="s">
        <v>2791</v>
      </c>
      <c r="C972" s="77" t="s">
        <v>26</v>
      </c>
      <c r="D972" s="379">
        <v>1</v>
      </c>
      <c r="E972" s="436" t="e">
        <f>INSUMOS!#REF!</f>
        <v>#REF!</v>
      </c>
      <c r="F972" s="396" t="e">
        <f>+E972*D972</f>
        <v>#REF!</v>
      </c>
    </row>
    <row r="973" spans="1:6">
      <c r="A973" s="529"/>
      <c r="B973" s="165" t="s">
        <v>234</v>
      </c>
      <c r="C973" s="77" t="s">
        <v>121</v>
      </c>
      <c r="D973" s="379">
        <f>0.2*0.2*0.2*2</f>
        <v>1.6000000000000004E-2</v>
      </c>
      <c r="E973" s="396">
        <f>BASICOS!E146</f>
        <v>392821</v>
      </c>
      <c r="F973" s="396">
        <f>+D973*E973</f>
        <v>6285.1360000000013</v>
      </c>
    </row>
    <row r="974" spans="1:6">
      <c r="A974" s="529"/>
      <c r="B974" s="165" t="s">
        <v>136</v>
      </c>
      <c r="C974" s="77" t="s">
        <v>68</v>
      </c>
      <c r="D974" s="379"/>
      <c r="E974" s="396" t="e">
        <f>SUM(F972:F973)</f>
        <v>#REF!</v>
      </c>
      <c r="F974" s="396" t="e">
        <f>+D974*E974</f>
        <v>#REF!</v>
      </c>
    </row>
    <row r="975" spans="1:6">
      <c r="A975" s="529"/>
      <c r="B975" s="165" t="s">
        <v>229</v>
      </c>
      <c r="C975" s="77" t="s">
        <v>68</v>
      </c>
      <c r="D975" s="379">
        <v>0.05</v>
      </c>
      <c r="E975" s="396">
        <f>SUM(F973)</f>
        <v>6285.1360000000013</v>
      </c>
      <c r="F975" s="396">
        <f>+D975*E975</f>
        <v>314.25680000000011</v>
      </c>
    </row>
    <row r="976" spans="1:6">
      <c r="A976" s="529"/>
      <c r="B976" s="165" t="s">
        <v>11</v>
      </c>
      <c r="C976" s="77" t="s">
        <v>284</v>
      </c>
      <c r="D976" s="379">
        <v>0.03</v>
      </c>
      <c r="E976" s="396">
        <f>+F977</f>
        <v>39201.446992068493</v>
      </c>
      <c r="F976" s="396">
        <f>(D976*E976)</f>
        <v>1176.0434097620548</v>
      </c>
    </row>
    <row r="977" spans="1:6">
      <c r="A977" s="529"/>
      <c r="B977" s="165" t="s">
        <v>9</v>
      </c>
      <c r="C977" s="77" t="s">
        <v>10</v>
      </c>
      <c r="D977" s="379">
        <v>1.5</v>
      </c>
      <c r="E977" s="396">
        <f>'VALOR CUADRILLAS MO'!D75</f>
        <v>26134.297994712331</v>
      </c>
      <c r="F977" s="436">
        <f>+D977*E977</f>
        <v>39201.446992068493</v>
      </c>
    </row>
    <row r="978" spans="1:6">
      <c r="A978" s="529"/>
      <c r="B978" s="165"/>
      <c r="C978" s="77"/>
      <c r="D978" s="379"/>
      <c r="E978" s="396"/>
      <c r="F978" s="431"/>
    </row>
    <row r="979" spans="1:6" ht="38.25">
      <c r="A979" s="246">
        <f>A971+1</f>
        <v>123</v>
      </c>
      <c r="B979" s="83" t="s">
        <v>2792</v>
      </c>
      <c r="C979" s="76" t="s">
        <v>26</v>
      </c>
      <c r="D979" s="73"/>
      <c r="E979" s="430"/>
      <c r="F979" s="378" t="e">
        <f>ROUND(SUM(F980:F985),0)</f>
        <v>#REF!</v>
      </c>
    </row>
    <row r="980" spans="1:6" ht="25.5">
      <c r="A980" s="529"/>
      <c r="B980" s="165" t="s">
        <v>2793</v>
      </c>
      <c r="C980" s="77" t="s">
        <v>26</v>
      </c>
      <c r="D980" s="379">
        <v>1</v>
      </c>
      <c r="E980" s="436" t="e">
        <f>INSUMOS!#REF!</f>
        <v>#REF!</v>
      </c>
      <c r="F980" s="396" t="e">
        <f>+E980*D980</f>
        <v>#REF!</v>
      </c>
    </row>
    <row r="981" spans="1:6">
      <c r="A981" s="529"/>
      <c r="B981" s="165" t="s">
        <v>234</v>
      </c>
      <c r="C981" s="77" t="s">
        <v>121</v>
      </c>
      <c r="D981" s="379">
        <f>0.2*0.2*0.2*2</f>
        <v>1.6000000000000004E-2</v>
      </c>
      <c r="E981" s="396">
        <f>BASICOS!E146</f>
        <v>392821</v>
      </c>
      <c r="F981" s="396">
        <f>+D981*E981</f>
        <v>6285.1360000000013</v>
      </c>
    </row>
    <row r="982" spans="1:6">
      <c r="A982" s="529"/>
      <c r="B982" s="165" t="s">
        <v>229</v>
      </c>
      <c r="C982" s="77" t="s">
        <v>68</v>
      </c>
      <c r="D982" s="379">
        <v>0.05</v>
      </c>
      <c r="E982" s="396">
        <f>SUM(F981)</f>
        <v>6285.1360000000013</v>
      </c>
      <c r="F982" s="396">
        <f>+D982*E982</f>
        <v>314.25680000000011</v>
      </c>
    </row>
    <row r="983" spans="1:6">
      <c r="A983" s="529"/>
      <c r="B983" s="165" t="s">
        <v>136</v>
      </c>
      <c r="C983" s="77" t="s">
        <v>68</v>
      </c>
      <c r="D983" s="379"/>
      <c r="E983" s="396" t="e">
        <f>SUM(F980:F982)</f>
        <v>#REF!</v>
      </c>
      <c r="F983" s="396" t="e">
        <f>+D983*E983</f>
        <v>#REF!</v>
      </c>
    </row>
    <row r="984" spans="1:6">
      <c r="A984" s="529"/>
      <c r="B984" s="165" t="s">
        <v>11</v>
      </c>
      <c r="C984" s="77" t="s">
        <v>284</v>
      </c>
      <c r="D984" s="379">
        <v>0.03</v>
      </c>
      <c r="E984" s="396">
        <f>+F985</f>
        <v>65335.744986780832</v>
      </c>
      <c r="F984" s="396">
        <f>(D984*E984)</f>
        <v>1960.072349603425</v>
      </c>
    </row>
    <row r="985" spans="1:6">
      <c r="A985" s="529"/>
      <c r="B985" s="165" t="s">
        <v>9</v>
      </c>
      <c r="C985" s="77" t="s">
        <v>10</v>
      </c>
      <c r="D985" s="379">
        <v>2.5</v>
      </c>
      <c r="E985" s="396">
        <f>'VALOR CUADRILLAS MO'!D75</f>
        <v>26134.297994712331</v>
      </c>
      <c r="F985" s="436">
        <f>+D985*E985</f>
        <v>65335.744986780832</v>
      </c>
    </row>
    <row r="986" spans="1:6">
      <c r="A986" s="529"/>
      <c r="B986" s="165"/>
      <c r="C986" s="77"/>
      <c r="D986" s="379"/>
      <c r="E986" s="396"/>
      <c r="F986" s="431"/>
    </row>
    <row r="987" spans="1:6" ht="40.15" customHeight="1">
      <c r="A987" s="246">
        <f>A979+1</f>
        <v>124</v>
      </c>
      <c r="B987" s="83" t="s">
        <v>3045</v>
      </c>
      <c r="C987" s="76" t="s">
        <v>26</v>
      </c>
      <c r="D987" s="73"/>
      <c r="E987" s="430"/>
      <c r="F987" s="602" t="e">
        <f>ROUND(SUM(F988:F991),0)</f>
        <v>#REF!</v>
      </c>
    </row>
    <row r="988" spans="1:6">
      <c r="A988" s="529"/>
      <c r="B988" s="572" t="s">
        <v>3046</v>
      </c>
      <c r="C988" s="374" t="s">
        <v>26</v>
      </c>
      <c r="D988" s="573">
        <v>1</v>
      </c>
      <c r="E988" s="375" t="e">
        <f>INSUMOS!#REF!</f>
        <v>#REF!</v>
      </c>
      <c r="F988" s="303" t="e">
        <f>+D988*E988</f>
        <v>#REF!</v>
      </c>
    </row>
    <row r="989" spans="1:6">
      <c r="A989" s="529"/>
      <c r="B989" s="165" t="s">
        <v>136</v>
      </c>
      <c r="C989" s="77" t="s">
        <v>68</v>
      </c>
      <c r="D989" s="379"/>
      <c r="E989" s="396" t="e">
        <f>SUM(F988)</f>
        <v>#REF!</v>
      </c>
      <c r="F989" s="396" t="e">
        <f>+D989*E989</f>
        <v>#REF!</v>
      </c>
    </row>
    <row r="990" spans="1:6">
      <c r="A990" s="529"/>
      <c r="B990" s="572" t="s">
        <v>11</v>
      </c>
      <c r="C990" s="374" t="s">
        <v>284</v>
      </c>
      <c r="D990" s="573">
        <v>0.03</v>
      </c>
      <c r="E990" s="559">
        <f>F991</f>
        <v>39201.446992068493</v>
      </c>
      <c r="F990" s="303">
        <f>+D990*E990</f>
        <v>1176.0434097620548</v>
      </c>
    </row>
    <row r="991" spans="1:6">
      <c r="A991" s="529"/>
      <c r="B991" s="572" t="s">
        <v>9</v>
      </c>
      <c r="C991" s="374" t="s">
        <v>10</v>
      </c>
      <c r="D991" s="573">
        <v>1.5</v>
      </c>
      <c r="E991" s="375">
        <f>'VALOR CUADRILLAS MO'!D75</f>
        <v>26134.297994712331</v>
      </c>
      <c r="F991" s="303">
        <f>+D991*E991</f>
        <v>39201.446992068493</v>
      </c>
    </row>
    <row r="992" spans="1:6">
      <c r="A992" s="529"/>
      <c r="B992" s="165"/>
      <c r="C992" s="77"/>
      <c r="D992" s="379"/>
      <c r="E992" s="396"/>
      <c r="F992" s="431"/>
    </row>
    <row r="993" spans="1:6" ht="37.15" customHeight="1">
      <c r="A993" s="246">
        <f>A987+1</f>
        <v>125</v>
      </c>
      <c r="B993" s="83" t="s">
        <v>2794</v>
      </c>
      <c r="C993" s="76" t="s">
        <v>119</v>
      </c>
      <c r="D993" s="73"/>
      <c r="E993" s="430"/>
      <c r="F993" s="378" t="e">
        <f>ROUND(SUM(F994:F1000),0)</f>
        <v>#REF!</v>
      </c>
    </row>
    <row r="994" spans="1:6">
      <c r="A994" s="529"/>
      <c r="B994" s="165" t="s">
        <v>640</v>
      </c>
      <c r="C994" s="77" t="s">
        <v>144</v>
      </c>
      <c r="D994" s="379">
        <v>0.1</v>
      </c>
      <c r="E994" s="396" t="e">
        <f>INSUMOS!#REF!</f>
        <v>#REF!</v>
      </c>
      <c r="F994" s="396" t="e">
        <f>+E994*D994</f>
        <v>#REF!</v>
      </c>
    </row>
    <row r="995" spans="1:6">
      <c r="A995" s="529"/>
      <c r="B995" s="165" t="s">
        <v>125</v>
      </c>
      <c r="C995" s="77" t="s">
        <v>119</v>
      </c>
      <c r="D995" s="379">
        <v>1</v>
      </c>
      <c r="E995" s="396" t="e">
        <f>INSUMOS!#REF!</f>
        <v>#REF!</v>
      </c>
      <c r="F995" s="396" t="e">
        <f>+E995*D995</f>
        <v>#REF!</v>
      </c>
    </row>
    <row r="996" spans="1:6">
      <c r="A996" s="529"/>
      <c r="B996" s="165" t="s">
        <v>229</v>
      </c>
      <c r="C996" s="77" t="s">
        <v>68</v>
      </c>
      <c r="D996" s="379">
        <v>0.05</v>
      </c>
      <c r="E996" s="396" t="e">
        <f>SUM(F994)</f>
        <v>#REF!</v>
      </c>
      <c r="F996" s="396" t="e">
        <f>+D996*E996</f>
        <v>#REF!</v>
      </c>
    </row>
    <row r="997" spans="1:6">
      <c r="A997" s="529"/>
      <c r="B997" s="165" t="s">
        <v>136</v>
      </c>
      <c r="C997" s="77" t="s">
        <v>68</v>
      </c>
      <c r="D997" s="379"/>
      <c r="E997" s="396" t="e">
        <f>SUM(F994:F996)</f>
        <v>#REF!</v>
      </c>
      <c r="F997" s="396" t="e">
        <f>+D997*E997</f>
        <v>#REF!</v>
      </c>
    </row>
    <row r="998" spans="1:6">
      <c r="A998" s="529"/>
      <c r="B998" s="165" t="s">
        <v>2795</v>
      </c>
      <c r="C998" s="77" t="s">
        <v>142</v>
      </c>
      <c r="D998" s="379">
        <v>0.1</v>
      </c>
      <c r="E998" s="396" t="e">
        <f>INSUMOS!#REF!</f>
        <v>#REF!</v>
      </c>
      <c r="F998" s="396" t="e">
        <f>+E998*D998</f>
        <v>#REF!</v>
      </c>
    </row>
    <row r="999" spans="1:6">
      <c r="A999" s="529"/>
      <c r="B999" s="165" t="s">
        <v>11</v>
      </c>
      <c r="C999" s="77" t="s">
        <v>284</v>
      </c>
      <c r="D999" s="379">
        <v>0.03</v>
      </c>
      <c r="E999" s="396">
        <f>+F1000</f>
        <v>41814.876791539733</v>
      </c>
      <c r="F999" s="396">
        <f>(D999*E999)</f>
        <v>1254.4463037461919</v>
      </c>
    </row>
    <row r="1000" spans="1:6">
      <c r="A1000" s="529"/>
      <c r="B1000" s="165" t="s">
        <v>9</v>
      </c>
      <c r="C1000" s="77" t="s">
        <v>10</v>
      </c>
      <c r="D1000" s="379">
        <v>1.6</v>
      </c>
      <c r="E1000" s="396">
        <f>'VALOR CUADRILLAS MO'!D75</f>
        <v>26134.297994712331</v>
      </c>
      <c r="F1000" s="396">
        <f>+D1000*E1000</f>
        <v>41814.876791539733</v>
      </c>
    </row>
    <row r="1001" spans="1:6">
      <c r="A1001" s="529"/>
      <c r="B1001" s="165"/>
      <c r="C1001" s="77"/>
      <c r="D1001" s="379"/>
      <c r="E1001" s="396"/>
      <c r="F1001" s="431"/>
    </row>
    <row r="1002" spans="1:6" ht="51.6" customHeight="1">
      <c r="A1002" s="246">
        <f>A993+1</f>
        <v>126</v>
      </c>
      <c r="B1002" s="83" t="s">
        <v>3068</v>
      </c>
      <c r="C1002" s="76" t="s">
        <v>26</v>
      </c>
      <c r="D1002" s="73"/>
      <c r="E1002" s="430"/>
      <c r="F1002" s="378" t="e">
        <f>ROUND(SUM(F1003:F1008),0)</f>
        <v>#REF!</v>
      </c>
    </row>
    <row r="1003" spans="1:6" ht="25.5">
      <c r="A1003" s="529"/>
      <c r="B1003" s="36" t="s">
        <v>3069</v>
      </c>
      <c r="C1003" s="77" t="s">
        <v>26</v>
      </c>
      <c r="D1003" s="368">
        <v>1</v>
      </c>
      <c r="E1003" s="390" t="e">
        <f>INSUMOS!#REF!</f>
        <v>#REF!</v>
      </c>
      <c r="F1003" s="390" t="e">
        <f t="shared" ref="F1003:F1008" si="34">D1003*E1003</f>
        <v>#REF!</v>
      </c>
    </row>
    <row r="1004" spans="1:6">
      <c r="A1004" s="529"/>
      <c r="B1004" s="165" t="s">
        <v>234</v>
      </c>
      <c r="C1004" s="77" t="s">
        <v>121</v>
      </c>
      <c r="D1004" s="368">
        <f>(0.45*0.45*0.45)</f>
        <v>9.1125000000000012E-2</v>
      </c>
      <c r="E1004" s="390">
        <f>BASICOS!E146</f>
        <v>392821</v>
      </c>
      <c r="F1004" s="390">
        <f>D1004*E1004</f>
        <v>35795.813625000003</v>
      </c>
    </row>
    <row r="1005" spans="1:6">
      <c r="A1005" s="529"/>
      <c r="B1005" s="36" t="s">
        <v>229</v>
      </c>
      <c r="C1005" s="77" t="s">
        <v>68</v>
      </c>
      <c r="D1005" s="368">
        <v>0.05</v>
      </c>
      <c r="E1005" s="390">
        <f>F1004</f>
        <v>35795.813625000003</v>
      </c>
      <c r="F1005" s="390">
        <f t="shared" si="34"/>
        <v>1789.7906812500003</v>
      </c>
    </row>
    <row r="1006" spans="1:6">
      <c r="A1006" s="529"/>
      <c r="B1006" s="36" t="s">
        <v>136</v>
      </c>
      <c r="C1006" s="77" t="s">
        <v>68</v>
      </c>
      <c r="D1006" s="368"/>
      <c r="E1006" s="390" t="e">
        <f>SUM(F1003:F1005)</f>
        <v>#REF!</v>
      </c>
      <c r="F1006" s="390" t="e">
        <f t="shared" si="34"/>
        <v>#REF!</v>
      </c>
    </row>
    <row r="1007" spans="1:6">
      <c r="A1007" s="529"/>
      <c r="B1007" s="36" t="s">
        <v>11</v>
      </c>
      <c r="C1007" s="77" t="s">
        <v>284</v>
      </c>
      <c r="D1007" s="368">
        <v>0.03</v>
      </c>
      <c r="E1007" s="390">
        <f>F1008</f>
        <v>26134.297994712331</v>
      </c>
      <c r="F1007" s="390">
        <f t="shared" si="34"/>
        <v>784.02893984136995</v>
      </c>
    </row>
    <row r="1008" spans="1:6">
      <c r="A1008" s="529"/>
      <c r="B1008" s="36" t="s">
        <v>9</v>
      </c>
      <c r="C1008" s="77" t="s">
        <v>10</v>
      </c>
      <c r="D1008" s="368">
        <v>1</v>
      </c>
      <c r="E1008" s="390">
        <f>'VALOR CUADRILLAS MO'!D75</f>
        <v>26134.297994712331</v>
      </c>
      <c r="F1008" s="390">
        <f t="shared" si="34"/>
        <v>26134.297994712331</v>
      </c>
    </row>
    <row r="1009" spans="1:12">
      <c r="A1009" s="529"/>
      <c r="B1009" s="165"/>
      <c r="C1009" s="77"/>
      <c r="D1009" s="379"/>
      <c r="E1009" s="396"/>
      <c r="F1009" s="431"/>
    </row>
    <row r="1010" spans="1:12" ht="19.899999999999999" customHeight="1">
      <c r="A1010" s="530" t="s">
        <v>404</v>
      </c>
      <c r="B1010" s="454" t="s">
        <v>2805</v>
      </c>
      <c r="C1010" s="459"/>
      <c r="D1010" s="465"/>
      <c r="E1010" s="464"/>
      <c r="F1010" s="466"/>
    </row>
    <row r="1011" spans="1:12" ht="19.899999999999999" customHeight="1">
      <c r="A1011" s="246">
        <f>A993+1</f>
        <v>126</v>
      </c>
      <c r="B1011" s="83" t="s">
        <v>2739</v>
      </c>
      <c r="C1011" s="76" t="s">
        <v>119</v>
      </c>
      <c r="D1011" s="73"/>
      <c r="E1011" s="430"/>
      <c r="F1011" s="378">
        <f>ROUND(SUM(F1012:F1017),0)</f>
        <v>1317</v>
      </c>
    </row>
    <row r="1012" spans="1:12">
      <c r="A1012" s="529"/>
      <c r="B1012" s="165" t="s">
        <v>13</v>
      </c>
      <c r="C1012" s="77" t="s">
        <v>26</v>
      </c>
      <c r="D1012" s="379">
        <v>0.3</v>
      </c>
      <c r="E1012" s="396">
        <f>INSUMOS!D5</f>
        <v>2067.0300000000002</v>
      </c>
      <c r="F1012" s="396">
        <f>+E1012*D1012</f>
        <v>620.10900000000004</v>
      </c>
    </row>
    <row r="1013" spans="1:12">
      <c r="A1013" s="529"/>
      <c r="B1013" s="165" t="s">
        <v>16</v>
      </c>
      <c r="C1013" s="77" t="s">
        <v>17</v>
      </c>
      <c r="D1013" s="379">
        <v>2.7000000000000001E-3</v>
      </c>
      <c r="E1013" s="396">
        <f>INSUMOS!D41</f>
        <v>3464.09</v>
      </c>
      <c r="F1013" s="396">
        <f>+E1013*D1013</f>
        <v>9.3530430000000013</v>
      </c>
    </row>
    <row r="1014" spans="1:12">
      <c r="A1014" s="529"/>
      <c r="B1014" s="165" t="s">
        <v>229</v>
      </c>
      <c r="C1014" s="77" t="s">
        <v>68</v>
      </c>
      <c r="D1014" s="379">
        <v>0.05</v>
      </c>
      <c r="E1014" s="396">
        <f>SUM(F1012:F1013)</f>
        <v>629.46204299999999</v>
      </c>
      <c r="F1014" s="396">
        <f>+D1014*E1014</f>
        <v>31.473102150000003</v>
      </c>
    </row>
    <row r="1015" spans="1:12">
      <c r="A1015" s="529"/>
      <c r="B1015" s="165" t="s">
        <v>136</v>
      </c>
      <c r="C1015" s="77" t="s">
        <v>68</v>
      </c>
      <c r="D1015" s="379"/>
      <c r="E1015" s="396">
        <f>SUM(F1012:F1014)</f>
        <v>660.93514515000004</v>
      </c>
      <c r="F1015" s="396">
        <f>+D1015*E1015</f>
        <v>0</v>
      </c>
    </row>
    <row r="1016" spans="1:12">
      <c r="A1016" s="529"/>
      <c r="B1016" s="165" t="s">
        <v>11</v>
      </c>
      <c r="C1016" s="77" t="s">
        <v>284</v>
      </c>
      <c r="D1016" s="379">
        <v>0.03</v>
      </c>
      <c r="E1016" s="396">
        <f>+F1017</f>
        <v>637.15418511108669</v>
      </c>
      <c r="F1016" s="396">
        <f>(D1016*E1016)</f>
        <v>19.114625553332601</v>
      </c>
    </row>
    <row r="1017" spans="1:12">
      <c r="A1017" s="529"/>
      <c r="B1017" s="165" t="s">
        <v>9</v>
      </c>
      <c r="C1017" s="77" t="s">
        <v>10</v>
      </c>
      <c r="D1017" s="379">
        <f>0.023*1.06</f>
        <v>2.4380000000000002E-2</v>
      </c>
      <c r="E1017" s="396">
        <f>'VALOR CUADRILLAS MO'!D75</f>
        <v>26134.297994712331</v>
      </c>
      <c r="F1017" s="396">
        <f>+E1017*D1017</f>
        <v>637.15418511108669</v>
      </c>
    </row>
    <row r="1018" spans="1:12">
      <c r="A1018" s="529"/>
      <c r="B1018" s="165"/>
      <c r="C1018" s="77"/>
      <c r="D1018" s="379"/>
      <c r="E1018" s="396"/>
      <c r="F1018" s="431"/>
    </row>
    <row r="1019" spans="1:12" s="26" customFormat="1" ht="22.5" customHeight="1">
      <c r="A1019" s="543">
        <f>A1011+1</f>
        <v>127</v>
      </c>
      <c r="B1019" s="83" t="s">
        <v>2976</v>
      </c>
      <c r="C1019" s="76" t="s">
        <v>21</v>
      </c>
      <c r="D1019" s="73"/>
      <c r="E1019" s="430"/>
      <c r="F1019" s="378" t="e">
        <f>ROUND(SUM(F1020:F1026),0)</f>
        <v>#REF!</v>
      </c>
      <c r="G1019" s="544"/>
      <c r="H1019" s="544"/>
      <c r="I1019" s="544"/>
      <c r="J1019" s="544"/>
      <c r="K1019" s="545"/>
      <c r="L1019" s="545"/>
    </row>
    <row r="1020" spans="1:12" s="26" customFormat="1">
      <c r="A1020" s="546"/>
      <c r="B1020" s="36" t="s">
        <v>13</v>
      </c>
      <c r="C1020" s="77" t="s">
        <v>26</v>
      </c>
      <c r="D1020" s="379">
        <v>0.3</v>
      </c>
      <c r="E1020" s="396">
        <f>INSUMOS!D5</f>
        <v>2067.0300000000002</v>
      </c>
      <c r="F1020" s="396">
        <f>+E1020*D1020</f>
        <v>620.10900000000004</v>
      </c>
      <c r="G1020" s="544"/>
      <c r="H1020" s="544"/>
      <c r="I1020" s="544"/>
      <c r="J1020" s="544"/>
      <c r="K1020" s="545"/>
      <c r="L1020" s="545"/>
    </row>
    <row r="1021" spans="1:12" s="26" customFormat="1">
      <c r="A1021" s="546"/>
      <c r="B1021" s="36" t="s">
        <v>16</v>
      </c>
      <c r="C1021" s="77" t="s">
        <v>17</v>
      </c>
      <c r="D1021" s="379">
        <v>2.7000000000000001E-3</v>
      </c>
      <c r="E1021" s="396">
        <f>INSUMOS!D41</f>
        <v>3464.09</v>
      </c>
      <c r="F1021" s="396">
        <f>+E1021*D1021</f>
        <v>9.3530430000000013</v>
      </c>
      <c r="G1021" s="544"/>
      <c r="H1021" s="544"/>
      <c r="I1021" s="544"/>
      <c r="J1021" s="544"/>
      <c r="K1021" s="545"/>
      <c r="L1021" s="545"/>
    </row>
    <row r="1022" spans="1:12" s="26" customFormat="1">
      <c r="A1022" s="546"/>
      <c r="B1022" s="36" t="s">
        <v>229</v>
      </c>
      <c r="C1022" s="77" t="s">
        <v>68</v>
      </c>
      <c r="D1022" s="379">
        <v>0.05</v>
      </c>
      <c r="E1022" s="396">
        <f>SUM(F1020:F1021)</f>
        <v>629.46204299999999</v>
      </c>
      <c r="F1022" s="396">
        <f>+D1022*E1022</f>
        <v>31.473102150000003</v>
      </c>
      <c r="G1022" s="544"/>
      <c r="H1022" s="544"/>
      <c r="I1022" s="544"/>
      <c r="J1022" s="544"/>
      <c r="K1022" s="545"/>
      <c r="L1022" s="545"/>
    </row>
    <row r="1023" spans="1:12" s="26" customFormat="1">
      <c r="A1023" s="546"/>
      <c r="B1023" s="36" t="s">
        <v>136</v>
      </c>
      <c r="C1023" s="77" t="s">
        <v>68</v>
      </c>
      <c r="D1023" s="379"/>
      <c r="E1023" s="396">
        <f>SUM(F1020:F1022)</f>
        <v>660.93514515000004</v>
      </c>
      <c r="F1023" s="396">
        <f>+D1023*E1023</f>
        <v>0</v>
      </c>
      <c r="G1023" s="544"/>
      <c r="H1023" s="544"/>
      <c r="I1023" s="544"/>
      <c r="J1023" s="544"/>
      <c r="K1023" s="545"/>
      <c r="L1023" s="545"/>
    </row>
    <row r="1024" spans="1:12" s="26" customFormat="1">
      <c r="A1024" s="546"/>
      <c r="B1024" s="36" t="s">
        <v>2977</v>
      </c>
      <c r="C1024" s="77" t="s">
        <v>15</v>
      </c>
      <c r="D1024" s="433">
        <v>1E-4</v>
      </c>
      <c r="E1024" s="396" t="e">
        <f>INSUMOS!#REF!</f>
        <v>#REF!</v>
      </c>
      <c r="F1024" s="396" t="e">
        <f>+E1024*D1024</f>
        <v>#REF!</v>
      </c>
      <c r="G1024" s="544"/>
      <c r="H1024" s="544"/>
      <c r="I1024" s="544"/>
      <c r="J1024" s="544"/>
      <c r="K1024" s="545"/>
      <c r="L1024" s="545"/>
    </row>
    <row r="1025" spans="1:12" s="26" customFormat="1">
      <c r="A1025" s="546"/>
      <c r="B1025" s="36" t="s">
        <v>11</v>
      </c>
      <c r="C1025" s="77" t="s">
        <v>284</v>
      </c>
      <c r="D1025" s="379">
        <v>0.03</v>
      </c>
      <c r="E1025" s="396">
        <f>F1026</f>
        <v>1045.3719197884932</v>
      </c>
      <c r="F1025" s="396">
        <f>(D1025*E1025)</f>
        <v>31.361157593654795</v>
      </c>
      <c r="G1025" s="544"/>
      <c r="H1025" s="544"/>
      <c r="I1025" s="544"/>
      <c r="J1025" s="544"/>
      <c r="K1025" s="545"/>
      <c r="L1025" s="545"/>
    </row>
    <row r="1026" spans="1:12" s="26" customFormat="1">
      <c r="A1026" s="546"/>
      <c r="B1026" s="36" t="s">
        <v>9</v>
      </c>
      <c r="C1026" s="77" t="s">
        <v>10</v>
      </c>
      <c r="D1026" s="379">
        <v>0.04</v>
      </c>
      <c r="E1026" s="396">
        <f>'VALOR CUADRILLAS MO'!D75</f>
        <v>26134.297994712331</v>
      </c>
      <c r="F1026" s="396">
        <f>+E1026*D1026</f>
        <v>1045.3719197884932</v>
      </c>
      <c r="G1026" s="544"/>
      <c r="H1026" s="544"/>
      <c r="I1026" s="544"/>
      <c r="J1026" s="544"/>
      <c r="K1026" s="545"/>
      <c r="L1026" s="545"/>
    </row>
    <row r="1027" spans="1:12" s="26" customFormat="1">
      <c r="A1027" s="546"/>
      <c r="B1027" s="36"/>
      <c r="C1027" s="77"/>
      <c r="D1027" s="379"/>
      <c r="E1027" s="396"/>
      <c r="F1027" s="431"/>
      <c r="G1027" s="544"/>
      <c r="H1027" s="544"/>
      <c r="I1027" s="544"/>
      <c r="J1027" s="544"/>
      <c r="K1027" s="545"/>
      <c r="L1027" s="545"/>
    </row>
    <row r="1028" spans="1:12" s="26" customFormat="1" ht="57" customHeight="1">
      <c r="A1028" s="543">
        <f>+A1019+1</f>
        <v>128</v>
      </c>
      <c r="B1028" s="83" t="s">
        <v>2978</v>
      </c>
      <c r="C1028" s="76" t="s">
        <v>21</v>
      </c>
      <c r="D1028" s="73"/>
      <c r="E1028" s="430"/>
      <c r="F1028" s="378" t="e">
        <f>ROUND(SUM(F1029:F1036),0)</f>
        <v>#REF!</v>
      </c>
      <c r="G1028" s="544"/>
      <c r="H1028" s="544"/>
      <c r="I1028" s="544"/>
      <c r="J1028" s="544"/>
      <c r="K1028" s="545"/>
      <c r="L1028" s="545"/>
    </row>
    <row r="1029" spans="1:12" s="26" customFormat="1">
      <c r="A1029" s="546"/>
      <c r="B1029" s="36" t="s">
        <v>114</v>
      </c>
      <c r="C1029" s="77" t="s">
        <v>26</v>
      </c>
      <c r="D1029" s="379">
        <v>2</v>
      </c>
      <c r="E1029" s="396" t="e">
        <f>INSUMOS!#REF!</f>
        <v>#REF!</v>
      </c>
      <c r="F1029" s="396" t="e">
        <f>+E1029*D1029</f>
        <v>#REF!</v>
      </c>
      <c r="G1029" s="544"/>
      <c r="H1029" s="544"/>
      <c r="I1029" s="544"/>
      <c r="J1029" s="544"/>
      <c r="K1029" s="545"/>
      <c r="L1029" s="545"/>
    </row>
    <row r="1030" spans="1:12" s="26" customFormat="1" ht="18.75" customHeight="1">
      <c r="A1030" s="546"/>
      <c r="B1030" s="36" t="s">
        <v>203</v>
      </c>
      <c r="C1030" s="77" t="s">
        <v>29</v>
      </c>
      <c r="D1030" s="379">
        <v>5.2</v>
      </c>
      <c r="E1030" s="396" t="e">
        <f>INSUMOS!#REF!</f>
        <v>#REF!</v>
      </c>
      <c r="F1030" s="396" t="e">
        <f>+E1030*D1030</f>
        <v>#REF!</v>
      </c>
      <c r="G1030" s="544"/>
      <c r="H1030" s="544"/>
      <c r="I1030" s="544"/>
      <c r="J1030" s="544"/>
      <c r="K1030" s="545"/>
      <c r="L1030" s="545"/>
    </row>
    <row r="1031" spans="1:12" s="26" customFormat="1">
      <c r="A1031" s="546"/>
      <c r="B1031" s="36" t="s">
        <v>229</v>
      </c>
      <c r="C1031" s="77" t="s">
        <v>68</v>
      </c>
      <c r="D1031" s="379">
        <v>0.05</v>
      </c>
      <c r="E1031" s="396" t="e">
        <f>SUM(F1030)</f>
        <v>#REF!</v>
      </c>
      <c r="F1031" s="396" t="e">
        <f>+D1031*E1031</f>
        <v>#REF!</v>
      </c>
      <c r="G1031" s="544"/>
      <c r="H1031" s="544"/>
      <c r="I1031" s="544"/>
      <c r="J1031" s="544"/>
      <c r="K1031" s="545"/>
      <c r="L1031" s="545"/>
    </row>
    <row r="1032" spans="1:12" s="26" customFormat="1">
      <c r="A1032" s="546"/>
      <c r="B1032" s="36" t="s">
        <v>113</v>
      </c>
      <c r="C1032" s="77" t="s">
        <v>26</v>
      </c>
      <c r="D1032" s="379">
        <v>0.5</v>
      </c>
      <c r="E1032" s="396" t="e">
        <f>INSUMOS!#REF!</f>
        <v>#REF!</v>
      </c>
      <c r="F1032" s="396" t="e">
        <f>+E1032*D1032</f>
        <v>#REF!</v>
      </c>
      <c r="G1032" s="544"/>
      <c r="H1032" s="544"/>
      <c r="I1032" s="544"/>
      <c r="J1032" s="544"/>
      <c r="K1032" s="545"/>
      <c r="L1032" s="545"/>
    </row>
    <row r="1033" spans="1:12" s="26" customFormat="1">
      <c r="A1033" s="546"/>
      <c r="B1033" s="36" t="s">
        <v>2979</v>
      </c>
      <c r="C1033" s="77" t="s">
        <v>121</v>
      </c>
      <c r="D1033" s="444">
        <v>7.4999999999999997E-2</v>
      </c>
      <c r="E1033" s="396" t="e">
        <f>EDIFICACION!#REF!</f>
        <v>#REF!</v>
      </c>
      <c r="F1033" s="396" t="e">
        <f>+E1033*D1033</f>
        <v>#REF!</v>
      </c>
      <c r="G1033" s="544"/>
      <c r="H1033" s="544"/>
      <c r="I1033" s="544"/>
      <c r="J1033" s="544"/>
      <c r="K1033" s="545"/>
      <c r="L1033" s="545"/>
    </row>
    <row r="1034" spans="1:12" s="26" customFormat="1">
      <c r="A1034" s="546"/>
      <c r="B1034" s="36" t="s">
        <v>136</v>
      </c>
      <c r="C1034" s="77" t="s">
        <v>68</v>
      </c>
      <c r="D1034" s="379"/>
      <c r="E1034" s="396" t="e">
        <f>SUM(F1029:F1033)</f>
        <v>#REF!</v>
      </c>
      <c r="F1034" s="396" t="e">
        <f>+D1034*E1034</f>
        <v>#REF!</v>
      </c>
      <c r="G1034" s="544"/>
      <c r="H1034" s="544"/>
      <c r="I1034" s="544"/>
      <c r="J1034" s="544"/>
      <c r="K1034" s="545"/>
      <c r="L1034" s="545"/>
    </row>
    <row r="1035" spans="1:12" s="26" customFormat="1">
      <c r="A1035" s="546"/>
      <c r="B1035" s="36" t="s">
        <v>11</v>
      </c>
      <c r="C1035" s="77" t="s">
        <v>284</v>
      </c>
      <c r="D1035" s="379">
        <v>0.03</v>
      </c>
      <c r="E1035" s="396">
        <f>+F1036</f>
        <v>4155.3533811592606</v>
      </c>
      <c r="F1035" s="396">
        <f>(D1035*E1035)</f>
        <v>124.66060143477782</v>
      </c>
      <c r="G1035" s="544"/>
      <c r="H1035" s="544"/>
      <c r="I1035" s="544"/>
      <c r="J1035" s="544"/>
      <c r="K1035" s="545"/>
      <c r="L1035" s="545"/>
    </row>
    <row r="1036" spans="1:12" s="26" customFormat="1">
      <c r="A1036" s="546"/>
      <c r="B1036" s="36" t="s">
        <v>9</v>
      </c>
      <c r="C1036" s="77" t="s">
        <v>10</v>
      </c>
      <c r="D1036" s="379">
        <f>0.15*1.06</f>
        <v>0.159</v>
      </c>
      <c r="E1036" s="396">
        <f>'VALOR CUADRILLAS MO'!D75</f>
        <v>26134.297994712331</v>
      </c>
      <c r="F1036" s="396">
        <f>+E1036*D1036</f>
        <v>4155.3533811592606</v>
      </c>
      <c r="G1036" s="544"/>
      <c r="H1036" s="544"/>
      <c r="I1036" s="544"/>
      <c r="J1036" s="544"/>
      <c r="K1036" s="545"/>
      <c r="L1036" s="545"/>
    </row>
    <row r="1037" spans="1:12" s="26" customFormat="1">
      <c r="A1037" s="546"/>
      <c r="B1037" s="36"/>
      <c r="C1037" s="77"/>
      <c r="D1037" s="379"/>
      <c r="E1037" s="396"/>
      <c r="F1037" s="431"/>
      <c r="G1037" s="544"/>
      <c r="H1037" s="544"/>
      <c r="I1037" s="544"/>
      <c r="J1037" s="544"/>
      <c r="K1037" s="545"/>
      <c r="L1037" s="545"/>
    </row>
    <row r="1038" spans="1:12" s="26" customFormat="1">
      <c r="A1038" s="543">
        <f>+A1028+1</f>
        <v>129</v>
      </c>
      <c r="B1038" s="83" t="s">
        <v>2980</v>
      </c>
      <c r="C1038" s="76" t="s">
        <v>21</v>
      </c>
      <c r="D1038" s="73"/>
      <c r="E1038" s="430"/>
      <c r="F1038" s="378" t="e">
        <f>ROUND(SUM(F1039:F1044),0)</f>
        <v>#REF!</v>
      </c>
      <c r="G1038" s="544"/>
      <c r="H1038" s="544"/>
      <c r="I1038" s="544"/>
      <c r="J1038" s="544"/>
      <c r="K1038" s="545"/>
      <c r="L1038" s="545"/>
    </row>
    <row r="1039" spans="1:12" s="26" customFormat="1">
      <c r="A1039" s="546"/>
      <c r="B1039" s="36" t="s">
        <v>257</v>
      </c>
      <c r="C1039" s="77" t="s">
        <v>21</v>
      </c>
      <c r="D1039" s="379">
        <v>1</v>
      </c>
      <c r="E1039" s="396" t="e">
        <f>INSUMOS!#REF!</f>
        <v>#REF!</v>
      </c>
      <c r="F1039" s="396" t="e">
        <f>+E1039*D1039</f>
        <v>#REF!</v>
      </c>
      <c r="G1039" s="544"/>
      <c r="H1039" s="544"/>
      <c r="I1039" s="544"/>
      <c r="J1039" s="544"/>
      <c r="K1039" s="545"/>
      <c r="L1039" s="545"/>
    </row>
    <row r="1040" spans="1:12" s="26" customFormat="1" ht="20.25" customHeight="1">
      <c r="A1040" s="546"/>
      <c r="B1040" s="36" t="s">
        <v>203</v>
      </c>
      <c r="C1040" s="77" t="s">
        <v>21</v>
      </c>
      <c r="D1040" s="379">
        <v>1</v>
      </c>
      <c r="E1040" s="396" t="e">
        <f>INSUMOS!#REF!</f>
        <v>#REF!</v>
      </c>
      <c r="F1040" s="396" t="e">
        <f>+E1040*D1040</f>
        <v>#REF!</v>
      </c>
      <c r="G1040" s="544"/>
      <c r="H1040" s="544"/>
      <c r="I1040" s="544"/>
      <c r="J1040" s="544"/>
      <c r="K1040" s="545"/>
      <c r="L1040" s="545"/>
    </row>
    <row r="1041" spans="1:12" s="26" customFormat="1">
      <c r="A1041" s="546"/>
      <c r="B1041" s="36" t="s">
        <v>229</v>
      </c>
      <c r="C1041" s="77" t="s">
        <v>68</v>
      </c>
      <c r="D1041" s="379">
        <v>0.05</v>
      </c>
      <c r="E1041" s="396" t="e">
        <f>SUM(F1039:F1040)</f>
        <v>#REF!</v>
      </c>
      <c r="F1041" s="396" t="e">
        <f>+D1041*E1041</f>
        <v>#REF!</v>
      </c>
      <c r="G1041" s="544"/>
      <c r="H1041" s="544"/>
      <c r="I1041" s="544"/>
      <c r="J1041" s="544"/>
      <c r="K1041" s="545"/>
      <c r="L1041" s="545"/>
    </row>
    <row r="1042" spans="1:12" s="26" customFormat="1">
      <c r="A1042" s="546"/>
      <c r="B1042" s="36" t="s">
        <v>136</v>
      </c>
      <c r="C1042" s="77" t="s">
        <v>68</v>
      </c>
      <c r="D1042" s="379"/>
      <c r="E1042" s="396" t="e">
        <f>SUM(F1039:F1041)</f>
        <v>#REF!</v>
      </c>
      <c r="F1042" s="396" t="e">
        <f>+D1042*E1042</f>
        <v>#REF!</v>
      </c>
      <c r="G1042" s="544"/>
      <c r="H1042" s="544"/>
      <c r="I1042" s="544"/>
      <c r="J1042" s="544"/>
      <c r="K1042" s="545"/>
      <c r="L1042" s="545"/>
    </row>
    <row r="1043" spans="1:12" s="26" customFormat="1">
      <c r="A1043" s="546"/>
      <c r="B1043" s="36" t="s">
        <v>11</v>
      </c>
      <c r="C1043" s="77" t="s">
        <v>284</v>
      </c>
      <c r="D1043" s="379">
        <v>0.03</v>
      </c>
      <c r="E1043" s="396">
        <f>+F1044</f>
        <v>4155.3533811592606</v>
      </c>
      <c r="F1043" s="396">
        <f>(D1043*E1043)</f>
        <v>124.66060143477782</v>
      </c>
      <c r="G1043" s="544"/>
      <c r="H1043" s="544"/>
      <c r="I1043" s="544"/>
      <c r="J1043" s="544"/>
      <c r="K1043" s="545"/>
      <c r="L1043" s="545"/>
    </row>
    <row r="1044" spans="1:12" s="26" customFormat="1">
      <c r="A1044" s="546"/>
      <c r="B1044" s="36" t="s">
        <v>9</v>
      </c>
      <c r="C1044" s="77" t="s">
        <v>10</v>
      </c>
      <c r="D1044" s="379">
        <f>0.15*1.06</f>
        <v>0.159</v>
      </c>
      <c r="E1044" s="396">
        <f>'VALOR CUADRILLAS MO'!D75</f>
        <v>26134.297994712331</v>
      </c>
      <c r="F1044" s="396">
        <f>+E1044*D1044</f>
        <v>4155.3533811592606</v>
      </c>
      <c r="G1044" s="544"/>
      <c r="H1044" s="544"/>
      <c r="I1044" s="544"/>
      <c r="J1044" s="544"/>
      <c r="K1044" s="545"/>
      <c r="L1044" s="545"/>
    </row>
    <row r="1045" spans="1:12" s="26" customFormat="1">
      <c r="A1045" s="546"/>
      <c r="B1045" s="36"/>
      <c r="C1045" s="77"/>
      <c r="D1045" s="379"/>
      <c r="E1045" s="396"/>
      <c r="F1045" s="431"/>
      <c r="G1045" s="544"/>
      <c r="H1045" s="544"/>
      <c r="I1045" s="544"/>
      <c r="J1045" s="544"/>
      <c r="K1045" s="545"/>
      <c r="L1045" s="545"/>
    </row>
    <row r="1046" spans="1:12" s="26" customFormat="1" ht="39" customHeight="1">
      <c r="A1046" s="543">
        <f>+A1038+1</f>
        <v>130</v>
      </c>
      <c r="B1046" s="83" t="s">
        <v>2981</v>
      </c>
      <c r="C1046" s="76" t="s">
        <v>119</v>
      </c>
      <c r="D1046" s="73"/>
      <c r="E1046" s="430"/>
      <c r="F1046" s="378" t="e">
        <f>ROUND(SUM(F1047:F1051),0)</f>
        <v>#REF!</v>
      </c>
      <c r="G1046" s="544"/>
      <c r="H1046" s="544"/>
      <c r="I1046" s="544"/>
      <c r="J1046" s="544"/>
      <c r="K1046" s="545"/>
      <c r="L1046" s="545"/>
    </row>
    <row r="1047" spans="1:12" s="26" customFormat="1">
      <c r="A1047" s="546"/>
      <c r="B1047" s="36" t="s">
        <v>66</v>
      </c>
      <c r="C1047" s="77" t="s">
        <v>119</v>
      </c>
      <c r="D1047" s="379">
        <v>1</v>
      </c>
      <c r="E1047" s="396" t="e">
        <f>INSUMOS!#REF!</f>
        <v>#REF!</v>
      </c>
      <c r="F1047" s="396" t="e">
        <f>+D1047*E1047</f>
        <v>#REF!</v>
      </c>
      <c r="G1047" s="544"/>
      <c r="H1047" s="544"/>
      <c r="I1047" s="544"/>
      <c r="J1047" s="544"/>
      <c r="K1047" s="545"/>
      <c r="L1047" s="545"/>
    </row>
    <row r="1048" spans="1:12" s="26" customFormat="1">
      <c r="A1048" s="546"/>
      <c r="B1048" s="36" t="s">
        <v>2982</v>
      </c>
      <c r="C1048" s="77" t="s">
        <v>120</v>
      </c>
      <c r="D1048" s="379">
        <v>5.9549035156757878E-2</v>
      </c>
      <c r="E1048" s="396" t="e">
        <f>INSUMOS!#REF!</f>
        <v>#REF!</v>
      </c>
      <c r="F1048" s="396" t="e">
        <f>+D1048*E1048</f>
        <v>#REF!</v>
      </c>
      <c r="G1048" s="544"/>
      <c r="H1048" s="544"/>
      <c r="I1048" s="544"/>
      <c r="J1048" s="544"/>
      <c r="K1048" s="545"/>
      <c r="L1048" s="545"/>
    </row>
    <row r="1049" spans="1:12" s="26" customFormat="1">
      <c r="A1049" s="546"/>
      <c r="B1049" s="36" t="s">
        <v>229</v>
      </c>
      <c r="C1049" s="77" t="s">
        <v>68</v>
      </c>
      <c r="D1049" s="379">
        <v>0.05</v>
      </c>
      <c r="E1049" s="396" t="e">
        <f>SUM(F1047:F1048)</f>
        <v>#REF!</v>
      </c>
      <c r="F1049" s="396" t="e">
        <f>+D1049*E1049</f>
        <v>#REF!</v>
      </c>
      <c r="G1049" s="544"/>
      <c r="H1049" s="544"/>
      <c r="I1049" s="544"/>
      <c r="J1049" s="544"/>
      <c r="K1049" s="545"/>
      <c r="L1049" s="545"/>
    </row>
    <row r="1050" spans="1:12" s="26" customFormat="1">
      <c r="A1050" s="546"/>
      <c r="B1050" s="36" t="s">
        <v>11</v>
      </c>
      <c r="C1050" s="77" t="s">
        <v>284</v>
      </c>
      <c r="D1050" s="379">
        <v>0.03</v>
      </c>
      <c r="E1050" s="396">
        <f>+F1051</f>
        <v>11499.091117673426</v>
      </c>
      <c r="F1050" s="396">
        <f>(D1050*E1050)</f>
        <v>344.97273353020279</v>
      </c>
      <c r="G1050" s="544"/>
      <c r="H1050" s="544"/>
      <c r="I1050" s="544"/>
      <c r="J1050" s="544"/>
      <c r="K1050" s="545"/>
      <c r="L1050" s="545"/>
    </row>
    <row r="1051" spans="1:12" s="26" customFormat="1">
      <c r="A1051" s="546"/>
      <c r="B1051" s="36" t="s">
        <v>38</v>
      </c>
      <c r="C1051" s="77" t="s">
        <v>10</v>
      </c>
      <c r="D1051" s="379">
        <v>0.4</v>
      </c>
      <c r="E1051" s="396">
        <f>'VALOR CUADRILLAS MO'!D89</f>
        <v>28747.727794183564</v>
      </c>
      <c r="F1051" s="396">
        <f>+D1051*E1051</f>
        <v>11499.091117673426</v>
      </c>
      <c r="G1051" s="544"/>
      <c r="H1051" s="544"/>
      <c r="I1051" s="544"/>
      <c r="J1051" s="544"/>
      <c r="K1051" s="545"/>
      <c r="L1051" s="545"/>
    </row>
    <row r="1052" spans="1:12" s="26" customFormat="1">
      <c r="A1052" s="546"/>
      <c r="B1052" s="36"/>
      <c r="C1052" s="77"/>
      <c r="D1052" s="379"/>
      <c r="E1052" s="396"/>
      <c r="F1052" s="431"/>
      <c r="G1052" s="544"/>
      <c r="H1052" s="544"/>
      <c r="I1052" s="544"/>
      <c r="J1052" s="544"/>
      <c r="K1052" s="545"/>
      <c r="L1052" s="545"/>
    </row>
    <row r="1053" spans="1:12" s="26" customFormat="1" ht="75" customHeight="1">
      <c r="A1053" s="543">
        <f>+A1046+1</f>
        <v>131</v>
      </c>
      <c r="B1053" s="83" t="s">
        <v>2983</v>
      </c>
      <c r="C1053" s="76" t="s">
        <v>119</v>
      </c>
      <c r="D1053" s="73"/>
      <c r="E1053" s="430"/>
      <c r="F1053" s="378" t="e">
        <f>ROUND(SUM(F1054:F1062),0)</f>
        <v>#REF!</v>
      </c>
      <c r="G1053" s="544"/>
      <c r="H1053" s="544"/>
      <c r="I1053" s="544"/>
      <c r="J1053" s="544"/>
      <c r="K1053" s="545"/>
      <c r="L1053" s="545"/>
    </row>
    <row r="1054" spans="1:12" s="26" customFormat="1">
      <c r="A1054" s="546"/>
      <c r="B1054" s="36" t="s">
        <v>2984</v>
      </c>
      <c r="C1054" s="77" t="s">
        <v>21</v>
      </c>
      <c r="D1054" s="379">
        <v>0.5</v>
      </c>
      <c r="E1054" s="436" t="e">
        <f>INSUMOS!#REF!</f>
        <v>#REF!</v>
      </c>
      <c r="F1054" s="396" t="e">
        <f t="shared" ref="F1054:F1062" si="35">+D1054*E1054</f>
        <v>#REF!</v>
      </c>
      <c r="G1054" s="544"/>
      <c r="H1054" s="544"/>
      <c r="I1054" s="544"/>
      <c r="J1054" s="544"/>
      <c r="K1054" s="545"/>
      <c r="L1054" s="545"/>
    </row>
    <row r="1055" spans="1:12" s="26" customFormat="1">
      <c r="A1055" s="546"/>
      <c r="B1055" s="36" t="s">
        <v>66</v>
      </c>
      <c r="C1055" s="77" t="s">
        <v>119</v>
      </c>
      <c r="D1055" s="379">
        <v>1</v>
      </c>
      <c r="E1055" s="436" t="e">
        <f>INSUMOS!#REF!</f>
        <v>#REF!</v>
      </c>
      <c r="F1055" s="396" t="e">
        <f t="shared" si="35"/>
        <v>#REF!</v>
      </c>
      <c r="G1055" s="544"/>
      <c r="H1055" s="544"/>
      <c r="I1055" s="544"/>
      <c r="J1055" s="544"/>
      <c r="K1055" s="545"/>
      <c r="L1055" s="545"/>
    </row>
    <row r="1056" spans="1:12" s="26" customFormat="1">
      <c r="A1056" s="546"/>
      <c r="B1056" s="36" t="s">
        <v>2982</v>
      </c>
      <c r="C1056" s="77" t="s">
        <v>120</v>
      </c>
      <c r="D1056" s="379">
        <v>5.9549035156757878E-2</v>
      </c>
      <c r="E1056" s="396" t="e">
        <f>INSUMOS!#REF!</f>
        <v>#REF!</v>
      </c>
      <c r="F1056" s="396" t="e">
        <f>+D1056*E1056</f>
        <v>#REF!</v>
      </c>
      <c r="G1056" s="544"/>
      <c r="H1056" s="544"/>
      <c r="I1056" s="544"/>
      <c r="J1056" s="544"/>
      <c r="K1056" s="545"/>
      <c r="L1056" s="545"/>
    </row>
    <row r="1057" spans="1:12" s="26" customFormat="1">
      <c r="A1057" s="546"/>
      <c r="B1057" s="36" t="s">
        <v>2985</v>
      </c>
      <c r="C1057" s="77" t="s">
        <v>121</v>
      </c>
      <c r="D1057" s="379">
        <v>2.4E-2</v>
      </c>
      <c r="E1057" s="396">
        <f>BASICOS!E146</f>
        <v>392821</v>
      </c>
      <c r="F1057" s="396">
        <f t="shared" si="35"/>
        <v>9427.7039999999997</v>
      </c>
      <c r="G1057" s="544"/>
      <c r="H1057" s="544"/>
      <c r="I1057" s="544"/>
      <c r="J1057" s="544"/>
      <c r="K1057" s="545"/>
      <c r="L1057" s="545"/>
    </row>
    <row r="1058" spans="1:12" s="26" customFormat="1">
      <c r="A1058" s="546"/>
      <c r="B1058" s="36" t="s">
        <v>229</v>
      </c>
      <c r="C1058" s="77" t="s">
        <v>68</v>
      </c>
      <c r="D1058" s="379">
        <v>0.05</v>
      </c>
      <c r="E1058" s="396" t="e">
        <f>SUM(F1054:F1057)</f>
        <v>#REF!</v>
      </c>
      <c r="F1058" s="396" t="e">
        <f t="shared" si="35"/>
        <v>#REF!</v>
      </c>
      <c r="G1058" s="544"/>
      <c r="H1058" s="544"/>
      <c r="I1058" s="544"/>
      <c r="J1058" s="544"/>
      <c r="K1058" s="545"/>
      <c r="L1058" s="545"/>
    </row>
    <row r="1059" spans="1:12" s="26" customFormat="1">
      <c r="A1059" s="546"/>
      <c r="B1059" s="36" t="s">
        <v>136</v>
      </c>
      <c r="C1059" s="77" t="s">
        <v>68</v>
      </c>
      <c r="D1059" s="379"/>
      <c r="E1059" s="396" t="e">
        <f>SUM(F1054:F1058)</f>
        <v>#REF!</v>
      </c>
      <c r="F1059" s="396" t="e">
        <f t="shared" si="35"/>
        <v>#REF!</v>
      </c>
      <c r="G1059" s="544"/>
      <c r="H1059" s="544"/>
      <c r="I1059" s="544"/>
      <c r="J1059" s="544"/>
      <c r="K1059" s="545"/>
      <c r="L1059" s="545"/>
    </row>
    <row r="1060" spans="1:12" s="26" customFormat="1">
      <c r="A1060" s="546"/>
      <c r="B1060" s="36" t="s">
        <v>140</v>
      </c>
      <c r="C1060" s="77" t="s">
        <v>121</v>
      </c>
      <c r="D1060" s="379">
        <v>2.4E-2</v>
      </c>
      <c r="E1060" s="396">
        <f>EDIFICACION!F18</f>
        <v>34994</v>
      </c>
      <c r="F1060" s="396">
        <f t="shared" si="35"/>
        <v>839.85599999999999</v>
      </c>
      <c r="G1060" s="544"/>
      <c r="H1060" s="544"/>
      <c r="I1060" s="544"/>
      <c r="J1060" s="544"/>
      <c r="K1060" s="545"/>
      <c r="L1060" s="545"/>
    </row>
    <row r="1061" spans="1:12" s="26" customFormat="1">
      <c r="A1061" s="546"/>
      <c r="B1061" s="36" t="s">
        <v>11</v>
      </c>
      <c r="C1061" s="77" t="s">
        <v>284</v>
      </c>
      <c r="D1061" s="379">
        <v>0.03</v>
      </c>
      <c r="E1061" s="396">
        <f>+F1062</f>
        <v>34497.273353020275</v>
      </c>
      <c r="F1061" s="396">
        <f t="shared" si="35"/>
        <v>1034.9182005906082</v>
      </c>
      <c r="G1061" s="544"/>
      <c r="H1061" s="544"/>
      <c r="I1061" s="544"/>
      <c r="J1061" s="544"/>
      <c r="K1061" s="545"/>
      <c r="L1061" s="545"/>
    </row>
    <row r="1062" spans="1:12" s="26" customFormat="1">
      <c r="A1062" s="546"/>
      <c r="B1062" s="36" t="s">
        <v>38</v>
      </c>
      <c r="C1062" s="77" t="s">
        <v>10</v>
      </c>
      <c r="D1062" s="379">
        <v>1.2</v>
      </c>
      <c r="E1062" s="396">
        <f>'VALOR CUADRILLAS MO'!D89</f>
        <v>28747.727794183564</v>
      </c>
      <c r="F1062" s="396">
        <f t="shared" si="35"/>
        <v>34497.273353020275</v>
      </c>
      <c r="G1062" s="544"/>
      <c r="H1062" s="544"/>
      <c r="I1062" s="544"/>
      <c r="J1062" s="544"/>
      <c r="K1062" s="545"/>
      <c r="L1062" s="545"/>
    </row>
    <row r="1063" spans="1:12" s="26" customFormat="1">
      <c r="A1063" s="546"/>
      <c r="B1063" s="36"/>
      <c r="C1063" s="77"/>
      <c r="D1063" s="379"/>
      <c r="E1063" s="396"/>
      <c r="F1063" s="431"/>
      <c r="G1063" s="544"/>
      <c r="H1063" s="544"/>
      <c r="I1063" s="544"/>
      <c r="J1063" s="544"/>
      <c r="K1063" s="545"/>
      <c r="L1063" s="545"/>
    </row>
    <row r="1064" spans="1:12" s="26" customFormat="1" ht="110.25" customHeight="1">
      <c r="A1064" s="543">
        <f>+A1053+1</f>
        <v>132</v>
      </c>
      <c r="B1064" s="83" t="s">
        <v>2986</v>
      </c>
      <c r="C1064" s="76" t="s">
        <v>26</v>
      </c>
      <c r="D1064" s="73"/>
      <c r="E1064" s="430"/>
      <c r="F1064" s="378" t="e">
        <f>ROUND(SUM(F1065:F1072),0)</f>
        <v>#REF!</v>
      </c>
      <c r="G1064" s="544"/>
      <c r="H1064" s="544"/>
      <c r="I1064" s="544"/>
      <c r="J1064" s="544"/>
      <c r="K1064" s="545"/>
      <c r="L1064" s="545"/>
    </row>
    <row r="1065" spans="1:12" s="26" customFormat="1">
      <c r="A1065" s="546"/>
      <c r="B1065" s="36" t="s">
        <v>210</v>
      </c>
      <c r="C1065" s="77" t="s">
        <v>21</v>
      </c>
      <c r="D1065" s="379">
        <v>4</v>
      </c>
      <c r="E1065" s="396" t="e">
        <f>EDIFICACION!#REF!</f>
        <v>#REF!</v>
      </c>
      <c r="F1065" s="396" t="e">
        <f t="shared" ref="F1065:F1072" si="36">+D1065*E1065</f>
        <v>#REF!</v>
      </c>
      <c r="G1065" s="544"/>
      <c r="H1065" s="544"/>
      <c r="I1065" s="544"/>
      <c r="J1065" s="544"/>
      <c r="K1065" s="545"/>
      <c r="L1065" s="545"/>
    </row>
    <row r="1066" spans="1:12" s="26" customFormat="1">
      <c r="A1066" s="546"/>
      <c r="B1066" s="36" t="s">
        <v>140</v>
      </c>
      <c r="C1066" s="77" t="s">
        <v>121</v>
      </c>
      <c r="D1066" s="379">
        <f>0.8*0.8*2</f>
        <v>1.2800000000000002</v>
      </c>
      <c r="E1066" s="396">
        <f>EDIFICACION!F18</f>
        <v>34994</v>
      </c>
      <c r="F1066" s="396">
        <f t="shared" si="36"/>
        <v>44792.320000000007</v>
      </c>
      <c r="G1066" s="544"/>
      <c r="H1066" s="544"/>
      <c r="I1066" s="544"/>
      <c r="J1066" s="544"/>
      <c r="K1066" s="545"/>
      <c r="L1066" s="545"/>
    </row>
    <row r="1067" spans="1:12" s="26" customFormat="1">
      <c r="A1067" s="546"/>
      <c r="B1067" s="36" t="s">
        <v>64</v>
      </c>
      <c r="C1067" s="77" t="s">
        <v>121</v>
      </c>
      <c r="D1067" s="379">
        <f>0.8*0.8*0.25*2</f>
        <v>0.32000000000000006</v>
      </c>
      <c r="E1067" s="396" t="e">
        <f>EDIFICACION!#REF!</f>
        <v>#REF!</v>
      </c>
      <c r="F1067" s="396" t="e">
        <f t="shared" si="36"/>
        <v>#REF!</v>
      </c>
      <c r="G1067" s="544"/>
      <c r="H1067" s="544"/>
      <c r="I1067" s="544"/>
      <c r="J1067" s="544"/>
      <c r="K1067" s="545"/>
      <c r="L1067" s="545"/>
    </row>
    <row r="1068" spans="1:12" s="26" customFormat="1">
      <c r="A1068" s="546"/>
      <c r="B1068" s="36" t="s">
        <v>2987</v>
      </c>
      <c r="C1068" s="77" t="s">
        <v>121</v>
      </c>
      <c r="D1068" s="379">
        <f>4*0.25*0.25</f>
        <v>0.25</v>
      </c>
      <c r="E1068" s="396" t="e">
        <f>EDIFICACION!#REF!</f>
        <v>#REF!</v>
      </c>
      <c r="F1068" s="396" t="e">
        <f t="shared" si="36"/>
        <v>#REF!</v>
      </c>
      <c r="G1068" s="544"/>
      <c r="H1068" s="544"/>
      <c r="I1068" s="544"/>
      <c r="J1068" s="544"/>
      <c r="K1068" s="545"/>
      <c r="L1068" s="545"/>
    </row>
    <row r="1069" spans="1:12" s="26" customFormat="1" ht="38.25">
      <c r="A1069" s="546"/>
      <c r="B1069" s="36" t="s">
        <v>408</v>
      </c>
      <c r="C1069" s="77" t="s">
        <v>21</v>
      </c>
      <c r="D1069" s="379">
        <v>4</v>
      </c>
      <c r="E1069" s="396" t="e">
        <f>EDIFICACION!#REF!</f>
        <v>#REF!</v>
      </c>
      <c r="F1069" s="396" t="e">
        <f t="shared" si="36"/>
        <v>#REF!</v>
      </c>
      <c r="G1069" s="544"/>
      <c r="H1069" s="544"/>
      <c r="I1069" s="544"/>
      <c r="J1069" s="544"/>
      <c r="K1069" s="545"/>
      <c r="L1069" s="545"/>
    </row>
    <row r="1070" spans="1:12" s="26" customFormat="1">
      <c r="A1070" s="546"/>
      <c r="B1070" s="36" t="s">
        <v>65</v>
      </c>
      <c r="C1070" s="77" t="s">
        <v>121</v>
      </c>
      <c r="D1070" s="379">
        <f>2.75*2*0.25*0.25</f>
        <v>0.34375</v>
      </c>
      <c r="E1070" s="396" t="e">
        <f>EDIFICACION!#REF!</f>
        <v>#REF!</v>
      </c>
      <c r="F1070" s="396" t="e">
        <f t="shared" si="36"/>
        <v>#REF!</v>
      </c>
      <c r="G1070" s="544"/>
      <c r="H1070" s="544"/>
      <c r="I1070" s="544"/>
      <c r="J1070" s="544"/>
      <c r="K1070" s="545"/>
      <c r="L1070" s="545"/>
    </row>
    <row r="1071" spans="1:12" s="26" customFormat="1" ht="38.25">
      <c r="A1071" s="546"/>
      <c r="B1071" s="36" t="s">
        <v>550</v>
      </c>
      <c r="C1071" s="77" t="s">
        <v>21</v>
      </c>
      <c r="D1071" s="379">
        <v>6</v>
      </c>
      <c r="E1071" s="396" t="e">
        <f>EDIFICACION!#REF!</f>
        <v>#REF!</v>
      </c>
      <c r="F1071" s="396" t="e">
        <f t="shared" si="36"/>
        <v>#REF!</v>
      </c>
      <c r="G1071" s="544"/>
      <c r="H1071" s="544"/>
      <c r="I1071" s="544"/>
      <c r="J1071" s="544"/>
      <c r="K1071" s="545"/>
      <c r="L1071" s="545"/>
    </row>
    <row r="1072" spans="1:12" s="26" customFormat="1" ht="25.5">
      <c r="A1072" s="546"/>
      <c r="B1072" s="36" t="s">
        <v>2981</v>
      </c>
      <c r="C1072" s="77" t="s">
        <v>119</v>
      </c>
      <c r="D1072" s="379">
        <v>2</v>
      </c>
      <c r="E1072" s="396" t="e">
        <f>F1046</f>
        <v>#REF!</v>
      </c>
      <c r="F1072" s="396" t="e">
        <f t="shared" si="36"/>
        <v>#REF!</v>
      </c>
      <c r="G1072" s="544"/>
      <c r="H1072" s="544"/>
      <c r="I1072" s="544"/>
      <c r="J1072" s="544"/>
      <c r="K1072" s="545"/>
      <c r="L1072" s="545"/>
    </row>
    <row r="1073" spans="1:12" s="26" customFormat="1">
      <c r="A1073" s="546"/>
      <c r="B1073" s="36"/>
      <c r="C1073" s="77"/>
      <c r="D1073" s="379"/>
      <c r="E1073" s="396"/>
      <c r="F1073" s="431"/>
      <c r="G1073" s="544"/>
      <c r="H1073" s="544"/>
      <c r="I1073" s="544"/>
      <c r="J1073" s="544"/>
      <c r="K1073" s="545"/>
      <c r="L1073" s="545"/>
    </row>
    <row r="1074" spans="1:12" s="26" customFormat="1" ht="51.6" customHeight="1">
      <c r="A1074" s="543">
        <f>A1064+1</f>
        <v>133</v>
      </c>
      <c r="B1074" s="83" t="s">
        <v>2983</v>
      </c>
      <c r="C1074" s="76" t="s">
        <v>119</v>
      </c>
      <c r="D1074" s="73"/>
      <c r="E1074" s="467"/>
      <c r="F1074" s="468" t="e">
        <f>ROUND(SUM(F1075:F1086),0)</f>
        <v>#REF!</v>
      </c>
      <c r="G1074" s="544"/>
      <c r="H1074" s="544"/>
      <c r="I1074" s="544"/>
      <c r="J1074" s="544"/>
      <c r="K1074" s="545"/>
      <c r="L1074" s="545"/>
    </row>
    <row r="1075" spans="1:12" s="26" customFormat="1">
      <c r="A1075" s="547"/>
      <c r="B1075" s="36" t="s">
        <v>2984</v>
      </c>
      <c r="C1075" s="77" t="s">
        <v>21</v>
      </c>
      <c r="D1075" s="269">
        <v>0.5</v>
      </c>
      <c r="E1075" s="390" t="e">
        <f>INSUMOS!#REF!</f>
        <v>#REF!</v>
      </c>
      <c r="F1075" s="390" t="e">
        <f t="shared" ref="F1075:F1086" si="37">+D1075*E1075</f>
        <v>#REF!</v>
      </c>
      <c r="G1075" s="544"/>
      <c r="H1075" s="544"/>
      <c r="I1075" s="544"/>
      <c r="J1075" s="544"/>
      <c r="K1075" s="545"/>
      <c r="L1075" s="545"/>
    </row>
    <row r="1076" spans="1:12" s="26" customFormat="1">
      <c r="A1076" s="547"/>
      <c r="B1076" s="36" t="s">
        <v>2988</v>
      </c>
      <c r="C1076" s="77" t="s">
        <v>21</v>
      </c>
      <c r="D1076" s="269">
        <v>0.22</v>
      </c>
      <c r="E1076" s="390" t="e">
        <f>INSUMOS!#REF!</f>
        <v>#REF!</v>
      </c>
      <c r="F1076" s="390" t="e">
        <f t="shared" si="37"/>
        <v>#REF!</v>
      </c>
      <c r="G1076" s="544"/>
      <c r="H1076" s="544"/>
      <c r="I1076" s="544"/>
      <c r="J1076" s="544"/>
      <c r="K1076" s="545"/>
      <c r="L1076" s="545"/>
    </row>
    <row r="1077" spans="1:12" s="26" customFormat="1">
      <c r="A1077" s="547"/>
      <c r="B1077" s="36" t="s">
        <v>2989</v>
      </c>
      <c r="C1077" s="77" t="s">
        <v>21</v>
      </c>
      <c r="D1077" s="269">
        <v>1</v>
      </c>
      <c r="E1077" s="390" t="e">
        <f>INSUMOS!#REF!</f>
        <v>#REF!</v>
      </c>
      <c r="F1077" s="390" t="e">
        <f t="shared" si="37"/>
        <v>#REF!</v>
      </c>
      <c r="G1077" s="544"/>
      <c r="H1077" s="544"/>
      <c r="I1077" s="544"/>
      <c r="J1077" s="544"/>
      <c r="K1077" s="545"/>
      <c r="L1077" s="545"/>
    </row>
    <row r="1078" spans="1:12" s="26" customFormat="1">
      <c r="A1078" s="547"/>
      <c r="B1078" s="36" t="s">
        <v>2990</v>
      </c>
      <c r="C1078" s="77" t="s">
        <v>21</v>
      </c>
      <c r="D1078" s="269">
        <v>1.5</v>
      </c>
      <c r="E1078" s="390" t="e">
        <f>INSUMOS!#REF!</f>
        <v>#REF!</v>
      </c>
      <c r="F1078" s="390" t="e">
        <f t="shared" si="37"/>
        <v>#REF!</v>
      </c>
      <c r="G1078" s="544"/>
      <c r="H1078" s="544"/>
      <c r="I1078" s="544"/>
      <c r="J1078" s="544"/>
      <c r="K1078" s="545"/>
      <c r="L1078" s="545"/>
    </row>
    <row r="1079" spans="1:12" s="26" customFormat="1">
      <c r="A1079" s="547"/>
      <c r="B1079" s="36" t="s">
        <v>66</v>
      </c>
      <c r="C1079" s="77" t="s">
        <v>119</v>
      </c>
      <c r="D1079" s="269">
        <v>1</v>
      </c>
      <c r="E1079" s="390" t="e">
        <f>INSUMOS!#REF!</f>
        <v>#REF!</v>
      </c>
      <c r="F1079" s="390" t="e">
        <f t="shared" si="37"/>
        <v>#REF!</v>
      </c>
      <c r="G1079" s="544"/>
      <c r="H1079" s="544"/>
      <c r="I1079" s="544"/>
      <c r="J1079" s="544"/>
      <c r="K1079" s="545"/>
      <c r="L1079" s="545"/>
    </row>
    <row r="1080" spans="1:12" s="26" customFormat="1">
      <c r="A1080" s="547"/>
      <c r="B1080" s="36" t="s">
        <v>2991</v>
      </c>
      <c r="C1080" s="77" t="s">
        <v>32</v>
      </c>
      <c r="D1080" s="269">
        <v>0.5</v>
      </c>
      <c r="E1080" s="390" t="e">
        <f>INSUMOS!#REF!</f>
        <v>#REF!</v>
      </c>
      <c r="F1080" s="390" t="e">
        <f t="shared" si="37"/>
        <v>#REF!</v>
      </c>
      <c r="G1080" s="544"/>
      <c r="H1080" s="544"/>
      <c r="I1080" s="544"/>
      <c r="J1080" s="544"/>
      <c r="K1080" s="545"/>
      <c r="L1080" s="545"/>
    </row>
    <row r="1081" spans="1:12" s="26" customFormat="1">
      <c r="A1081" s="547"/>
      <c r="B1081" s="36" t="s">
        <v>2636</v>
      </c>
      <c r="C1081" s="77" t="s">
        <v>121</v>
      </c>
      <c r="D1081" s="269">
        <v>2.4E-2</v>
      </c>
      <c r="E1081" s="390">
        <f>BASICOS!E146</f>
        <v>392821</v>
      </c>
      <c r="F1081" s="390">
        <f t="shared" si="37"/>
        <v>9427.7039999999997</v>
      </c>
      <c r="G1081" s="544"/>
      <c r="H1081" s="544"/>
      <c r="I1081" s="544"/>
      <c r="J1081" s="544"/>
      <c r="K1081" s="545"/>
      <c r="L1081" s="545"/>
    </row>
    <row r="1082" spans="1:12" s="26" customFormat="1">
      <c r="A1082" s="547"/>
      <c r="B1082" s="36" t="s">
        <v>229</v>
      </c>
      <c r="C1082" s="77" t="s">
        <v>68</v>
      </c>
      <c r="D1082" s="269">
        <v>0.05</v>
      </c>
      <c r="E1082" s="390" t="e">
        <f>SUM(F1075:F1081)</f>
        <v>#REF!</v>
      </c>
      <c r="F1082" s="390" t="e">
        <f t="shared" si="37"/>
        <v>#REF!</v>
      </c>
      <c r="G1082" s="544"/>
      <c r="H1082" s="544"/>
      <c r="I1082" s="544"/>
      <c r="J1082" s="544"/>
      <c r="K1082" s="545"/>
      <c r="L1082" s="545"/>
    </row>
    <row r="1083" spans="1:12" s="26" customFormat="1">
      <c r="A1083" s="547"/>
      <c r="B1083" s="36" t="s">
        <v>136</v>
      </c>
      <c r="C1083" s="77" t="s">
        <v>68</v>
      </c>
      <c r="D1083" s="269"/>
      <c r="E1083" s="390" t="e">
        <f>SUM(F1075:F1082)</f>
        <v>#REF!</v>
      </c>
      <c r="F1083" s="390" t="e">
        <f t="shared" si="37"/>
        <v>#REF!</v>
      </c>
      <c r="G1083" s="544"/>
      <c r="H1083" s="544"/>
      <c r="I1083" s="544"/>
      <c r="J1083" s="544"/>
      <c r="K1083" s="545"/>
      <c r="L1083" s="545"/>
    </row>
    <row r="1084" spans="1:12" s="26" customFormat="1">
      <c r="A1084" s="547"/>
      <c r="B1084" s="36" t="s">
        <v>140</v>
      </c>
      <c r="C1084" s="77" t="s">
        <v>121</v>
      </c>
      <c r="D1084" s="269">
        <v>2.4E-2</v>
      </c>
      <c r="E1084" s="390">
        <f>F144</f>
        <v>34994</v>
      </c>
      <c r="F1084" s="390">
        <f t="shared" si="37"/>
        <v>839.85599999999999</v>
      </c>
      <c r="G1084" s="544"/>
      <c r="H1084" s="544"/>
      <c r="I1084" s="544"/>
      <c r="J1084" s="544"/>
      <c r="K1084" s="545"/>
      <c r="L1084" s="545"/>
    </row>
    <row r="1085" spans="1:12" s="26" customFormat="1">
      <c r="A1085" s="547"/>
      <c r="B1085" s="36" t="s">
        <v>11</v>
      </c>
      <c r="C1085" s="77" t="s">
        <v>284</v>
      </c>
      <c r="D1085" s="269">
        <v>0.03</v>
      </c>
      <c r="E1085" s="390">
        <f>F1086</f>
        <v>39552.298747436718</v>
      </c>
      <c r="F1085" s="390">
        <f t="shared" si="37"/>
        <v>1186.5689624231015</v>
      </c>
      <c r="G1085" s="544"/>
      <c r="H1085" s="544"/>
      <c r="I1085" s="544"/>
      <c r="J1085" s="544"/>
      <c r="K1085" s="545"/>
      <c r="L1085" s="545"/>
    </row>
    <row r="1086" spans="1:12" s="26" customFormat="1">
      <c r="A1086" s="547"/>
      <c r="B1086" s="36" t="s">
        <v>38</v>
      </c>
      <c r="C1086" s="77" t="s">
        <v>10</v>
      </c>
      <c r="D1086" s="269">
        <v>1.6</v>
      </c>
      <c r="E1086" s="390">
        <v>24720.186717147946</v>
      </c>
      <c r="F1086" s="390">
        <f t="shared" si="37"/>
        <v>39552.298747436718</v>
      </c>
      <c r="G1086" s="544"/>
      <c r="H1086" s="544"/>
      <c r="I1086" s="544"/>
      <c r="J1086" s="544"/>
      <c r="K1086" s="545"/>
      <c r="L1086" s="545"/>
    </row>
    <row r="1087" spans="1:12" s="26" customFormat="1">
      <c r="A1087" s="547"/>
      <c r="B1087" s="36"/>
      <c r="C1087" s="77"/>
      <c r="D1087" s="269"/>
      <c r="E1087" s="390"/>
      <c r="F1087" s="390"/>
      <c r="G1087" s="544"/>
      <c r="H1087" s="544"/>
      <c r="I1087" s="544"/>
      <c r="J1087" s="544"/>
      <c r="K1087" s="545"/>
      <c r="L1087" s="545"/>
    </row>
    <row r="1088" spans="1:12" ht="37.9" customHeight="1">
      <c r="A1088" s="246">
        <f>A1074+1</f>
        <v>134</v>
      </c>
      <c r="B1088" s="83" t="s">
        <v>2744</v>
      </c>
      <c r="C1088" s="76" t="s">
        <v>21</v>
      </c>
      <c r="D1088" s="73"/>
      <c r="E1088" s="430"/>
      <c r="F1088" s="378" t="e">
        <f>ROUND(SUM(F1089:F1096),0)</f>
        <v>#REF!</v>
      </c>
    </row>
    <row r="1089" spans="1:6">
      <c r="A1089" s="529"/>
      <c r="B1089" s="165" t="s">
        <v>2745</v>
      </c>
      <c r="C1089" s="77" t="s">
        <v>2741</v>
      </c>
      <c r="D1089" s="444">
        <v>1.4999999999999999E-2</v>
      </c>
      <c r="E1089" s="396" t="e">
        <f>INSUMOS!#REF!</f>
        <v>#REF!</v>
      </c>
      <c r="F1089" s="396" t="e">
        <f>+E1089*D1089</f>
        <v>#REF!</v>
      </c>
    </row>
    <row r="1090" spans="1:6">
      <c r="A1090" s="529"/>
      <c r="B1090" s="165" t="s">
        <v>506</v>
      </c>
      <c r="C1090" s="77" t="s">
        <v>2741</v>
      </c>
      <c r="D1090" s="444">
        <f>0.047</f>
        <v>4.7E-2</v>
      </c>
      <c r="E1090" s="396" t="e">
        <f>INSUMOS!#REF!</f>
        <v>#REF!</v>
      </c>
      <c r="F1090" s="396" t="e">
        <f>+D1090*E1090</f>
        <v>#REF!</v>
      </c>
    </row>
    <row r="1091" spans="1:6">
      <c r="A1091" s="529"/>
      <c r="B1091" s="165" t="s">
        <v>2746</v>
      </c>
      <c r="C1091" s="77" t="s">
        <v>26</v>
      </c>
      <c r="D1091" s="444">
        <v>0.04</v>
      </c>
      <c r="E1091" s="396" t="e">
        <f>INSUMOS!#REF!</f>
        <v>#REF!</v>
      </c>
      <c r="F1091" s="396" t="e">
        <f>+D1091*E1091</f>
        <v>#REF!</v>
      </c>
    </row>
    <row r="1092" spans="1:6">
      <c r="A1092" s="529"/>
      <c r="B1092" s="165" t="s">
        <v>229</v>
      </c>
      <c r="C1092" s="77" t="s">
        <v>68</v>
      </c>
      <c r="D1092" s="444">
        <v>0.05</v>
      </c>
      <c r="E1092" s="396" t="e">
        <f>SUM(F1089:F1090)</f>
        <v>#REF!</v>
      </c>
      <c r="F1092" s="396" t="e">
        <f>+D1092*E1092</f>
        <v>#REF!</v>
      </c>
    </row>
    <row r="1093" spans="1:6">
      <c r="A1093" s="529"/>
      <c r="B1093" s="165" t="s">
        <v>136</v>
      </c>
      <c r="C1093" s="77" t="s">
        <v>68</v>
      </c>
      <c r="D1093" s="444"/>
      <c r="E1093" s="396" t="e">
        <f>SUM(F1089:F1092)</f>
        <v>#REF!</v>
      </c>
      <c r="F1093" s="396" t="e">
        <f>+D1093*E1093</f>
        <v>#REF!</v>
      </c>
    </row>
    <row r="1094" spans="1:6">
      <c r="A1094" s="529"/>
      <c r="B1094" s="165" t="s">
        <v>2742</v>
      </c>
      <c r="C1094" s="77" t="s">
        <v>142</v>
      </c>
      <c r="D1094" s="433">
        <v>1E-4</v>
      </c>
      <c r="E1094" s="396" t="e">
        <f>INSUMOS!#REF!</f>
        <v>#REF!</v>
      </c>
      <c r="F1094" s="396" t="e">
        <f>+E1094*D1094</f>
        <v>#REF!</v>
      </c>
    </row>
    <row r="1095" spans="1:6">
      <c r="A1095" s="529"/>
      <c r="B1095" s="165" t="s">
        <v>11</v>
      </c>
      <c r="C1095" s="77" t="s">
        <v>284</v>
      </c>
      <c r="D1095" s="444">
        <v>0.03</v>
      </c>
      <c r="E1095" s="396">
        <f>+F1096</f>
        <v>1833.3210043290696</v>
      </c>
      <c r="F1095" s="396">
        <f>(D1095*E1095)</f>
        <v>54.999630129872088</v>
      </c>
    </row>
    <row r="1096" spans="1:6">
      <c r="A1096" s="529"/>
      <c r="B1096" s="165" t="s">
        <v>102</v>
      </c>
      <c r="C1096" s="77" t="s">
        <v>10</v>
      </c>
      <c r="D1096" s="444">
        <f>0.061</f>
        <v>6.0999999999999999E-2</v>
      </c>
      <c r="E1096" s="396">
        <f>'VALOR CUADRILLAS MO'!D101</f>
        <v>30054.442693919176</v>
      </c>
      <c r="F1096" s="396">
        <f>+E1096*D1096</f>
        <v>1833.3210043290696</v>
      </c>
    </row>
    <row r="1097" spans="1:6">
      <c r="A1097" s="529"/>
      <c r="B1097" s="165"/>
      <c r="C1097" s="77"/>
      <c r="D1097" s="432"/>
      <c r="E1097" s="396"/>
      <c r="F1097" s="396"/>
    </row>
    <row r="1098" spans="1:6" ht="44.45" customHeight="1">
      <c r="A1098" s="246">
        <f>A1088+1</f>
        <v>135</v>
      </c>
      <c r="B1098" s="83" t="s">
        <v>2748</v>
      </c>
      <c r="C1098" s="76" t="s">
        <v>26</v>
      </c>
      <c r="D1098" s="73"/>
      <c r="E1098" s="430"/>
      <c r="F1098" s="378" t="e">
        <f>ROUND(SUM(F1099:F1106),0)</f>
        <v>#REF!</v>
      </c>
    </row>
    <row r="1099" spans="1:6">
      <c r="A1099" s="529"/>
      <c r="B1099" s="165" t="s">
        <v>115</v>
      </c>
      <c r="C1099" s="77" t="s">
        <v>271</v>
      </c>
      <c r="D1099" s="379">
        <v>1</v>
      </c>
      <c r="E1099" s="396" t="e">
        <f>INSUMOS!#REF!</f>
        <v>#REF!</v>
      </c>
      <c r="F1099" s="396" t="e">
        <f>+E1099*D1099</f>
        <v>#REF!</v>
      </c>
    </row>
    <row r="1100" spans="1:6">
      <c r="A1100" s="529"/>
      <c r="B1100" s="165" t="s">
        <v>116</v>
      </c>
      <c r="C1100" s="77" t="s">
        <v>26</v>
      </c>
      <c r="D1100" s="379">
        <v>1</v>
      </c>
      <c r="E1100" s="396" t="e">
        <f>INSUMOS!#REF!</f>
        <v>#REF!</v>
      </c>
      <c r="F1100" s="396" t="e">
        <f>+E1100*D1100</f>
        <v>#REF!</v>
      </c>
    </row>
    <row r="1101" spans="1:6">
      <c r="A1101" s="529"/>
      <c r="B1101" s="165" t="s">
        <v>283</v>
      </c>
      <c r="C1101" s="77" t="s">
        <v>26</v>
      </c>
      <c r="D1101" s="379">
        <v>1</v>
      </c>
      <c r="E1101" s="396" t="e">
        <f>INSUMOS!#REF!</f>
        <v>#REF!</v>
      </c>
      <c r="F1101" s="396" t="e">
        <f>+E1101*D1101</f>
        <v>#REF!</v>
      </c>
    </row>
    <row r="1102" spans="1:6">
      <c r="A1102" s="529"/>
      <c r="B1102" s="165" t="s">
        <v>2648</v>
      </c>
      <c r="C1102" s="77" t="s">
        <v>121</v>
      </c>
      <c r="D1102" s="379">
        <v>0.67500000000000004</v>
      </c>
      <c r="E1102" s="396">
        <f>BASICOS!E146</f>
        <v>392821</v>
      </c>
      <c r="F1102" s="396">
        <f>+D1102*E1102</f>
        <v>265154.17499999999</v>
      </c>
    </row>
    <row r="1103" spans="1:6">
      <c r="A1103" s="529"/>
      <c r="B1103" s="165" t="s">
        <v>229</v>
      </c>
      <c r="C1103" s="77" t="s">
        <v>68</v>
      </c>
      <c r="D1103" s="435">
        <v>0.05</v>
      </c>
      <c r="E1103" s="396">
        <f>SUM(F1102)</f>
        <v>265154.17499999999</v>
      </c>
      <c r="F1103" s="396">
        <f>+D1103*E1103</f>
        <v>13257.70875</v>
      </c>
    </row>
    <row r="1104" spans="1:6">
      <c r="A1104" s="529"/>
      <c r="B1104" s="165" t="s">
        <v>136</v>
      </c>
      <c r="C1104" s="77" t="s">
        <v>68</v>
      </c>
      <c r="D1104" s="379"/>
      <c r="E1104" s="396" t="e">
        <f>SUM(F1099:F1102)</f>
        <v>#REF!</v>
      </c>
      <c r="F1104" s="396" t="e">
        <f>+D1104*E1104</f>
        <v>#REF!</v>
      </c>
    </row>
    <row r="1105" spans="1:6">
      <c r="A1105" s="529"/>
      <c r="B1105" s="165" t="s">
        <v>11</v>
      </c>
      <c r="C1105" s="77" t="s">
        <v>284</v>
      </c>
      <c r="D1105" s="379">
        <v>0.03</v>
      </c>
      <c r="E1105" s="396">
        <f>+F1106</f>
        <v>169872.93696563016</v>
      </c>
      <c r="F1105" s="396">
        <f>(D1105*E1105)</f>
        <v>5096.1881089689041</v>
      </c>
    </row>
    <row r="1106" spans="1:6">
      <c r="A1106" s="529"/>
      <c r="B1106" s="165" t="s">
        <v>9</v>
      </c>
      <c r="C1106" s="77" t="s">
        <v>10</v>
      </c>
      <c r="D1106" s="379">
        <v>6.5</v>
      </c>
      <c r="E1106" s="396">
        <f>'VALOR CUADRILLAS MO'!D75</f>
        <v>26134.297994712331</v>
      </c>
      <c r="F1106" s="396">
        <f>+E1106*D1106</f>
        <v>169872.93696563016</v>
      </c>
    </row>
    <row r="1107" spans="1:6">
      <c r="A1107" s="529"/>
      <c r="B1107" s="165"/>
      <c r="C1107" s="77"/>
      <c r="D1107" s="379"/>
      <c r="E1107" s="396"/>
      <c r="F1107" s="431"/>
    </row>
    <row r="1108" spans="1:6" ht="63" customHeight="1">
      <c r="A1108" s="246">
        <f>A1098+1</f>
        <v>136</v>
      </c>
      <c r="B1108" s="83" t="e">
        <f>INSUMOS!#REF!</f>
        <v>#REF!</v>
      </c>
      <c r="C1108" s="76" t="s">
        <v>26</v>
      </c>
      <c r="D1108" s="73"/>
      <c r="E1108" s="430"/>
      <c r="F1108" s="378" t="e">
        <f>ROUND(SUM(F1109:F1116),0)</f>
        <v>#REF!</v>
      </c>
    </row>
    <row r="1109" spans="1:6">
      <c r="A1109" s="529"/>
      <c r="B1109" s="165" t="s">
        <v>115</v>
      </c>
      <c r="C1109" s="77" t="s">
        <v>271</v>
      </c>
      <c r="D1109" s="379">
        <v>1</v>
      </c>
      <c r="E1109" s="396" t="e">
        <f>INSUMOS!#REF!</f>
        <v>#REF!</v>
      </c>
      <c r="F1109" s="396" t="e">
        <f>+E1109*D1109</f>
        <v>#REF!</v>
      </c>
    </row>
    <row r="1110" spans="1:6">
      <c r="A1110" s="529"/>
      <c r="B1110" s="165" t="s">
        <v>116</v>
      </c>
      <c r="C1110" s="77" t="s">
        <v>26</v>
      </c>
      <c r="D1110" s="379">
        <v>1</v>
      </c>
      <c r="E1110" s="396" t="e">
        <f>INSUMOS!#REF!</f>
        <v>#REF!</v>
      </c>
      <c r="F1110" s="396" t="e">
        <f>+E1110*D1110</f>
        <v>#REF!</v>
      </c>
    </row>
    <row r="1111" spans="1:6">
      <c r="A1111" s="529"/>
      <c r="B1111" s="165" t="s">
        <v>283</v>
      </c>
      <c r="C1111" s="77" t="s">
        <v>26</v>
      </c>
      <c r="D1111" s="379">
        <v>1</v>
      </c>
      <c r="E1111" s="396" t="e">
        <f>INSUMOS!#REF!</f>
        <v>#REF!</v>
      </c>
      <c r="F1111" s="396" t="e">
        <f>+E1111*D1111</f>
        <v>#REF!</v>
      </c>
    </row>
    <row r="1112" spans="1:6">
      <c r="A1112" s="529"/>
      <c r="B1112" s="165" t="s">
        <v>2648</v>
      </c>
      <c r="C1112" s="77" t="s">
        <v>121</v>
      </c>
      <c r="D1112" s="379">
        <v>0.14399999999999999</v>
      </c>
      <c r="E1112" s="396">
        <f>BASICOS!E146</f>
        <v>392821</v>
      </c>
      <c r="F1112" s="396">
        <f>+D1112*E1112</f>
        <v>56566.223999999995</v>
      </c>
    </row>
    <row r="1113" spans="1:6">
      <c r="A1113" s="529"/>
      <c r="B1113" s="165" t="s">
        <v>229</v>
      </c>
      <c r="C1113" s="77" t="s">
        <v>68</v>
      </c>
      <c r="D1113" s="435">
        <v>0.05</v>
      </c>
      <c r="E1113" s="396">
        <f>SUM(F1112)</f>
        <v>56566.223999999995</v>
      </c>
      <c r="F1113" s="396">
        <f>+D1113*E1113</f>
        <v>2828.3112000000001</v>
      </c>
    </row>
    <row r="1114" spans="1:6">
      <c r="A1114" s="529"/>
      <c r="B1114" s="165" t="s">
        <v>136</v>
      </c>
      <c r="C1114" s="77" t="s">
        <v>68</v>
      </c>
      <c r="D1114" s="379"/>
      <c r="E1114" s="396" t="e">
        <f>SUM(F1109:F1112)</f>
        <v>#REF!</v>
      </c>
      <c r="F1114" s="396" t="e">
        <f>+D1114*E1114</f>
        <v>#REF!</v>
      </c>
    </row>
    <row r="1115" spans="1:6">
      <c r="A1115" s="529"/>
      <c r="B1115" s="165" t="s">
        <v>11</v>
      </c>
      <c r="C1115" s="77" t="s">
        <v>284</v>
      </c>
      <c r="D1115" s="379">
        <v>0.03</v>
      </c>
      <c r="E1115" s="396">
        <f>+F1116</f>
        <v>169872.93696563016</v>
      </c>
      <c r="F1115" s="396">
        <f>(D1115*E1115)</f>
        <v>5096.1881089689041</v>
      </c>
    </row>
    <row r="1116" spans="1:6">
      <c r="A1116" s="529"/>
      <c r="B1116" s="165" t="s">
        <v>9</v>
      </c>
      <c r="C1116" s="77" t="s">
        <v>10</v>
      </c>
      <c r="D1116" s="379">
        <v>6.5</v>
      </c>
      <c r="E1116" s="396">
        <f>'VALOR CUADRILLAS MO'!D75</f>
        <v>26134.297994712331</v>
      </c>
      <c r="F1116" s="396">
        <f>+E1116*D1116</f>
        <v>169872.93696563016</v>
      </c>
    </row>
    <row r="1117" spans="1:6">
      <c r="A1117" s="529"/>
      <c r="B1117" s="165"/>
      <c r="C1117" s="77"/>
      <c r="D1117" s="379"/>
      <c r="E1117" s="396"/>
      <c r="F1117" s="431"/>
    </row>
    <row r="1118" spans="1:6" ht="57" customHeight="1">
      <c r="A1118" s="246">
        <f>A1108+1</f>
        <v>137</v>
      </c>
      <c r="B1118" s="83" t="s">
        <v>3072</v>
      </c>
      <c r="C1118" s="76" t="s">
        <v>26</v>
      </c>
      <c r="D1118" s="73"/>
      <c r="E1118" s="430"/>
      <c r="F1118" s="378" t="e">
        <f>ROUND(SUM(F1119:F1124),0)</f>
        <v>#REF!</v>
      </c>
    </row>
    <row r="1119" spans="1:6" ht="25.5">
      <c r="A1119" s="529"/>
      <c r="B1119" s="36" t="s">
        <v>3171</v>
      </c>
      <c r="C1119" s="77" t="s">
        <v>26</v>
      </c>
      <c r="D1119" s="368">
        <v>1</v>
      </c>
      <c r="E1119" s="390" t="e">
        <f>INSUMOS!#REF!</f>
        <v>#REF!</v>
      </c>
      <c r="F1119" s="390" t="e">
        <f t="shared" ref="F1119:F1124" si="38">D1119*E1119</f>
        <v>#REF!</v>
      </c>
    </row>
    <row r="1120" spans="1:6">
      <c r="A1120" s="529"/>
      <c r="B1120" s="36" t="s">
        <v>2636</v>
      </c>
      <c r="C1120" s="77" t="s">
        <v>121</v>
      </c>
      <c r="D1120" s="368">
        <v>0.1</v>
      </c>
      <c r="E1120" s="390">
        <f>BASICOS!E146</f>
        <v>392821</v>
      </c>
      <c r="F1120" s="390">
        <f t="shared" si="38"/>
        <v>39282.1</v>
      </c>
    </row>
    <row r="1121" spans="1:6">
      <c r="A1121" s="529"/>
      <c r="B1121" s="36" t="s">
        <v>229</v>
      </c>
      <c r="C1121" s="77" t="s">
        <v>68</v>
      </c>
      <c r="D1121" s="368">
        <v>0.05</v>
      </c>
      <c r="E1121" s="390">
        <f>F1120</f>
        <v>39282.1</v>
      </c>
      <c r="F1121" s="390">
        <f t="shared" si="38"/>
        <v>1964.105</v>
      </c>
    </row>
    <row r="1122" spans="1:6">
      <c r="A1122" s="529"/>
      <c r="B1122" s="36" t="s">
        <v>136</v>
      </c>
      <c r="C1122" s="77" t="s">
        <v>68</v>
      </c>
      <c r="D1122" s="368"/>
      <c r="E1122" s="390" t="e">
        <f>SUM(F1119:F1121)</f>
        <v>#REF!</v>
      </c>
      <c r="F1122" s="390" t="e">
        <f t="shared" si="38"/>
        <v>#REF!</v>
      </c>
    </row>
    <row r="1123" spans="1:6">
      <c r="A1123" s="529"/>
      <c r="B1123" s="36" t="s">
        <v>11</v>
      </c>
      <c r="C1123" s="77" t="s">
        <v>284</v>
      </c>
      <c r="D1123" s="368">
        <v>0.03</v>
      </c>
      <c r="E1123" s="390">
        <f>+F1124</f>
        <v>250889.26074923837</v>
      </c>
      <c r="F1123" s="390">
        <f t="shared" si="38"/>
        <v>7526.6778224771506</v>
      </c>
    </row>
    <row r="1124" spans="1:6">
      <c r="A1124" s="529"/>
      <c r="B1124" s="36" t="s">
        <v>76</v>
      </c>
      <c r="C1124" s="77" t="s">
        <v>3073</v>
      </c>
      <c r="D1124" s="368">
        <v>8</v>
      </c>
      <c r="E1124" s="390">
        <f>'VALOR CUADRILLAS MO'!D113</f>
        <v>31361.157593654796</v>
      </c>
      <c r="F1124" s="390">
        <f t="shared" si="38"/>
        <v>250889.26074923837</v>
      </c>
    </row>
    <row r="1125" spans="1:6">
      <c r="A1125" s="529"/>
      <c r="B1125" s="165"/>
      <c r="C1125" s="77"/>
      <c r="D1125" s="379"/>
      <c r="E1125" s="396"/>
      <c r="F1125" s="431"/>
    </row>
    <row r="1126" spans="1:6" ht="67.150000000000006" customHeight="1">
      <c r="A1126" s="246">
        <f>A1118+1</f>
        <v>138</v>
      </c>
      <c r="B1126" s="83" t="s">
        <v>3061</v>
      </c>
      <c r="C1126" s="76" t="s">
        <v>21</v>
      </c>
      <c r="D1126" s="73"/>
      <c r="E1126" s="430"/>
      <c r="F1126" s="378" t="e">
        <f>ROUND(SUM(F1127:F1135),0)</f>
        <v>#REF!</v>
      </c>
    </row>
    <row r="1127" spans="1:6">
      <c r="A1127" s="529"/>
      <c r="B1127" s="36" t="s">
        <v>3062</v>
      </c>
      <c r="C1127" s="77" t="s">
        <v>21</v>
      </c>
      <c r="D1127" s="269">
        <v>2</v>
      </c>
      <c r="E1127" s="390" t="e">
        <f>INSUMOS!#REF!</f>
        <v>#REF!</v>
      </c>
      <c r="F1127" s="390" t="e">
        <f>D1127*E1127</f>
        <v>#REF!</v>
      </c>
    </row>
    <row r="1128" spans="1:6">
      <c r="A1128" s="529"/>
      <c r="B1128" s="36" t="s">
        <v>3063</v>
      </c>
      <c r="C1128" s="77" t="s">
        <v>21</v>
      </c>
      <c r="D1128" s="269">
        <v>2</v>
      </c>
      <c r="E1128" s="390" t="e">
        <f>INSUMOS!#REF!</f>
        <v>#REF!</v>
      </c>
      <c r="F1128" s="390" t="e">
        <f t="shared" ref="F1128:F1135" si="39">D1128*E1128</f>
        <v>#REF!</v>
      </c>
    </row>
    <row r="1129" spans="1:6">
      <c r="A1129" s="529"/>
      <c r="B1129" s="36" t="s">
        <v>2648</v>
      </c>
      <c r="C1129" s="77" t="s">
        <v>121</v>
      </c>
      <c r="D1129" s="269">
        <v>0.25</v>
      </c>
      <c r="E1129" s="390">
        <f>BASICOS!E146</f>
        <v>392821</v>
      </c>
      <c r="F1129" s="390">
        <f t="shared" si="39"/>
        <v>98205.25</v>
      </c>
    </row>
    <row r="1130" spans="1:6">
      <c r="A1130" s="529"/>
      <c r="B1130" s="36" t="s">
        <v>3064</v>
      </c>
      <c r="C1130" s="77" t="s">
        <v>119</v>
      </c>
      <c r="D1130" s="269">
        <v>5</v>
      </c>
      <c r="E1130" s="390" t="e">
        <f>INSUMOS!#REF!</f>
        <v>#REF!</v>
      </c>
      <c r="F1130" s="390" t="e">
        <f t="shared" si="39"/>
        <v>#REF!</v>
      </c>
    </row>
    <row r="1131" spans="1:6">
      <c r="A1131" s="529"/>
      <c r="B1131" s="36" t="s">
        <v>229</v>
      </c>
      <c r="C1131" s="77" t="s">
        <v>68</v>
      </c>
      <c r="D1131" s="269">
        <v>0.05</v>
      </c>
      <c r="E1131" s="390" t="e">
        <f>SUM(F1127:F1130)</f>
        <v>#REF!</v>
      </c>
      <c r="F1131" s="390" t="e">
        <f t="shared" si="39"/>
        <v>#REF!</v>
      </c>
    </row>
    <row r="1132" spans="1:6">
      <c r="A1132" s="529"/>
      <c r="B1132" s="36" t="s">
        <v>2795</v>
      </c>
      <c r="C1132" s="77" t="s">
        <v>153</v>
      </c>
      <c r="D1132" s="269">
        <v>1.8</v>
      </c>
      <c r="E1132" s="390" t="e">
        <f>INSUMOS!#REF!</f>
        <v>#REF!</v>
      </c>
      <c r="F1132" s="390" t="e">
        <f t="shared" si="39"/>
        <v>#REF!</v>
      </c>
    </row>
    <row r="1133" spans="1:6">
      <c r="A1133" s="529"/>
      <c r="B1133" s="36" t="s">
        <v>136</v>
      </c>
      <c r="C1133" s="77" t="s">
        <v>68</v>
      </c>
      <c r="D1133" s="269"/>
      <c r="E1133" s="390" t="e">
        <f>SUM(F1127:F1132)</f>
        <v>#REF!</v>
      </c>
      <c r="F1133" s="390" t="e">
        <f t="shared" si="39"/>
        <v>#REF!</v>
      </c>
    </row>
    <row r="1134" spans="1:6">
      <c r="A1134" s="529"/>
      <c r="B1134" s="36" t="s">
        <v>11</v>
      </c>
      <c r="C1134" s="77" t="s">
        <v>284</v>
      </c>
      <c r="D1134" s="269">
        <v>0.03</v>
      </c>
      <c r="E1134" s="390">
        <f>+F1135</f>
        <v>62722.315187309592</v>
      </c>
      <c r="F1134" s="390">
        <f t="shared" si="39"/>
        <v>1881.6694556192876</v>
      </c>
    </row>
    <row r="1135" spans="1:6">
      <c r="A1135" s="529"/>
      <c r="B1135" s="36" t="s">
        <v>76</v>
      </c>
      <c r="C1135" s="77" t="s">
        <v>182</v>
      </c>
      <c r="D1135" s="269">
        <v>2</v>
      </c>
      <c r="E1135" s="390">
        <f>'VALOR CUADRILLAS MO'!D113</f>
        <v>31361.157593654796</v>
      </c>
      <c r="F1135" s="390">
        <f t="shared" si="39"/>
        <v>62722.315187309592</v>
      </c>
    </row>
    <row r="1136" spans="1:6">
      <c r="A1136" s="529"/>
      <c r="B1136" s="165"/>
      <c r="C1136" s="77"/>
      <c r="D1136" s="379"/>
      <c r="E1136" s="396"/>
      <c r="F1136" s="431"/>
    </row>
    <row r="1137" spans="1:6" ht="40.15" customHeight="1">
      <c r="A1137" s="246">
        <f>A1126+1</f>
        <v>139</v>
      </c>
      <c r="B1137" s="83" t="s">
        <v>3104</v>
      </c>
      <c r="C1137" s="76" t="s">
        <v>119</v>
      </c>
      <c r="D1137" s="73"/>
      <c r="E1137" s="430"/>
      <c r="F1137" s="378" t="e">
        <f>ROUND(SUM(F1138:F1144),0)</f>
        <v>#REF!</v>
      </c>
    </row>
    <row r="1138" spans="1:6">
      <c r="A1138" s="529"/>
      <c r="B1138" s="165" t="s">
        <v>2648</v>
      </c>
      <c r="C1138" s="77" t="s">
        <v>7</v>
      </c>
      <c r="D1138" s="379">
        <v>0.1</v>
      </c>
      <c r="E1138" s="396">
        <f>BASICOS!E146</f>
        <v>392821</v>
      </c>
      <c r="F1138" s="396">
        <f t="shared" ref="F1138:F1144" si="40">+D1138*E1138</f>
        <v>39282.1</v>
      </c>
    </row>
    <row r="1139" spans="1:6">
      <c r="A1139" s="529"/>
      <c r="B1139" s="165" t="s">
        <v>2749</v>
      </c>
      <c r="C1139" s="77" t="s">
        <v>119</v>
      </c>
      <c r="D1139" s="379">
        <v>1</v>
      </c>
      <c r="E1139" s="396" t="e">
        <f>INSUMOS!#REF!</f>
        <v>#REF!</v>
      </c>
      <c r="F1139" s="396" t="e">
        <f t="shared" si="40"/>
        <v>#REF!</v>
      </c>
    </row>
    <row r="1140" spans="1:6">
      <c r="A1140" s="529"/>
      <c r="B1140" s="165" t="s">
        <v>229</v>
      </c>
      <c r="C1140" s="77" t="s">
        <v>68</v>
      </c>
      <c r="D1140" s="379">
        <v>0.05</v>
      </c>
      <c r="E1140" s="396" t="e">
        <f>SUM(F1138:F1139)</f>
        <v>#REF!</v>
      </c>
      <c r="F1140" s="396" t="e">
        <f t="shared" si="40"/>
        <v>#REF!</v>
      </c>
    </row>
    <row r="1141" spans="1:6">
      <c r="A1141" s="529"/>
      <c r="B1141" s="165" t="s">
        <v>136</v>
      </c>
      <c r="C1141" s="77" t="s">
        <v>68</v>
      </c>
      <c r="D1141" s="379"/>
      <c r="E1141" s="396" t="e">
        <f>SUM(F1138:F1140)</f>
        <v>#REF!</v>
      </c>
      <c r="F1141" s="396" t="e">
        <f t="shared" si="40"/>
        <v>#REF!</v>
      </c>
    </row>
    <row r="1142" spans="1:6">
      <c r="A1142" s="529"/>
      <c r="B1142" s="165" t="s">
        <v>2750</v>
      </c>
      <c r="C1142" s="77" t="s">
        <v>12</v>
      </c>
      <c r="D1142" s="379">
        <v>0.5</v>
      </c>
      <c r="E1142" s="396">
        <f>+INSUMOS!D6</f>
        <v>15470</v>
      </c>
      <c r="F1142" s="396">
        <f t="shared" si="40"/>
        <v>7735</v>
      </c>
    </row>
    <row r="1143" spans="1:6">
      <c r="A1143" s="529"/>
      <c r="B1143" s="165" t="s">
        <v>11</v>
      </c>
      <c r="C1143" s="77" t="s">
        <v>284</v>
      </c>
      <c r="D1143" s="379">
        <v>0.03</v>
      </c>
      <c r="E1143" s="370">
        <f>F1144</f>
        <v>13067.148997356166</v>
      </c>
      <c r="F1143" s="303">
        <f t="shared" si="40"/>
        <v>392.01446992068497</v>
      </c>
    </row>
    <row r="1144" spans="1:6">
      <c r="A1144" s="529"/>
      <c r="B1144" s="165" t="s">
        <v>9</v>
      </c>
      <c r="C1144" s="77" t="s">
        <v>10</v>
      </c>
      <c r="D1144" s="379">
        <f>0.5</f>
        <v>0.5</v>
      </c>
      <c r="E1144" s="396">
        <f>'VALOR CUADRILLAS MO'!D75</f>
        <v>26134.297994712331</v>
      </c>
      <c r="F1144" s="396">
        <f t="shared" si="40"/>
        <v>13067.148997356166</v>
      </c>
    </row>
    <row r="1145" spans="1:6">
      <c r="A1145" s="529"/>
      <c r="B1145" s="165"/>
      <c r="C1145" s="77"/>
      <c r="D1145" s="379"/>
      <c r="E1145" s="396"/>
      <c r="F1145" s="431"/>
    </row>
    <row r="1146" spans="1:6" ht="48" customHeight="1">
      <c r="A1146" s="246">
        <f>A1137+1</f>
        <v>140</v>
      </c>
      <c r="B1146" s="83" t="s">
        <v>2751</v>
      </c>
      <c r="C1146" s="76" t="s">
        <v>119</v>
      </c>
      <c r="D1146" s="73"/>
      <c r="E1146" s="430"/>
      <c r="F1146" s="378" t="e">
        <f>ROUND(SUM(F1147:L1155),0)</f>
        <v>#REF!</v>
      </c>
    </row>
    <row r="1147" spans="1:6">
      <c r="A1147" s="529"/>
      <c r="B1147" s="165" t="s">
        <v>2752</v>
      </c>
      <c r="C1147" s="77" t="s">
        <v>121</v>
      </c>
      <c r="D1147" s="379">
        <v>0.1575</v>
      </c>
      <c r="E1147" s="396">
        <f>BASICOS!E146</f>
        <v>392821</v>
      </c>
      <c r="F1147" s="396">
        <f>ROUND(D1147*E1147,2)</f>
        <v>61869.31</v>
      </c>
    </row>
    <row r="1148" spans="1:6">
      <c r="A1148" s="529"/>
      <c r="B1148" s="165" t="s">
        <v>2753</v>
      </c>
      <c r="C1148" s="77" t="s">
        <v>12</v>
      </c>
      <c r="D1148" s="379">
        <v>0.7</v>
      </c>
      <c r="E1148" s="396">
        <f>+INSUMOS!D6</f>
        <v>15470</v>
      </c>
      <c r="F1148" s="396">
        <f>ROUND(D1148*E1148,2)</f>
        <v>10829</v>
      </c>
    </row>
    <row r="1149" spans="1:6">
      <c r="A1149" s="529"/>
      <c r="B1149" s="165" t="s">
        <v>2754</v>
      </c>
      <c r="C1149" s="77" t="s">
        <v>120</v>
      </c>
      <c r="D1149" s="379">
        <v>9.9199999999999997E-2</v>
      </c>
      <c r="E1149" s="396" t="e">
        <f>INSUMOS!#REF!</f>
        <v>#REF!</v>
      </c>
      <c r="F1149" s="396" t="e">
        <f>ROUND(D1149*E1149,2)</f>
        <v>#REF!</v>
      </c>
    </row>
    <row r="1150" spans="1:6">
      <c r="A1150" s="529"/>
      <c r="B1150" s="165" t="s">
        <v>2755</v>
      </c>
      <c r="C1150" s="77" t="s">
        <v>106</v>
      </c>
      <c r="D1150" s="379">
        <v>0.19542733060958037</v>
      </c>
      <c r="E1150" s="396">
        <f>INSUMOS!D43</f>
        <v>4605.3</v>
      </c>
      <c r="F1150" s="396">
        <f>ROUND(D1150*E1150,2)</f>
        <v>900</v>
      </c>
    </row>
    <row r="1151" spans="1:6">
      <c r="A1151" s="529"/>
      <c r="B1151" s="165" t="s">
        <v>229</v>
      </c>
      <c r="C1151" s="77" t="s">
        <v>68</v>
      </c>
      <c r="D1151" s="379">
        <v>0.05</v>
      </c>
      <c r="E1151" s="396" t="e">
        <f>SUM(F1149:F1150)+F1147</f>
        <v>#REF!</v>
      </c>
      <c r="F1151" s="396" t="e">
        <f>+D1151*E1151</f>
        <v>#REF!</v>
      </c>
    </row>
    <row r="1152" spans="1:6">
      <c r="A1152" s="529"/>
      <c r="B1152" s="165" t="s">
        <v>2756</v>
      </c>
      <c r="C1152" s="77" t="s">
        <v>169</v>
      </c>
      <c r="D1152" s="379">
        <v>31.899899999999999</v>
      </c>
      <c r="E1152" s="396" t="e">
        <f>INSUMOS!#REF!</f>
        <v>#REF!</v>
      </c>
      <c r="F1152" s="396" t="e">
        <f>IF(D1152&lt;&gt;0,ROUND(E1152/D1152,2),0)</f>
        <v>#REF!</v>
      </c>
    </row>
    <row r="1153" spans="1:18">
      <c r="A1153" s="529"/>
      <c r="B1153" s="165" t="s">
        <v>136</v>
      </c>
      <c r="C1153" s="77" t="s">
        <v>68</v>
      </c>
      <c r="D1153" s="379"/>
      <c r="E1153" s="396" t="e">
        <f>SUM(F1147:F1152)</f>
        <v>#REF!</v>
      </c>
      <c r="F1153" s="396" t="e">
        <f>+D1153*E1153</f>
        <v>#REF!</v>
      </c>
    </row>
    <row r="1154" spans="1:18">
      <c r="A1154" s="529"/>
      <c r="B1154" s="165" t="s">
        <v>11</v>
      </c>
      <c r="C1154" s="77" t="s">
        <v>284</v>
      </c>
      <c r="D1154" s="379">
        <v>0.03</v>
      </c>
      <c r="E1154" s="370">
        <f>F1155</f>
        <v>14373.863897091784</v>
      </c>
      <c r="F1154" s="303">
        <f>+D1154*E1154</f>
        <v>431.21591691275347</v>
      </c>
    </row>
    <row r="1155" spans="1:18">
      <c r="A1155" s="529"/>
      <c r="B1155" s="165" t="s">
        <v>9</v>
      </c>
      <c r="C1155" s="77" t="s">
        <v>10</v>
      </c>
      <c r="D1155" s="379">
        <f>0.55</f>
        <v>0.55000000000000004</v>
      </c>
      <c r="E1155" s="396">
        <f>'VALOR CUADRILLAS MO'!D75</f>
        <v>26134.297994712331</v>
      </c>
      <c r="F1155" s="396">
        <f>+D1155*E1155</f>
        <v>14373.863897091784</v>
      </c>
    </row>
    <row r="1156" spans="1:18">
      <c r="A1156" s="529"/>
      <c r="B1156" s="165"/>
      <c r="C1156" s="77"/>
      <c r="D1156" s="379"/>
      <c r="E1156" s="396"/>
      <c r="F1156" s="431"/>
    </row>
    <row r="1157" spans="1:18" ht="33.6" customHeight="1">
      <c r="A1157" s="246">
        <f>A1146+1</f>
        <v>141</v>
      </c>
      <c r="B1157" s="83" t="s">
        <v>2757</v>
      </c>
      <c r="C1157" s="76" t="s">
        <v>119</v>
      </c>
      <c r="D1157" s="73"/>
      <c r="E1157" s="430"/>
      <c r="F1157" s="378" t="e">
        <f>ROUND(SUM(F1158:F1164),0)</f>
        <v>#REF!</v>
      </c>
    </row>
    <row r="1158" spans="1:18">
      <c r="A1158" s="529"/>
      <c r="B1158" s="165" t="s">
        <v>2966</v>
      </c>
      <c r="C1158" s="77" t="s">
        <v>119</v>
      </c>
      <c r="D1158" s="379">
        <v>1</v>
      </c>
      <c r="E1158" s="396" t="e">
        <f>INSUMOS!#REF!</f>
        <v>#REF!</v>
      </c>
      <c r="F1158" s="396" t="e">
        <f>ROUND(D1158*E1158,2)</f>
        <v>#REF!</v>
      </c>
    </row>
    <row r="1159" spans="1:18">
      <c r="A1159" s="529"/>
      <c r="B1159" s="165" t="s">
        <v>2700</v>
      </c>
      <c r="C1159" s="77" t="s">
        <v>120</v>
      </c>
      <c r="D1159" s="379">
        <f>0.03*D1158</f>
        <v>0.03</v>
      </c>
      <c r="E1159" s="396">
        <f>INSUMOS!D44</f>
        <v>7066.22</v>
      </c>
      <c r="F1159" s="396">
        <f>ROUND(D1159*E1159,2)</f>
        <v>211.99</v>
      </c>
    </row>
    <row r="1160" spans="1:18">
      <c r="A1160" s="529"/>
      <c r="B1160" s="165" t="s">
        <v>52</v>
      </c>
      <c r="C1160" s="77" t="s">
        <v>26</v>
      </c>
      <c r="D1160" s="379">
        <v>7.1999999999999995E-2</v>
      </c>
      <c r="E1160" s="396">
        <f>INSUMOS!D65</f>
        <v>26622.68</v>
      </c>
      <c r="F1160" s="396">
        <f>+D1160*E1160</f>
        <v>1916.83296</v>
      </c>
    </row>
    <row r="1161" spans="1:18">
      <c r="A1161" s="529"/>
      <c r="B1161" s="165" t="s">
        <v>229</v>
      </c>
      <c r="C1161" s="77" t="s">
        <v>68</v>
      </c>
      <c r="D1161" s="379">
        <v>0.05</v>
      </c>
      <c r="E1161" s="396" t="e">
        <f>SUM(F1158:F1160)</f>
        <v>#REF!</v>
      </c>
      <c r="F1161" s="396" t="e">
        <f>+D1161*E1161</f>
        <v>#REF!</v>
      </c>
    </row>
    <row r="1162" spans="1:18">
      <c r="A1162" s="529"/>
      <c r="B1162" s="165" t="s">
        <v>136</v>
      </c>
      <c r="C1162" s="77" t="s">
        <v>68</v>
      </c>
      <c r="D1162" s="379"/>
      <c r="E1162" s="396" t="e">
        <f>SUM(F1158:F1161)</f>
        <v>#REF!</v>
      </c>
      <c r="F1162" s="396" t="e">
        <f>+D1162*E1162</f>
        <v>#REF!</v>
      </c>
    </row>
    <row r="1163" spans="1:18">
      <c r="A1163" s="529"/>
      <c r="B1163" s="165" t="s">
        <v>11</v>
      </c>
      <c r="C1163" s="77" t="s">
        <v>284</v>
      </c>
      <c r="D1163" s="379">
        <v>0.03</v>
      </c>
      <c r="E1163" s="396">
        <f>+F1164</f>
        <v>1045.3719197884932</v>
      </c>
      <c r="F1163" s="396">
        <f>(D1163*E1163)</f>
        <v>31.361157593654795</v>
      </c>
    </row>
    <row r="1164" spans="1:18">
      <c r="A1164" s="529"/>
      <c r="B1164" s="165" t="s">
        <v>9</v>
      </c>
      <c r="C1164" s="77" t="s">
        <v>10</v>
      </c>
      <c r="D1164" s="379">
        <v>0.04</v>
      </c>
      <c r="E1164" s="396">
        <f>'VALOR CUADRILLAS MO'!D75</f>
        <v>26134.297994712331</v>
      </c>
      <c r="F1164" s="396">
        <f>+D1164*E1164</f>
        <v>1045.3719197884932</v>
      </c>
    </row>
    <row r="1165" spans="1:18">
      <c r="A1165" s="529"/>
      <c r="B1165" s="165"/>
      <c r="C1165" s="77"/>
      <c r="D1165" s="379"/>
      <c r="E1165" s="396"/>
      <c r="F1165" s="431"/>
    </row>
    <row r="1166" spans="1:18" ht="19.899999999999999" customHeight="1">
      <c r="A1166" s="246">
        <f>A1157+1</f>
        <v>142</v>
      </c>
      <c r="B1166" s="83" t="s">
        <v>2786</v>
      </c>
      <c r="C1166" s="76" t="s">
        <v>26</v>
      </c>
      <c r="D1166" s="73"/>
      <c r="E1166" s="430"/>
      <c r="F1166" s="378" t="e">
        <f>ROUND(SUM(F1167:F1172),0)</f>
        <v>#REF!</v>
      </c>
      <c r="M1166" s="537"/>
      <c r="O1166" s="3"/>
      <c r="P1166" s="3"/>
      <c r="Q1166" s="3"/>
      <c r="R1166" s="3"/>
    </row>
    <row r="1167" spans="1:18" ht="199.5" customHeight="1">
      <c r="A1167" s="529"/>
      <c r="B1167" s="165" t="s">
        <v>2787</v>
      </c>
      <c r="C1167" s="77" t="s">
        <v>26</v>
      </c>
      <c r="D1167" s="379">
        <v>1</v>
      </c>
      <c r="E1167" s="396" t="e">
        <f>INSUMOS!#REF!</f>
        <v>#REF!</v>
      </c>
      <c r="F1167" s="396" t="e">
        <f>+E1167*D1167</f>
        <v>#REF!</v>
      </c>
      <c r="O1167" s="3"/>
      <c r="P1167" s="3"/>
      <c r="Q1167" s="3"/>
      <c r="R1167" s="3"/>
    </row>
    <row r="1168" spans="1:18">
      <c r="A1168" s="529"/>
      <c r="B1168" s="165" t="s">
        <v>2648</v>
      </c>
      <c r="C1168" s="77" t="s">
        <v>121</v>
      </c>
      <c r="D1168" s="379">
        <v>0.5</v>
      </c>
      <c r="E1168" s="396">
        <f>BASICOS!E146</f>
        <v>392821</v>
      </c>
      <c r="F1168" s="396">
        <f>+E1168*D1168</f>
        <v>196410.5</v>
      </c>
      <c r="O1168" s="3"/>
      <c r="P1168" s="3"/>
      <c r="Q1168" s="3"/>
      <c r="R1168" s="3"/>
    </row>
    <row r="1169" spans="1:18">
      <c r="A1169" s="529"/>
      <c r="B1169" s="165" t="s">
        <v>229</v>
      </c>
      <c r="C1169" s="77" t="s">
        <v>68</v>
      </c>
      <c r="D1169" s="379">
        <v>0.05</v>
      </c>
      <c r="E1169" s="396">
        <f>F1168</f>
        <v>196410.5</v>
      </c>
      <c r="F1169" s="396">
        <f>+D1169*E1169</f>
        <v>9820.5249999999996</v>
      </c>
      <c r="O1169" s="3"/>
      <c r="P1169" s="3"/>
      <c r="Q1169" s="3"/>
      <c r="R1169" s="3"/>
    </row>
    <row r="1170" spans="1:18">
      <c r="A1170" s="529"/>
      <c r="B1170" s="165" t="s">
        <v>136</v>
      </c>
      <c r="C1170" s="77" t="s">
        <v>68</v>
      </c>
      <c r="D1170" s="379"/>
      <c r="E1170" s="396" t="e">
        <f>SUM(F1167:F1169)</f>
        <v>#REF!</v>
      </c>
      <c r="F1170" s="396" t="e">
        <f>+D1170*E1170</f>
        <v>#REF!</v>
      </c>
      <c r="O1170" s="3"/>
      <c r="P1170" s="3"/>
      <c r="Q1170" s="3"/>
      <c r="R1170" s="3"/>
    </row>
    <row r="1171" spans="1:18">
      <c r="A1171" s="529"/>
      <c r="B1171" s="165" t="s">
        <v>11</v>
      </c>
      <c r="C1171" s="77" t="s">
        <v>284</v>
      </c>
      <c r="D1171" s="379">
        <v>0.03</v>
      </c>
      <c r="E1171" s="396">
        <f>F1172</f>
        <v>261342.97994712333</v>
      </c>
      <c r="F1171" s="396">
        <f>(D1171*E1171)</f>
        <v>7840.2893984136999</v>
      </c>
      <c r="O1171" s="3"/>
      <c r="P1171" s="3"/>
      <c r="Q1171" s="3"/>
      <c r="R1171" s="3"/>
    </row>
    <row r="1172" spans="1:18">
      <c r="A1172" s="529"/>
      <c r="B1172" s="165" t="s">
        <v>9</v>
      </c>
      <c r="C1172" s="77" t="s">
        <v>10</v>
      </c>
      <c r="D1172" s="379">
        <v>10</v>
      </c>
      <c r="E1172" s="396">
        <f>'VALOR CUADRILLAS MO'!D75</f>
        <v>26134.297994712331</v>
      </c>
      <c r="F1172" s="396">
        <f>+D1172*E1172</f>
        <v>261342.97994712333</v>
      </c>
      <c r="O1172" s="3"/>
      <c r="P1172" s="3"/>
      <c r="Q1172" s="3"/>
      <c r="R1172" s="3"/>
    </row>
    <row r="1173" spans="1:18">
      <c r="A1173" s="529"/>
      <c r="B1173" s="165"/>
      <c r="C1173" s="77"/>
      <c r="D1173" s="379"/>
      <c r="E1173" s="396"/>
      <c r="F1173" s="431"/>
      <c r="O1173" s="3"/>
      <c r="P1173" s="3"/>
      <c r="Q1173" s="3"/>
      <c r="R1173" s="3"/>
    </row>
    <row r="1174" spans="1:18">
      <c r="A1174" s="246">
        <f>A1166+1</f>
        <v>143</v>
      </c>
      <c r="B1174" s="83" t="s">
        <v>2889</v>
      </c>
      <c r="C1174" s="76" t="s">
        <v>26</v>
      </c>
      <c r="D1174" s="73"/>
      <c r="E1174" s="430"/>
      <c r="F1174" s="378" t="e">
        <f>ROUND((SUM(F1175:F1180)),0)</f>
        <v>#REF!</v>
      </c>
      <c r="O1174" s="3"/>
      <c r="P1174" s="3"/>
      <c r="Q1174" s="3"/>
      <c r="R1174" s="3"/>
    </row>
    <row r="1175" spans="1:18" ht="366.75" customHeight="1">
      <c r="A1175" s="529"/>
      <c r="B1175" s="165" t="s">
        <v>2888</v>
      </c>
      <c r="C1175" s="77" t="s">
        <v>26</v>
      </c>
      <c r="D1175" s="379">
        <v>1</v>
      </c>
      <c r="E1175" s="538" t="e">
        <f>INSUMOS!#REF!</f>
        <v>#REF!</v>
      </c>
      <c r="F1175" s="538" t="e">
        <f>D1175*E1175</f>
        <v>#REF!</v>
      </c>
      <c r="M1175" s="537"/>
      <c r="N1175" s="536"/>
      <c r="O1175" s="3"/>
      <c r="P1175" s="3"/>
      <c r="Q1175" s="3"/>
      <c r="R1175" s="3"/>
    </row>
    <row r="1176" spans="1:18">
      <c r="A1176" s="529"/>
      <c r="B1176" s="165" t="s">
        <v>2648</v>
      </c>
      <c r="C1176" s="77" t="s">
        <v>121</v>
      </c>
      <c r="D1176" s="379">
        <v>0.5</v>
      </c>
      <c r="E1176" s="396">
        <f>BASICOS!E146</f>
        <v>392821</v>
      </c>
      <c r="F1176" s="396">
        <f>+E1176*D1176</f>
        <v>196410.5</v>
      </c>
      <c r="O1176" s="3"/>
      <c r="P1176" s="3"/>
      <c r="Q1176" s="3"/>
      <c r="R1176" s="3"/>
    </row>
    <row r="1177" spans="1:18">
      <c r="A1177" s="529"/>
      <c r="B1177" s="165" t="s">
        <v>229</v>
      </c>
      <c r="C1177" s="77" t="s">
        <v>68</v>
      </c>
      <c r="D1177" s="379">
        <v>0.05</v>
      </c>
      <c r="E1177" s="396">
        <f>F1176</f>
        <v>196410.5</v>
      </c>
      <c r="F1177" s="396">
        <f>+D1177*E1177</f>
        <v>9820.5249999999996</v>
      </c>
      <c r="O1177" s="3"/>
      <c r="P1177" s="3"/>
      <c r="Q1177" s="3"/>
      <c r="R1177" s="3"/>
    </row>
    <row r="1178" spans="1:18">
      <c r="A1178" s="529"/>
      <c r="B1178" s="165" t="s">
        <v>136</v>
      </c>
      <c r="C1178" s="77" t="s">
        <v>68</v>
      </c>
      <c r="D1178" s="379"/>
      <c r="E1178" s="396" t="e">
        <f>SUM(F1175:F1177)</f>
        <v>#REF!</v>
      </c>
      <c r="F1178" s="396" t="e">
        <f>+D1178*E1178</f>
        <v>#REF!</v>
      </c>
      <c r="O1178" s="3"/>
      <c r="P1178" s="3"/>
      <c r="Q1178" s="3"/>
      <c r="R1178" s="3"/>
    </row>
    <row r="1179" spans="1:18">
      <c r="A1179" s="529"/>
      <c r="B1179" s="165" t="s">
        <v>11</v>
      </c>
      <c r="C1179" s="77" t="s">
        <v>284</v>
      </c>
      <c r="D1179" s="379">
        <v>0.03</v>
      </c>
      <c r="E1179" s="396">
        <f>F1180</f>
        <v>261342.97994712333</v>
      </c>
      <c r="F1179" s="396">
        <f>(D1179*E1179)</f>
        <v>7840.2893984136999</v>
      </c>
      <c r="O1179" s="3"/>
      <c r="P1179" s="3"/>
      <c r="Q1179" s="3"/>
      <c r="R1179" s="3"/>
    </row>
    <row r="1180" spans="1:18">
      <c r="A1180" s="529"/>
      <c r="B1180" s="165" t="s">
        <v>9</v>
      </c>
      <c r="C1180" s="77" t="s">
        <v>10</v>
      </c>
      <c r="D1180" s="379">
        <v>10</v>
      </c>
      <c r="E1180" s="396">
        <f>'VALOR CUADRILLAS MO'!D75</f>
        <v>26134.297994712331</v>
      </c>
      <c r="F1180" s="396">
        <f>+D1180*E1180</f>
        <v>261342.97994712333</v>
      </c>
      <c r="O1180" s="3"/>
      <c r="P1180" s="3"/>
      <c r="Q1180" s="3"/>
      <c r="R1180" s="3"/>
    </row>
    <row r="1181" spans="1:18">
      <c r="A1181" s="529"/>
      <c r="B1181" s="165"/>
      <c r="C1181" s="359"/>
      <c r="D1181" s="442"/>
      <c r="E1181" s="396"/>
      <c r="F1181" s="431"/>
      <c r="O1181" s="3"/>
      <c r="P1181" s="3"/>
      <c r="Q1181" s="3"/>
      <c r="R1181" s="3"/>
    </row>
    <row r="1182" spans="1:18" ht="15.75" customHeight="1">
      <c r="A1182" s="246">
        <f>A1174+1</f>
        <v>144</v>
      </c>
      <c r="B1182" s="83" t="s">
        <v>2886</v>
      </c>
      <c r="C1182" s="76" t="s">
        <v>26</v>
      </c>
      <c r="D1182" s="73"/>
      <c r="E1182" s="430"/>
      <c r="F1182" s="378" t="e">
        <f>ROUND((SUM(F1183:L1189)),0)</f>
        <v>#REF!</v>
      </c>
      <c r="O1182" s="3"/>
      <c r="P1182" s="3"/>
      <c r="Q1182" s="3"/>
      <c r="R1182" s="3"/>
    </row>
    <row r="1183" spans="1:18" ht="187.5" customHeight="1">
      <c r="A1183" s="427"/>
      <c r="B1183" s="165" t="s">
        <v>2890</v>
      </c>
      <c r="C1183" s="77" t="s">
        <v>26</v>
      </c>
      <c r="D1183" s="379">
        <v>1</v>
      </c>
      <c r="E1183" s="538" t="e">
        <f>INSUMOS!#REF!</f>
        <v>#REF!</v>
      </c>
      <c r="F1183" s="396" t="e">
        <f>D1183*E1183</f>
        <v>#REF!</v>
      </c>
      <c r="M1183" s="537"/>
      <c r="O1183" s="3"/>
      <c r="P1183" s="3"/>
      <c r="Q1183" s="3"/>
      <c r="R1183" s="3"/>
    </row>
    <row r="1184" spans="1:18">
      <c r="A1184" s="529"/>
      <c r="B1184" s="165" t="s">
        <v>2887</v>
      </c>
      <c r="C1184" s="270" t="s">
        <v>121</v>
      </c>
      <c r="D1184" s="379">
        <v>0.3</v>
      </c>
      <c r="E1184" s="440">
        <f>BASICOS!E146</f>
        <v>392821</v>
      </c>
      <c r="F1184" s="440">
        <f>+D1184*E1184</f>
        <v>117846.3</v>
      </c>
      <c r="O1184" s="3"/>
      <c r="P1184" s="3"/>
      <c r="Q1184" s="3"/>
      <c r="R1184" s="3"/>
    </row>
    <row r="1185" spans="1:18">
      <c r="A1185" s="529"/>
      <c r="B1185" s="165" t="s">
        <v>229</v>
      </c>
      <c r="C1185" s="77" t="s">
        <v>68</v>
      </c>
      <c r="D1185" s="379">
        <v>0.05</v>
      </c>
      <c r="E1185" s="396">
        <f>F1184</f>
        <v>117846.3</v>
      </c>
      <c r="F1185" s="396">
        <f>+D1185*E1185</f>
        <v>5892.3150000000005</v>
      </c>
      <c r="O1185" s="3"/>
      <c r="P1185" s="3"/>
      <c r="Q1185" s="3"/>
      <c r="R1185" s="3"/>
    </row>
    <row r="1186" spans="1:18">
      <c r="A1186" s="529"/>
      <c r="B1186" s="165" t="s">
        <v>136</v>
      </c>
      <c r="C1186" s="77" t="s">
        <v>68</v>
      </c>
      <c r="D1186" s="379"/>
      <c r="E1186" s="396" t="e">
        <f>SUM(F1183:F1185)</f>
        <v>#REF!</v>
      </c>
      <c r="F1186" s="396" t="e">
        <f>+D1186*E1186</f>
        <v>#REF!</v>
      </c>
      <c r="O1186" s="3"/>
      <c r="P1186" s="3"/>
      <c r="Q1186" s="3"/>
      <c r="R1186" s="3"/>
    </row>
    <row r="1187" spans="1:18">
      <c r="A1187" s="529"/>
      <c r="B1187" s="165" t="s">
        <v>11</v>
      </c>
      <c r="C1187" s="77" t="s">
        <v>284</v>
      </c>
      <c r="D1187" s="379">
        <v>0.03</v>
      </c>
      <c r="E1187" s="396">
        <f>F1188</f>
        <v>172486.36676510138</v>
      </c>
      <c r="F1187" s="396">
        <f>(D1187*E1187)</f>
        <v>5174.5910029530414</v>
      </c>
      <c r="O1187" s="3"/>
      <c r="P1187" s="3"/>
      <c r="Q1187" s="3"/>
      <c r="R1187" s="3"/>
    </row>
    <row r="1188" spans="1:18">
      <c r="A1188" s="529"/>
      <c r="B1188" s="165" t="s">
        <v>9</v>
      </c>
      <c r="C1188" s="77" t="s">
        <v>10</v>
      </c>
      <c r="D1188" s="379">
        <v>6</v>
      </c>
      <c r="E1188" s="396">
        <f>'VALOR CUADRILLAS MO'!D89</f>
        <v>28747.727794183564</v>
      </c>
      <c r="F1188" s="396">
        <f>+D1188*E1188</f>
        <v>172486.36676510138</v>
      </c>
      <c r="O1188" s="3"/>
      <c r="P1188" s="3"/>
      <c r="Q1188" s="3"/>
      <c r="R1188" s="3"/>
    </row>
    <row r="1189" spans="1:18">
      <c r="A1189" s="529"/>
      <c r="B1189" s="165"/>
      <c r="C1189" s="270"/>
      <c r="D1189" s="441"/>
      <c r="E1189" s="440"/>
      <c r="F1189" s="440"/>
      <c r="P1189" s="3"/>
      <c r="Q1189" s="3"/>
      <c r="R1189" s="3"/>
    </row>
    <row r="1190" spans="1:18" ht="15.75" customHeight="1">
      <c r="A1190" s="246">
        <f>A1182+1</f>
        <v>145</v>
      </c>
      <c r="B1190" s="83" t="s">
        <v>2891</v>
      </c>
      <c r="C1190" s="76" t="s">
        <v>26</v>
      </c>
      <c r="D1190" s="73"/>
      <c r="E1190" s="430"/>
      <c r="F1190" s="378" t="e">
        <f>ROUND((SUM(F1191:L1197)),0)</f>
        <v>#REF!</v>
      </c>
      <c r="M1190" s="536"/>
      <c r="P1190" s="3"/>
      <c r="Q1190" s="3"/>
      <c r="R1190" s="3"/>
    </row>
    <row r="1191" spans="1:18" ht="63.75">
      <c r="A1191" s="427"/>
      <c r="B1191" s="165" t="s">
        <v>2892</v>
      </c>
      <c r="C1191" s="77" t="s">
        <v>26</v>
      </c>
      <c r="D1191" s="379">
        <v>1</v>
      </c>
      <c r="E1191" s="538" t="e">
        <f>INSUMOS!#REF!</f>
        <v>#REF!</v>
      </c>
      <c r="F1191" s="396" t="e">
        <f>D1191*E1191</f>
        <v>#REF!</v>
      </c>
      <c r="M1191" s="537"/>
      <c r="O1191" s="539"/>
      <c r="P1191" s="3"/>
      <c r="Q1191" s="3"/>
      <c r="R1191" s="3"/>
    </row>
    <row r="1192" spans="1:18">
      <c r="A1192" s="529"/>
      <c r="B1192" s="165" t="s">
        <v>2887</v>
      </c>
      <c r="C1192" s="270" t="s">
        <v>121</v>
      </c>
      <c r="D1192" s="379">
        <v>0.1</v>
      </c>
      <c r="E1192" s="440">
        <f>BASICOS!E146</f>
        <v>392821</v>
      </c>
      <c r="F1192" s="440">
        <f>+D1192*E1192</f>
        <v>39282.1</v>
      </c>
      <c r="P1192" s="3"/>
      <c r="Q1192" s="3"/>
      <c r="R1192" s="3"/>
    </row>
    <row r="1193" spans="1:18">
      <c r="A1193" s="529"/>
      <c r="B1193" s="165" t="s">
        <v>229</v>
      </c>
      <c r="C1193" s="77" t="s">
        <v>68</v>
      </c>
      <c r="D1193" s="379">
        <v>0.05</v>
      </c>
      <c r="E1193" s="396">
        <f>F1192</f>
        <v>39282.1</v>
      </c>
      <c r="F1193" s="396">
        <f>+D1193*E1193</f>
        <v>1964.105</v>
      </c>
      <c r="P1193" s="3"/>
      <c r="Q1193" s="3"/>
      <c r="R1193" s="3"/>
    </row>
    <row r="1194" spans="1:18">
      <c r="A1194" s="529"/>
      <c r="B1194" s="165" t="s">
        <v>136</v>
      </c>
      <c r="C1194" s="77" t="s">
        <v>68</v>
      </c>
      <c r="D1194" s="379"/>
      <c r="E1194" s="396" t="e">
        <f>SUM(F1191:F1193)</f>
        <v>#REF!</v>
      </c>
      <c r="F1194" s="396" t="e">
        <f>+D1194*E1194</f>
        <v>#REF!</v>
      </c>
      <c r="P1194" s="3"/>
      <c r="Q1194" s="3"/>
      <c r="R1194" s="3"/>
    </row>
    <row r="1195" spans="1:18">
      <c r="A1195" s="529"/>
      <c r="B1195" s="165" t="s">
        <v>11</v>
      </c>
      <c r="C1195" s="77" t="s">
        <v>284</v>
      </c>
      <c r="D1195" s="379">
        <v>0.03</v>
      </c>
      <c r="E1195" s="396">
        <f>F1196</f>
        <v>104537.19197884933</v>
      </c>
      <c r="F1195" s="396">
        <f>(D1195*E1195)</f>
        <v>3136.1157593654798</v>
      </c>
      <c r="P1195" s="3"/>
      <c r="Q1195" s="3"/>
      <c r="R1195" s="3"/>
    </row>
    <row r="1196" spans="1:18">
      <c r="A1196" s="529"/>
      <c r="B1196" s="165" t="s">
        <v>9</v>
      </c>
      <c r="C1196" s="77" t="s">
        <v>10</v>
      </c>
      <c r="D1196" s="379">
        <v>4</v>
      </c>
      <c r="E1196" s="396">
        <f>'VALOR CUADRILLAS MO'!D75</f>
        <v>26134.297994712331</v>
      </c>
      <c r="F1196" s="396">
        <f>+D1196*E1196</f>
        <v>104537.19197884933</v>
      </c>
      <c r="P1196" s="3"/>
      <c r="Q1196" s="3"/>
      <c r="R1196" s="3"/>
    </row>
    <row r="1197" spans="1:18">
      <c r="A1197" s="529"/>
      <c r="B1197" s="165"/>
      <c r="C1197" s="77"/>
      <c r="D1197" s="379"/>
      <c r="E1197" s="396"/>
      <c r="F1197" s="431"/>
      <c r="P1197" s="3"/>
      <c r="Q1197" s="3"/>
      <c r="R1197" s="3"/>
    </row>
    <row r="1198" spans="1:18" ht="15.75" customHeight="1">
      <c r="A1198" s="246">
        <f>A1190+1</f>
        <v>146</v>
      </c>
      <c r="B1198" s="83" t="s">
        <v>2893</v>
      </c>
      <c r="C1198" s="76" t="s">
        <v>26</v>
      </c>
      <c r="D1198" s="73"/>
      <c r="E1198" s="430"/>
      <c r="F1198" s="378" t="e">
        <f>ROUND((SUM(F1199:L1205)),0)</f>
        <v>#REF!</v>
      </c>
      <c r="M1198" s="536"/>
      <c r="P1198" s="3"/>
      <c r="Q1198" s="3"/>
      <c r="R1198" s="3"/>
    </row>
    <row r="1199" spans="1:18" ht="163.5" customHeight="1">
      <c r="A1199" s="427"/>
      <c r="B1199" s="165" t="s">
        <v>2894</v>
      </c>
      <c r="C1199" s="77" t="s">
        <v>26</v>
      </c>
      <c r="D1199" s="379">
        <v>1</v>
      </c>
      <c r="E1199" s="538" t="e">
        <f>INSUMOS!#REF!</f>
        <v>#REF!</v>
      </c>
      <c r="F1199" s="396" t="e">
        <f>D1199*E1199</f>
        <v>#REF!</v>
      </c>
      <c r="M1199" s="537"/>
      <c r="O1199" s="539"/>
      <c r="P1199" s="3"/>
      <c r="Q1199" s="3"/>
      <c r="R1199" s="3"/>
    </row>
    <row r="1200" spans="1:18">
      <c r="A1200" s="529"/>
      <c r="B1200" s="165" t="s">
        <v>2887</v>
      </c>
      <c r="C1200" s="270" t="s">
        <v>121</v>
      </c>
      <c r="D1200" s="379">
        <v>0.3</v>
      </c>
      <c r="E1200" s="440">
        <f>BASICOS!E146</f>
        <v>392821</v>
      </c>
      <c r="F1200" s="440">
        <f>+D1200*E1200</f>
        <v>117846.3</v>
      </c>
      <c r="P1200" s="3"/>
      <c r="Q1200" s="3"/>
      <c r="R1200" s="3"/>
    </row>
    <row r="1201" spans="1:18">
      <c r="A1201" s="529"/>
      <c r="B1201" s="165" t="s">
        <v>229</v>
      </c>
      <c r="C1201" s="77" t="s">
        <v>68</v>
      </c>
      <c r="D1201" s="379">
        <v>0.05</v>
      </c>
      <c r="E1201" s="396">
        <f>F1200</f>
        <v>117846.3</v>
      </c>
      <c r="F1201" s="396">
        <f>+D1201*E1201</f>
        <v>5892.3150000000005</v>
      </c>
      <c r="P1201" s="3"/>
      <c r="Q1201" s="3"/>
      <c r="R1201" s="3"/>
    </row>
    <row r="1202" spans="1:18">
      <c r="A1202" s="529"/>
      <c r="B1202" s="165" t="s">
        <v>136</v>
      </c>
      <c r="C1202" s="77" t="s">
        <v>68</v>
      </c>
      <c r="D1202" s="379"/>
      <c r="E1202" s="396" t="e">
        <f>SUM(F1199:F1201)</f>
        <v>#REF!</v>
      </c>
      <c r="F1202" s="396" t="e">
        <f>+D1202*E1202</f>
        <v>#REF!</v>
      </c>
      <c r="P1202" s="3"/>
      <c r="Q1202" s="3"/>
      <c r="R1202" s="3"/>
    </row>
    <row r="1203" spans="1:18">
      <c r="A1203" s="529"/>
      <c r="B1203" s="165" t="s">
        <v>11</v>
      </c>
      <c r="C1203" s="77" t="s">
        <v>284</v>
      </c>
      <c r="D1203" s="379">
        <v>0.03</v>
      </c>
      <c r="E1203" s="396">
        <f>F1204</f>
        <v>130671.48997356166</v>
      </c>
      <c r="F1203" s="396">
        <f>(D1203*E1203)</f>
        <v>3920.14469920685</v>
      </c>
      <c r="P1203" s="3"/>
      <c r="Q1203" s="3"/>
      <c r="R1203" s="3"/>
    </row>
    <row r="1204" spans="1:18">
      <c r="A1204" s="529"/>
      <c r="B1204" s="165" t="s">
        <v>9</v>
      </c>
      <c r="C1204" s="77" t="s">
        <v>10</v>
      </c>
      <c r="D1204" s="379">
        <v>5</v>
      </c>
      <c r="E1204" s="396">
        <f>'VALOR CUADRILLAS MO'!D75</f>
        <v>26134.297994712331</v>
      </c>
      <c r="F1204" s="396">
        <f>+D1204*E1204</f>
        <v>130671.48997356166</v>
      </c>
      <c r="P1204" s="3"/>
      <c r="Q1204" s="3"/>
      <c r="R1204" s="3"/>
    </row>
    <row r="1205" spans="1:18">
      <c r="A1205" s="529"/>
      <c r="B1205" s="165"/>
      <c r="C1205" s="77"/>
      <c r="D1205" s="379"/>
      <c r="E1205" s="396"/>
      <c r="F1205" s="431"/>
      <c r="P1205" s="3"/>
      <c r="Q1205" s="3"/>
      <c r="R1205" s="3"/>
    </row>
    <row r="1206" spans="1:18" ht="15.75" customHeight="1">
      <c r="A1206" s="246">
        <f>A1198+1</f>
        <v>147</v>
      </c>
      <c r="B1206" s="83" t="s">
        <v>2895</v>
      </c>
      <c r="C1206" s="76" t="s">
        <v>21</v>
      </c>
      <c r="D1206" s="73"/>
      <c r="E1206" s="430"/>
      <c r="F1206" s="378" t="e">
        <f>ROUND((SUM(F1207:L1213)),0)</f>
        <v>#REF!</v>
      </c>
      <c r="M1206" s="536"/>
      <c r="P1206" s="3"/>
      <c r="Q1206" s="3"/>
      <c r="R1206" s="3"/>
    </row>
    <row r="1207" spans="1:18" ht="51">
      <c r="A1207" s="427"/>
      <c r="B1207" s="165" t="s">
        <v>2896</v>
      </c>
      <c r="C1207" s="77" t="s">
        <v>21</v>
      </c>
      <c r="D1207" s="379">
        <v>1</v>
      </c>
      <c r="E1207" s="538" t="e">
        <f>INSUMOS!#REF!</f>
        <v>#REF!</v>
      </c>
      <c r="F1207" s="396" t="e">
        <f>D1207*E1207</f>
        <v>#REF!</v>
      </c>
      <c r="M1207" s="537"/>
      <c r="P1207" s="3"/>
      <c r="Q1207" s="3"/>
      <c r="R1207" s="3"/>
    </row>
    <row r="1208" spans="1:18">
      <c r="A1208" s="529"/>
      <c r="B1208" s="165" t="s">
        <v>2887</v>
      </c>
      <c r="C1208" s="270" t="s">
        <v>121</v>
      </c>
      <c r="D1208" s="379">
        <v>0.1</v>
      </c>
      <c r="E1208" s="440">
        <f>BASICOS!E146</f>
        <v>392821</v>
      </c>
      <c r="F1208" s="440">
        <f>+D1208*E1208</f>
        <v>39282.1</v>
      </c>
      <c r="P1208" s="3"/>
      <c r="Q1208" s="3"/>
      <c r="R1208" s="3"/>
    </row>
    <row r="1209" spans="1:18">
      <c r="A1209" s="529"/>
      <c r="B1209" s="165" t="s">
        <v>229</v>
      </c>
      <c r="C1209" s="77" t="s">
        <v>68</v>
      </c>
      <c r="D1209" s="379">
        <v>0.05</v>
      </c>
      <c r="E1209" s="396">
        <f>F1208</f>
        <v>39282.1</v>
      </c>
      <c r="F1209" s="396">
        <f>+D1209*E1209</f>
        <v>1964.105</v>
      </c>
      <c r="P1209" s="3"/>
      <c r="Q1209" s="3"/>
      <c r="R1209" s="3"/>
    </row>
    <row r="1210" spans="1:18">
      <c r="A1210" s="529"/>
      <c r="B1210" s="165" t="s">
        <v>136</v>
      </c>
      <c r="C1210" s="77" t="s">
        <v>68</v>
      </c>
      <c r="D1210" s="379"/>
      <c r="E1210" s="396" t="e">
        <f>SUM(F1207:F1209)</f>
        <v>#REF!</v>
      </c>
      <c r="F1210" s="396" t="e">
        <f>+D1210*E1210</f>
        <v>#REF!</v>
      </c>
      <c r="P1210" s="3"/>
      <c r="Q1210" s="3"/>
      <c r="R1210" s="3"/>
    </row>
    <row r="1211" spans="1:18">
      <c r="A1211" s="529"/>
      <c r="B1211" s="165" t="s">
        <v>11</v>
      </c>
      <c r="C1211" s="77" t="s">
        <v>284</v>
      </c>
      <c r="D1211" s="379">
        <v>0.03</v>
      </c>
      <c r="E1211" s="396">
        <f>F1212</f>
        <v>26134.297994712331</v>
      </c>
      <c r="F1211" s="396">
        <f>(D1211*E1211)</f>
        <v>784.02893984136995</v>
      </c>
      <c r="P1211" s="3"/>
      <c r="Q1211" s="3"/>
      <c r="R1211" s="3"/>
    </row>
    <row r="1212" spans="1:18">
      <c r="A1212" s="529"/>
      <c r="B1212" s="165" t="s">
        <v>9</v>
      </c>
      <c r="C1212" s="77" t="s">
        <v>10</v>
      </c>
      <c r="D1212" s="379">
        <v>1</v>
      </c>
      <c r="E1212" s="396">
        <f>'VALOR CUADRILLAS MO'!D75</f>
        <v>26134.297994712331</v>
      </c>
      <c r="F1212" s="396">
        <f>+D1212*E1212</f>
        <v>26134.297994712331</v>
      </c>
      <c r="P1212" s="3"/>
      <c r="Q1212" s="3"/>
      <c r="R1212" s="3"/>
    </row>
    <row r="1213" spans="1:18">
      <c r="A1213" s="529"/>
      <c r="B1213" s="165"/>
      <c r="C1213" s="270"/>
      <c r="D1213" s="272"/>
      <c r="E1213" s="266"/>
      <c r="F1213" s="266"/>
      <c r="N1213" s="536"/>
      <c r="P1213" s="3"/>
      <c r="Q1213" s="3"/>
      <c r="R1213" s="3"/>
    </row>
    <row r="1214" spans="1:18" ht="15.75" customHeight="1">
      <c r="A1214" s="246">
        <f>A1206+1</f>
        <v>148</v>
      </c>
      <c r="B1214" s="83" t="s">
        <v>2897</v>
      </c>
      <c r="C1214" s="76" t="s">
        <v>26</v>
      </c>
      <c r="D1214" s="73"/>
      <c r="E1214" s="430"/>
      <c r="F1214" s="378" t="e">
        <f>ROUND((SUM(F1215:L1220)),0)</f>
        <v>#REF!</v>
      </c>
      <c r="M1214" s="536"/>
      <c r="P1214" s="3"/>
      <c r="Q1214" s="3"/>
      <c r="R1214" s="3"/>
    </row>
    <row r="1215" spans="1:18">
      <c r="A1215" s="427"/>
      <c r="B1215" s="165" t="s">
        <v>2897</v>
      </c>
      <c r="C1215" s="77" t="s">
        <v>26</v>
      </c>
      <c r="D1215" s="379">
        <v>1</v>
      </c>
      <c r="E1215" s="538" t="e">
        <f>INSUMOS!#REF!</f>
        <v>#REF!</v>
      </c>
      <c r="F1215" s="396" t="e">
        <f>D1215*E1215</f>
        <v>#REF!</v>
      </c>
      <c r="M1215" s="537"/>
      <c r="O1215" s="539"/>
      <c r="P1215" s="3"/>
      <c r="Q1215" s="3"/>
      <c r="R1215" s="3"/>
    </row>
    <row r="1216" spans="1:18">
      <c r="A1216" s="529"/>
      <c r="B1216" s="165" t="s">
        <v>2887</v>
      </c>
      <c r="C1216" s="270" t="s">
        <v>121</v>
      </c>
      <c r="D1216" s="379">
        <v>0.1</v>
      </c>
      <c r="E1216" s="440">
        <f>BASICOS!E146</f>
        <v>392821</v>
      </c>
      <c r="F1216" s="440">
        <f>+D1216*E1216</f>
        <v>39282.1</v>
      </c>
      <c r="P1216" s="3"/>
      <c r="Q1216" s="3"/>
      <c r="R1216" s="3"/>
    </row>
    <row r="1217" spans="1:18">
      <c r="A1217" s="529"/>
      <c r="B1217" s="165" t="s">
        <v>229</v>
      </c>
      <c r="C1217" s="77" t="s">
        <v>68</v>
      </c>
      <c r="D1217" s="379">
        <v>0.05</v>
      </c>
      <c r="E1217" s="396">
        <f>F1216</f>
        <v>39282.1</v>
      </c>
      <c r="F1217" s="396">
        <f>+D1217*E1217</f>
        <v>1964.105</v>
      </c>
      <c r="P1217" s="3"/>
      <c r="Q1217" s="3"/>
      <c r="R1217" s="3"/>
    </row>
    <row r="1218" spans="1:18">
      <c r="A1218" s="529"/>
      <c r="B1218" s="165" t="s">
        <v>136</v>
      </c>
      <c r="C1218" s="77" t="s">
        <v>68</v>
      </c>
      <c r="D1218" s="379"/>
      <c r="E1218" s="396" t="e">
        <f>SUM(F1215:F1217)</f>
        <v>#REF!</v>
      </c>
      <c r="F1218" s="396" t="e">
        <f>+D1218*E1218</f>
        <v>#REF!</v>
      </c>
      <c r="P1218" s="3"/>
      <c r="Q1218" s="3"/>
      <c r="R1218" s="3"/>
    </row>
    <row r="1219" spans="1:18">
      <c r="A1219" s="529"/>
      <c r="B1219" s="165" t="s">
        <v>11</v>
      </c>
      <c r="C1219" s="77" t="s">
        <v>284</v>
      </c>
      <c r="D1219" s="379">
        <v>0.03</v>
      </c>
      <c r="E1219" s="396">
        <f>F1220</f>
        <v>78402.893984136987</v>
      </c>
      <c r="F1219" s="396">
        <f>(D1219*E1219)</f>
        <v>2352.0868195241096</v>
      </c>
      <c r="P1219" s="3"/>
      <c r="Q1219" s="3"/>
      <c r="R1219" s="3"/>
    </row>
    <row r="1220" spans="1:18">
      <c r="A1220" s="529"/>
      <c r="B1220" s="165" t="s">
        <v>9</v>
      </c>
      <c r="C1220" s="77" t="s">
        <v>10</v>
      </c>
      <c r="D1220" s="379">
        <v>3</v>
      </c>
      <c r="E1220" s="396">
        <f>'VALOR CUADRILLAS MO'!D75</f>
        <v>26134.297994712331</v>
      </c>
      <c r="F1220" s="396">
        <f>+D1220*E1220</f>
        <v>78402.893984136987</v>
      </c>
      <c r="P1220" s="3"/>
      <c r="Q1220" s="3"/>
      <c r="R1220" s="3"/>
    </row>
    <row r="1221" spans="1:18">
      <c r="A1221" s="529"/>
      <c r="B1221" s="165"/>
      <c r="C1221" s="270"/>
      <c r="D1221" s="272"/>
      <c r="E1221" s="266"/>
      <c r="F1221" s="266"/>
      <c r="P1221" s="3"/>
      <c r="Q1221" s="3"/>
      <c r="R1221" s="3"/>
    </row>
    <row r="1222" spans="1:18" ht="15.75" customHeight="1">
      <c r="A1222" s="246">
        <f>A1214+1</f>
        <v>149</v>
      </c>
      <c r="B1222" s="83" t="s">
        <v>2899</v>
      </c>
      <c r="C1222" s="76" t="s">
        <v>26</v>
      </c>
      <c r="D1222" s="73"/>
      <c r="E1222" s="430"/>
      <c r="F1222" s="378" t="e">
        <f>ROUND((SUM(F1223:L1229)),0)</f>
        <v>#REF!</v>
      </c>
      <c r="M1222" s="536"/>
      <c r="P1222" s="3"/>
      <c r="Q1222" s="3"/>
      <c r="R1222" s="3"/>
    </row>
    <row r="1223" spans="1:18" ht="191.25">
      <c r="A1223" s="427"/>
      <c r="B1223" s="165" t="s">
        <v>2898</v>
      </c>
      <c r="C1223" s="77" t="s">
        <v>26</v>
      </c>
      <c r="D1223" s="379">
        <v>1</v>
      </c>
      <c r="E1223" s="538" t="e">
        <f>INSUMOS!#REF!</f>
        <v>#REF!</v>
      </c>
      <c r="F1223" s="396" t="e">
        <f>D1223*E1223</f>
        <v>#REF!</v>
      </c>
      <c r="M1223" s="537"/>
      <c r="O1223" s="539"/>
      <c r="P1223" s="3"/>
      <c r="Q1223" s="3"/>
      <c r="R1223" s="3"/>
    </row>
    <row r="1224" spans="1:18">
      <c r="A1224" s="529"/>
      <c r="B1224" s="165" t="s">
        <v>2887</v>
      </c>
      <c r="C1224" s="270" t="s">
        <v>121</v>
      </c>
      <c r="D1224" s="379">
        <v>0.5</v>
      </c>
      <c r="E1224" s="440">
        <f>BASICOS!E146</f>
        <v>392821</v>
      </c>
      <c r="F1224" s="440">
        <f>+D1224*E1224</f>
        <v>196410.5</v>
      </c>
      <c r="N1224" s="536"/>
      <c r="P1224" s="3"/>
      <c r="Q1224" s="3"/>
      <c r="R1224" s="3"/>
    </row>
    <row r="1225" spans="1:18">
      <c r="A1225" s="529"/>
      <c r="B1225" s="165" t="s">
        <v>229</v>
      </c>
      <c r="C1225" s="77" t="s">
        <v>68</v>
      </c>
      <c r="D1225" s="379">
        <v>0.05</v>
      </c>
      <c r="E1225" s="396">
        <f>F1224</f>
        <v>196410.5</v>
      </c>
      <c r="F1225" s="396">
        <f>+D1225*E1225</f>
        <v>9820.5249999999996</v>
      </c>
      <c r="P1225" s="3"/>
      <c r="Q1225" s="3"/>
      <c r="R1225" s="3"/>
    </row>
    <row r="1226" spans="1:18">
      <c r="A1226" s="529"/>
      <c r="B1226" s="165" t="s">
        <v>136</v>
      </c>
      <c r="C1226" s="77" t="s">
        <v>68</v>
      </c>
      <c r="D1226" s="379"/>
      <c r="E1226" s="396" t="e">
        <f>SUM(F1223:F1225)</f>
        <v>#REF!</v>
      </c>
      <c r="F1226" s="396" t="e">
        <f>+D1226*E1226</f>
        <v>#REF!</v>
      </c>
      <c r="P1226" s="3"/>
      <c r="Q1226" s="3"/>
      <c r="R1226" s="3"/>
    </row>
    <row r="1227" spans="1:18">
      <c r="A1227" s="529"/>
      <c r="B1227" s="165" t="s">
        <v>11</v>
      </c>
      <c r="C1227" s="77" t="s">
        <v>284</v>
      </c>
      <c r="D1227" s="379">
        <v>0.03</v>
      </c>
      <c r="E1227" s="396">
        <f>F1228</f>
        <v>261342.97994712333</v>
      </c>
      <c r="F1227" s="396">
        <f>(D1227*E1227)</f>
        <v>7840.2893984136999</v>
      </c>
      <c r="P1227" s="3"/>
      <c r="Q1227" s="3"/>
      <c r="R1227" s="3"/>
    </row>
    <row r="1228" spans="1:18">
      <c r="A1228" s="529"/>
      <c r="B1228" s="165" t="s">
        <v>9</v>
      </c>
      <c r="C1228" s="77" t="s">
        <v>10</v>
      </c>
      <c r="D1228" s="379">
        <v>10</v>
      </c>
      <c r="E1228" s="396">
        <f>'VALOR CUADRILLAS MO'!D75</f>
        <v>26134.297994712331</v>
      </c>
      <c r="F1228" s="396">
        <f>+D1228*E1228</f>
        <v>261342.97994712333</v>
      </c>
      <c r="P1228" s="3"/>
      <c r="Q1228" s="3"/>
      <c r="R1228" s="3"/>
    </row>
    <row r="1229" spans="1:18">
      <c r="A1229" s="529"/>
      <c r="B1229" s="165"/>
      <c r="C1229" s="270"/>
      <c r="D1229" s="272"/>
      <c r="E1229" s="266"/>
      <c r="F1229" s="266"/>
      <c r="P1229" s="3"/>
      <c r="Q1229" s="3"/>
      <c r="R1229" s="3"/>
    </row>
    <row r="1230" spans="1:18" ht="15.75" customHeight="1">
      <c r="A1230" s="246">
        <f>A1222+1</f>
        <v>150</v>
      </c>
      <c r="B1230" s="83" t="s">
        <v>2901</v>
      </c>
      <c r="C1230" s="76" t="s">
        <v>26</v>
      </c>
      <c r="D1230" s="73"/>
      <c r="E1230" s="430"/>
      <c r="F1230" s="378" t="e">
        <f>ROUND((SUM(F1231:L1237)),0)</f>
        <v>#REF!</v>
      </c>
      <c r="M1230" s="536"/>
      <c r="P1230" s="3"/>
      <c r="Q1230" s="3"/>
      <c r="R1230" s="3"/>
    </row>
    <row r="1231" spans="1:18" ht="153">
      <c r="A1231" s="427"/>
      <c r="B1231" s="165" t="s">
        <v>2900</v>
      </c>
      <c r="C1231" s="77" t="s">
        <v>26</v>
      </c>
      <c r="D1231" s="379">
        <v>1</v>
      </c>
      <c r="E1231" s="538" t="e">
        <f>INSUMOS!#REF!</f>
        <v>#REF!</v>
      </c>
      <c r="F1231" s="396" t="e">
        <f>D1231*E1231</f>
        <v>#REF!</v>
      </c>
      <c r="M1231" s="537"/>
      <c r="O1231" s="539"/>
      <c r="P1231" s="3"/>
      <c r="Q1231" s="3"/>
      <c r="R1231" s="3"/>
    </row>
    <row r="1232" spans="1:18">
      <c r="A1232" s="529"/>
      <c r="B1232" s="165" t="s">
        <v>2887</v>
      </c>
      <c r="C1232" s="270" t="s">
        <v>121</v>
      </c>
      <c r="D1232" s="379">
        <v>0.5</v>
      </c>
      <c r="E1232" s="440">
        <f>BASICOS!E146</f>
        <v>392821</v>
      </c>
      <c r="F1232" s="440">
        <f>+D1232*E1232</f>
        <v>196410.5</v>
      </c>
      <c r="N1232" s="536"/>
      <c r="P1232" s="3"/>
      <c r="Q1232" s="3"/>
      <c r="R1232" s="3"/>
    </row>
    <row r="1233" spans="1:18">
      <c r="A1233" s="529"/>
      <c r="B1233" s="165" t="s">
        <v>229</v>
      </c>
      <c r="C1233" s="77" t="s">
        <v>68</v>
      </c>
      <c r="D1233" s="379">
        <v>0.05</v>
      </c>
      <c r="E1233" s="396">
        <f>F1232</f>
        <v>196410.5</v>
      </c>
      <c r="F1233" s="396">
        <f>+D1233*E1233</f>
        <v>9820.5249999999996</v>
      </c>
      <c r="P1233" s="3"/>
      <c r="Q1233" s="3"/>
      <c r="R1233" s="3"/>
    </row>
    <row r="1234" spans="1:18">
      <c r="A1234" s="529"/>
      <c r="B1234" s="165" t="s">
        <v>136</v>
      </c>
      <c r="C1234" s="77" t="s">
        <v>68</v>
      </c>
      <c r="D1234" s="379"/>
      <c r="E1234" s="396" t="e">
        <f>SUM(F1231:F1233)</f>
        <v>#REF!</v>
      </c>
      <c r="F1234" s="396" t="e">
        <f>+D1234*E1234</f>
        <v>#REF!</v>
      </c>
      <c r="P1234" s="3"/>
      <c r="Q1234" s="3"/>
      <c r="R1234" s="3"/>
    </row>
    <row r="1235" spans="1:18">
      <c r="A1235" s="529"/>
      <c r="B1235" s="165" t="s">
        <v>11</v>
      </c>
      <c r="C1235" s="77" t="s">
        <v>284</v>
      </c>
      <c r="D1235" s="379">
        <v>0.03</v>
      </c>
      <c r="E1235" s="396">
        <f>F1236</f>
        <v>261342.97994712333</v>
      </c>
      <c r="F1235" s="396">
        <f>(D1235*E1235)</f>
        <v>7840.2893984136999</v>
      </c>
      <c r="P1235" s="3"/>
      <c r="Q1235" s="3"/>
      <c r="R1235" s="3"/>
    </row>
    <row r="1236" spans="1:18">
      <c r="A1236" s="529"/>
      <c r="B1236" s="165" t="s">
        <v>9</v>
      </c>
      <c r="C1236" s="77" t="s">
        <v>10</v>
      </c>
      <c r="D1236" s="379">
        <v>10</v>
      </c>
      <c r="E1236" s="396">
        <f>'VALOR CUADRILLAS MO'!D75</f>
        <v>26134.297994712331</v>
      </c>
      <c r="F1236" s="396">
        <f>+D1236*E1236</f>
        <v>261342.97994712333</v>
      </c>
      <c r="P1236" s="3"/>
      <c r="Q1236" s="3"/>
      <c r="R1236" s="3"/>
    </row>
    <row r="1237" spans="1:18">
      <c r="A1237" s="529"/>
      <c r="B1237" s="165"/>
      <c r="C1237" s="270"/>
      <c r="D1237" s="272"/>
      <c r="E1237" s="266"/>
      <c r="F1237" s="266"/>
      <c r="P1237" s="3"/>
      <c r="Q1237" s="3"/>
      <c r="R1237" s="3"/>
    </row>
    <row r="1238" spans="1:18" ht="15.75" customHeight="1">
      <c r="A1238" s="246">
        <f>A1230+1</f>
        <v>151</v>
      </c>
      <c r="B1238" s="83" t="s">
        <v>2902</v>
      </c>
      <c r="C1238" s="76" t="s">
        <v>26</v>
      </c>
      <c r="D1238" s="73"/>
      <c r="E1238" s="430"/>
      <c r="F1238" s="378" t="e">
        <f>ROUND((SUM(F1239:L1245)),0)</f>
        <v>#REF!</v>
      </c>
      <c r="M1238" s="536"/>
      <c r="P1238" s="3"/>
      <c r="Q1238" s="3"/>
      <c r="R1238" s="3"/>
    </row>
    <row r="1239" spans="1:18" ht="76.5">
      <c r="A1239" s="427"/>
      <c r="B1239" s="165" t="s">
        <v>2903</v>
      </c>
      <c r="C1239" s="77" t="s">
        <v>26</v>
      </c>
      <c r="D1239" s="379">
        <v>1</v>
      </c>
      <c r="E1239" s="538" t="e">
        <f>INSUMOS!#REF!</f>
        <v>#REF!</v>
      </c>
      <c r="F1239" s="396" t="e">
        <f>D1239*E1239</f>
        <v>#REF!</v>
      </c>
      <c r="M1239" s="537"/>
      <c r="O1239" s="539"/>
      <c r="P1239" s="3"/>
      <c r="Q1239" s="3"/>
      <c r="R1239" s="3"/>
    </row>
    <row r="1240" spans="1:18">
      <c r="A1240" s="529"/>
      <c r="B1240" s="165" t="s">
        <v>2887</v>
      </c>
      <c r="C1240" s="270" t="s">
        <v>121</v>
      </c>
      <c r="D1240" s="379">
        <v>0.3</v>
      </c>
      <c r="E1240" s="440">
        <f>BASICOS!E135</f>
        <v>425444</v>
      </c>
      <c r="F1240" s="440">
        <f>+D1240*E1240</f>
        <v>127633.2</v>
      </c>
      <c r="N1240" s="536"/>
      <c r="P1240" s="3"/>
      <c r="Q1240" s="3"/>
      <c r="R1240" s="3"/>
    </row>
    <row r="1241" spans="1:18">
      <c r="A1241" s="529"/>
      <c r="B1241" s="165" t="s">
        <v>229</v>
      </c>
      <c r="C1241" s="77" t="s">
        <v>68</v>
      </c>
      <c r="D1241" s="379">
        <v>0.05</v>
      </c>
      <c r="E1241" s="396">
        <f>F1240</f>
        <v>127633.2</v>
      </c>
      <c r="F1241" s="396">
        <f>+D1241*E1241</f>
        <v>6381.66</v>
      </c>
      <c r="P1241" s="3"/>
      <c r="Q1241" s="3"/>
      <c r="R1241" s="3"/>
    </row>
    <row r="1242" spans="1:18">
      <c r="A1242" s="529"/>
      <c r="B1242" s="165" t="s">
        <v>136</v>
      </c>
      <c r="C1242" s="77" t="s">
        <v>68</v>
      </c>
      <c r="D1242" s="379"/>
      <c r="E1242" s="396" t="e">
        <f>SUM(F1239:F1241)</f>
        <v>#REF!</v>
      </c>
      <c r="F1242" s="396" t="e">
        <f>+D1242*E1242</f>
        <v>#REF!</v>
      </c>
      <c r="P1242" s="3"/>
      <c r="Q1242" s="3"/>
      <c r="R1242" s="3"/>
    </row>
    <row r="1243" spans="1:18">
      <c r="A1243" s="529"/>
      <c r="B1243" s="165" t="s">
        <v>11</v>
      </c>
      <c r="C1243" s="77" t="s">
        <v>284</v>
      </c>
      <c r="D1243" s="379">
        <v>0.03</v>
      </c>
      <c r="E1243" s="396">
        <f>F1244</f>
        <v>130671.48997356166</v>
      </c>
      <c r="F1243" s="396">
        <f>(D1243*E1243)</f>
        <v>3920.14469920685</v>
      </c>
      <c r="P1243" s="3"/>
      <c r="Q1243" s="3"/>
      <c r="R1243" s="3"/>
    </row>
    <row r="1244" spans="1:18">
      <c r="A1244" s="529"/>
      <c r="B1244" s="165" t="s">
        <v>9</v>
      </c>
      <c r="C1244" s="77" t="s">
        <v>10</v>
      </c>
      <c r="D1244" s="379">
        <v>5</v>
      </c>
      <c r="E1244" s="396">
        <f>'VALOR CUADRILLAS MO'!D75</f>
        <v>26134.297994712331</v>
      </c>
      <c r="F1244" s="396">
        <f>+D1244*E1244</f>
        <v>130671.48997356166</v>
      </c>
      <c r="P1244" s="3"/>
      <c r="Q1244" s="3"/>
      <c r="R1244" s="3"/>
    </row>
    <row r="1245" spans="1:18">
      <c r="A1245" s="529"/>
      <c r="B1245" s="165"/>
      <c r="C1245" s="270"/>
      <c r="D1245" s="272"/>
      <c r="E1245" s="266"/>
      <c r="F1245" s="266"/>
      <c r="P1245" s="3"/>
      <c r="Q1245" s="3"/>
      <c r="R1245" s="3"/>
    </row>
    <row r="1246" spans="1:18" ht="15.75" customHeight="1">
      <c r="A1246" s="246">
        <f>A1238+1</f>
        <v>152</v>
      </c>
      <c r="B1246" s="83" t="s">
        <v>2904</v>
      </c>
      <c r="C1246" s="76" t="s">
        <v>26</v>
      </c>
      <c r="D1246" s="73"/>
      <c r="E1246" s="430"/>
      <c r="F1246" s="378" t="e">
        <f>ROUND((SUM(F1247:L1253)),0)</f>
        <v>#REF!</v>
      </c>
      <c r="M1246" s="536"/>
      <c r="P1246" s="3"/>
      <c r="Q1246" s="3"/>
      <c r="R1246" s="3"/>
    </row>
    <row r="1247" spans="1:18" ht="63.75">
      <c r="A1247" s="427"/>
      <c r="B1247" s="165" t="s">
        <v>2905</v>
      </c>
      <c r="C1247" s="77" t="s">
        <v>26</v>
      </c>
      <c r="D1247" s="379">
        <v>1</v>
      </c>
      <c r="E1247" s="538" t="e">
        <f>INSUMOS!#REF!</f>
        <v>#REF!</v>
      </c>
      <c r="F1247" s="396" t="e">
        <f>D1247*E1247</f>
        <v>#REF!</v>
      </c>
      <c r="M1247" s="537"/>
      <c r="O1247" s="539"/>
      <c r="P1247" s="3"/>
      <c r="Q1247" s="3"/>
      <c r="R1247" s="3"/>
    </row>
    <row r="1248" spans="1:18">
      <c r="A1248" s="529"/>
      <c r="B1248" s="165" t="s">
        <v>2887</v>
      </c>
      <c r="C1248" s="270" t="s">
        <v>121</v>
      </c>
      <c r="D1248" s="379">
        <v>0.1</v>
      </c>
      <c r="E1248" s="440">
        <f>BASICOS!E146</f>
        <v>392821</v>
      </c>
      <c r="F1248" s="440">
        <f>+D1248*E1248</f>
        <v>39282.1</v>
      </c>
      <c r="N1248" s="536"/>
      <c r="P1248" s="3"/>
      <c r="Q1248" s="3"/>
      <c r="R1248" s="3"/>
    </row>
    <row r="1249" spans="1:18">
      <c r="A1249" s="529"/>
      <c r="B1249" s="165" t="s">
        <v>229</v>
      </c>
      <c r="C1249" s="77" t="s">
        <v>68</v>
      </c>
      <c r="D1249" s="379">
        <v>0.05</v>
      </c>
      <c r="E1249" s="396">
        <f>F1248</f>
        <v>39282.1</v>
      </c>
      <c r="F1249" s="396">
        <f>+D1249*E1249</f>
        <v>1964.105</v>
      </c>
      <c r="P1249" s="3"/>
      <c r="Q1249" s="3"/>
      <c r="R1249" s="3"/>
    </row>
    <row r="1250" spans="1:18">
      <c r="A1250" s="529"/>
      <c r="B1250" s="165" t="s">
        <v>136</v>
      </c>
      <c r="C1250" s="77" t="s">
        <v>68</v>
      </c>
      <c r="D1250" s="379"/>
      <c r="E1250" s="396" t="e">
        <f>SUM(F1247:F1249)</f>
        <v>#REF!</v>
      </c>
      <c r="F1250" s="396" t="e">
        <f>+D1250*E1250</f>
        <v>#REF!</v>
      </c>
      <c r="P1250" s="3"/>
      <c r="Q1250" s="3"/>
      <c r="R1250" s="3"/>
    </row>
    <row r="1251" spans="1:18">
      <c r="A1251" s="529"/>
      <c r="B1251" s="165" t="s">
        <v>11</v>
      </c>
      <c r="C1251" s="77" t="s">
        <v>284</v>
      </c>
      <c r="D1251" s="379">
        <v>0.03</v>
      </c>
      <c r="E1251" s="396">
        <f>F1252</f>
        <v>52268.595989424663</v>
      </c>
      <c r="F1251" s="396">
        <f>(D1251*E1251)</f>
        <v>1568.0578796827399</v>
      </c>
      <c r="P1251" s="3"/>
      <c r="Q1251" s="3"/>
      <c r="R1251" s="3"/>
    </row>
    <row r="1252" spans="1:18">
      <c r="A1252" s="529"/>
      <c r="B1252" s="165" t="s">
        <v>9</v>
      </c>
      <c r="C1252" s="77" t="s">
        <v>10</v>
      </c>
      <c r="D1252" s="379">
        <v>2</v>
      </c>
      <c r="E1252" s="396">
        <f>'VALOR CUADRILLAS MO'!D75</f>
        <v>26134.297994712331</v>
      </c>
      <c r="F1252" s="396">
        <f>+D1252*E1252</f>
        <v>52268.595989424663</v>
      </c>
      <c r="P1252" s="3"/>
      <c r="Q1252" s="3"/>
      <c r="R1252" s="3"/>
    </row>
    <row r="1253" spans="1:18">
      <c r="A1253" s="529"/>
      <c r="B1253" s="165"/>
      <c r="C1253" s="270"/>
      <c r="D1253" s="272"/>
      <c r="E1253" s="266"/>
      <c r="F1253" s="266"/>
      <c r="P1253" s="3"/>
      <c r="Q1253" s="3"/>
      <c r="R1253" s="3"/>
    </row>
    <row r="1254" spans="1:18" ht="15.75" customHeight="1">
      <c r="A1254" s="246">
        <f>A1246+1</f>
        <v>153</v>
      </c>
      <c r="B1254" s="83" t="s">
        <v>2906</v>
      </c>
      <c r="C1254" s="76" t="s">
        <v>26</v>
      </c>
      <c r="D1254" s="73"/>
      <c r="E1254" s="430"/>
      <c r="F1254" s="378" t="e">
        <f>ROUND((SUM(F1255:L1261)),0)</f>
        <v>#REF!</v>
      </c>
      <c r="M1254" s="536"/>
      <c r="P1254" s="3"/>
      <c r="Q1254" s="3"/>
      <c r="R1254" s="3"/>
    </row>
    <row r="1255" spans="1:18" ht="51">
      <c r="A1255" s="427"/>
      <c r="B1255" s="165" t="s">
        <v>2907</v>
      </c>
      <c r="C1255" s="77" t="s">
        <v>26</v>
      </c>
      <c r="D1255" s="379">
        <v>1</v>
      </c>
      <c r="E1255" s="538" t="e">
        <f>INSUMOS!#REF!</f>
        <v>#REF!</v>
      </c>
      <c r="F1255" s="396" t="e">
        <f>D1255*E1255</f>
        <v>#REF!</v>
      </c>
      <c r="M1255" s="537"/>
      <c r="O1255" s="539"/>
      <c r="P1255" s="3"/>
      <c r="Q1255" s="3"/>
      <c r="R1255" s="3"/>
    </row>
    <row r="1256" spans="1:18">
      <c r="A1256" s="529"/>
      <c r="B1256" s="165" t="s">
        <v>2887</v>
      </c>
      <c r="C1256" s="270" t="s">
        <v>121</v>
      </c>
      <c r="D1256" s="379">
        <v>0.1</v>
      </c>
      <c r="E1256" s="440">
        <f>BASICOS!E146</f>
        <v>392821</v>
      </c>
      <c r="F1256" s="440">
        <f>+D1256*E1256</f>
        <v>39282.1</v>
      </c>
      <c r="N1256" s="536"/>
      <c r="P1256" s="3"/>
      <c r="Q1256" s="3"/>
      <c r="R1256" s="3"/>
    </row>
    <row r="1257" spans="1:18">
      <c r="A1257" s="529"/>
      <c r="B1257" s="165" t="s">
        <v>229</v>
      </c>
      <c r="C1257" s="77" t="s">
        <v>68</v>
      </c>
      <c r="D1257" s="379">
        <v>0.05</v>
      </c>
      <c r="E1257" s="396">
        <f>F1256</f>
        <v>39282.1</v>
      </c>
      <c r="F1257" s="396">
        <f>+D1257*E1257</f>
        <v>1964.105</v>
      </c>
      <c r="P1257" s="3"/>
      <c r="Q1257" s="3"/>
      <c r="R1257" s="3"/>
    </row>
    <row r="1258" spans="1:18">
      <c r="A1258" s="529"/>
      <c r="B1258" s="165" t="s">
        <v>136</v>
      </c>
      <c r="C1258" s="77" t="s">
        <v>68</v>
      </c>
      <c r="D1258" s="379"/>
      <c r="E1258" s="396" t="e">
        <f>SUM(F1255:F1257)</f>
        <v>#REF!</v>
      </c>
      <c r="F1258" s="396" t="e">
        <f>+D1258*E1258</f>
        <v>#REF!</v>
      </c>
      <c r="P1258" s="3"/>
      <c r="Q1258" s="3"/>
      <c r="R1258" s="3"/>
    </row>
    <row r="1259" spans="1:18">
      <c r="A1259" s="529"/>
      <c r="B1259" s="165" t="s">
        <v>11</v>
      </c>
      <c r="C1259" s="77" t="s">
        <v>284</v>
      </c>
      <c r="D1259" s="379">
        <v>0.03</v>
      </c>
      <c r="E1259" s="396">
        <f>F1260</f>
        <v>52268.595989424663</v>
      </c>
      <c r="F1259" s="396">
        <f>(D1259*E1259)</f>
        <v>1568.0578796827399</v>
      </c>
      <c r="P1259" s="3"/>
      <c r="Q1259" s="3"/>
      <c r="R1259" s="3"/>
    </row>
    <row r="1260" spans="1:18">
      <c r="A1260" s="529"/>
      <c r="B1260" s="165" t="s">
        <v>9</v>
      </c>
      <c r="C1260" s="77" t="s">
        <v>10</v>
      </c>
      <c r="D1260" s="379">
        <v>2</v>
      </c>
      <c r="E1260" s="396">
        <f>'VALOR CUADRILLAS MO'!D75</f>
        <v>26134.297994712331</v>
      </c>
      <c r="F1260" s="396">
        <f>+D1260*E1260</f>
        <v>52268.595989424663</v>
      </c>
      <c r="P1260" s="3"/>
      <c r="Q1260" s="3"/>
      <c r="R1260" s="3"/>
    </row>
    <row r="1261" spans="1:18">
      <c r="A1261" s="529"/>
      <c r="B1261" s="165"/>
      <c r="C1261" s="270"/>
      <c r="D1261" s="272"/>
      <c r="E1261" s="266"/>
      <c r="F1261" s="266"/>
      <c r="P1261" s="3"/>
      <c r="Q1261" s="3"/>
      <c r="R1261" s="3"/>
    </row>
    <row r="1262" spans="1:18" ht="15.75" customHeight="1">
      <c r="A1262" s="246">
        <f>A1254+1</f>
        <v>154</v>
      </c>
      <c r="B1262" s="83" t="s">
        <v>2908</v>
      </c>
      <c r="C1262" s="76" t="s">
        <v>26</v>
      </c>
      <c r="D1262" s="73"/>
      <c r="E1262" s="430"/>
      <c r="F1262" s="378" t="e">
        <f>ROUND((SUM(F1263:L1269)),0)</f>
        <v>#REF!</v>
      </c>
      <c r="M1262" s="536"/>
      <c r="P1262" s="3"/>
      <c r="Q1262" s="3"/>
      <c r="R1262" s="3"/>
    </row>
    <row r="1263" spans="1:18" ht="76.5">
      <c r="A1263" s="427"/>
      <c r="B1263" s="165" t="s">
        <v>2909</v>
      </c>
      <c r="C1263" s="77" t="s">
        <v>26</v>
      </c>
      <c r="D1263" s="379">
        <v>1</v>
      </c>
      <c r="E1263" s="538" t="e">
        <f>INSUMOS!#REF!</f>
        <v>#REF!</v>
      </c>
      <c r="F1263" s="396" t="e">
        <f>D1263*E1263</f>
        <v>#REF!</v>
      </c>
      <c r="M1263" s="537"/>
      <c r="O1263" s="539"/>
      <c r="P1263" s="3"/>
      <c r="Q1263" s="3"/>
      <c r="R1263" s="3"/>
    </row>
    <row r="1264" spans="1:18">
      <c r="A1264" s="529"/>
      <c r="B1264" s="165" t="s">
        <v>2887</v>
      </c>
      <c r="C1264" s="270" t="s">
        <v>121</v>
      </c>
      <c r="D1264" s="379">
        <v>0.1</v>
      </c>
      <c r="E1264" s="440">
        <f>BASICOS!E146</f>
        <v>392821</v>
      </c>
      <c r="F1264" s="440">
        <f>+D1264*E1264</f>
        <v>39282.1</v>
      </c>
      <c r="N1264" s="536"/>
      <c r="P1264" s="3"/>
      <c r="Q1264" s="3"/>
      <c r="R1264" s="3"/>
    </row>
    <row r="1265" spans="1:18">
      <c r="A1265" s="529"/>
      <c r="B1265" s="165" t="s">
        <v>229</v>
      </c>
      <c r="C1265" s="77" t="s">
        <v>68</v>
      </c>
      <c r="D1265" s="379">
        <v>0.05</v>
      </c>
      <c r="E1265" s="396">
        <f>F1264</f>
        <v>39282.1</v>
      </c>
      <c r="F1265" s="396">
        <f>+D1265*E1265</f>
        <v>1964.105</v>
      </c>
      <c r="P1265" s="3"/>
      <c r="Q1265" s="3"/>
      <c r="R1265" s="3"/>
    </row>
    <row r="1266" spans="1:18">
      <c r="A1266" s="529"/>
      <c r="B1266" s="165" t="s">
        <v>136</v>
      </c>
      <c r="C1266" s="77" t="s">
        <v>68</v>
      </c>
      <c r="D1266" s="379"/>
      <c r="E1266" s="396" t="e">
        <f>SUM(F1263:F1265)</f>
        <v>#REF!</v>
      </c>
      <c r="F1266" s="396" t="e">
        <f>+D1266*E1266</f>
        <v>#REF!</v>
      </c>
      <c r="P1266" s="3"/>
      <c r="Q1266" s="3"/>
      <c r="R1266" s="3"/>
    </row>
    <row r="1267" spans="1:18">
      <c r="A1267" s="529"/>
      <c r="B1267" s="165" t="s">
        <v>11</v>
      </c>
      <c r="C1267" s="77" t="s">
        <v>284</v>
      </c>
      <c r="D1267" s="379">
        <v>0.03</v>
      </c>
      <c r="E1267" s="396">
        <f>F1268</f>
        <v>26134.297994712331</v>
      </c>
      <c r="F1267" s="396">
        <f>(D1267*E1267)</f>
        <v>784.02893984136995</v>
      </c>
      <c r="P1267" s="3"/>
      <c r="Q1267" s="3"/>
      <c r="R1267" s="3"/>
    </row>
    <row r="1268" spans="1:18">
      <c r="A1268" s="529"/>
      <c r="B1268" s="165" t="s">
        <v>9</v>
      </c>
      <c r="C1268" s="77" t="s">
        <v>10</v>
      </c>
      <c r="D1268" s="379">
        <v>1</v>
      </c>
      <c r="E1268" s="396">
        <f>'VALOR CUADRILLAS MO'!D75</f>
        <v>26134.297994712331</v>
      </c>
      <c r="F1268" s="396">
        <f>+D1268*E1268</f>
        <v>26134.297994712331</v>
      </c>
      <c r="P1268" s="3"/>
      <c r="Q1268" s="3"/>
      <c r="R1268" s="3"/>
    </row>
    <row r="1269" spans="1:18">
      <c r="A1269" s="529"/>
      <c r="B1269" s="165"/>
      <c r="C1269" s="270"/>
      <c r="D1269" s="272"/>
      <c r="E1269" s="266"/>
      <c r="F1269" s="266"/>
      <c r="P1269" s="3"/>
      <c r="Q1269" s="3"/>
      <c r="R1269" s="3"/>
    </row>
    <row r="1270" spans="1:18" s="638" customFormat="1" ht="20.100000000000001" customHeight="1">
      <c r="A1270" s="246">
        <f>A1262+1</f>
        <v>155</v>
      </c>
      <c r="B1270" s="83" t="s">
        <v>3154</v>
      </c>
      <c r="C1270" s="76" t="s">
        <v>26</v>
      </c>
      <c r="D1270" s="73"/>
      <c r="E1270" s="430"/>
      <c r="F1270" s="378" t="e">
        <f>ROUND(SUM(F1271:F1276),0)</f>
        <v>#REF!</v>
      </c>
      <c r="G1270" s="637" t="s">
        <v>3155</v>
      </c>
    </row>
    <row r="1271" spans="1:18" s="638" customFormat="1" ht="12.6" customHeight="1">
      <c r="A1271" s="639"/>
      <c r="B1271" s="640" t="s">
        <v>3156</v>
      </c>
      <c r="C1271" s="641" t="s">
        <v>26</v>
      </c>
      <c r="D1271" s="379">
        <v>1</v>
      </c>
      <c r="E1271" s="538" t="e">
        <f>INSUMOS!#REF!</f>
        <v>#REF!</v>
      </c>
      <c r="F1271" s="396" t="e">
        <f t="shared" ref="F1271:F1276" si="41">E1271*D1271</f>
        <v>#REF!</v>
      </c>
      <c r="G1271" s="637"/>
    </row>
    <row r="1272" spans="1:18" s="638" customFormat="1" ht="12.6" customHeight="1">
      <c r="A1272" s="642"/>
      <c r="B1272" s="640" t="s">
        <v>2887</v>
      </c>
      <c r="C1272" s="643" t="s">
        <v>121</v>
      </c>
      <c r="D1272" s="379">
        <v>0.3</v>
      </c>
      <c r="E1272" s="440">
        <f>BASICOS!E146</f>
        <v>392821</v>
      </c>
      <c r="F1272" s="396">
        <f t="shared" si="41"/>
        <v>117846.3</v>
      </c>
      <c r="G1272" s="637"/>
    </row>
    <row r="1273" spans="1:18" s="638" customFormat="1" ht="12.6" customHeight="1">
      <c r="A1273" s="642"/>
      <c r="B1273" s="640" t="s">
        <v>229</v>
      </c>
      <c r="C1273" s="641" t="s">
        <v>68</v>
      </c>
      <c r="D1273" s="379">
        <v>0.05</v>
      </c>
      <c r="E1273" s="396">
        <f>SUM(F1272)</f>
        <v>117846.3</v>
      </c>
      <c r="F1273" s="396">
        <f t="shared" si="41"/>
        <v>5892.3150000000005</v>
      </c>
      <c r="G1273" s="637"/>
    </row>
    <row r="1274" spans="1:18" s="638" customFormat="1" ht="12.6" customHeight="1">
      <c r="A1274" s="642"/>
      <c r="B1274" s="640" t="s">
        <v>136</v>
      </c>
      <c r="C1274" s="641" t="s">
        <v>68</v>
      </c>
      <c r="D1274" s="379"/>
      <c r="E1274" s="396" t="e">
        <f>SUM(F1271:F1273)</f>
        <v>#REF!</v>
      </c>
      <c r="F1274" s="396" t="e">
        <f t="shared" si="41"/>
        <v>#REF!</v>
      </c>
      <c r="G1274" s="637"/>
    </row>
    <row r="1275" spans="1:18" s="638" customFormat="1" ht="12.6" customHeight="1">
      <c r="A1275" s="642"/>
      <c r="B1275" s="640" t="s">
        <v>11</v>
      </c>
      <c r="C1275" s="641" t="s">
        <v>284</v>
      </c>
      <c r="D1275" s="379">
        <v>0.03</v>
      </c>
      <c r="E1275" s="396">
        <f>F1276</f>
        <v>156805.78796827397</v>
      </c>
      <c r="F1275" s="396">
        <f t="shared" si="41"/>
        <v>4704.1736390482192</v>
      </c>
      <c r="G1275" s="637"/>
    </row>
    <row r="1276" spans="1:18" s="638" customFormat="1" ht="12.6" customHeight="1">
      <c r="A1276" s="642"/>
      <c r="B1276" s="640" t="s">
        <v>9</v>
      </c>
      <c r="C1276" s="641" t="s">
        <v>10</v>
      </c>
      <c r="D1276" s="379">
        <v>6</v>
      </c>
      <c r="E1276" s="396">
        <f>'VALOR CUADRILLAS MO'!D75</f>
        <v>26134.297994712331</v>
      </c>
      <c r="F1276" s="396">
        <f t="shared" si="41"/>
        <v>156805.78796827397</v>
      </c>
      <c r="G1276" s="637"/>
    </row>
    <row r="1277" spans="1:18" s="638" customFormat="1" ht="12.6" customHeight="1">
      <c r="A1277" s="642"/>
      <c r="B1277" s="640"/>
      <c r="C1277" s="643"/>
      <c r="D1277" s="441"/>
      <c r="E1277" s="440"/>
      <c r="F1277" s="440"/>
      <c r="G1277" s="637"/>
    </row>
    <row r="1278" spans="1:18" s="638" customFormat="1" ht="186" customHeight="1">
      <c r="A1278" s="246">
        <f>A1270+1</f>
        <v>156</v>
      </c>
      <c r="B1278" s="83" t="s">
        <v>3157</v>
      </c>
      <c r="C1278" s="76" t="s">
        <v>26</v>
      </c>
      <c r="D1278" s="73"/>
      <c r="E1278" s="430"/>
      <c r="F1278" s="378" t="e">
        <f>ROUND(SUM(F1279:F1284),0)</f>
        <v>#REF!</v>
      </c>
      <c r="G1278" s="644" t="s">
        <v>3155</v>
      </c>
    </row>
    <row r="1279" spans="1:18" s="638" customFormat="1" ht="12.6" customHeight="1">
      <c r="A1279" s="639"/>
      <c r="B1279" s="640" t="s">
        <v>3158</v>
      </c>
      <c r="C1279" s="641" t="s">
        <v>26</v>
      </c>
      <c r="D1279" s="379">
        <v>1</v>
      </c>
      <c r="E1279" s="538" t="e">
        <f>INSUMOS!#REF!</f>
        <v>#REF!</v>
      </c>
      <c r="F1279" s="396" t="e">
        <f>E1279*D1279</f>
        <v>#REF!</v>
      </c>
      <c r="G1279" s="637"/>
    </row>
    <row r="1280" spans="1:18" s="638" customFormat="1" ht="12.6" customHeight="1">
      <c r="A1280" s="642"/>
      <c r="B1280" s="640" t="s">
        <v>2887</v>
      </c>
      <c r="C1280" s="643" t="s">
        <v>121</v>
      </c>
      <c r="D1280" s="379">
        <v>0.1</v>
      </c>
      <c r="E1280" s="440">
        <f>BASICOS!E146</f>
        <v>392821</v>
      </c>
      <c r="F1280" s="396">
        <f t="shared" ref="F1280:F1284" si="42">E1280*D1280</f>
        <v>39282.1</v>
      </c>
      <c r="G1280" s="637"/>
    </row>
    <row r="1281" spans="1:7" s="638" customFormat="1" ht="12.6" customHeight="1">
      <c r="A1281" s="642"/>
      <c r="B1281" s="640" t="s">
        <v>229</v>
      </c>
      <c r="C1281" s="641" t="s">
        <v>68</v>
      </c>
      <c r="D1281" s="379">
        <v>0.05</v>
      </c>
      <c r="E1281" s="396">
        <f>F1280</f>
        <v>39282.1</v>
      </c>
      <c r="F1281" s="396">
        <f t="shared" si="42"/>
        <v>1964.105</v>
      </c>
      <c r="G1281" s="637"/>
    </row>
    <row r="1282" spans="1:7" s="638" customFormat="1" ht="12.6" customHeight="1">
      <c r="A1282" s="642"/>
      <c r="B1282" s="640" t="s">
        <v>136</v>
      </c>
      <c r="C1282" s="641" t="s">
        <v>68</v>
      </c>
      <c r="D1282" s="379"/>
      <c r="E1282" s="396" t="e">
        <f>SUM(F1279:F1281)</f>
        <v>#REF!</v>
      </c>
      <c r="F1282" s="396" t="e">
        <f t="shared" si="42"/>
        <v>#REF!</v>
      </c>
      <c r="G1282" s="637"/>
    </row>
    <row r="1283" spans="1:7" s="638" customFormat="1" ht="12.6" customHeight="1">
      <c r="A1283" s="642"/>
      <c r="B1283" s="640" t="s">
        <v>11</v>
      </c>
      <c r="C1283" s="641" t="s">
        <v>284</v>
      </c>
      <c r="D1283" s="379">
        <v>0.03</v>
      </c>
      <c r="E1283" s="396">
        <f>F1284</f>
        <v>104537.19197884933</v>
      </c>
      <c r="F1283" s="396">
        <f t="shared" si="42"/>
        <v>3136.1157593654798</v>
      </c>
      <c r="G1283" s="637"/>
    </row>
    <row r="1284" spans="1:7" s="638" customFormat="1" ht="12.6" customHeight="1">
      <c r="A1284" s="642"/>
      <c r="B1284" s="640" t="s">
        <v>9</v>
      </c>
      <c r="C1284" s="641" t="s">
        <v>10</v>
      </c>
      <c r="D1284" s="379">
        <v>4</v>
      </c>
      <c r="E1284" s="396">
        <f>'VALOR CUADRILLAS MO'!D75</f>
        <v>26134.297994712331</v>
      </c>
      <c r="F1284" s="396">
        <f t="shared" si="42"/>
        <v>104537.19197884933</v>
      </c>
      <c r="G1284" s="637"/>
    </row>
    <row r="1285" spans="1:7" s="638" customFormat="1" ht="12.6" customHeight="1">
      <c r="A1285" s="642"/>
      <c r="B1285" s="640"/>
      <c r="C1285" s="641"/>
      <c r="D1285" s="379"/>
      <c r="E1285" s="396"/>
      <c r="F1285" s="440"/>
      <c r="G1285" s="637"/>
    </row>
    <row r="1286" spans="1:7" s="638" customFormat="1" ht="160.9" customHeight="1">
      <c r="A1286" s="246">
        <f>A1278+1</f>
        <v>157</v>
      </c>
      <c r="B1286" s="83" t="s">
        <v>3159</v>
      </c>
      <c r="C1286" s="76" t="s">
        <v>26</v>
      </c>
      <c r="D1286" s="73"/>
      <c r="E1286" s="430"/>
      <c r="F1286" s="378" t="e">
        <f>ROUND(SUM(F1287:F1292),0)</f>
        <v>#REF!</v>
      </c>
      <c r="G1286" s="637" t="s">
        <v>3155</v>
      </c>
    </row>
    <row r="1287" spans="1:7" s="638" customFormat="1" ht="12.6" customHeight="1">
      <c r="A1287" s="639"/>
      <c r="B1287" s="640" t="s">
        <v>3160</v>
      </c>
      <c r="C1287" s="641" t="s">
        <v>26</v>
      </c>
      <c r="D1287" s="379">
        <v>1</v>
      </c>
      <c r="E1287" s="538" t="e">
        <f>INSUMOS!#REF!</f>
        <v>#REF!</v>
      </c>
      <c r="F1287" s="396" t="e">
        <f t="shared" ref="F1287:F1292" si="43">E1287*D1287</f>
        <v>#REF!</v>
      </c>
      <c r="G1287" s="637"/>
    </row>
    <row r="1288" spans="1:7" s="638" customFormat="1" ht="12.6" customHeight="1">
      <c r="A1288" s="642"/>
      <c r="B1288" s="640" t="s">
        <v>2887</v>
      </c>
      <c r="C1288" s="643" t="s">
        <v>121</v>
      </c>
      <c r="D1288" s="379">
        <v>0.3</v>
      </c>
      <c r="E1288" s="440">
        <f>BASICOS!E146</f>
        <v>392821</v>
      </c>
      <c r="F1288" s="396">
        <f t="shared" si="43"/>
        <v>117846.3</v>
      </c>
      <c r="G1288" s="637"/>
    </row>
    <row r="1289" spans="1:7" s="638" customFormat="1" ht="12.6" customHeight="1">
      <c r="A1289" s="642"/>
      <c r="B1289" s="640" t="s">
        <v>229</v>
      </c>
      <c r="C1289" s="641" t="s">
        <v>68</v>
      </c>
      <c r="D1289" s="379">
        <v>0.05</v>
      </c>
      <c r="E1289" s="396">
        <f>F1288</f>
        <v>117846.3</v>
      </c>
      <c r="F1289" s="396">
        <f t="shared" si="43"/>
        <v>5892.3150000000005</v>
      </c>
      <c r="G1289" s="637"/>
    </row>
    <row r="1290" spans="1:7" s="638" customFormat="1" ht="12.6" customHeight="1">
      <c r="A1290" s="642"/>
      <c r="B1290" s="640" t="s">
        <v>136</v>
      </c>
      <c r="C1290" s="641" t="s">
        <v>68</v>
      </c>
      <c r="D1290" s="379"/>
      <c r="E1290" s="396" t="e">
        <f>SUM(F1287:F1289)</f>
        <v>#REF!</v>
      </c>
      <c r="F1290" s="396" t="e">
        <f t="shared" si="43"/>
        <v>#REF!</v>
      </c>
      <c r="G1290" s="637"/>
    </row>
    <row r="1291" spans="1:7" s="638" customFormat="1" ht="12.6" customHeight="1">
      <c r="A1291" s="642"/>
      <c r="B1291" s="640" t="s">
        <v>11</v>
      </c>
      <c r="C1291" s="641" t="s">
        <v>284</v>
      </c>
      <c r="D1291" s="379">
        <v>0.03</v>
      </c>
      <c r="E1291" s="396">
        <f>F1292</f>
        <v>313611.57593654795</v>
      </c>
      <c r="F1291" s="396">
        <f t="shared" si="43"/>
        <v>9408.3472780964385</v>
      </c>
      <c r="G1291" s="637"/>
    </row>
    <row r="1292" spans="1:7" s="638" customFormat="1" ht="12.6" customHeight="1">
      <c r="A1292" s="642"/>
      <c r="B1292" s="640" t="s">
        <v>9</v>
      </c>
      <c r="C1292" s="641" t="s">
        <v>10</v>
      </c>
      <c r="D1292" s="379">
        <v>12</v>
      </c>
      <c r="E1292" s="396">
        <f>'VALOR CUADRILLAS MO'!D75</f>
        <v>26134.297994712331</v>
      </c>
      <c r="F1292" s="396">
        <f t="shared" si="43"/>
        <v>313611.57593654795</v>
      </c>
      <c r="G1292" s="637"/>
    </row>
    <row r="1293" spans="1:7" s="638" customFormat="1" ht="12.6" customHeight="1">
      <c r="A1293" s="642"/>
      <c r="B1293" s="640"/>
      <c r="C1293" s="641"/>
      <c r="D1293" s="379"/>
      <c r="E1293" s="396"/>
      <c r="F1293" s="440"/>
      <c r="G1293" s="637"/>
    </row>
    <row r="1294" spans="1:7" s="638" customFormat="1" ht="81.599999999999994" customHeight="1">
      <c r="A1294" s="246">
        <f>A1286+1</f>
        <v>158</v>
      </c>
      <c r="B1294" s="83" t="s">
        <v>3161</v>
      </c>
      <c r="C1294" s="76" t="s">
        <v>26</v>
      </c>
      <c r="D1294" s="73"/>
      <c r="E1294" s="430"/>
      <c r="F1294" s="378" t="e">
        <f>ROUND(SUM(F1295:F1300),0)</f>
        <v>#REF!</v>
      </c>
      <c r="G1294" s="637" t="s">
        <v>3155</v>
      </c>
    </row>
    <row r="1295" spans="1:7" s="638" customFormat="1" ht="12.6" customHeight="1">
      <c r="A1295" s="639"/>
      <c r="B1295" s="640" t="s">
        <v>3162</v>
      </c>
      <c r="C1295" s="641" t="s">
        <v>26</v>
      </c>
      <c r="D1295" s="379">
        <v>1</v>
      </c>
      <c r="E1295" s="538" t="e">
        <f>INSUMOS!#REF!</f>
        <v>#REF!</v>
      </c>
      <c r="F1295" s="396" t="e">
        <f t="shared" ref="F1295:F1300" si="44">E1295*D1295</f>
        <v>#REF!</v>
      </c>
      <c r="G1295" s="637"/>
    </row>
    <row r="1296" spans="1:7" s="638" customFormat="1" ht="12.6" customHeight="1">
      <c r="A1296" s="642"/>
      <c r="B1296" s="640" t="s">
        <v>2887</v>
      </c>
      <c r="C1296" s="643" t="s">
        <v>121</v>
      </c>
      <c r="D1296" s="379">
        <v>0.3</v>
      </c>
      <c r="E1296" s="440">
        <f>BASICOS!E146</f>
        <v>392821</v>
      </c>
      <c r="F1296" s="396">
        <f t="shared" si="44"/>
        <v>117846.3</v>
      </c>
      <c r="G1296" s="637"/>
    </row>
    <row r="1297" spans="1:7" s="638" customFormat="1" ht="12.6" customHeight="1">
      <c r="A1297" s="642"/>
      <c r="B1297" s="640" t="s">
        <v>229</v>
      </c>
      <c r="C1297" s="641" t="s">
        <v>68</v>
      </c>
      <c r="D1297" s="379">
        <v>0.05</v>
      </c>
      <c r="E1297" s="396">
        <f>F1296</f>
        <v>117846.3</v>
      </c>
      <c r="F1297" s="396">
        <f t="shared" si="44"/>
        <v>5892.3150000000005</v>
      </c>
      <c r="G1297" s="637"/>
    </row>
    <row r="1298" spans="1:7" s="638" customFormat="1" ht="12.6" customHeight="1">
      <c r="A1298" s="642"/>
      <c r="B1298" s="640" t="s">
        <v>136</v>
      </c>
      <c r="C1298" s="641" t="s">
        <v>68</v>
      </c>
      <c r="D1298" s="379"/>
      <c r="E1298" s="396" t="e">
        <f>SUM(F1295:F1297)</f>
        <v>#REF!</v>
      </c>
      <c r="F1298" s="396" t="e">
        <f t="shared" si="44"/>
        <v>#REF!</v>
      </c>
      <c r="G1298" s="637"/>
    </row>
    <row r="1299" spans="1:7" s="638" customFormat="1" ht="12.6" customHeight="1">
      <c r="A1299" s="642"/>
      <c r="B1299" s="640" t="s">
        <v>11</v>
      </c>
      <c r="C1299" s="641" t="s">
        <v>284</v>
      </c>
      <c r="D1299" s="379">
        <v>0.03</v>
      </c>
      <c r="E1299" s="396">
        <f>F1300</f>
        <v>313611.57593654795</v>
      </c>
      <c r="F1299" s="396">
        <f t="shared" si="44"/>
        <v>9408.3472780964385</v>
      </c>
      <c r="G1299" s="637"/>
    </row>
    <row r="1300" spans="1:7" s="638" customFormat="1" ht="12.6" customHeight="1">
      <c r="A1300" s="642"/>
      <c r="B1300" s="640" t="s">
        <v>9</v>
      </c>
      <c r="C1300" s="641" t="s">
        <v>10</v>
      </c>
      <c r="D1300" s="379">
        <v>12</v>
      </c>
      <c r="E1300" s="396">
        <f>'VALOR CUADRILLAS MO'!D75</f>
        <v>26134.297994712331</v>
      </c>
      <c r="F1300" s="396">
        <f t="shared" si="44"/>
        <v>313611.57593654795</v>
      </c>
      <c r="G1300" s="637"/>
    </row>
    <row r="1301" spans="1:7" s="638" customFormat="1" ht="12.6" customHeight="1">
      <c r="A1301" s="642"/>
      <c r="B1301" s="640"/>
      <c r="C1301" s="641"/>
      <c r="D1301" s="379"/>
      <c r="E1301" s="396"/>
      <c r="F1301" s="440"/>
      <c r="G1301" s="637"/>
    </row>
    <row r="1302" spans="1:7" s="638" customFormat="1" ht="44.45" customHeight="1">
      <c r="A1302" s="246">
        <f>A1294+1</f>
        <v>159</v>
      </c>
      <c r="B1302" s="83" t="s">
        <v>3163</v>
      </c>
      <c r="C1302" s="76" t="s">
        <v>26</v>
      </c>
      <c r="D1302" s="73"/>
      <c r="E1302" s="430"/>
      <c r="F1302" s="378" t="e">
        <f>ROUND(SUM(F1303:F1308),0)</f>
        <v>#REF!</v>
      </c>
      <c r="G1302" s="637" t="s">
        <v>3155</v>
      </c>
    </row>
    <row r="1303" spans="1:7" s="638" customFormat="1" ht="12.6" customHeight="1">
      <c r="A1303" s="639"/>
      <c r="B1303" s="640" t="s">
        <v>3169</v>
      </c>
      <c r="C1303" s="641" t="s">
        <v>26</v>
      </c>
      <c r="D1303" s="379">
        <v>1</v>
      </c>
      <c r="E1303" s="538" t="e">
        <f>INSUMOS!#REF!</f>
        <v>#REF!</v>
      </c>
      <c r="F1303" s="396" t="e">
        <f t="shared" ref="F1303:F1308" si="45">E1303*D1303</f>
        <v>#REF!</v>
      </c>
      <c r="G1303" s="637"/>
    </row>
    <row r="1304" spans="1:7" s="638" customFormat="1" ht="12.6" customHeight="1">
      <c r="A1304" s="642"/>
      <c r="B1304" s="640" t="s">
        <v>2887</v>
      </c>
      <c r="C1304" s="643" t="s">
        <v>121</v>
      </c>
      <c r="D1304" s="379">
        <v>0.5</v>
      </c>
      <c r="E1304" s="440">
        <f>BASICOS!E146</f>
        <v>392821</v>
      </c>
      <c r="F1304" s="396">
        <f t="shared" si="45"/>
        <v>196410.5</v>
      </c>
      <c r="G1304" s="637"/>
    </row>
    <row r="1305" spans="1:7" s="638" customFormat="1" ht="12.6" customHeight="1">
      <c r="A1305" s="642"/>
      <c r="B1305" s="640" t="s">
        <v>229</v>
      </c>
      <c r="C1305" s="641" t="s">
        <v>68</v>
      </c>
      <c r="D1305" s="379">
        <v>0.05</v>
      </c>
      <c r="E1305" s="396">
        <v>186840</v>
      </c>
      <c r="F1305" s="396">
        <f t="shared" si="45"/>
        <v>9342</v>
      </c>
      <c r="G1305" s="637"/>
    </row>
    <row r="1306" spans="1:7" s="638" customFormat="1" ht="12.6" customHeight="1">
      <c r="A1306" s="642"/>
      <c r="B1306" s="640" t="s">
        <v>136</v>
      </c>
      <c r="C1306" s="641" t="s">
        <v>68</v>
      </c>
      <c r="D1306" s="379"/>
      <c r="E1306" s="396">
        <v>66169313.600000001</v>
      </c>
      <c r="F1306" s="396">
        <f t="shared" si="45"/>
        <v>0</v>
      </c>
      <c r="G1306" s="637"/>
    </row>
    <row r="1307" spans="1:7" s="638" customFormat="1" ht="12.6" customHeight="1">
      <c r="A1307" s="642"/>
      <c r="B1307" s="640" t="s">
        <v>11</v>
      </c>
      <c r="C1307" s="641" t="s">
        <v>284</v>
      </c>
      <c r="D1307" s="379">
        <v>0.03</v>
      </c>
      <c r="E1307" s="396">
        <f>F1308</f>
        <v>313611.57593654795</v>
      </c>
      <c r="F1307" s="396">
        <f t="shared" si="45"/>
        <v>9408.3472780964385</v>
      </c>
      <c r="G1307" s="637"/>
    </row>
    <row r="1308" spans="1:7" s="638" customFormat="1" ht="12.6" customHeight="1">
      <c r="A1308" s="642"/>
      <c r="B1308" s="640" t="s">
        <v>9</v>
      </c>
      <c r="C1308" s="641" t="s">
        <v>10</v>
      </c>
      <c r="D1308" s="379">
        <v>12</v>
      </c>
      <c r="E1308" s="396">
        <f>'VALOR CUADRILLAS MO'!D75</f>
        <v>26134.297994712331</v>
      </c>
      <c r="F1308" s="396">
        <f t="shared" si="45"/>
        <v>313611.57593654795</v>
      </c>
      <c r="G1308" s="637"/>
    </row>
    <row r="1309" spans="1:7" s="638" customFormat="1" ht="12.6" customHeight="1">
      <c r="A1309" s="642"/>
      <c r="B1309" s="640"/>
      <c r="C1309" s="641"/>
      <c r="D1309" s="379"/>
      <c r="E1309" s="396"/>
      <c r="F1309" s="440"/>
      <c r="G1309" s="637"/>
    </row>
    <row r="1310" spans="1:7" s="638" customFormat="1" ht="43.9" customHeight="1">
      <c r="A1310" s="246">
        <f>A1302+1</f>
        <v>160</v>
      </c>
      <c r="B1310" s="83" t="s">
        <v>3164</v>
      </c>
      <c r="C1310" s="76" t="s">
        <v>26</v>
      </c>
      <c r="D1310" s="73"/>
      <c r="E1310" s="430"/>
      <c r="F1310" s="378" t="e">
        <f>ROUND(SUM(F1311:F1316),0)</f>
        <v>#REF!</v>
      </c>
      <c r="G1310" s="637" t="s">
        <v>3155</v>
      </c>
    </row>
    <row r="1311" spans="1:7" s="638" customFormat="1" ht="12.6" customHeight="1">
      <c r="A1311" s="639"/>
      <c r="B1311" s="640" t="s">
        <v>3165</v>
      </c>
      <c r="C1311" s="641" t="s">
        <v>26</v>
      </c>
      <c r="D1311" s="379">
        <v>1</v>
      </c>
      <c r="E1311" s="538" t="e">
        <f>INSUMOS!#REF!</f>
        <v>#REF!</v>
      </c>
      <c r="F1311" s="396" t="e">
        <f t="shared" ref="F1311:F1316" si="46">E1311*D1311</f>
        <v>#REF!</v>
      </c>
      <c r="G1311" s="637"/>
    </row>
    <row r="1312" spans="1:7" s="638" customFormat="1" ht="12.6" customHeight="1">
      <c r="A1312" s="642"/>
      <c r="B1312" s="640" t="s">
        <v>2887</v>
      </c>
      <c r="C1312" s="643" t="s">
        <v>121</v>
      </c>
      <c r="D1312" s="379">
        <v>0.8</v>
      </c>
      <c r="E1312" s="440">
        <f>BASICOS!E146</f>
        <v>392821</v>
      </c>
      <c r="F1312" s="396">
        <f t="shared" si="46"/>
        <v>314256.8</v>
      </c>
      <c r="G1312" s="637"/>
    </row>
    <row r="1313" spans="1:7" s="638" customFormat="1" ht="12.6" customHeight="1">
      <c r="A1313" s="642"/>
      <c r="B1313" s="640" t="s">
        <v>229</v>
      </c>
      <c r="C1313" s="641" t="s">
        <v>68</v>
      </c>
      <c r="D1313" s="379">
        <v>0.05</v>
      </c>
      <c r="E1313" s="396">
        <f>F1312</f>
        <v>314256.8</v>
      </c>
      <c r="F1313" s="396">
        <f t="shared" si="46"/>
        <v>15712.84</v>
      </c>
      <c r="G1313" s="637"/>
    </row>
    <row r="1314" spans="1:7" s="638" customFormat="1" ht="12.6" customHeight="1">
      <c r="A1314" s="642"/>
      <c r="B1314" s="640" t="s">
        <v>136</v>
      </c>
      <c r="C1314" s="641" t="s">
        <v>68</v>
      </c>
      <c r="D1314" s="379"/>
      <c r="E1314" s="396" t="e">
        <f>SUM(F1311:F1313)</f>
        <v>#REF!</v>
      </c>
      <c r="F1314" s="396" t="e">
        <f t="shared" si="46"/>
        <v>#REF!</v>
      </c>
      <c r="G1314" s="637"/>
    </row>
    <row r="1315" spans="1:7" s="638" customFormat="1" ht="12.6" customHeight="1">
      <c r="A1315" s="642"/>
      <c r="B1315" s="640" t="s">
        <v>11</v>
      </c>
      <c r="C1315" s="641" t="s">
        <v>284</v>
      </c>
      <c r="D1315" s="379">
        <v>0.03</v>
      </c>
      <c r="E1315" s="396">
        <f>F1316</f>
        <v>522685.95989424665</v>
      </c>
      <c r="F1315" s="396">
        <f t="shared" si="46"/>
        <v>15680.5787968274</v>
      </c>
      <c r="G1315" s="637"/>
    </row>
    <row r="1316" spans="1:7" s="638" customFormat="1" ht="12.6" customHeight="1">
      <c r="A1316" s="642"/>
      <c r="B1316" s="640" t="s">
        <v>9</v>
      </c>
      <c r="C1316" s="641" t="s">
        <v>10</v>
      </c>
      <c r="D1316" s="379">
        <v>20</v>
      </c>
      <c r="E1316" s="396">
        <f>'VALOR CUADRILLAS MO'!D75</f>
        <v>26134.297994712331</v>
      </c>
      <c r="F1316" s="396">
        <f t="shared" si="46"/>
        <v>522685.95989424665</v>
      </c>
      <c r="G1316" s="637"/>
    </row>
    <row r="1317" spans="1:7" s="638" customFormat="1" ht="12.6" customHeight="1">
      <c r="A1317" s="642"/>
      <c r="B1317" s="640"/>
      <c r="C1317" s="641"/>
      <c r="D1317" s="379"/>
      <c r="E1317" s="396"/>
      <c r="F1317" s="440"/>
      <c r="G1317" s="637"/>
    </row>
    <row r="1318" spans="1:7" s="638" customFormat="1" ht="153.6" customHeight="1">
      <c r="A1318" s="246">
        <f>A1310+1</f>
        <v>161</v>
      </c>
      <c r="B1318" s="83" t="s">
        <v>3166</v>
      </c>
      <c r="C1318" s="76" t="s">
        <v>26</v>
      </c>
      <c r="D1318" s="73"/>
      <c r="E1318" s="430"/>
      <c r="F1318" s="378" t="e">
        <f>ROUND(SUM(F1319:F1324),0)</f>
        <v>#REF!</v>
      </c>
      <c r="G1318" s="637" t="s">
        <v>3155</v>
      </c>
    </row>
    <row r="1319" spans="1:7" s="638" customFormat="1" ht="12.6" customHeight="1">
      <c r="A1319" s="639"/>
      <c r="B1319" s="640" t="s">
        <v>3170</v>
      </c>
      <c r="C1319" s="641" t="s">
        <v>26</v>
      </c>
      <c r="D1319" s="379">
        <v>1</v>
      </c>
      <c r="E1319" s="538" t="e">
        <f>INSUMOS!#REF!</f>
        <v>#REF!</v>
      </c>
      <c r="F1319" s="396" t="e">
        <f t="shared" ref="F1319:F1324" si="47">E1319*D1319</f>
        <v>#REF!</v>
      </c>
      <c r="G1319" s="637"/>
    </row>
    <row r="1320" spans="1:7" s="638" customFormat="1" ht="12.6" customHeight="1">
      <c r="A1320" s="642"/>
      <c r="B1320" s="640" t="s">
        <v>2887</v>
      </c>
      <c r="C1320" s="643" t="s">
        <v>121</v>
      </c>
      <c r="D1320" s="379">
        <v>0.8</v>
      </c>
      <c r="E1320" s="440">
        <f>BASICOS!E146</f>
        <v>392821</v>
      </c>
      <c r="F1320" s="396">
        <f t="shared" si="47"/>
        <v>314256.8</v>
      </c>
      <c r="G1320" s="637"/>
    </row>
    <row r="1321" spans="1:7" s="638" customFormat="1" ht="12.6" customHeight="1">
      <c r="A1321" s="642"/>
      <c r="B1321" s="640" t="s">
        <v>229</v>
      </c>
      <c r="C1321" s="641" t="s">
        <v>68</v>
      </c>
      <c r="D1321" s="379">
        <v>0.05</v>
      </c>
      <c r="E1321" s="396">
        <f>F1320</f>
        <v>314256.8</v>
      </c>
      <c r="F1321" s="396">
        <f t="shared" si="47"/>
        <v>15712.84</v>
      </c>
      <c r="G1321" s="637"/>
    </row>
    <row r="1322" spans="1:7" s="638" customFormat="1" ht="12.6" customHeight="1">
      <c r="A1322" s="642"/>
      <c r="B1322" s="640" t="s">
        <v>136</v>
      </c>
      <c r="C1322" s="641" t="s">
        <v>68</v>
      </c>
      <c r="D1322" s="379"/>
      <c r="E1322" s="396" t="e">
        <f>SUM(F1319:F1321)</f>
        <v>#REF!</v>
      </c>
      <c r="F1322" s="396" t="e">
        <f t="shared" si="47"/>
        <v>#REF!</v>
      </c>
      <c r="G1322" s="637"/>
    </row>
    <row r="1323" spans="1:7" s="638" customFormat="1" ht="12.6" customHeight="1">
      <c r="A1323" s="642"/>
      <c r="B1323" s="640" t="s">
        <v>11</v>
      </c>
      <c r="C1323" s="641" t="s">
        <v>284</v>
      </c>
      <c r="D1323" s="379">
        <v>0.03</v>
      </c>
      <c r="E1323" s="396">
        <f>F1324</f>
        <v>313611.57593654795</v>
      </c>
      <c r="F1323" s="396">
        <f t="shared" si="47"/>
        <v>9408.3472780964385</v>
      </c>
      <c r="G1323" s="637"/>
    </row>
    <row r="1324" spans="1:7" s="638" customFormat="1" ht="12.6" customHeight="1">
      <c r="A1324" s="642"/>
      <c r="B1324" s="640" t="s">
        <v>9</v>
      </c>
      <c r="C1324" s="641" t="s">
        <v>10</v>
      </c>
      <c r="D1324" s="379">
        <v>12</v>
      </c>
      <c r="E1324" s="396">
        <f>'VALOR CUADRILLAS MO'!D75</f>
        <v>26134.297994712331</v>
      </c>
      <c r="F1324" s="396">
        <f t="shared" si="47"/>
        <v>313611.57593654795</v>
      </c>
      <c r="G1324" s="637"/>
    </row>
    <row r="1325" spans="1:7" s="638" customFormat="1" ht="12.6" customHeight="1">
      <c r="A1325" s="646"/>
      <c r="B1325" s="645"/>
      <c r="C1325" s="581"/>
      <c r="D1325" s="581"/>
      <c r="E1325" s="581"/>
      <c r="F1325" s="581"/>
      <c r="G1325" s="637"/>
    </row>
    <row r="1326" spans="1:7" s="638" customFormat="1" ht="76.900000000000006" customHeight="1">
      <c r="A1326" s="246">
        <f>A1318+1</f>
        <v>162</v>
      </c>
      <c r="B1326" s="83" t="s">
        <v>3167</v>
      </c>
      <c r="C1326" s="76" t="s">
        <v>26</v>
      </c>
      <c r="D1326" s="73"/>
      <c r="E1326" s="430"/>
      <c r="F1326" s="378" t="e">
        <f>ROUND((SUM(F1327:F1330)),0)</f>
        <v>#REF!</v>
      </c>
      <c r="G1326" s="637" t="s">
        <v>3155</v>
      </c>
    </row>
    <row r="1327" spans="1:7" s="638" customFormat="1" ht="114.75">
      <c r="A1327" s="647"/>
      <c r="B1327" s="580" t="s">
        <v>3168</v>
      </c>
      <c r="C1327" s="581" t="s">
        <v>26</v>
      </c>
      <c r="D1327" s="379">
        <v>1</v>
      </c>
      <c r="E1327" s="171" t="e">
        <f>INSUMOS!#REF!</f>
        <v>#REF!</v>
      </c>
      <c r="F1327" s="648" t="e">
        <f>E1327*D1327</f>
        <v>#REF!</v>
      </c>
      <c r="G1327" s="637"/>
    </row>
    <row r="1328" spans="1:7" s="638" customFormat="1" ht="12.6" customHeight="1">
      <c r="A1328" s="646"/>
      <c r="B1328" s="640" t="s">
        <v>136</v>
      </c>
      <c r="C1328" s="641" t="s">
        <v>68</v>
      </c>
      <c r="D1328" s="379"/>
      <c r="E1328" s="396" t="e">
        <f>SUM(F1327)</f>
        <v>#REF!</v>
      </c>
      <c r="F1328" s="396" t="e">
        <f>E1328*D1328</f>
        <v>#REF!</v>
      </c>
      <c r="G1328" s="637"/>
    </row>
    <row r="1329" spans="1:18" s="638" customFormat="1" ht="12.6" customHeight="1">
      <c r="A1329" s="646"/>
      <c r="B1329" s="640" t="s">
        <v>11</v>
      </c>
      <c r="C1329" s="641" t="s">
        <v>284</v>
      </c>
      <c r="D1329" s="379">
        <v>0.03</v>
      </c>
      <c r="E1329" s="396">
        <f>F1330</f>
        <v>313611.57593654795</v>
      </c>
      <c r="F1329" s="396">
        <f>E1329*D1329</f>
        <v>9408.3472780964385</v>
      </c>
      <c r="G1329" s="637"/>
    </row>
    <row r="1330" spans="1:18" s="638" customFormat="1" ht="12.6" customHeight="1">
      <c r="A1330" s="646"/>
      <c r="B1330" s="640" t="s">
        <v>76</v>
      </c>
      <c r="C1330" s="641" t="s">
        <v>284</v>
      </c>
      <c r="D1330" s="379">
        <v>10</v>
      </c>
      <c r="E1330" s="396">
        <f>'VALOR CUADRILLAS MO'!D113</f>
        <v>31361.157593654796</v>
      </c>
      <c r="F1330" s="396">
        <f>E1330*D1330</f>
        <v>313611.57593654795</v>
      </c>
      <c r="G1330" s="637"/>
    </row>
    <row r="1331" spans="1:18">
      <c r="A1331" s="529"/>
      <c r="B1331" s="165"/>
      <c r="C1331" s="270"/>
      <c r="D1331" s="272"/>
      <c r="E1331" s="266"/>
      <c r="F1331" s="266"/>
      <c r="P1331" s="3"/>
      <c r="Q1331" s="3"/>
      <c r="R1331" s="3"/>
    </row>
    <row r="1332" spans="1:18" ht="15.75" customHeight="1">
      <c r="A1332" s="246">
        <f>A1326+1</f>
        <v>163</v>
      </c>
      <c r="B1332" s="83" t="s">
        <v>2911</v>
      </c>
      <c r="C1332" s="76" t="s">
        <v>26</v>
      </c>
      <c r="D1332" s="73"/>
      <c r="E1332" s="430"/>
      <c r="F1332" s="378" t="e">
        <f>ROUND((SUM(F1333:L1339)),0)</f>
        <v>#REF!</v>
      </c>
      <c r="M1332" s="536"/>
      <c r="P1332" s="3"/>
      <c r="Q1332" s="3"/>
      <c r="R1332" s="3"/>
    </row>
    <row r="1333" spans="1:18" ht="101.45" customHeight="1">
      <c r="A1333" s="427"/>
      <c r="B1333" s="165" t="s">
        <v>2910</v>
      </c>
      <c r="C1333" s="77" t="s">
        <v>26</v>
      </c>
      <c r="D1333" s="379">
        <v>1</v>
      </c>
      <c r="E1333" s="538" t="e">
        <f>INSUMOS!#REF!</f>
        <v>#REF!</v>
      </c>
      <c r="F1333" s="396" t="e">
        <f>D1333*E1333</f>
        <v>#REF!</v>
      </c>
      <c r="M1333" s="537"/>
      <c r="O1333" s="539"/>
      <c r="P1333" s="3"/>
      <c r="Q1333" s="3"/>
      <c r="R1333" s="3"/>
    </row>
    <row r="1334" spans="1:18">
      <c r="A1334" s="529"/>
      <c r="B1334" s="165" t="s">
        <v>2887</v>
      </c>
      <c r="C1334" s="270" t="s">
        <v>121</v>
      </c>
      <c r="D1334" s="379">
        <v>0.1</v>
      </c>
      <c r="E1334" s="440">
        <f>BASICOS!E146</f>
        <v>392821</v>
      </c>
      <c r="F1334" s="440">
        <f>+D1334*E1334</f>
        <v>39282.1</v>
      </c>
      <c r="N1334" s="536"/>
      <c r="P1334" s="3"/>
      <c r="Q1334" s="3"/>
      <c r="R1334" s="3"/>
    </row>
    <row r="1335" spans="1:18">
      <c r="A1335" s="529"/>
      <c r="B1335" s="165" t="s">
        <v>229</v>
      </c>
      <c r="C1335" s="77" t="s">
        <v>68</v>
      </c>
      <c r="D1335" s="379">
        <v>0.05</v>
      </c>
      <c r="E1335" s="396">
        <f>F1334</f>
        <v>39282.1</v>
      </c>
      <c r="F1335" s="396">
        <f>+D1335*E1335</f>
        <v>1964.105</v>
      </c>
      <c r="P1335" s="3"/>
      <c r="Q1335" s="3"/>
      <c r="R1335" s="3"/>
    </row>
    <row r="1336" spans="1:18">
      <c r="A1336" s="529"/>
      <c r="B1336" s="165" t="s">
        <v>136</v>
      </c>
      <c r="C1336" s="77" t="s">
        <v>68</v>
      </c>
      <c r="D1336" s="379"/>
      <c r="E1336" s="396" t="e">
        <f>SUM(F1333:F1335)</f>
        <v>#REF!</v>
      </c>
      <c r="F1336" s="396" t="e">
        <f>+D1336*E1336</f>
        <v>#REF!</v>
      </c>
      <c r="P1336" s="3"/>
      <c r="Q1336" s="3"/>
      <c r="R1336" s="3"/>
    </row>
    <row r="1337" spans="1:18">
      <c r="A1337" s="529"/>
      <c r="B1337" s="165" t="s">
        <v>11</v>
      </c>
      <c r="C1337" s="77" t="s">
        <v>284</v>
      </c>
      <c r="D1337" s="379">
        <v>0.03</v>
      </c>
      <c r="E1337" s="396">
        <f>F1338</f>
        <v>26134.297994712331</v>
      </c>
      <c r="F1337" s="396">
        <f>(D1337*E1337)</f>
        <v>784.02893984136995</v>
      </c>
      <c r="P1337" s="3"/>
      <c r="Q1337" s="3"/>
      <c r="R1337" s="3"/>
    </row>
    <row r="1338" spans="1:18">
      <c r="A1338" s="529"/>
      <c r="B1338" s="165" t="s">
        <v>9</v>
      </c>
      <c r="C1338" s="77" t="s">
        <v>10</v>
      </c>
      <c r="D1338" s="379">
        <v>1</v>
      </c>
      <c r="E1338" s="396">
        <f>'VALOR CUADRILLAS MO'!D75</f>
        <v>26134.297994712331</v>
      </c>
      <c r="F1338" s="396">
        <f>+D1338*E1338</f>
        <v>26134.297994712331</v>
      </c>
      <c r="P1338" s="3"/>
      <c r="Q1338" s="3"/>
      <c r="R1338" s="3"/>
    </row>
    <row r="1339" spans="1:18">
      <c r="A1339" s="529"/>
      <c r="B1339" s="165"/>
      <c r="C1339" s="270"/>
      <c r="D1339" s="272"/>
      <c r="E1339" s="266"/>
      <c r="F1339" s="266"/>
      <c r="P1339" s="3"/>
      <c r="Q1339" s="3"/>
      <c r="R1339" s="3"/>
    </row>
    <row r="1340" spans="1:18" ht="55.5" customHeight="1">
      <c r="A1340" s="246">
        <f>A1332+1</f>
        <v>164</v>
      </c>
      <c r="B1340" s="83" t="s">
        <v>2912</v>
      </c>
      <c r="C1340" s="76" t="s">
        <v>26</v>
      </c>
      <c r="D1340" s="73"/>
      <c r="E1340" s="430"/>
      <c r="F1340" s="378" t="e">
        <f>ROUND((SUM(F1341:L1347)),0)</f>
        <v>#REF!</v>
      </c>
      <c r="M1340" s="536"/>
      <c r="P1340" s="3"/>
      <c r="Q1340" s="3"/>
      <c r="R1340" s="3"/>
    </row>
    <row r="1341" spans="1:18">
      <c r="A1341" s="427"/>
      <c r="B1341" s="165" t="s">
        <v>3125</v>
      </c>
      <c r="C1341" s="77" t="s">
        <v>26</v>
      </c>
      <c r="D1341" s="379">
        <v>1</v>
      </c>
      <c r="E1341" s="538" t="e">
        <f>INSUMOS!#REF!</f>
        <v>#REF!</v>
      </c>
      <c r="F1341" s="396" t="e">
        <f>D1341*E1341</f>
        <v>#REF!</v>
      </c>
      <c r="M1341" s="537"/>
      <c r="O1341" s="539"/>
      <c r="P1341" s="3"/>
      <c r="Q1341" s="3"/>
      <c r="R1341" s="3"/>
    </row>
    <row r="1342" spans="1:18">
      <c r="A1342" s="529"/>
      <c r="B1342" s="165" t="s">
        <v>2887</v>
      </c>
      <c r="C1342" s="270" t="s">
        <v>121</v>
      </c>
      <c r="D1342" s="379">
        <v>0.1</v>
      </c>
      <c r="E1342" s="440">
        <f>BASICOS!E146</f>
        <v>392821</v>
      </c>
      <c r="F1342" s="440">
        <f>+D1342*E1342</f>
        <v>39282.1</v>
      </c>
      <c r="N1342" s="536"/>
      <c r="P1342" s="3"/>
      <c r="Q1342" s="3"/>
      <c r="R1342" s="3"/>
    </row>
    <row r="1343" spans="1:18">
      <c r="A1343" s="529"/>
      <c r="B1343" s="165" t="s">
        <v>229</v>
      </c>
      <c r="C1343" s="77" t="s">
        <v>68</v>
      </c>
      <c r="D1343" s="379">
        <v>0.05</v>
      </c>
      <c r="E1343" s="396">
        <f>F1342</f>
        <v>39282.1</v>
      </c>
      <c r="F1343" s="396">
        <f>+D1343*E1343</f>
        <v>1964.105</v>
      </c>
      <c r="P1343" s="3"/>
      <c r="Q1343" s="3"/>
      <c r="R1343" s="3"/>
    </row>
    <row r="1344" spans="1:18">
      <c r="A1344" s="529"/>
      <c r="B1344" s="165" t="s">
        <v>136</v>
      </c>
      <c r="C1344" s="77" t="s">
        <v>68</v>
      </c>
      <c r="D1344" s="379"/>
      <c r="E1344" s="396" t="e">
        <f>SUM(F1341:F1343)</f>
        <v>#REF!</v>
      </c>
      <c r="F1344" s="396" t="e">
        <f>+D1344*E1344</f>
        <v>#REF!</v>
      </c>
      <c r="P1344" s="3"/>
      <c r="Q1344" s="3"/>
      <c r="R1344" s="3"/>
    </row>
    <row r="1345" spans="1:18">
      <c r="A1345" s="529"/>
      <c r="B1345" s="165" t="s">
        <v>11</v>
      </c>
      <c r="C1345" s="77" t="s">
        <v>284</v>
      </c>
      <c r="D1345" s="379">
        <v>0.03</v>
      </c>
      <c r="E1345" s="396">
        <f>F1346</f>
        <v>26134.297994712331</v>
      </c>
      <c r="F1345" s="396">
        <f>(D1345*E1345)</f>
        <v>784.02893984136995</v>
      </c>
      <c r="P1345" s="3"/>
      <c r="Q1345" s="3"/>
      <c r="R1345" s="3"/>
    </row>
    <row r="1346" spans="1:18">
      <c r="A1346" s="529"/>
      <c r="B1346" s="165" t="s">
        <v>9</v>
      </c>
      <c r="C1346" s="77" t="s">
        <v>10</v>
      </c>
      <c r="D1346" s="379">
        <v>1</v>
      </c>
      <c r="E1346" s="396">
        <f>'VALOR CUADRILLAS MO'!D75</f>
        <v>26134.297994712331</v>
      </c>
      <c r="F1346" s="396">
        <f>+D1346*E1346</f>
        <v>26134.297994712331</v>
      </c>
      <c r="P1346" s="3"/>
      <c r="Q1346" s="3"/>
      <c r="R1346" s="3"/>
    </row>
    <row r="1347" spans="1:18">
      <c r="A1347" s="529"/>
      <c r="B1347" s="165"/>
      <c r="C1347" s="270"/>
      <c r="D1347" s="272"/>
      <c r="E1347" s="266"/>
      <c r="F1347" s="266"/>
      <c r="P1347" s="3"/>
      <c r="Q1347" s="3"/>
      <c r="R1347" s="3"/>
    </row>
    <row r="1348" spans="1:18" ht="55.5" customHeight="1">
      <c r="A1348" s="246">
        <f>A1340+1</f>
        <v>165</v>
      </c>
      <c r="B1348" s="83" t="s">
        <v>2914</v>
      </c>
      <c r="C1348" s="76" t="s">
        <v>26</v>
      </c>
      <c r="D1348" s="73"/>
      <c r="E1348" s="430"/>
      <c r="F1348" s="378">
        <f>ROUND((SUM(F1349:L1355)),0)</f>
        <v>3703099</v>
      </c>
      <c r="M1348" s="536"/>
      <c r="P1348" s="3"/>
      <c r="Q1348" s="3"/>
      <c r="R1348" s="3"/>
    </row>
    <row r="1349" spans="1:18">
      <c r="A1349" s="427"/>
      <c r="B1349" s="165" t="s">
        <v>3126</v>
      </c>
      <c r="C1349" s="77" t="s">
        <v>26</v>
      </c>
      <c r="D1349" s="379">
        <v>1</v>
      </c>
      <c r="E1349" s="538">
        <v>3634934.9073640378</v>
      </c>
      <c r="F1349" s="396">
        <f>D1349*E1349</f>
        <v>3634934.9073640378</v>
      </c>
      <c r="M1349" s="537"/>
      <c r="O1349" s="539"/>
      <c r="P1349" s="3"/>
      <c r="Q1349" s="3"/>
      <c r="R1349" s="3"/>
    </row>
    <row r="1350" spans="1:18">
      <c r="A1350" s="529"/>
      <c r="B1350" s="165" t="s">
        <v>2887</v>
      </c>
      <c r="C1350" s="270" t="s">
        <v>121</v>
      </c>
      <c r="D1350" s="379">
        <v>0.1</v>
      </c>
      <c r="E1350" s="440">
        <f>BASICOS!E146</f>
        <v>392821</v>
      </c>
      <c r="F1350" s="440">
        <f>+D1350*E1350</f>
        <v>39282.1</v>
      </c>
      <c r="N1350" s="536"/>
      <c r="P1350" s="3"/>
      <c r="Q1350" s="3"/>
      <c r="R1350" s="3"/>
    </row>
    <row r="1351" spans="1:18">
      <c r="A1351" s="529"/>
      <c r="B1351" s="165" t="s">
        <v>229</v>
      </c>
      <c r="C1351" s="77" t="s">
        <v>68</v>
      </c>
      <c r="D1351" s="379">
        <v>0.05</v>
      </c>
      <c r="E1351" s="396">
        <f>F1350</f>
        <v>39282.1</v>
      </c>
      <c r="F1351" s="396">
        <f>+D1351*E1351</f>
        <v>1964.105</v>
      </c>
      <c r="P1351" s="3"/>
      <c r="Q1351" s="3"/>
      <c r="R1351" s="3"/>
    </row>
    <row r="1352" spans="1:18">
      <c r="A1352" s="529"/>
      <c r="B1352" s="165" t="s">
        <v>136</v>
      </c>
      <c r="C1352" s="77" t="s">
        <v>68</v>
      </c>
      <c r="D1352" s="379"/>
      <c r="E1352" s="396">
        <f>SUM(F1349:F1351)</f>
        <v>3676181.1123640379</v>
      </c>
      <c r="F1352" s="396">
        <f>+D1352*E1352</f>
        <v>0</v>
      </c>
      <c r="P1352" s="3"/>
      <c r="Q1352" s="3"/>
      <c r="R1352" s="3"/>
    </row>
    <row r="1353" spans="1:18">
      <c r="A1353" s="529"/>
      <c r="B1353" s="165" t="s">
        <v>11</v>
      </c>
      <c r="C1353" s="77" t="s">
        <v>284</v>
      </c>
      <c r="D1353" s="379">
        <v>0.03</v>
      </c>
      <c r="E1353" s="396">
        <f>F1354</f>
        <v>26134.297994712331</v>
      </c>
      <c r="F1353" s="396">
        <f>(D1353*E1353)</f>
        <v>784.02893984136995</v>
      </c>
      <c r="P1353" s="3"/>
      <c r="Q1353" s="3"/>
      <c r="R1353" s="3"/>
    </row>
    <row r="1354" spans="1:18">
      <c r="A1354" s="529"/>
      <c r="B1354" s="165" t="s">
        <v>9</v>
      </c>
      <c r="C1354" s="77" t="s">
        <v>10</v>
      </c>
      <c r="D1354" s="379">
        <v>1</v>
      </c>
      <c r="E1354" s="396">
        <f>'VALOR CUADRILLAS MO'!D75</f>
        <v>26134.297994712331</v>
      </c>
      <c r="F1354" s="396">
        <f>+D1354*E1354</f>
        <v>26134.297994712331</v>
      </c>
      <c r="P1354" s="3"/>
      <c r="Q1354" s="3"/>
      <c r="R1354" s="3"/>
    </row>
    <row r="1355" spans="1:18">
      <c r="A1355" s="529"/>
      <c r="B1355" s="165"/>
      <c r="C1355" s="270"/>
      <c r="D1355" s="272"/>
      <c r="E1355" s="266"/>
      <c r="F1355" s="266"/>
    </row>
    <row r="1356" spans="1:18" ht="55.5" customHeight="1">
      <c r="A1356" s="246">
        <f>A1348+1</f>
        <v>166</v>
      </c>
      <c r="B1356" s="83" t="s">
        <v>2913</v>
      </c>
      <c r="C1356" s="76" t="s">
        <v>26</v>
      </c>
      <c r="D1356" s="73"/>
      <c r="E1356" s="430"/>
      <c r="F1356" s="378" t="e">
        <f>ROUND((SUM(F1357:L1363)),0)</f>
        <v>#REF!</v>
      </c>
      <c r="M1356" s="536"/>
      <c r="P1356" s="3"/>
      <c r="Q1356" s="3"/>
      <c r="R1356" s="3"/>
    </row>
    <row r="1357" spans="1:18">
      <c r="A1357" s="427"/>
      <c r="B1357" s="165" t="s">
        <v>3127</v>
      </c>
      <c r="C1357" s="77" t="s">
        <v>26</v>
      </c>
      <c r="D1357" s="379">
        <v>1</v>
      </c>
      <c r="E1357" s="538" t="e">
        <f>INSUMOS!#REF!</f>
        <v>#REF!</v>
      </c>
      <c r="F1357" s="396" t="e">
        <f>D1357*E1357</f>
        <v>#REF!</v>
      </c>
      <c r="M1357" s="537"/>
      <c r="O1357" s="539"/>
      <c r="P1357" s="3"/>
      <c r="Q1357" s="3"/>
      <c r="R1357" s="3"/>
    </row>
    <row r="1358" spans="1:18">
      <c r="A1358" s="529"/>
      <c r="B1358" s="165" t="s">
        <v>2887</v>
      </c>
      <c r="C1358" s="270" t="s">
        <v>121</v>
      </c>
      <c r="D1358" s="379">
        <v>0.1</v>
      </c>
      <c r="E1358" s="440">
        <f>BASICOS!E146</f>
        <v>392821</v>
      </c>
      <c r="F1358" s="440">
        <f>+D1358*E1358</f>
        <v>39282.1</v>
      </c>
      <c r="N1358" s="536"/>
      <c r="P1358" s="3"/>
      <c r="Q1358" s="3"/>
      <c r="R1358" s="3"/>
    </row>
    <row r="1359" spans="1:18">
      <c r="A1359" s="529"/>
      <c r="B1359" s="165" t="s">
        <v>229</v>
      </c>
      <c r="C1359" s="77" t="s">
        <v>68</v>
      </c>
      <c r="D1359" s="379">
        <v>0.05</v>
      </c>
      <c r="E1359" s="396">
        <f>F1358</f>
        <v>39282.1</v>
      </c>
      <c r="F1359" s="396">
        <f>+D1359*E1359</f>
        <v>1964.105</v>
      </c>
      <c r="P1359" s="3"/>
      <c r="Q1359" s="3"/>
      <c r="R1359" s="3"/>
    </row>
    <row r="1360" spans="1:18">
      <c r="A1360" s="529"/>
      <c r="B1360" s="165" t="s">
        <v>136</v>
      </c>
      <c r="C1360" s="77" t="s">
        <v>68</v>
      </c>
      <c r="D1360" s="379"/>
      <c r="E1360" s="396" t="e">
        <f>SUM(F1357:F1359)</f>
        <v>#REF!</v>
      </c>
      <c r="F1360" s="396" t="e">
        <f>+D1360*E1360</f>
        <v>#REF!</v>
      </c>
      <c r="P1360" s="3"/>
      <c r="Q1360" s="3"/>
      <c r="R1360" s="3"/>
    </row>
    <row r="1361" spans="1:18">
      <c r="A1361" s="529"/>
      <c r="B1361" s="165" t="s">
        <v>11</v>
      </c>
      <c r="C1361" s="77" t="s">
        <v>284</v>
      </c>
      <c r="D1361" s="379">
        <v>0.03</v>
      </c>
      <c r="E1361" s="396">
        <f>F1362</f>
        <v>26134.297994712331</v>
      </c>
      <c r="F1361" s="396">
        <f>(D1361*E1361)</f>
        <v>784.02893984136995</v>
      </c>
      <c r="P1361" s="3"/>
      <c r="Q1361" s="3"/>
      <c r="R1361" s="3"/>
    </row>
    <row r="1362" spans="1:18">
      <c r="A1362" s="529"/>
      <c r="B1362" s="165" t="s">
        <v>9</v>
      </c>
      <c r="C1362" s="77" t="s">
        <v>10</v>
      </c>
      <c r="D1362" s="379">
        <v>1</v>
      </c>
      <c r="E1362" s="396">
        <f>'VALOR CUADRILLAS MO'!D75</f>
        <v>26134.297994712331</v>
      </c>
      <c r="F1362" s="396">
        <f>+D1362*E1362</f>
        <v>26134.297994712331</v>
      </c>
      <c r="P1362" s="3"/>
      <c r="Q1362" s="3"/>
      <c r="R1362" s="3"/>
    </row>
    <row r="1363" spans="1:18">
      <c r="A1363" s="529"/>
      <c r="B1363" s="165"/>
      <c r="C1363" s="270"/>
      <c r="D1363" s="272"/>
      <c r="E1363" s="266"/>
      <c r="F1363" s="266"/>
    </row>
    <row r="1364" spans="1:18" ht="55.5" customHeight="1">
      <c r="A1364" s="246">
        <f>A1356+1</f>
        <v>167</v>
      </c>
      <c r="B1364" s="83" t="s">
        <v>2915</v>
      </c>
      <c r="C1364" s="76" t="s">
        <v>26</v>
      </c>
      <c r="D1364" s="73"/>
      <c r="E1364" s="430"/>
      <c r="F1364" s="378" t="e">
        <f>ROUND((SUM(F1365:L1371)),0)</f>
        <v>#REF!</v>
      </c>
      <c r="M1364" s="536"/>
      <c r="P1364" s="3"/>
      <c r="Q1364" s="3"/>
      <c r="R1364" s="3"/>
    </row>
    <row r="1365" spans="1:18">
      <c r="A1365" s="427"/>
      <c r="B1365" s="165" t="s">
        <v>3128</v>
      </c>
      <c r="C1365" s="77" t="s">
        <v>26</v>
      </c>
      <c r="D1365" s="379">
        <v>1</v>
      </c>
      <c r="E1365" s="538" t="e">
        <f>INSUMOS!#REF!</f>
        <v>#REF!</v>
      </c>
      <c r="F1365" s="396" t="e">
        <f>D1365*E1365</f>
        <v>#REF!</v>
      </c>
      <c r="M1365" s="537"/>
      <c r="O1365" s="539"/>
      <c r="P1365" s="3"/>
      <c r="Q1365" s="3"/>
      <c r="R1365" s="3"/>
    </row>
    <row r="1366" spans="1:18">
      <c r="A1366" s="529"/>
      <c r="B1366" s="165" t="s">
        <v>2887</v>
      </c>
      <c r="C1366" s="270" t="s">
        <v>121</v>
      </c>
      <c r="D1366" s="379">
        <v>0.1</v>
      </c>
      <c r="E1366" s="440">
        <f>BASICOS!E146</f>
        <v>392821</v>
      </c>
      <c r="F1366" s="440">
        <f>+D1366*E1366</f>
        <v>39282.1</v>
      </c>
      <c r="N1366" s="536"/>
      <c r="P1366" s="3"/>
      <c r="Q1366" s="3"/>
      <c r="R1366" s="3"/>
    </row>
    <row r="1367" spans="1:18">
      <c r="A1367" s="529"/>
      <c r="B1367" s="165" t="s">
        <v>229</v>
      </c>
      <c r="C1367" s="77" t="s">
        <v>68</v>
      </c>
      <c r="D1367" s="379">
        <v>0.05</v>
      </c>
      <c r="E1367" s="396">
        <f>F1366</f>
        <v>39282.1</v>
      </c>
      <c r="F1367" s="396">
        <f>+D1367*E1367</f>
        <v>1964.105</v>
      </c>
      <c r="P1367" s="3"/>
      <c r="Q1367" s="3"/>
      <c r="R1367" s="3"/>
    </row>
    <row r="1368" spans="1:18">
      <c r="A1368" s="529"/>
      <c r="B1368" s="165" t="s">
        <v>136</v>
      </c>
      <c r="C1368" s="77" t="s">
        <v>68</v>
      </c>
      <c r="D1368" s="379"/>
      <c r="E1368" s="396" t="e">
        <f>SUM(F1365:F1367)</f>
        <v>#REF!</v>
      </c>
      <c r="F1368" s="396" t="e">
        <f>+D1368*E1368</f>
        <v>#REF!</v>
      </c>
      <c r="P1368" s="3"/>
      <c r="Q1368" s="3"/>
      <c r="R1368" s="3"/>
    </row>
    <row r="1369" spans="1:18">
      <c r="A1369" s="529"/>
      <c r="B1369" s="165" t="s">
        <v>11</v>
      </c>
      <c r="C1369" s="77" t="s">
        <v>284</v>
      </c>
      <c r="D1369" s="379">
        <v>0.03</v>
      </c>
      <c r="E1369" s="396">
        <f>F1370</f>
        <v>26134.297994712331</v>
      </c>
      <c r="F1369" s="396">
        <f>(D1369*E1369)</f>
        <v>784.02893984136995</v>
      </c>
      <c r="P1369" s="3"/>
      <c r="Q1369" s="3"/>
      <c r="R1369" s="3"/>
    </row>
    <row r="1370" spans="1:18">
      <c r="A1370" s="529"/>
      <c r="B1370" s="165" t="s">
        <v>9</v>
      </c>
      <c r="C1370" s="77" t="s">
        <v>10</v>
      </c>
      <c r="D1370" s="379">
        <v>1</v>
      </c>
      <c r="E1370" s="396">
        <f>'VALOR CUADRILLAS MO'!D75</f>
        <v>26134.297994712331</v>
      </c>
      <c r="F1370" s="396">
        <f>+D1370*E1370</f>
        <v>26134.297994712331</v>
      </c>
      <c r="P1370" s="3"/>
      <c r="Q1370" s="3"/>
      <c r="R1370" s="3"/>
    </row>
    <row r="1371" spans="1:18">
      <c r="A1371" s="529"/>
      <c r="B1371" s="165"/>
      <c r="C1371" s="270"/>
      <c r="D1371" s="272"/>
      <c r="E1371" s="266"/>
      <c r="F1371" s="266"/>
    </row>
    <row r="1372" spans="1:18" ht="55.5" customHeight="1">
      <c r="A1372" s="246">
        <f>A1364+1</f>
        <v>168</v>
      </c>
      <c r="B1372" s="83" t="s">
        <v>2916</v>
      </c>
      <c r="C1372" s="76" t="s">
        <v>26</v>
      </c>
      <c r="D1372" s="73"/>
      <c r="E1372" s="430"/>
      <c r="F1372" s="378" t="e">
        <f>ROUND((SUM(F1373:L1379)),0)</f>
        <v>#REF!</v>
      </c>
      <c r="M1372" s="536"/>
      <c r="P1372" s="3"/>
      <c r="Q1372" s="3"/>
      <c r="R1372" s="3"/>
    </row>
    <row r="1373" spans="1:18">
      <c r="A1373" s="427"/>
      <c r="B1373" s="165" t="s">
        <v>2917</v>
      </c>
      <c r="C1373" s="77" t="s">
        <v>26</v>
      </c>
      <c r="D1373" s="379">
        <v>1</v>
      </c>
      <c r="E1373" s="538" t="e">
        <f>INSUMOS!#REF!</f>
        <v>#REF!</v>
      </c>
      <c r="F1373" s="396" t="e">
        <f>D1373*E1373</f>
        <v>#REF!</v>
      </c>
      <c r="M1373" s="537"/>
      <c r="O1373" s="539"/>
      <c r="P1373" s="3"/>
      <c r="Q1373" s="3"/>
      <c r="R1373" s="3"/>
    </row>
    <row r="1374" spans="1:18">
      <c r="A1374" s="529"/>
      <c r="B1374" s="165" t="s">
        <v>2887</v>
      </c>
      <c r="C1374" s="270" t="s">
        <v>121</v>
      </c>
      <c r="D1374" s="379">
        <v>0.1</v>
      </c>
      <c r="E1374" s="440">
        <f>BASICOS!E146</f>
        <v>392821</v>
      </c>
      <c r="F1374" s="440">
        <f>+D1374*E1374</f>
        <v>39282.1</v>
      </c>
      <c r="N1374" s="536"/>
      <c r="P1374" s="3"/>
      <c r="Q1374" s="3"/>
      <c r="R1374" s="3"/>
    </row>
    <row r="1375" spans="1:18">
      <c r="A1375" s="529"/>
      <c r="B1375" s="165" t="s">
        <v>229</v>
      </c>
      <c r="C1375" s="77" t="s">
        <v>68</v>
      </c>
      <c r="D1375" s="379">
        <v>0.05</v>
      </c>
      <c r="E1375" s="396">
        <f>F1374</f>
        <v>39282.1</v>
      </c>
      <c r="F1375" s="396">
        <f>+D1375*E1375</f>
        <v>1964.105</v>
      </c>
      <c r="P1375" s="3"/>
      <c r="Q1375" s="3"/>
      <c r="R1375" s="3"/>
    </row>
    <row r="1376" spans="1:18">
      <c r="A1376" s="529"/>
      <c r="B1376" s="165" t="s">
        <v>136</v>
      </c>
      <c r="C1376" s="77" t="s">
        <v>68</v>
      </c>
      <c r="D1376" s="379"/>
      <c r="E1376" s="396" t="e">
        <f>SUM(F1373:F1375)</f>
        <v>#REF!</v>
      </c>
      <c r="F1376" s="396" t="e">
        <f>+D1376*E1376</f>
        <v>#REF!</v>
      </c>
      <c r="P1376" s="3"/>
      <c r="Q1376" s="3"/>
      <c r="R1376" s="3"/>
    </row>
    <row r="1377" spans="1:18">
      <c r="A1377" s="529"/>
      <c r="B1377" s="165" t="s">
        <v>11</v>
      </c>
      <c r="C1377" s="77" t="s">
        <v>284</v>
      </c>
      <c r="D1377" s="379">
        <v>0.03</v>
      </c>
      <c r="E1377" s="396">
        <f>F1378</f>
        <v>26134.297994712331</v>
      </c>
      <c r="F1377" s="396">
        <f>(D1377*E1377)</f>
        <v>784.02893984136995</v>
      </c>
      <c r="P1377" s="3"/>
      <c r="Q1377" s="3"/>
      <c r="R1377" s="3"/>
    </row>
    <row r="1378" spans="1:18">
      <c r="A1378" s="529"/>
      <c r="B1378" s="165" t="s">
        <v>9</v>
      </c>
      <c r="C1378" s="77" t="s">
        <v>10</v>
      </c>
      <c r="D1378" s="379">
        <v>1</v>
      </c>
      <c r="E1378" s="396">
        <f>'VALOR CUADRILLAS MO'!D75</f>
        <v>26134.297994712331</v>
      </c>
      <c r="F1378" s="396">
        <f>+D1378*E1378</f>
        <v>26134.297994712331</v>
      </c>
      <c r="P1378" s="3"/>
      <c r="Q1378" s="3"/>
      <c r="R1378" s="3"/>
    </row>
    <row r="1379" spans="1:18">
      <c r="A1379" s="529"/>
      <c r="B1379" s="165"/>
      <c r="C1379" s="270"/>
      <c r="D1379" s="272"/>
      <c r="E1379" s="266"/>
      <c r="F1379" s="266"/>
    </row>
    <row r="1380" spans="1:18" ht="55.5" customHeight="1">
      <c r="A1380" s="246">
        <f>A1372+1</f>
        <v>169</v>
      </c>
      <c r="B1380" s="83" t="s">
        <v>2918</v>
      </c>
      <c r="C1380" s="76" t="s">
        <v>26</v>
      </c>
      <c r="D1380" s="73"/>
      <c r="E1380" s="430"/>
      <c r="F1380" s="378" t="e">
        <f>ROUND((SUM(F1381:L1387)),0)</f>
        <v>#REF!</v>
      </c>
      <c r="M1380" s="536"/>
      <c r="P1380" s="3"/>
      <c r="Q1380" s="3"/>
      <c r="R1380" s="3"/>
    </row>
    <row r="1381" spans="1:18">
      <c r="A1381" s="427"/>
      <c r="B1381" s="165" t="s">
        <v>2919</v>
      </c>
      <c r="C1381" s="77" t="s">
        <v>26</v>
      </c>
      <c r="D1381" s="379">
        <v>1</v>
      </c>
      <c r="E1381" s="538" t="e">
        <f>INSUMOS!#REF!</f>
        <v>#REF!</v>
      </c>
      <c r="F1381" s="396" t="e">
        <f>D1381*E1381</f>
        <v>#REF!</v>
      </c>
      <c r="M1381" s="537"/>
      <c r="O1381" s="539"/>
      <c r="P1381" s="3"/>
      <c r="Q1381" s="3"/>
      <c r="R1381" s="3"/>
    </row>
    <row r="1382" spans="1:18">
      <c r="A1382" s="529"/>
      <c r="B1382" s="165" t="s">
        <v>2887</v>
      </c>
      <c r="C1382" s="270" t="s">
        <v>121</v>
      </c>
      <c r="D1382" s="379">
        <v>0.2</v>
      </c>
      <c r="E1382" s="440">
        <f>BASICOS!E146</f>
        <v>392821</v>
      </c>
      <c r="F1382" s="440">
        <f>+D1382*E1382</f>
        <v>78564.2</v>
      </c>
      <c r="N1382" s="536"/>
      <c r="P1382" s="3"/>
      <c r="Q1382" s="3"/>
      <c r="R1382" s="3"/>
    </row>
    <row r="1383" spans="1:18">
      <c r="A1383" s="529"/>
      <c r="B1383" s="165" t="s">
        <v>229</v>
      </c>
      <c r="C1383" s="77" t="s">
        <v>68</v>
      </c>
      <c r="D1383" s="379">
        <v>0.05</v>
      </c>
      <c r="E1383" s="396">
        <f>F1382</f>
        <v>78564.2</v>
      </c>
      <c r="F1383" s="396">
        <f>+D1383*E1383</f>
        <v>3928.21</v>
      </c>
      <c r="P1383" s="3"/>
      <c r="Q1383" s="3"/>
      <c r="R1383" s="3"/>
    </row>
    <row r="1384" spans="1:18">
      <c r="A1384" s="529"/>
      <c r="B1384" s="165" t="s">
        <v>136</v>
      </c>
      <c r="C1384" s="77" t="s">
        <v>68</v>
      </c>
      <c r="D1384" s="379"/>
      <c r="E1384" s="396" t="e">
        <f>SUM(F1381:F1383)</f>
        <v>#REF!</v>
      </c>
      <c r="F1384" s="396" t="e">
        <f>+D1384*E1384</f>
        <v>#REF!</v>
      </c>
      <c r="P1384" s="3"/>
      <c r="Q1384" s="3"/>
      <c r="R1384" s="3"/>
    </row>
    <row r="1385" spans="1:18">
      <c r="A1385" s="529"/>
      <c r="B1385" s="165" t="s">
        <v>11</v>
      </c>
      <c r="C1385" s="77" t="s">
        <v>284</v>
      </c>
      <c r="D1385" s="379">
        <v>0.03</v>
      </c>
      <c r="E1385" s="396">
        <f>F1386</f>
        <v>52268.595989424663</v>
      </c>
      <c r="F1385" s="396">
        <f>(D1385*E1385)</f>
        <v>1568.0578796827399</v>
      </c>
      <c r="P1385" s="3"/>
      <c r="Q1385" s="3"/>
      <c r="R1385" s="3"/>
    </row>
    <row r="1386" spans="1:18">
      <c r="A1386" s="529"/>
      <c r="B1386" s="165" t="s">
        <v>9</v>
      </c>
      <c r="C1386" s="77" t="s">
        <v>10</v>
      </c>
      <c r="D1386" s="379">
        <v>2</v>
      </c>
      <c r="E1386" s="396">
        <f>'VALOR CUADRILLAS MO'!D75</f>
        <v>26134.297994712331</v>
      </c>
      <c r="F1386" s="396">
        <f>+D1386*E1386</f>
        <v>52268.595989424663</v>
      </c>
      <c r="P1386" s="3"/>
      <c r="Q1386" s="3"/>
      <c r="R1386" s="3"/>
    </row>
    <row r="1387" spans="1:18">
      <c r="A1387" s="529"/>
      <c r="B1387" s="165"/>
      <c r="C1387" s="270"/>
      <c r="D1387" s="272"/>
      <c r="E1387" s="266"/>
      <c r="F1387" s="266"/>
    </row>
    <row r="1388" spans="1:18" ht="55.5" customHeight="1">
      <c r="A1388" s="246">
        <f>A1380+1</f>
        <v>170</v>
      </c>
      <c r="B1388" s="83" t="s">
        <v>2920</v>
      </c>
      <c r="C1388" s="76" t="s">
        <v>26</v>
      </c>
      <c r="D1388" s="73"/>
      <c r="E1388" s="430"/>
      <c r="F1388" s="378" t="e">
        <f>ROUND((SUM(F1389:L1395)),0)</f>
        <v>#REF!</v>
      </c>
      <c r="M1388" s="536"/>
      <c r="P1388" s="3"/>
      <c r="Q1388" s="3"/>
      <c r="R1388" s="3"/>
    </row>
    <row r="1389" spans="1:18">
      <c r="A1389" s="427"/>
      <c r="B1389" s="165" t="s">
        <v>2921</v>
      </c>
      <c r="C1389" s="77" t="s">
        <v>26</v>
      </c>
      <c r="D1389" s="379">
        <v>1</v>
      </c>
      <c r="E1389" s="538" t="e">
        <f>INSUMOS!#REF!</f>
        <v>#REF!</v>
      </c>
      <c r="F1389" s="396" t="e">
        <f>D1389*E1389</f>
        <v>#REF!</v>
      </c>
      <c r="M1389" s="537"/>
      <c r="O1389" s="539"/>
      <c r="P1389" s="3"/>
      <c r="Q1389" s="3"/>
      <c r="R1389" s="3"/>
    </row>
    <row r="1390" spans="1:18">
      <c r="A1390" s="529"/>
      <c r="B1390" s="165" t="s">
        <v>2887</v>
      </c>
      <c r="C1390" s="270" t="s">
        <v>121</v>
      </c>
      <c r="D1390" s="379">
        <v>0.1</v>
      </c>
      <c r="E1390" s="440">
        <f>BASICOS!E146</f>
        <v>392821</v>
      </c>
      <c r="F1390" s="440">
        <f>+D1390*E1390</f>
        <v>39282.1</v>
      </c>
      <c r="N1390" s="536"/>
      <c r="P1390" s="3"/>
      <c r="Q1390" s="3"/>
      <c r="R1390" s="3"/>
    </row>
    <row r="1391" spans="1:18">
      <c r="A1391" s="529"/>
      <c r="B1391" s="165" t="s">
        <v>229</v>
      </c>
      <c r="C1391" s="77" t="s">
        <v>68</v>
      </c>
      <c r="D1391" s="379">
        <v>0.05</v>
      </c>
      <c r="E1391" s="396">
        <f>F1390</f>
        <v>39282.1</v>
      </c>
      <c r="F1391" s="396">
        <f>+D1391*E1391</f>
        <v>1964.105</v>
      </c>
      <c r="P1391" s="3"/>
      <c r="Q1391" s="3"/>
      <c r="R1391" s="3"/>
    </row>
    <row r="1392" spans="1:18">
      <c r="A1392" s="529"/>
      <c r="B1392" s="165" t="s">
        <v>136</v>
      </c>
      <c r="C1392" s="77" t="s">
        <v>68</v>
      </c>
      <c r="D1392" s="379"/>
      <c r="E1392" s="396" t="e">
        <f>SUM(F1389:F1391)</f>
        <v>#REF!</v>
      </c>
      <c r="F1392" s="396" t="e">
        <f>+D1392*E1392</f>
        <v>#REF!</v>
      </c>
      <c r="P1392" s="3"/>
      <c r="Q1392" s="3"/>
      <c r="R1392" s="3"/>
    </row>
    <row r="1393" spans="1:18">
      <c r="A1393" s="529"/>
      <c r="B1393" s="165" t="s">
        <v>11</v>
      </c>
      <c r="C1393" s="77" t="s">
        <v>284</v>
      </c>
      <c r="D1393" s="379">
        <v>0.03</v>
      </c>
      <c r="E1393" s="396">
        <f>F1394</f>
        <v>26134.297994712331</v>
      </c>
      <c r="F1393" s="396">
        <f>(D1393*E1393)</f>
        <v>784.02893984136995</v>
      </c>
      <c r="P1393" s="3"/>
      <c r="Q1393" s="3"/>
      <c r="R1393" s="3"/>
    </row>
    <row r="1394" spans="1:18">
      <c r="A1394" s="529"/>
      <c r="B1394" s="165" t="s">
        <v>9</v>
      </c>
      <c r="C1394" s="77" t="s">
        <v>10</v>
      </c>
      <c r="D1394" s="379">
        <v>1</v>
      </c>
      <c r="E1394" s="396">
        <f>'VALOR CUADRILLAS MO'!D75</f>
        <v>26134.297994712331</v>
      </c>
      <c r="F1394" s="396">
        <f>+D1394*E1394</f>
        <v>26134.297994712331</v>
      </c>
      <c r="P1394" s="3"/>
      <c r="Q1394" s="3"/>
      <c r="R1394" s="3"/>
    </row>
    <row r="1395" spans="1:18">
      <c r="A1395" s="529"/>
      <c r="B1395" s="165"/>
      <c r="C1395" s="270"/>
      <c r="D1395" s="272"/>
      <c r="E1395" s="266"/>
      <c r="F1395" s="266"/>
    </row>
    <row r="1396" spans="1:18" ht="55.5" customHeight="1">
      <c r="A1396" s="246">
        <f>A1388+1</f>
        <v>171</v>
      </c>
      <c r="B1396" s="83" t="s">
        <v>2922</v>
      </c>
      <c r="C1396" s="76" t="s">
        <v>26</v>
      </c>
      <c r="D1396" s="73"/>
      <c r="E1396" s="430"/>
      <c r="F1396" s="378" t="e">
        <f>ROUND((SUM(F1397:L1403)),0)</f>
        <v>#REF!</v>
      </c>
      <c r="M1396" s="536"/>
      <c r="P1396" s="3"/>
      <c r="Q1396" s="3"/>
      <c r="R1396" s="3"/>
    </row>
    <row r="1397" spans="1:18">
      <c r="A1397" s="427"/>
      <c r="B1397" s="165" t="s">
        <v>2923</v>
      </c>
      <c r="C1397" s="77" t="s">
        <v>26</v>
      </c>
      <c r="D1397" s="379">
        <v>1</v>
      </c>
      <c r="E1397" s="538" t="e">
        <f>INSUMOS!#REF!</f>
        <v>#REF!</v>
      </c>
      <c r="F1397" s="396" t="e">
        <f>D1397*E1397</f>
        <v>#REF!</v>
      </c>
      <c r="M1397" s="537"/>
      <c r="O1397" s="539"/>
      <c r="P1397" s="3"/>
      <c r="Q1397" s="3"/>
      <c r="R1397" s="3"/>
    </row>
    <row r="1398" spans="1:18">
      <c r="A1398" s="529"/>
      <c r="B1398" s="165" t="s">
        <v>2887</v>
      </c>
      <c r="C1398" s="270" t="s">
        <v>121</v>
      </c>
      <c r="D1398" s="379">
        <v>0.1</v>
      </c>
      <c r="E1398" s="440">
        <f>BASICOS!E146</f>
        <v>392821</v>
      </c>
      <c r="F1398" s="440">
        <f>+D1398*E1398</f>
        <v>39282.1</v>
      </c>
      <c r="N1398" s="536"/>
      <c r="P1398" s="3"/>
      <c r="Q1398" s="3"/>
      <c r="R1398" s="3"/>
    </row>
    <row r="1399" spans="1:18">
      <c r="A1399" s="529"/>
      <c r="B1399" s="165" t="s">
        <v>229</v>
      </c>
      <c r="C1399" s="77" t="s">
        <v>68</v>
      </c>
      <c r="D1399" s="379">
        <v>0.05</v>
      </c>
      <c r="E1399" s="396">
        <f>F1398</f>
        <v>39282.1</v>
      </c>
      <c r="F1399" s="396">
        <f>+D1399*E1399</f>
        <v>1964.105</v>
      </c>
      <c r="P1399" s="3"/>
      <c r="Q1399" s="3"/>
      <c r="R1399" s="3"/>
    </row>
    <row r="1400" spans="1:18">
      <c r="A1400" s="529"/>
      <c r="B1400" s="165" t="s">
        <v>136</v>
      </c>
      <c r="C1400" s="77" t="s">
        <v>68</v>
      </c>
      <c r="D1400" s="379"/>
      <c r="E1400" s="396" t="e">
        <f>SUM(F1397:F1399)</f>
        <v>#REF!</v>
      </c>
      <c r="F1400" s="396" t="e">
        <f>+D1400*E1400</f>
        <v>#REF!</v>
      </c>
      <c r="P1400" s="3"/>
      <c r="Q1400" s="3"/>
      <c r="R1400" s="3"/>
    </row>
    <row r="1401" spans="1:18">
      <c r="A1401" s="529"/>
      <c r="B1401" s="165" t="s">
        <v>11</v>
      </c>
      <c r="C1401" s="77" t="s">
        <v>284</v>
      </c>
      <c r="D1401" s="379">
        <v>0.03</v>
      </c>
      <c r="E1401" s="396">
        <f>F1402</f>
        <v>26134.297994712331</v>
      </c>
      <c r="F1401" s="396">
        <f>(D1401*E1401)</f>
        <v>784.02893984136995</v>
      </c>
      <c r="P1401" s="3"/>
      <c r="Q1401" s="3"/>
      <c r="R1401" s="3"/>
    </row>
    <row r="1402" spans="1:18">
      <c r="A1402" s="529"/>
      <c r="B1402" s="165" t="s">
        <v>9</v>
      </c>
      <c r="C1402" s="77" t="s">
        <v>10</v>
      </c>
      <c r="D1402" s="379">
        <v>1</v>
      </c>
      <c r="E1402" s="396">
        <f>'VALOR CUADRILLAS MO'!D75</f>
        <v>26134.297994712331</v>
      </c>
      <c r="F1402" s="396">
        <f>+D1402*E1402</f>
        <v>26134.297994712331</v>
      </c>
      <c r="P1402" s="3"/>
      <c r="Q1402" s="3"/>
      <c r="R1402" s="3"/>
    </row>
    <row r="1403" spans="1:18">
      <c r="A1403" s="529"/>
      <c r="B1403" s="165"/>
      <c r="C1403" s="270"/>
      <c r="D1403" s="272"/>
      <c r="E1403" s="266"/>
      <c r="F1403" s="266"/>
    </row>
    <row r="1404" spans="1:18" ht="55.5" customHeight="1">
      <c r="A1404" s="246">
        <f>A1396+1</f>
        <v>172</v>
      </c>
      <c r="B1404" s="83" t="s">
        <v>2924</v>
      </c>
      <c r="C1404" s="76" t="s">
        <v>26</v>
      </c>
      <c r="D1404" s="73"/>
      <c r="E1404" s="430"/>
      <c r="F1404" s="378" t="e">
        <f>ROUND((SUM(F1405:L1411)),0)</f>
        <v>#REF!</v>
      </c>
      <c r="M1404" s="536"/>
      <c r="P1404" s="3"/>
      <c r="Q1404" s="3"/>
      <c r="R1404" s="3"/>
    </row>
    <row r="1405" spans="1:18">
      <c r="A1405" s="427"/>
      <c r="B1405" s="165" t="s">
        <v>2925</v>
      </c>
      <c r="C1405" s="77" t="s">
        <v>26</v>
      </c>
      <c r="D1405" s="379">
        <v>1</v>
      </c>
      <c r="E1405" s="538" t="e">
        <f>INSUMOS!#REF!</f>
        <v>#REF!</v>
      </c>
      <c r="F1405" s="396" t="e">
        <f>D1405*E1405</f>
        <v>#REF!</v>
      </c>
      <c r="M1405" s="537"/>
      <c r="O1405" s="539"/>
      <c r="P1405" s="3"/>
      <c r="Q1405" s="3"/>
      <c r="R1405" s="3"/>
    </row>
    <row r="1406" spans="1:18">
      <c r="A1406" s="529"/>
      <c r="B1406" s="165" t="s">
        <v>2887</v>
      </c>
      <c r="C1406" s="270" t="s">
        <v>121</v>
      </c>
      <c r="D1406" s="379">
        <v>0.1</v>
      </c>
      <c r="E1406" s="440">
        <f>BASICOS!E146</f>
        <v>392821</v>
      </c>
      <c r="F1406" s="440">
        <f>+D1406*E1406</f>
        <v>39282.1</v>
      </c>
      <c r="N1406" s="536"/>
      <c r="P1406" s="3"/>
      <c r="Q1406" s="3"/>
      <c r="R1406" s="3"/>
    </row>
    <row r="1407" spans="1:18">
      <c r="A1407" s="529"/>
      <c r="B1407" s="165" t="s">
        <v>229</v>
      </c>
      <c r="C1407" s="77" t="s">
        <v>68</v>
      </c>
      <c r="D1407" s="379">
        <v>0.05</v>
      </c>
      <c r="E1407" s="396">
        <f>F1406</f>
        <v>39282.1</v>
      </c>
      <c r="F1407" s="396">
        <f>+D1407*E1407</f>
        <v>1964.105</v>
      </c>
      <c r="P1407" s="3"/>
      <c r="Q1407" s="3"/>
      <c r="R1407" s="3"/>
    </row>
    <row r="1408" spans="1:18">
      <c r="A1408" s="529"/>
      <c r="B1408" s="165" t="s">
        <v>136</v>
      </c>
      <c r="C1408" s="77" t="s">
        <v>68</v>
      </c>
      <c r="D1408" s="379"/>
      <c r="E1408" s="396" t="e">
        <f>SUM(F1405:F1407)</f>
        <v>#REF!</v>
      </c>
      <c r="F1408" s="396" t="e">
        <f>+D1408*E1408</f>
        <v>#REF!</v>
      </c>
      <c r="P1408" s="3"/>
      <c r="Q1408" s="3"/>
      <c r="R1408" s="3"/>
    </row>
    <row r="1409" spans="1:18">
      <c r="A1409" s="529"/>
      <c r="B1409" s="165" t="s">
        <v>11</v>
      </c>
      <c r="C1409" s="77" t="s">
        <v>284</v>
      </c>
      <c r="D1409" s="379">
        <v>0.03</v>
      </c>
      <c r="E1409" s="396">
        <f>F1410</f>
        <v>26134.297994712331</v>
      </c>
      <c r="F1409" s="396">
        <f>(D1409*E1409)</f>
        <v>784.02893984136995</v>
      </c>
      <c r="P1409" s="3"/>
      <c r="Q1409" s="3"/>
      <c r="R1409" s="3"/>
    </row>
    <row r="1410" spans="1:18">
      <c r="A1410" s="529"/>
      <c r="B1410" s="165" t="s">
        <v>9</v>
      </c>
      <c r="C1410" s="77" t="s">
        <v>10</v>
      </c>
      <c r="D1410" s="379">
        <v>1</v>
      </c>
      <c r="E1410" s="396">
        <f>'VALOR CUADRILLAS MO'!D75</f>
        <v>26134.297994712331</v>
      </c>
      <c r="F1410" s="396">
        <f>+D1410*E1410</f>
        <v>26134.297994712331</v>
      </c>
      <c r="P1410" s="3"/>
      <c r="Q1410" s="3"/>
      <c r="R1410" s="3"/>
    </row>
    <row r="1411" spans="1:18">
      <c r="A1411" s="529"/>
      <c r="B1411" s="165"/>
      <c r="C1411" s="270"/>
      <c r="D1411" s="272"/>
      <c r="E1411" s="266"/>
      <c r="F1411" s="266"/>
    </row>
    <row r="1412" spans="1:18" ht="55.5" customHeight="1">
      <c r="A1412" s="246">
        <f>A1404+1</f>
        <v>173</v>
      </c>
      <c r="B1412" s="83" t="s">
        <v>2926</v>
      </c>
      <c r="C1412" s="76" t="s">
        <v>26</v>
      </c>
      <c r="D1412" s="73"/>
      <c r="E1412" s="430"/>
      <c r="F1412" s="378" t="e">
        <f>ROUND((SUM(F1413:L1419)),0)</f>
        <v>#REF!</v>
      </c>
      <c r="M1412" s="536"/>
      <c r="P1412" s="3"/>
      <c r="Q1412" s="3"/>
      <c r="R1412" s="3"/>
    </row>
    <row r="1413" spans="1:18">
      <c r="A1413" s="427"/>
      <c r="B1413" s="165" t="s">
        <v>2927</v>
      </c>
      <c r="C1413" s="77" t="s">
        <v>26</v>
      </c>
      <c r="D1413" s="379">
        <v>1</v>
      </c>
      <c r="E1413" s="538" t="e">
        <f>INSUMOS!#REF!</f>
        <v>#REF!</v>
      </c>
      <c r="F1413" s="396" t="e">
        <f>D1413*E1413</f>
        <v>#REF!</v>
      </c>
      <c r="M1413" s="537"/>
      <c r="O1413" s="539"/>
      <c r="P1413" s="3"/>
      <c r="Q1413" s="3"/>
      <c r="R1413" s="3"/>
    </row>
    <row r="1414" spans="1:18">
      <c r="A1414" s="529"/>
      <c r="B1414" s="165" t="s">
        <v>2887</v>
      </c>
      <c r="C1414" s="270" t="s">
        <v>121</v>
      </c>
      <c r="D1414" s="379">
        <v>0.1</v>
      </c>
      <c r="E1414" s="440">
        <f>BASICOS!E146</f>
        <v>392821</v>
      </c>
      <c r="F1414" s="440">
        <f>+D1414*E1414</f>
        <v>39282.1</v>
      </c>
      <c r="N1414" s="536"/>
      <c r="P1414" s="3"/>
      <c r="Q1414" s="3"/>
      <c r="R1414" s="3"/>
    </row>
    <row r="1415" spans="1:18">
      <c r="A1415" s="529"/>
      <c r="B1415" s="165" t="s">
        <v>229</v>
      </c>
      <c r="C1415" s="77" t="s">
        <v>68</v>
      </c>
      <c r="D1415" s="379">
        <v>0.05</v>
      </c>
      <c r="E1415" s="396">
        <f>F1414</f>
        <v>39282.1</v>
      </c>
      <c r="F1415" s="396">
        <f>+D1415*E1415</f>
        <v>1964.105</v>
      </c>
      <c r="P1415" s="3"/>
      <c r="Q1415" s="3"/>
      <c r="R1415" s="3"/>
    </row>
    <row r="1416" spans="1:18">
      <c r="A1416" s="529"/>
      <c r="B1416" s="165" t="s">
        <v>136</v>
      </c>
      <c r="C1416" s="77" t="s">
        <v>68</v>
      </c>
      <c r="D1416" s="379"/>
      <c r="E1416" s="396" t="e">
        <f>SUM(F1413:F1415)</f>
        <v>#REF!</v>
      </c>
      <c r="F1416" s="396" t="e">
        <f>+D1416*E1416</f>
        <v>#REF!</v>
      </c>
      <c r="P1416" s="3"/>
      <c r="Q1416" s="3"/>
      <c r="R1416" s="3"/>
    </row>
    <row r="1417" spans="1:18">
      <c r="A1417" s="529"/>
      <c r="B1417" s="165" t="s">
        <v>11</v>
      </c>
      <c r="C1417" s="77" t="s">
        <v>284</v>
      </c>
      <c r="D1417" s="379">
        <v>0.03</v>
      </c>
      <c r="E1417" s="396">
        <f>F1418</f>
        <v>26134.297994712331</v>
      </c>
      <c r="F1417" s="396">
        <f>(D1417*E1417)</f>
        <v>784.02893984136995</v>
      </c>
      <c r="P1417" s="3"/>
      <c r="Q1417" s="3"/>
      <c r="R1417" s="3"/>
    </row>
    <row r="1418" spans="1:18">
      <c r="A1418" s="529"/>
      <c r="B1418" s="165" t="s">
        <v>9</v>
      </c>
      <c r="C1418" s="77" t="s">
        <v>10</v>
      </c>
      <c r="D1418" s="379">
        <v>1</v>
      </c>
      <c r="E1418" s="396">
        <f>'VALOR CUADRILLAS MO'!D75</f>
        <v>26134.297994712331</v>
      </c>
      <c r="F1418" s="396">
        <f>+D1418*E1418</f>
        <v>26134.297994712331</v>
      </c>
      <c r="P1418" s="3"/>
      <c r="Q1418" s="3"/>
      <c r="R1418" s="3"/>
    </row>
    <row r="1419" spans="1:18">
      <c r="A1419" s="529"/>
      <c r="B1419" s="165"/>
      <c r="C1419" s="270"/>
      <c r="D1419" s="272"/>
      <c r="E1419" s="266"/>
      <c r="F1419" s="266"/>
    </row>
    <row r="1420" spans="1:18" ht="55.5" customHeight="1">
      <c r="A1420" s="246">
        <f>A1412+1</f>
        <v>174</v>
      </c>
      <c r="B1420" s="83" t="s">
        <v>2928</v>
      </c>
      <c r="C1420" s="76" t="s">
        <v>26</v>
      </c>
      <c r="D1420" s="73"/>
      <c r="E1420" s="430"/>
      <c r="F1420" s="378" t="e">
        <f>ROUND((SUM(F1421:L1427)),0)</f>
        <v>#REF!</v>
      </c>
      <c r="M1420" s="536"/>
      <c r="P1420" s="3"/>
      <c r="Q1420" s="3"/>
      <c r="R1420" s="3"/>
    </row>
    <row r="1421" spans="1:18">
      <c r="A1421" s="427"/>
      <c r="B1421" s="165" t="s">
        <v>2929</v>
      </c>
      <c r="C1421" s="77" t="s">
        <v>26</v>
      </c>
      <c r="D1421" s="379">
        <v>1</v>
      </c>
      <c r="E1421" s="538" t="e">
        <f>INSUMOS!#REF!</f>
        <v>#REF!</v>
      </c>
      <c r="F1421" s="396" t="e">
        <f>D1421*E1421</f>
        <v>#REF!</v>
      </c>
      <c r="M1421" s="537"/>
      <c r="O1421" s="539"/>
      <c r="P1421" s="3"/>
      <c r="Q1421" s="3"/>
      <c r="R1421" s="3"/>
    </row>
    <row r="1422" spans="1:18">
      <c r="A1422" s="529"/>
      <c r="B1422" s="165" t="s">
        <v>2887</v>
      </c>
      <c r="C1422" s="270" t="s">
        <v>121</v>
      </c>
      <c r="D1422" s="379">
        <v>0.1</v>
      </c>
      <c r="E1422" s="440">
        <f>BASICOS!E146</f>
        <v>392821</v>
      </c>
      <c r="F1422" s="440">
        <f>+D1422*E1422</f>
        <v>39282.1</v>
      </c>
      <c r="N1422" s="536"/>
      <c r="P1422" s="3"/>
      <c r="Q1422" s="3"/>
      <c r="R1422" s="3"/>
    </row>
    <row r="1423" spans="1:18">
      <c r="A1423" s="529"/>
      <c r="B1423" s="165" t="s">
        <v>229</v>
      </c>
      <c r="C1423" s="77" t="s">
        <v>68</v>
      </c>
      <c r="D1423" s="379">
        <v>0.05</v>
      </c>
      <c r="E1423" s="396">
        <f>F1422</f>
        <v>39282.1</v>
      </c>
      <c r="F1423" s="396">
        <f>+D1423*E1423</f>
        <v>1964.105</v>
      </c>
      <c r="P1423" s="3"/>
      <c r="Q1423" s="3"/>
      <c r="R1423" s="3"/>
    </row>
    <row r="1424" spans="1:18">
      <c r="A1424" s="529"/>
      <c r="B1424" s="165" t="s">
        <v>136</v>
      </c>
      <c r="C1424" s="77" t="s">
        <v>68</v>
      </c>
      <c r="D1424" s="379"/>
      <c r="E1424" s="396" t="e">
        <f>SUM(F1421:F1423)</f>
        <v>#REF!</v>
      </c>
      <c r="F1424" s="396" t="e">
        <f>+D1424*E1424</f>
        <v>#REF!</v>
      </c>
      <c r="P1424" s="3"/>
      <c r="Q1424" s="3"/>
      <c r="R1424" s="3"/>
    </row>
    <row r="1425" spans="1:18">
      <c r="A1425" s="529"/>
      <c r="B1425" s="165" t="s">
        <v>11</v>
      </c>
      <c r="C1425" s="77" t="s">
        <v>284</v>
      </c>
      <c r="D1425" s="379">
        <v>0.03</v>
      </c>
      <c r="E1425" s="396">
        <f>F1426</f>
        <v>26134.297994712331</v>
      </c>
      <c r="F1425" s="396">
        <f>(D1425*E1425)</f>
        <v>784.02893984136995</v>
      </c>
      <c r="P1425" s="3"/>
      <c r="Q1425" s="3"/>
      <c r="R1425" s="3"/>
    </row>
    <row r="1426" spans="1:18">
      <c r="A1426" s="529"/>
      <c r="B1426" s="165" t="s">
        <v>9</v>
      </c>
      <c r="C1426" s="77" t="s">
        <v>10</v>
      </c>
      <c r="D1426" s="379">
        <v>1</v>
      </c>
      <c r="E1426" s="396">
        <f>'VALOR CUADRILLAS MO'!D75</f>
        <v>26134.297994712331</v>
      </c>
      <c r="F1426" s="396">
        <f>+D1426*E1426</f>
        <v>26134.297994712331</v>
      </c>
      <c r="P1426" s="3"/>
      <c r="Q1426" s="3"/>
      <c r="R1426" s="3"/>
    </row>
    <row r="1427" spans="1:18">
      <c r="A1427" s="529"/>
      <c r="B1427" s="165"/>
      <c r="C1427" s="270"/>
      <c r="D1427" s="272"/>
      <c r="E1427" s="266"/>
      <c r="F1427" s="266"/>
    </row>
    <row r="1428" spans="1:18" ht="55.5" customHeight="1">
      <c r="A1428" s="246">
        <f>A1420+1</f>
        <v>175</v>
      </c>
      <c r="B1428" s="83" t="s">
        <v>2930</v>
      </c>
      <c r="C1428" s="76" t="s">
        <v>26</v>
      </c>
      <c r="D1428" s="73"/>
      <c r="E1428" s="430"/>
      <c r="F1428" s="378" t="e">
        <f>ROUND((SUM(F1429:L1435)),0)</f>
        <v>#REF!</v>
      </c>
      <c r="M1428" s="536"/>
      <c r="P1428" s="3"/>
      <c r="Q1428" s="3"/>
      <c r="R1428" s="3"/>
    </row>
    <row r="1429" spans="1:18">
      <c r="A1429" s="427"/>
      <c r="B1429" s="165" t="s">
        <v>2931</v>
      </c>
      <c r="C1429" s="77" t="s">
        <v>26</v>
      </c>
      <c r="D1429" s="379">
        <v>1</v>
      </c>
      <c r="E1429" s="538" t="e">
        <f>INSUMOS!#REF!</f>
        <v>#REF!</v>
      </c>
      <c r="F1429" s="396" t="e">
        <f>D1429*E1429</f>
        <v>#REF!</v>
      </c>
      <c r="M1429" s="537"/>
      <c r="O1429" s="539"/>
      <c r="P1429" s="3"/>
      <c r="Q1429" s="3"/>
      <c r="R1429" s="3"/>
    </row>
    <row r="1430" spans="1:18">
      <c r="A1430" s="529"/>
      <c r="B1430" s="165" t="s">
        <v>2887</v>
      </c>
      <c r="C1430" s="270" t="s">
        <v>121</v>
      </c>
      <c r="D1430" s="379">
        <v>0.1</v>
      </c>
      <c r="E1430" s="440">
        <f>BASICOS!E135</f>
        <v>425444</v>
      </c>
      <c r="F1430" s="440">
        <f>+D1430*E1430</f>
        <v>42544.4</v>
      </c>
      <c r="N1430" s="536"/>
      <c r="P1430" s="3"/>
      <c r="Q1430" s="3"/>
      <c r="R1430" s="3"/>
    </row>
    <row r="1431" spans="1:18">
      <c r="A1431" s="529"/>
      <c r="B1431" s="165" t="s">
        <v>229</v>
      </c>
      <c r="C1431" s="77" t="s">
        <v>68</v>
      </c>
      <c r="D1431" s="379">
        <v>0.05</v>
      </c>
      <c r="E1431" s="396">
        <f>F1430</f>
        <v>42544.4</v>
      </c>
      <c r="F1431" s="396">
        <f>+D1431*E1431</f>
        <v>2127.2200000000003</v>
      </c>
      <c r="P1431" s="3"/>
      <c r="Q1431" s="3"/>
      <c r="R1431" s="3"/>
    </row>
    <row r="1432" spans="1:18">
      <c r="A1432" s="529"/>
      <c r="B1432" s="165" t="s">
        <v>136</v>
      </c>
      <c r="C1432" s="77" t="s">
        <v>68</v>
      </c>
      <c r="D1432" s="379"/>
      <c r="E1432" s="396" t="e">
        <f>SUM(F1429:F1431)</f>
        <v>#REF!</v>
      </c>
      <c r="F1432" s="396" t="e">
        <f>+D1432*E1432</f>
        <v>#REF!</v>
      </c>
      <c r="P1432" s="3"/>
      <c r="Q1432" s="3"/>
      <c r="R1432" s="3"/>
    </row>
    <row r="1433" spans="1:18">
      <c r="A1433" s="529"/>
      <c r="B1433" s="165" t="s">
        <v>11</v>
      </c>
      <c r="C1433" s="77" t="s">
        <v>284</v>
      </c>
      <c r="D1433" s="379">
        <v>0.03</v>
      </c>
      <c r="E1433" s="396">
        <f>F1434</f>
        <v>26134.297994712331</v>
      </c>
      <c r="F1433" s="396">
        <f>(D1433*E1433)</f>
        <v>784.02893984136995</v>
      </c>
      <c r="P1433" s="3"/>
      <c r="Q1433" s="3"/>
      <c r="R1433" s="3"/>
    </row>
    <row r="1434" spans="1:18">
      <c r="A1434" s="529"/>
      <c r="B1434" s="165" t="s">
        <v>9</v>
      </c>
      <c r="C1434" s="77" t="s">
        <v>10</v>
      </c>
      <c r="D1434" s="379">
        <v>1</v>
      </c>
      <c r="E1434" s="396">
        <f>'VALOR CUADRILLAS MO'!D75</f>
        <v>26134.297994712331</v>
      </c>
      <c r="F1434" s="396">
        <f>+D1434*E1434</f>
        <v>26134.297994712331</v>
      </c>
      <c r="P1434" s="3"/>
      <c r="Q1434" s="3"/>
      <c r="R1434" s="3"/>
    </row>
    <row r="1435" spans="1:18">
      <c r="A1435" s="529"/>
      <c r="B1435" s="165"/>
      <c r="C1435" s="270"/>
      <c r="D1435" s="272"/>
      <c r="E1435" s="266"/>
      <c r="F1435" s="266"/>
    </row>
    <row r="1436" spans="1:18" ht="55.5" customHeight="1">
      <c r="A1436" s="246">
        <f>A1428+1</f>
        <v>176</v>
      </c>
      <c r="B1436" s="83" t="s">
        <v>2932</v>
      </c>
      <c r="C1436" s="76" t="s">
        <v>26</v>
      </c>
      <c r="D1436" s="73"/>
      <c r="E1436" s="430"/>
      <c r="F1436" s="378" t="e">
        <f>ROUND((SUM(F1437:L1443)),0)</f>
        <v>#REF!</v>
      </c>
      <c r="M1436" s="536"/>
      <c r="P1436" s="3"/>
      <c r="Q1436" s="3"/>
      <c r="R1436" s="3"/>
    </row>
    <row r="1437" spans="1:18">
      <c r="A1437" s="427"/>
      <c r="B1437" s="165" t="s">
        <v>3129</v>
      </c>
      <c r="C1437" s="77" t="s">
        <v>26</v>
      </c>
      <c r="D1437" s="379">
        <v>1</v>
      </c>
      <c r="E1437" s="538" t="e">
        <f>INSUMOS!#REF!</f>
        <v>#REF!</v>
      </c>
      <c r="F1437" s="396" t="e">
        <f>D1437*E1437</f>
        <v>#REF!</v>
      </c>
      <c r="M1437" s="537"/>
      <c r="O1437" s="539"/>
      <c r="P1437" s="3"/>
      <c r="Q1437" s="3"/>
      <c r="R1437" s="3"/>
    </row>
    <row r="1438" spans="1:18">
      <c r="A1438" s="529"/>
      <c r="B1438" s="165" t="s">
        <v>2887</v>
      </c>
      <c r="C1438" s="270" t="s">
        <v>121</v>
      </c>
      <c r="D1438" s="379">
        <v>0.1</v>
      </c>
      <c r="E1438" s="440">
        <f>BASICOS!E146</f>
        <v>392821</v>
      </c>
      <c r="F1438" s="440">
        <f>+D1438*E1438</f>
        <v>39282.1</v>
      </c>
      <c r="N1438" s="536"/>
      <c r="P1438" s="3"/>
      <c r="Q1438" s="3"/>
      <c r="R1438" s="3"/>
    </row>
    <row r="1439" spans="1:18">
      <c r="A1439" s="529"/>
      <c r="B1439" s="165" t="s">
        <v>229</v>
      </c>
      <c r="C1439" s="77" t="s">
        <v>68</v>
      </c>
      <c r="D1439" s="379">
        <v>0.05</v>
      </c>
      <c r="E1439" s="396">
        <f>F1438</f>
        <v>39282.1</v>
      </c>
      <c r="F1439" s="396">
        <f>+D1439*E1439</f>
        <v>1964.105</v>
      </c>
      <c r="P1439" s="3"/>
      <c r="Q1439" s="3"/>
      <c r="R1439" s="3"/>
    </row>
    <row r="1440" spans="1:18">
      <c r="A1440" s="529"/>
      <c r="B1440" s="165" t="s">
        <v>136</v>
      </c>
      <c r="C1440" s="77" t="s">
        <v>68</v>
      </c>
      <c r="D1440" s="379"/>
      <c r="E1440" s="396" t="e">
        <f>SUM(F1437:F1439)</f>
        <v>#REF!</v>
      </c>
      <c r="F1440" s="396" t="e">
        <f>+D1440*E1440</f>
        <v>#REF!</v>
      </c>
      <c r="P1440" s="3"/>
      <c r="Q1440" s="3"/>
      <c r="R1440" s="3"/>
    </row>
    <row r="1441" spans="1:18">
      <c r="A1441" s="529"/>
      <c r="B1441" s="165" t="s">
        <v>11</v>
      </c>
      <c r="C1441" s="77" t="s">
        <v>284</v>
      </c>
      <c r="D1441" s="379">
        <v>0.03</v>
      </c>
      <c r="E1441" s="396">
        <f>F1442</f>
        <v>26134.297994712331</v>
      </c>
      <c r="F1441" s="396">
        <f>(D1441*E1441)</f>
        <v>784.02893984136995</v>
      </c>
      <c r="P1441" s="3"/>
      <c r="Q1441" s="3"/>
      <c r="R1441" s="3"/>
    </row>
    <row r="1442" spans="1:18">
      <c r="A1442" s="529"/>
      <c r="B1442" s="165" t="s">
        <v>9</v>
      </c>
      <c r="C1442" s="77" t="s">
        <v>10</v>
      </c>
      <c r="D1442" s="379">
        <v>1</v>
      </c>
      <c r="E1442" s="396">
        <f>'VALOR CUADRILLAS MO'!D75</f>
        <v>26134.297994712331</v>
      </c>
      <c r="F1442" s="396">
        <f>+D1442*E1442</f>
        <v>26134.297994712331</v>
      </c>
      <c r="P1442" s="3"/>
      <c r="Q1442" s="3"/>
      <c r="R1442" s="3"/>
    </row>
    <row r="1443" spans="1:18">
      <c r="A1443" s="529"/>
      <c r="B1443" s="165"/>
      <c r="C1443" s="270"/>
      <c r="D1443" s="272"/>
      <c r="E1443" s="266"/>
      <c r="F1443" s="266"/>
    </row>
    <row r="1444" spans="1:18" ht="55.5" customHeight="1">
      <c r="A1444" s="246">
        <f>A1436+1</f>
        <v>177</v>
      </c>
      <c r="B1444" s="83" t="s">
        <v>2933</v>
      </c>
      <c r="C1444" s="76" t="s">
        <v>26</v>
      </c>
      <c r="D1444" s="73"/>
      <c r="E1444" s="430"/>
      <c r="F1444" s="378" t="e">
        <f>ROUND((SUM(F1445:L1451)),0)</f>
        <v>#REF!</v>
      </c>
      <c r="M1444" s="536"/>
      <c r="P1444" s="3"/>
      <c r="Q1444" s="3"/>
      <c r="R1444" s="3"/>
    </row>
    <row r="1445" spans="1:18">
      <c r="A1445" s="427"/>
      <c r="B1445" s="165" t="s">
        <v>2934</v>
      </c>
      <c r="C1445" s="77" t="s">
        <v>26</v>
      </c>
      <c r="D1445" s="379">
        <v>1</v>
      </c>
      <c r="E1445" s="538" t="e">
        <f>INSUMOS!#REF!</f>
        <v>#REF!</v>
      </c>
      <c r="F1445" s="396" t="e">
        <f>D1445*E1445</f>
        <v>#REF!</v>
      </c>
      <c r="M1445" s="537"/>
      <c r="O1445" s="539"/>
      <c r="P1445" s="3"/>
      <c r="Q1445" s="3"/>
      <c r="R1445" s="3"/>
    </row>
    <row r="1446" spans="1:18">
      <c r="A1446" s="529"/>
      <c r="B1446" s="165" t="s">
        <v>2887</v>
      </c>
      <c r="C1446" s="270" t="s">
        <v>121</v>
      </c>
      <c r="D1446" s="379">
        <v>0.1</v>
      </c>
      <c r="E1446" s="440">
        <f>BASICOS!E146</f>
        <v>392821</v>
      </c>
      <c r="F1446" s="440">
        <f>+D1446*E1446</f>
        <v>39282.1</v>
      </c>
      <c r="N1446" s="536"/>
      <c r="P1446" s="3"/>
      <c r="Q1446" s="3"/>
      <c r="R1446" s="3"/>
    </row>
    <row r="1447" spans="1:18">
      <c r="A1447" s="529"/>
      <c r="B1447" s="165" t="s">
        <v>229</v>
      </c>
      <c r="C1447" s="77" t="s">
        <v>68</v>
      </c>
      <c r="D1447" s="379">
        <v>0.05</v>
      </c>
      <c r="E1447" s="396">
        <f>F1446</f>
        <v>39282.1</v>
      </c>
      <c r="F1447" s="396">
        <f>+D1447*E1447</f>
        <v>1964.105</v>
      </c>
      <c r="P1447" s="3"/>
      <c r="Q1447" s="3"/>
      <c r="R1447" s="3"/>
    </row>
    <row r="1448" spans="1:18">
      <c r="A1448" s="529"/>
      <c r="B1448" s="165" t="s">
        <v>136</v>
      </c>
      <c r="C1448" s="77" t="s">
        <v>68</v>
      </c>
      <c r="D1448" s="379"/>
      <c r="E1448" s="396" t="e">
        <f>SUM(F1445:F1447)</f>
        <v>#REF!</v>
      </c>
      <c r="F1448" s="396" t="e">
        <f>+D1448*E1448</f>
        <v>#REF!</v>
      </c>
      <c r="P1448" s="3"/>
      <c r="Q1448" s="3"/>
      <c r="R1448" s="3"/>
    </row>
    <row r="1449" spans="1:18">
      <c r="A1449" s="529"/>
      <c r="B1449" s="165" t="s">
        <v>11</v>
      </c>
      <c r="C1449" s="77" t="s">
        <v>284</v>
      </c>
      <c r="D1449" s="379">
        <v>0.03</v>
      </c>
      <c r="E1449" s="396">
        <f>F1450</f>
        <v>26134.297994712331</v>
      </c>
      <c r="F1449" s="396">
        <f>(D1449*E1449)</f>
        <v>784.02893984136995</v>
      </c>
      <c r="P1449" s="3"/>
      <c r="Q1449" s="3"/>
      <c r="R1449" s="3"/>
    </row>
    <row r="1450" spans="1:18">
      <c r="A1450" s="529"/>
      <c r="B1450" s="165" t="s">
        <v>9</v>
      </c>
      <c r="C1450" s="77" t="s">
        <v>10</v>
      </c>
      <c r="D1450" s="379">
        <v>1</v>
      </c>
      <c r="E1450" s="396">
        <f>'VALOR CUADRILLAS MO'!D75</f>
        <v>26134.297994712331</v>
      </c>
      <c r="F1450" s="396">
        <f>+D1450*E1450</f>
        <v>26134.297994712331</v>
      </c>
      <c r="P1450" s="3"/>
      <c r="Q1450" s="3"/>
      <c r="R1450" s="3"/>
    </row>
    <row r="1451" spans="1:18">
      <c r="A1451" s="529"/>
      <c r="B1451" s="165"/>
      <c r="C1451" s="270"/>
      <c r="D1451" s="272"/>
      <c r="E1451" s="266"/>
      <c r="F1451" s="266"/>
    </row>
    <row r="1452" spans="1:18" ht="55.5" customHeight="1">
      <c r="A1452" s="246">
        <f>A1444+1</f>
        <v>178</v>
      </c>
      <c r="B1452" s="83" t="s">
        <v>2935</v>
      </c>
      <c r="C1452" s="76" t="s">
        <v>26</v>
      </c>
      <c r="D1452" s="73"/>
      <c r="E1452" s="430"/>
      <c r="F1452" s="378" t="e">
        <f>ROUND((SUM(F1453:L1459)),0)</f>
        <v>#REF!</v>
      </c>
      <c r="M1452" s="536"/>
      <c r="P1452" s="3"/>
      <c r="Q1452" s="3"/>
      <c r="R1452" s="3"/>
    </row>
    <row r="1453" spans="1:18">
      <c r="A1453" s="427"/>
      <c r="B1453" s="165" t="s">
        <v>2936</v>
      </c>
      <c r="C1453" s="77" t="s">
        <v>26</v>
      </c>
      <c r="D1453" s="379">
        <v>1</v>
      </c>
      <c r="E1453" s="538" t="e">
        <f>INSUMOS!#REF!</f>
        <v>#REF!</v>
      </c>
      <c r="F1453" s="396" t="e">
        <f>D1453*E1453</f>
        <v>#REF!</v>
      </c>
      <c r="M1453" s="537"/>
      <c r="O1453" s="539"/>
      <c r="P1453" s="3"/>
      <c r="Q1453" s="3"/>
      <c r="R1453" s="3"/>
    </row>
    <row r="1454" spans="1:18">
      <c r="A1454" s="529"/>
      <c r="B1454" s="165" t="s">
        <v>2887</v>
      </c>
      <c r="C1454" s="270" t="s">
        <v>121</v>
      </c>
      <c r="D1454" s="379">
        <v>0.1</v>
      </c>
      <c r="E1454" s="440">
        <f>BASICOS!E146</f>
        <v>392821</v>
      </c>
      <c r="F1454" s="440">
        <f>+D1454*E1454</f>
        <v>39282.1</v>
      </c>
      <c r="N1454" s="536"/>
      <c r="P1454" s="3"/>
      <c r="Q1454" s="3"/>
      <c r="R1454" s="3"/>
    </row>
    <row r="1455" spans="1:18">
      <c r="A1455" s="529"/>
      <c r="B1455" s="165" t="s">
        <v>229</v>
      </c>
      <c r="C1455" s="77" t="s">
        <v>68</v>
      </c>
      <c r="D1455" s="379">
        <v>0.05</v>
      </c>
      <c r="E1455" s="396">
        <f>F1454</f>
        <v>39282.1</v>
      </c>
      <c r="F1455" s="396">
        <f>+D1455*E1455</f>
        <v>1964.105</v>
      </c>
      <c r="P1455" s="3"/>
      <c r="Q1455" s="3"/>
      <c r="R1455" s="3"/>
    </row>
    <row r="1456" spans="1:18">
      <c r="A1456" s="529"/>
      <c r="B1456" s="165" t="s">
        <v>136</v>
      </c>
      <c r="C1456" s="77" t="s">
        <v>68</v>
      </c>
      <c r="D1456" s="379"/>
      <c r="E1456" s="396" t="e">
        <f>SUM(F1453:F1455)</f>
        <v>#REF!</v>
      </c>
      <c r="F1456" s="396" t="e">
        <f>+D1456*E1456</f>
        <v>#REF!</v>
      </c>
      <c r="P1456" s="3"/>
      <c r="Q1456" s="3"/>
      <c r="R1456" s="3"/>
    </row>
    <row r="1457" spans="1:18">
      <c r="A1457" s="529"/>
      <c r="B1457" s="165" t="s">
        <v>11</v>
      </c>
      <c r="C1457" s="77" t="s">
        <v>284</v>
      </c>
      <c r="D1457" s="379">
        <v>0.03</v>
      </c>
      <c r="E1457" s="396">
        <f>F1458</f>
        <v>26134.297994712331</v>
      </c>
      <c r="F1457" s="396">
        <f>(D1457*E1457)</f>
        <v>784.02893984136995</v>
      </c>
      <c r="P1457" s="3"/>
      <c r="Q1457" s="3"/>
      <c r="R1457" s="3"/>
    </row>
    <row r="1458" spans="1:18">
      <c r="A1458" s="529"/>
      <c r="B1458" s="165" t="s">
        <v>9</v>
      </c>
      <c r="C1458" s="77" t="s">
        <v>10</v>
      </c>
      <c r="D1458" s="379">
        <v>1</v>
      </c>
      <c r="E1458" s="396">
        <f>'VALOR CUADRILLAS MO'!D75</f>
        <v>26134.297994712331</v>
      </c>
      <c r="F1458" s="396">
        <f>+D1458*E1458</f>
        <v>26134.297994712331</v>
      </c>
      <c r="P1458" s="3"/>
      <c r="Q1458" s="3"/>
      <c r="R1458" s="3"/>
    </row>
    <row r="1459" spans="1:18">
      <c r="A1459" s="529"/>
      <c r="B1459" s="165"/>
      <c r="C1459" s="270"/>
      <c r="D1459" s="272"/>
      <c r="E1459" s="266"/>
      <c r="F1459" s="266"/>
    </row>
    <row r="1460" spans="1:18" ht="55.5" customHeight="1">
      <c r="A1460" s="246">
        <f>A1452+1</f>
        <v>179</v>
      </c>
      <c r="B1460" s="83" t="s">
        <v>2937</v>
      </c>
      <c r="C1460" s="76" t="s">
        <v>26</v>
      </c>
      <c r="D1460" s="73"/>
      <c r="E1460" s="430"/>
      <c r="F1460" s="378" t="e">
        <f>ROUND((SUM(F1461:L1467)),0)</f>
        <v>#REF!</v>
      </c>
      <c r="M1460" s="536"/>
      <c r="P1460" s="3"/>
      <c r="Q1460" s="3"/>
      <c r="R1460" s="3"/>
    </row>
    <row r="1461" spans="1:18">
      <c r="A1461" s="427"/>
      <c r="B1461" s="165" t="s">
        <v>2938</v>
      </c>
      <c r="C1461" s="77" t="s">
        <v>26</v>
      </c>
      <c r="D1461" s="379">
        <v>1</v>
      </c>
      <c r="E1461" s="538" t="e">
        <f>INSUMOS!#REF!</f>
        <v>#REF!</v>
      </c>
      <c r="F1461" s="396" t="e">
        <f>D1461*E1461</f>
        <v>#REF!</v>
      </c>
      <c r="M1461" s="537"/>
      <c r="O1461" s="539"/>
      <c r="P1461" s="3"/>
      <c r="Q1461" s="3"/>
      <c r="R1461" s="3"/>
    </row>
    <row r="1462" spans="1:18">
      <c r="A1462" s="529"/>
      <c r="B1462" s="165" t="s">
        <v>2887</v>
      </c>
      <c r="C1462" s="270" t="s">
        <v>121</v>
      </c>
      <c r="D1462" s="379">
        <v>0.1</v>
      </c>
      <c r="E1462" s="440">
        <f>BASICOS!E146</f>
        <v>392821</v>
      </c>
      <c r="F1462" s="440">
        <f>+D1462*E1462</f>
        <v>39282.1</v>
      </c>
      <c r="N1462" s="536"/>
      <c r="P1462" s="3"/>
      <c r="Q1462" s="3"/>
      <c r="R1462" s="3"/>
    </row>
    <row r="1463" spans="1:18">
      <c r="A1463" s="529"/>
      <c r="B1463" s="165" t="s">
        <v>229</v>
      </c>
      <c r="C1463" s="77" t="s">
        <v>68</v>
      </c>
      <c r="D1463" s="379">
        <v>0.05</v>
      </c>
      <c r="E1463" s="396">
        <f>F1462</f>
        <v>39282.1</v>
      </c>
      <c r="F1463" s="396">
        <f>+D1463*E1463</f>
        <v>1964.105</v>
      </c>
      <c r="P1463" s="3"/>
      <c r="Q1463" s="3"/>
      <c r="R1463" s="3"/>
    </row>
    <row r="1464" spans="1:18">
      <c r="A1464" s="529"/>
      <c r="B1464" s="165" t="s">
        <v>136</v>
      </c>
      <c r="C1464" s="77" t="s">
        <v>68</v>
      </c>
      <c r="D1464" s="379"/>
      <c r="E1464" s="396" t="e">
        <f>SUM(F1461:F1463)</f>
        <v>#REF!</v>
      </c>
      <c r="F1464" s="396" t="e">
        <f>+D1464*E1464</f>
        <v>#REF!</v>
      </c>
      <c r="P1464" s="3"/>
      <c r="Q1464" s="3"/>
      <c r="R1464" s="3"/>
    </row>
    <row r="1465" spans="1:18">
      <c r="A1465" s="529"/>
      <c r="B1465" s="165" t="s">
        <v>11</v>
      </c>
      <c r="C1465" s="77" t="s">
        <v>284</v>
      </c>
      <c r="D1465" s="379">
        <v>0.03</v>
      </c>
      <c r="E1465" s="396">
        <f>F1466</f>
        <v>26134.297994712331</v>
      </c>
      <c r="F1465" s="396">
        <f>(D1465*E1465)</f>
        <v>784.02893984136995</v>
      </c>
      <c r="P1465" s="3"/>
      <c r="Q1465" s="3"/>
      <c r="R1465" s="3"/>
    </row>
    <row r="1466" spans="1:18">
      <c r="A1466" s="529"/>
      <c r="B1466" s="165" t="s">
        <v>9</v>
      </c>
      <c r="C1466" s="77" t="s">
        <v>10</v>
      </c>
      <c r="D1466" s="379">
        <v>1</v>
      </c>
      <c r="E1466" s="396">
        <f>'VALOR CUADRILLAS MO'!D75</f>
        <v>26134.297994712331</v>
      </c>
      <c r="F1466" s="396">
        <f>+D1466*E1466</f>
        <v>26134.297994712331</v>
      </c>
      <c r="P1466" s="3"/>
      <c r="Q1466" s="3"/>
      <c r="R1466" s="3"/>
    </row>
    <row r="1467" spans="1:18">
      <c r="A1467" s="529"/>
      <c r="B1467" s="165"/>
      <c r="C1467" s="270"/>
      <c r="D1467" s="272"/>
      <c r="E1467" s="266"/>
      <c r="F1467" s="266"/>
    </row>
    <row r="1468" spans="1:18" ht="55.5" customHeight="1">
      <c r="A1468" s="246">
        <f>A1460+1</f>
        <v>180</v>
      </c>
      <c r="B1468" s="83" t="s">
        <v>2939</v>
      </c>
      <c r="C1468" s="76" t="s">
        <v>26</v>
      </c>
      <c r="D1468" s="73"/>
      <c r="E1468" s="430"/>
      <c r="F1468" s="378" t="e">
        <f>ROUND((SUM(F1469:L1475)),0)</f>
        <v>#REF!</v>
      </c>
      <c r="M1468" s="536"/>
      <c r="P1468" s="3"/>
      <c r="Q1468" s="3"/>
      <c r="R1468" s="3"/>
    </row>
    <row r="1469" spans="1:18">
      <c r="A1469" s="427"/>
      <c r="B1469" s="165" t="s">
        <v>2940</v>
      </c>
      <c r="C1469" s="77" t="s">
        <v>26</v>
      </c>
      <c r="D1469" s="379">
        <v>1</v>
      </c>
      <c r="E1469" s="538" t="e">
        <f>INSUMOS!#REF!</f>
        <v>#REF!</v>
      </c>
      <c r="F1469" s="396" t="e">
        <f>D1469*E1469</f>
        <v>#REF!</v>
      </c>
      <c r="M1469" s="537"/>
      <c r="O1469" s="539"/>
      <c r="P1469" s="3"/>
      <c r="Q1469" s="3"/>
      <c r="R1469" s="3"/>
    </row>
    <row r="1470" spans="1:18">
      <c r="A1470" s="529"/>
      <c r="B1470" s="165" t="s">
        <v>2887</v>
      </c>
      <c r="C1470" s="270" t="s">
        <v>121</v>
      </c>
      <c r="D1470" s="379">
        <v>0.1</v>
      </c>
      <c r="E1470" s="440">
        <f>BASICOS!E146</f>
        <v>392821</v>
      </c>
      <c r="F1470" s="440">
        <f>+D1470*E1470</f>
        <v>39282.1</v>
      </c>
      <c r="N1470" s="536"/>
      <c r="P1470" s="3"/>
      <c r="Q1470" s="3"/>
      <c r="R1470" s="3"/>
    </row>
    <row r="1471" spans="1:18">
      <c r="A1471" s="529"/>
      <c r="B1471" s="165" t="s">
        <v>229</v>
      </c>
      <c r="C1471" s="77" t="s">
        <v>68</v>
      </c>
      <c r="D1471" s="379">
        <v>0.05</v>
      </c>
      <c r="E1471" s="396">
        <f>F1470</f>
        <v>39282.1</v>
      </c>
      <c r="F1471" s="396">
        <f>+D1471*E1471</f>
        <v>1964.105</v>
      </c>
      <c r="P1471" s="3"/>
      <c r="Q1471" s="3"/>
      <c r="R1471" s="3"/>
    </row>
    <row r="1472" spans="1:18">
      <c r="A1472" s="529"/>
      <c r="B1472" s="165" t="s">
        <v>136</v>
      </c>
      <c r="C1472" s="77" t="s">
        <v>68</v>
      </c>
      <c r="D1472" s="379"/>
      <c r="E1472" s="396" t="e">
        <f>SUM(F1469:F1471)</f>
        <v>#REF!</v>
      </c>
      <c r="F1472" s="396" t="e">
        <f>+D1472*E1472</f>
        <v>#REF!</v>
      </c>
      <c r="P1472" s="3"/>
      <c r="Q1472" s="3"/>
      <c r="R1472" s="3"/>
    </row>
    <row r="1473" spans="1:18">
      <c r="A1473" s="529"/>
      <c r="B1473" s="165" t="s">
        <v>11</v>
      </c>
      <c r="C1473" s="77" t="s">
        <v>284</v>
      </c>
      <c r="D1473" s="379">
        <v>0.03</v>
      </c>
      <c r="E1473" s="396">
        <f>F1474</f>
        <v>26134.297994712331</v>
      </c>
      <c r="F1473" s="396">
        <f>(D1473*E1473)</f>
        <v>784.02893984136995</v>
      </c>
      <c r="P1473" s="3"/>
      <c r="Q1473" s="3"/>
      <c r="R1473" s="3"/>
    </row>
    <row r="1474" spans="1:18">
      <c r="A1474" s="529"/>
      <c r="B1474" s="165" t="s">
        <v>9</v>
      </c>
      <c r="C1474" s="77" t="s">
        <v>10</v>
      </c>
      <c r="D1474" s="379">
        <v>1</v>
      </c>
      <c r="E1474" s="396">
        <f>'VALOR CUADRILLAS MO'!D75</f>
        <v>26134.297994712331</v>
      </c>
      <c r="F1474" s="396">
        <f>+D1474*E1474</f>
        <v>26134.297994712331</v>
      </c>
      <c r="P1474" s="3"/>
      <c r="Q1474" s="3"/>
      <c r="R1474" s="3"/>
    </row>
    <row r="1475" spans="1:18">
      <c r="A1475" s="529"/>
      <c r="B1475" s="165"/>
      <c r="C1475" s="270"/>
      <c r="D1475" s="272"/>
      <c r="E1475" s="266"/>
      <c r="F1475" s="266"/>
    </row>
    <row r="1476" spans="1:18" ht="55.5" customHeight="1">
      <c r="A1476" s="246">
        <f>A1468+1</f>
        <v>181</v>
      </c>
      <c r="B1476" s="83" t="s">
        <v>2941</v>
      </c>
      <c r="C1476" s="76" t="s">
        <v>26</v>
      </c>
      <c r="D1476" s="73"/>
      <c r="E1476" s="430"/>
      <c r="F1476" s="378" t="e">
        <f>ROUND((SUM(F1477:L1483)),0)</f>
        <v>#REF!</v>
      </c>
      <c r="M1476" s="536"/>
      <c r="P1476" s="3"/>
      <c r="Q1476" s="3"/>
      <c r="R1476" s="3"/>
    </row>
    <row r="1477" spans="1:18">
      <c r="A1477" s="427"/>
      <c r="B1477" s="165" t="s">
        <v>2942</v>
      </c>
      <c r="C1477" s="77" t="s">
        <v>26</v>
      </c>
      <c r="D1477" s="379">
        <v>1</v>
      </c>
      <c r="E1477" s="538" t="e">
        <f>INSUMOS!#REF!</f>
        <v>#REF!</v>
      </c>
      <c r="F1477" s="396" t="e">
        <f>D1477*E1477</f>
        <v>#REF!</v>
      </c>
      <c r="M1477" s="537"/>
      <c r="O1477" s="539"/>
      <c r="P1477" s="3"/>
      <c r="Q1477" s="3"/>
      <c r="R1477" s="3"/>
    </row>
    <row r="1478" spans="1:18">
      <c r="A1478" s="529"/>
      <c r="B1478" s="165" t="s">
        <v>2887</v>
      </c>
      <c r="C1478" s="270" t="s">
        <v>121</v>
      </c>
      <c r="D1478" s="379">
        <v>0.2</v>
      </c>
      <c r="E1478" s="440">
        <f>BASICOS!E146</f>
        <v>392821</v>
      </c>
      <c r="F1478" s="440">
        <f>+D1478*E1478</f>
        <v>78564.2</v>
      </c>
      <c r="N1478" s="536"/>
      <c r="P1478" s="3"/>
      <c r="Q1478" s="3"/>
      <c r="R1478" s="3"/>
    </row>
    <row r="1479" spans="1:18">
      <c r="A1479" s="529"/>
      <c r="B1479" s="165" t="s">
        <v>229</v>
      </c>
      <c r="C1479" s="77" t="s">
        <v>68</v>
      </c>
      <c r="D1479" s="379">
        <v>0.05</v>
      </c>
      <c r="E1479" s="396">
        <f>F1478</f>
        <v>78564.2</v>
      </c>
      <c r="F1479" s="396">
        <f>+D1479*E1479</f>
        <v>3928.21</v>
      </c>
      <c r="P1479" s="3"/>
      <c r="Q1479" s="3"/>
      <c r="R1479" s="3"/>
    </row>
    <row r="1480" spans="1:18">
      <c r="A1480" s="529"/>
      <c r="B1480" s="165" t="s">
        <v>136</v>
      </c>
      <c r="C1480" s="77" t="s">
        <v>68</v>
      </c>
      <c r="D1480" s="379"/>
      <c r="E1480" s="396" t="e">
        <f>SUM(F1477:F1479)</f>
        <v>#REF!</v>
      </c>
      <c r="F1480" s="396" t="e">
        <f>+D1480*E1480</f>
        <v>#REF!</v>
      </c>
      <c r="P1480" s="3"/>
      <c r="Q1480" s="3"/>
      <c r="R1480" s="3"/>
    </row>
    <row r="1481" spans="1:18">
      <c r="A1481" s="529"/>
      <c r="B1481" s="165" t="s">
        <v>11</v>
      </c>
      <c r="C1481" s="77" t="s">
        <v>284</v>
      </c>
      <c r="D1481" s="379">
        <v>0.03</v>
      </c>
      <c r="E1481" s="396">
        <f>F1482</f>
        <v>52268.595989424663</v>
      </c>
      <c r="F1481" s="396">
        <f>(D1481*E1481)</f>
        <v>1568.0578796827399</v>
      </c>
      <c r="P1481" s="3"/>
      <c r="Q1481" s="3"/>
      <c r="R1481" s="3"/>
    </row>
    <row r="1482" spans="1:18">
      <c r="A1482" s="529"/>
      <c r="B1482" s="165" t="s">
        <v>9</v>
      </c>
      <c r="C1482" s="77" t="s">
        <v>10</v>
      </c>
      <c r="D1482" s="379">
        <v>2</v>
      </c>
      <c r="E1482" s="396">
        <f>'VALOR CUADRILLAS MO'!D75</f>
        <v>26134.297994712331</v>
      </c>
      <c r="F1482" s="396">
        <f>+D1482*E1482</f>
        <v>52268.595989424663</v>
      </c>
      <c r="P1482" s="3"/>
      <c r="Q1482" s="3"/>
      <c r="R1482" s="3"/>
    </row>
    <row r="1483" spans="1:18">
      <c r="A1483" s="529"/>
      <c r="B1483" s="165"/>
      <c r="C1483" s="270"/>
      <c r="D1483" s="272"/>
      <c r="E1483" s="266"/>
      <c r="F1483" s="266"/>
    </row>
    <row r="1484" spans="1:18" ht="55.5" customHeight="1">
      <c r="A1484" s="246">
        <f>A1476+1</f>
        <v>182</v>
      </c>
      <c r="B1484" s="83" t="s">
        <v>2943</v>
      </c>
      <c r="C1484" s="76" t="s">
        <v>26</v>
      </c>
      <c r="D1484" s="73"/>
      <c r="E1484" s="430"/>
      <c r="F1484" s="378" t="e">
        <f>ROUND((SUM(F1485:L1491)),0)</f>
        <v>#REF!</v>
      </c>
      <c r="M1484" s="536"/>
      <c r="P1484" s="3"/>
      <c r="Q1484" s="3"/>
      <c r="R1484" s="3"/>
    </row>
    <row r="1485" spans="1:18">
      <c r="A1485" s="427"/>
      <c r="B1485" s="165" t="s">
        <v>2944</v>
      </c>
      <c r="C1485" s="77" t="s">
        <v>26</v>
      </c>
      <c r="D1485" s="379">
        <v>1</v>
      </c>
      <c r="E1485" s="538" t="e">
        <f>INSUMOS!#REF!</f>
        <v>#REF!</v>
      </c>
      <c r="F1485" s="396" t="e">
        <f>D1485*E1485</f>
        <v>#REF!</v>
      </c>
      <c r="M1485" s="537"/>
      <c r="O1485" s="539"/>
      <c r="P1485" s="3"/>
      <c r="Q1485" s="3"/>
      <c r="R1485" s="3"/>
    </row>
    <row r="1486" spans="1:18">
      <c r="A1486" s="529"/>
      <c r="B1486" s="165" t="s">
        <v>2887</v>
      </c>
      <c r="C1486" s="270" t="s">
        <v>121</v>
      </c>
      <c r="D1486" s="379">
        <v>0.1</v>
      </c>
      <c r="E1486" s="440">
        <f>BASICOS!E135</f>
        <v>425444</v>
      </c>
      <c r="F1486" s="440">
        <f>+D1486*E1486</f>
        <v>42544.4</v>
      </c>
      <c r="N1486" s="536"/>
      <c r="P1486" s="3"/>
      <c r="Q1486" s="3"/>
      <c r="R1486" s="3"/>
    </row>
    <row r="1487" spans="1:18">
      <c r="A1487" s="529"/>
      <c r="B1487" s="165" t="s">
        <v>229</v>
      </c>
      <c r="C1487" s="77" t="s">
        <v>68</v>
      </c>
      <c r="D1487" s="379">
        <v>0.05</v>
      </c>
      <c r="E1487" s="396">
        <f>F1486</f>
        <v>42544.4</v>
      </c>
      <c r="F1487" s="396">
        <f>+D1487*E1487</f>
        <v>2127.2200000000003</v>
      </c>
      <c r="P1487" s="3"/>
      <c r="Q1487" s="3"/>
      <c r="R1487" s="3"/>
    </row>
    <row r="1488" spans="1:18">
      <c r="A1488" s="529"/>
      <c r="B1488" s="165" t="s">
        <v>136</v>
      </c>
      <c r="C1488" s="77" t="s">
        <v>68</v>
      </c>
      <c r="D1488" s="379"/>
      <c r="E1488" s="396" t="e">
        <f>SUM(F1485:F1487)</f>
        <v>#REF!</v>
      </c>
      <c r="F1488" s="396" t="e">
        <f>+D1488*E1488</f>
        <v>#REF!</v>
      </c>
      <c r="P1488" s="3"/>
      <c r="Q1488" s="3"/>
      <c r="R1488" s="3"/>
    </row>
    <row r="1489" spans="1:18">
      <c r="A1489" s="529"/>
      <c r="B1489" s="165" t="s">
        <v>11</v>
      </c>
      <c r="C1489" s="77" t="s">
        <v>284</v>
      </c>
      <c r="D1489" s="379">
        <v>0.03</v>
      </c>
      <c r="E1489" s="396">
        <f>F1490</f>
        <v>52268.595989424663</v>
      </c>
      <c r="F1489" s="396">
        <f>(D1489*E1489)</f>
        <v>1568.0578796827399</v>
      </c>
      <c r="P1489" s="3"/>
      <c r="Q1489" s="3"/>
      <c r="R1489" s="3"/>
    </row>
    <row r="1490" spans="1:18">
      <c r="A1490" s="529"/>
      <c r="B1490" s="165" t="s">
        <v>9</v>
      </c>
      <c r="C1490" s="77" t="s">
        <v>10</v>
      </c>
      <c r="D1490" s="379">
        <v>2</v>
      </c>
      <c r="E1490" s="396">
        <f>'VALOR CUADRILLAS MO'!D75</f>
        <v>26134.297994712331</v>
      </c>
      <c r="F1490" s="396">
        <f>+D1490*E1490</f>
        <v>52268.595989424663</v>
      </c>
      <c r="P1490" s="3"/>
      <c r="Q1490" s="3"/>
      <c r="R1490" s="3"/>
    </row>
    <row r="1491" spans="1:18">
      <c r="A1491" s="529"/>
      <c r="B1491" s="165"/>
      <c r="C1491" s="270"/>
      <c r="D1491" s="272"/>
      <c r="E1491" s="266"/>
      <c r="F1491" s="266"/>
    </row>
    <row r="1492" spans="1:18" ht="55.5" customHeight="1">
      <c r="A1492" s="246">
        <f>A1484+1</f>
        <v>183</v>
      </c>
      <c r="B1492" s="83" t="s">
        <v>2945</v>
      </c>
      <c r="C1492" s="76" t="s">
        <v>26</v>
      </c>
      <c r="D1492" s="73"/>
      <c r="E1492" s="430"/>
      <c r="F1492" s="378" t="e">
        <f>ROUND((SUM(F1493:L1499)),0)</f>
        <v>#REF!</v>
      </c>
      <c r="M1492" s="536"/>
      <c r="P1492" s="3"/>
      <c r="Q1492" s="3"/>
      <c r="R1492" s="3"/>
    </row>
    <row r="1493" spans="1:18">
      <c r="A1493" s="427"/>
      <c r="B1493" s="165" t="s">
        <v>2946</v>
      </c>
      <c r="C1493" s="77" t="s">
        <v>26</v>
      </c>
      <c r="D1493" s="379">
        <v>1</v>
      </c>
      <c r="E1493" s="538" t="e">
        <f>INSUMOS!#REF!</f>
        <v>#REF!</v>
      </c>
      <c r="F1493" s="396" t="e">
        <f>D1493*E1493</f>
        <v>#REF!</v>
      </c>
      <c r="M1493" s="537"/>
      <c r="O1493" s="539"/>
      <c r="P1493" s="3"/>
      <c r="Q1493" s="3"/>
      <c r="R1493" s="3"/>
    </row>
    <row r="1494" spans="1:18">
      <c r="A1494" s="529"/>
      <c r="B1494" s="165" t="s">
        <v>2887</v>
      </c>
      <c r="C1494" s="270" t="s">
        <v>121</v>
      </c>
      <c r="D1494" s="379">
        <v>0.1</v>
      </c>
      <c r="E1494" s="440">
        <f>BASICOS!E146</f>
        <v>392821</v>
      </c>
      <c r="F1494" s="440">
        <f>+D1494*E1494</f>
        <v>39282.1</v>
      </c>
      <c r="N1494" s="536"/>
      <c r="P1494" s="3"/>
      <c r="Q1494" s="3"/>
      <c r="R1494" s="3"/>
    </row>
    <row r="1495" spans="1:18">
      <c r="A1495" s="529"/>
      <c r="B1495" s="165" t="s">
        <v>229</v>
      </c>
      <c r="C1495" s="77" t="s">
        <v>68</v>
      </c>
      <c r="D1495" s="379">
        <v>0.05</v>
      </c>
      <c r="E1495" s="396">
        <f>F1494</f>
        <v>39282.1</v>
      </c>
      <c r="F1495" s="396">
        <f>+D1495*E1495</f>
        <v>1964.105</v>
      </c>
      <c r="P1495" s="3"/>
      <c r="Q1495" s="3"/>
      <c r="R1495" s="3"/>
    </row>
    <row r="1496" spans="1:18">
      <c r="A1496" s="529"/>
      <c r="B1496" s="165" t="s">
        <v>136</v>
      </c>
      <c r="C1496" s="77" t="s">
        <v>68</v>
      </c>
      <c r="D1496" s="379"/>
      <c r="E1496" s="396" t="e">
        <f>SUM(F1493:F1495)</f>
        <v>#REF!</v>
      </c>
      <c r="F1496" s="396" t="e">
        <f>+D1496*E1496</f>
        <v>#REF!</v>
      </c>
      <c r="P1496" s="3"/>
      <c r="Q1496" s="3"/>
      <c r="R1496" s="3"/>
    </row>
    <row r="1497" spans="1:18">
      <c r="A1497" s="529"/>
      <c r="B1497" s="165" t="s">
        <v>11</v>
      </c>
      <c r="C1497" s="77" t="s">
        <v>284</v>
      </c>
      <c r="D1497" s="379">
        <v>0.03</v>
      </c>
      <c r="E1497" s="396">
        <f>F1498</f>
        <v>52268.595989424663</v>
      </c>
      <c r="F1497" s="396">
        <f>(D1497*E1497)</f>
        <v>1568.0578796827399</v>
      </c>
      <c r="P1497" s="3"/>
      <c r="Q1497" s="3"/>
      <c r="R1497" s="3"/>
    </row>
    <row r="1498" spans="1:18">
      <c r="A1498" s="529"/>
      <c r="B1498" s="165" t="s">
        <v>9</v>
      </c>
      <c r="C1498" s="77" t="s">
        <v>10</v>
      </c>
      <c r="D1498" s="379">
        <v>2</v>
      </c>
      <c r="E1498" s="396">
        <f>'VALOR CUADRILLAS MO'!D75</f>
        <v>26134.297994712331</v>
      </c>
      <c r="F1498" s="396">
        <f>+D1498*E1498</f>
        <v>52268.595989424663</v>
      </c>
      <c r="P1498" s="3"/>
      <c r="Q1498" s="3"/>
      <c r="R1498" s="3"/>
    </row>
    <row r="1499" spans="1:18">
      <c r="A1499" s="529"/>
      <c r="B1499" s="165"/>
      <c r="C1499" s="270"/>
      <c r="D1499" s="272"/>
      <c r="E1499" s="266"/>
      <c r="F1499" s="266"/>
    </row>
    <row r="1500" spans="1:18" ht="55.5" customHeight="1">
      <c r="A1500" s="246">
        <f>A1492+1</f>
        <v>184</v>
      </c>
      <c r="B1500" s="83" t="s">
        <v>2947</v>
      </c>
      <c r="C1500" s="76" t="s">
        <v>26</v>
      </c>
      <c r="D1500" s="73"/>
      <c r="E1500" s="430"/>
      <c r="F1500" s="378" t="e">
        <f>ROUND((SUM(F1501:L1507)),0)</f>
        <v>#REF!</v>
      </c>
      <c r="M1500" s="536"/>
      <c r="P1500" s="3"/>
      <c r="Q1500" s="3"/>
      <c r="R1500" s="3"/>
    </row>
    <row r="1501" spans="1:18">
      <c r="A1501" s="427"/>
      <c r="B1501" s="165" t="s">
        <v>2948</v>
      </c>
      <c r="C1501" s="77" t="s">
        <v>26</v>
      </c>
      <c r="D1501" s="379">
        <v>1</v>
      </c>
      <c r="E1501" s="538" t="e">
        <f>INSUMOS!#REF!</f>
        <v>#REF!</v>
      </c>
      <c r="F1501" s="396" t="e">
        <f>D1501*E1501</f>
        <v>#REF!</v>
      </c>
      <c r="M1501" s="537"/>
      <c r="O1501" s="539"/>
      <c r="P1501" s="3"/>
      <c r="Q1501" s="3"/>
      <c r="R1501" s="3"/>
    </row>
    <row r="1502" spans="1:18">
      <c r="A1502" s="529"/>
      <c r="B1502" s="165" t="s">
        <v>2887</v>
      </c>
      <c r="C1502" s="270" t="s">
        <v>121</v>
      </c>
      <c r="D1502" s="379">
        <v>0.1</v>
      </c>
      <c r="E1502" s="440">
        <f>BASICOS!E135</f>
        <v>425444</v>
      </c>
      <c r="F1502" s="440">
        <f>+D1502*E1502</f>
        <v>42544.4</v>
      </c>
      <c r="N1502" s="536"/>
      <c r="P1502" s="3"/>
      <c r="Q1502" s="3"/>
      <c r="R1502" s="3"/>
    </row>
    <row r="1503" spans="1:18">
      <c r="A1503" s="529"/>
      <c r="B1503" s="165" t="s">
        <v>229</v>
      </c>
      <c r="C1503" s="77" t="s">
        <v>68</v>
      </c>
      <c r="D1503" s="379">
        <v>0.05</v>
      </c>
      <c r="E1503" s="396">
        <f>F1502</f>
        <v>42544.4</v>
      </c>
      <c r="F1503" s="396">
        <f>+D1503*E1503</f>
        <v>2127.2200000000003</v>
      </c>
      <c r="P1503" s="3"/>
      <c r="Q1503" s="3"/>
      <c r="R1503" s="3"/>
    </row>
    <row r="1504" spans="1:18">
      <c r="A1504" s="529"/>
      <c r="B1504" s="165" t="s">
        <v>136</v>
      </c>
      <c r="C1504" s="77" t="s">
        <v>68</v>
      </c>
      <c r="D1504" s="379"/>
      <c r="E1504" s="396" t="e">
        <f>SUM(F1501:F1503)</f>
        <v>#REF!</v>
      </c>
      <c r="F1504" s="396" t="e">
        <f>+D1504*E1504</f>
        <v>#REF!</v>
      </c>
      <c r="P1504" s="3"/>
      <c r="Q1504" s="3"/>
      <c r="R1504" s="3"/>
    </row>
    <row r="1505" spans="1:18">
      <c r="A1505" s="529"/>
      <c r="B1505" s="165" t="s">
        <v>11</v>
      </c>
      <c r="C1505" s="77" t="s">
        <v>284</v>
      </c>
      <c r="D1505" s="379">
        <v>0.03</v>
      </c>
      <c r="E1505" s="396">
        <f>F1506</f>
        <v>52268.595989424663</v>
      </c>
      <c r="F1505" s="396">
        <f>(D1505*E1505)</f>
        <v>1568.0578796827399</v>
      </c>
      <c r="P1505" s="3"/>
      <c r="Q1505" s="3"/>
      <c r="R1505" s="3"/>
    </row>
    <row r="1506" spans="1:18">
      <c r="A1506" s="529"/>
      <c r="B1506" s="165" t="s">
        <v>9</v>
      </c>
      <c r="C1506" s="77" t="s">
        <v>10</v>
      </c>
      <c r="D1506" s="379">
        <v>2</v>
      </c>
      <c r="E1506" s="396">
        <f>'VALOR CUADRILLAS MO'!D75</f>
        <v>26134.297994712331</v>
      </c>
      <c r="F1506" s="396">
        <f>+D1506*E1506</f>
        <v>52268.595989424663</v>
      </c>
      <c r="P1506" s="3"/>
      <c r="Q1506" s="3"/>
      <c r="R1506" s="3"/>
    </row>
    <row r="1507" spans="1:18">
      <c r="A1507" s="529"/>
      <c r="B1507" s="165"/>
      <c r="C1507" s="270"/>
      <c r="D1507" s="272"/>
      <c r="E1507" s="266"/>
      <c r="F1507" s="266"/>
    </row>
    <row r="1508" spans="1:18" ht="55.5" customHeight="1">
      <c r="A1508" s="246">
        <f>A1500+1</f>
        <v>185</v>
      </c>
      <c r="B1508" s="83" t="s">
        <v>2949</v>
      </c>
      <c r="C1508" s="76" t="s">
        <v>26</v>
      </c>
      <c r="D1508" s="73"/>
      <c r="E1508" s="430"/>
      <c r="F1508" s="378" t="e">
        <f>ROUND((SUM(F1509:L1515)),0)</f>
        <v>#REF!</v>
      </c>
      <c r="M1508" s="536"/>
      <c r="P1508" s="3"/>
      <c r="Q1508" s="3"/>
      <c r="R1508" s="3"/>
    </row>
    <row r="1509" spans="1:18">
      <c r="A1509" s="427"/>
      <c r="B1509" s="165" t="s">
        <v>2950</v>
      </c>
      <c r="C1509" s="77" t="s">
        <v>26</v>
      </c>
      <c r="D1509" s="379">
        <v>1</v>
      </c>
      <c r="E1509" s="538" t="e">
        <f>INSUMOS!#REF!</f>
        <v>#REF!</v>
      </c>
      <c r="F1509" s="396" t="e">
        <f>D1509*E1509</f>
        <v>#REF!</v>
      </c>
      <c r="M1509" s="537"/>
      <c r="O1509" s="539"/>
      <c r="P1509" s="3"/>
      <c r="Q1509" s="3"/>
      <c r="R1509" s="3"/>
    </row>
    <row r="1510" spans="1:18">
      <c r="A1510" s="529"/>
      <c r="B1510" s="165" t="s">
        <v>2887</v>
      </c>
      <c r="C1510" s="270" t="s">
        <v>121</v>
      </c>
      <c r="D1510" s="379">
        <v>0.2</v>
      </c>
      <c r="E1510" s="440">
        <f>BASICOS!E146</f>
        <v>392821</v>
      </c>
      <c r="F1510" s="440">
        <f>+D1510*E1510</f>
        <v>78564.2</v>
      </c>
      <c r="N1510" s="536"/>
      <c r="P1510" s="3"/>
      <c r="Q1510" s="3"/>
      <c r="R1510" s="3"/>
    </row>
    <row r="1511" spans="1:18">
      <c r="A1511" s="529"/>
      <c r="B1511" s="165" t="s">
        <v>229</v>
      </c>
      <c r="C1511" s="77" t="s">
        <v>68</v>
      </c>
      <c r="D1511" s="379">
        <v>0.05</v>
      </c>
      <c r="E1511" s="396">
        <f>F1510</f>
        <v>78564.2</v>
      </c>
      <c r="F1511" s="396">
        <f>+D1511*E1511</f>
        <v>3928.21</v>
      </c>
      <c r="P1511" s="3"/>
      <c r="Q1511" s="3"/>
      <c r="R1511" s="3"/>
    </row>
    <row r="1512" spans="1:18">
      <c r="A1512" s="529"/>
      <c r="B1512" s="165" t="s">
        <v>136</v>
      </c>
      <c r="C1512" s="77" t="s">
        <v>68</v>
      </c>
      <c r="D1512" s="379"/>
      <c r="E1512" s="396" t="e">
        <f>SUM(F1509:F1511)</f>
        <v>#REF!</v>
      </c>
      <c r="F1512" s="396" t="e">
        <f>+D1512*E1512</f>
        <v>#REF!</v>
      </c>
      <c r="P1512" s="3"/>
      <c r="Q1512" s="3"/>
      <c r="R1512" s="3"/>
    </row>
    <row r="1513" spans="1:18">
      <c r="A1513" s="529"/>
      <c r="B1513" s="165" t="s">
        <v>11</v>
      </c>
      <c r="C1513" s="77" t="s">
        <v>284</v>
      </c>
      <c r="D1513" s="379">
        <v>0.03</v>
      </c>
      <c r="E1513" s="396">
        <f>F1514</f>
        <v>78402.893984136987</v>
      </c>
      <c r="F1513" s="396">
        <f>(D1513*E1513)</f>
        <v>2352.0868195241096</v>
      </c>
      <c r="P1513" s="3"/>
      <c r="Q1513" s="3"/>
      <c r="R1513" s="3"/>
    </row>
    <row r="1514" spans="1:18">
      <c r="A1514" s="529"/>
      <c r="B1514" s="165" t="s">
        <v>9</v>
      </c>
      <c r="C1514" s="77" t="s">
        <v>10</v>
      </c>
      <c r="D1514" s="379">
        <v>3</v>
      </c>
      <c r="E1514" s="396">
        <f>'VALOR CUADRILLAS MO'!D75</f>
        <v>26134.297994712331</v>
      </c>
      <c r="F1514" s="396">
        <f>+D1514*E1514</f>
        <v>78402.893984136987</v>
      </c>
      <c r="P1514" s="3"/>
      <c r="Q1514" s="3"/>
      <c r="R1514" s="3"/>
    </row>
    <row r="1515" spans="1:18">
      <c r="A1515" s="529"/>
      <c r="B1515" s="165"/>
      <c r="C1515" s="270"/>
      <c r="D1515" s="272"/>
      <c r="E1515" s="266"/>
      <c r="F1515" s="266"/>
    </row>
    <row r="1516" spans="1:18" ht="55.5" customHeight="1">
      <c r="A1516" s="246">
        <f>A1508+1</f>
        <v>186</v>
      </c>
      <c r="B1516" s="83" t="s">
        <v>2951</v>
      </c>
      <c r="C1516" s="76" t="s">
        <v>26</v>
      </c>
      <c r="D1516" s="73"/>
      <c r="E1516" s="430"/>
      <c r="F1516" s="378" t="e">
        <f>ROUND((SUM(F1517:L1522)),0)</f>
        <v>#REF!</v>
      </c>
      <c r="M1516" s="536"/>
      <c r="P1516" s="3"/>
      <c r="Q1516" s="3"/>
      <c r="R1516" s="3"/>
    </row>
    <row r="1517" spans="1:18">
      <c r="A1517" s="427"/>
      <c r="B1517" s="165" t="s">
        <v>2952</v>
      </c>
      <c r="C1517" s="77" t="s">
        <v>26</v>
      </c>
      <c r="D1517" s="379">
        <v>1</v>
      </c>
      <c r="E1517" s="538" t="e">
        <f>INSUMOS!#REF!</f>
        <v>#REF!</v>
      </c>
      <c r="F1517" s="396" t="e">
        <f>D1517*E1517</f>
        <v>#REF!</v>
      </c>
      <c r="M1517" s="537"/>
      <c r="O1517" s="539"/>
      <c r="P1517" s="3"/>
      <c r="Q1517" s="3"/>
      <c r="R1517" s="3"/>
    </row>
    <row r="1518" spans="1:18">
      <c r="A1518" s="529"/>
      <c r="B1518" s="165" t="s">
        <v>2887</v>
      </c>
      <c r="C1518" s="270" t="s">
        <v>121</v>
      </c>
      <c r="D1518" s="379">
        <v>0.1</v>
      </c>
      <c r="E1518" s="440">
        <f>BASICOS!E146</f>
        <v>392821</v>
      </c>
      <c r="F1518" s="440">
        <f>+D1518*E1518</f>
        <v>39282.1</v>
      </c>
      <c r="N1518" s="536"/>
      <c r="P1518" s="3"/>
      <c r="Q1518" s="3"/>
      <c r="R1518" s="3"/>
    </row>
    <row r="1519" spans="1:18">
      <c r="A1519" s="529"/>
      <c r="B1519" s="165" t="s">
        <v>229</v>
      </c>
      <c r="C1519" s="77" t="s">
        <v>68</v>
      </c>
      <c r="D1519" s="379">
        <v>0.05</v>
      </c>
      <c r="E1519" s="396">
        <f>F1518</f>
        <v>39282.1</v>
      </c>
      <c r="F1519" s="396">
        <f>+D1519*E1519</f>
        <v>1964.105</v>
      </c>
      <c r="P1519" s="3"/>
      <c r="Q1519" s="3"/>
      <c r="R1519" s="3"/>
    </row>
    <row r="1520" spans="1:18">
      <c r="A1520" s="529"/>
      <c r="B1520" s="165" t="s">
        <v>136</v>
      </c>
      <c r="C1520" s="77" t="s">
        <v>68</v>
      </c>
      <c r="D1520" s="379"/>
      <c r="E1520" s="396" t="e">
        <f>SUM(F1517:F1519)</f>
        <v>#REF!</v>
      </c>
      <c r="F1520" s="396" t="e">
        <f>+D1520*E1520</f>
        <v>#REF!</v>
      </c>
      <c r="P1520" s="3"/>
      <c r="Q1520" s="3"/>
      <c r="R1520" s="3"/>
    </row>
    <row r="1521" spans="1:18">
      <c r="A1521" s="529"/>
      <c r="B1521" s="165" t="s">
        <v>11</v>
      </c>
      <c r="C1521" s="77" t="s">
        <v>284</v>
      </c>
      <c r="D1521" s="379">
        <v>0.03</v>
      </c>
      <c r="E1521" s="396">
        <f>F1522</f>
        <v>26134.297994712331</v>
      </c>
      <c r="F1521" s="396">
        <f>(D1521*E1521)</f>
        <v>784.02893984136995</v>
      </c>
      <c r="P1521" s="3"/>
      <c r="Q1521" s="3"/>
      <c r="R1521" s="3"/>
    </row>
    <row r="1522" spans="1:18">
      <c r="A1522" s="529"/>
      <c r="B1522" s="165" t="s">
        <v>9</v>
      </c>
      <c r="C1522" s="77" t="s">
        <v>10</v>
      </c>
      <c r="D1522" s="379">
        <v>1</v>
      </c>
      <c r="E1522" s="396">
        <f>'VALOR CUADRILLAS MO'!D75</f>
        <v>26134.297994712331</v>
      </c>
      <c r="F1522" s="396">
        <f>+D1522*E1522</f>
        <v>26134.297994712331</v>
      </c>
      <c r="P1522" s="3"/>
      <c r="Q1522" s="3"/>
      <c r="R1522" s="3"/>
    </row>
    <row r="1523" spans="1:18">
      <c r="A1523" s="529"/>
      <c r="B1523" s="165"/>
      <c r="C1523" s="270"/>
      <c r="D1523" s="272"/>
      <c r="E1523" s="266"/>
      <c r="F1523" s="266"/>
    </row>
    <row r="1524" spans="1:18" ht="121.9" customHeight="1">
      <c r="A1524" s="246">
        <f>A1516+1</f>
        <v>187</v>
      </c>
      <c r="B1524" s="83" t="s">
        <v>3070</v>
      </c>
      <c r="C1524" s="76" t="s">
        <v>26</v>
      </c>
      <c r="D1524" s="73"/>
      <c r="E1524" s="430"/>
      <c r="F1524" s="602" t="e">
        <f>ROUND(SUM(F1525:F1528),0)</f>
        <v>#REF!</v>
      </c>
    </row>
    <row r="1525" spans="1:18">
      <c r="A1525" s="577"/>
      <c r="B1525" s="36" t="s">
        <v>3071</v>
      </c>
      <c r="C1525" s="77" t="s">
        <v>26</v>
      </c>
      <c r="D1525" s="368">
        <v>1</v>
      </c>
      <c r="E1525" s="390" t="e">
        <f>INSUMOS!#REF!</f>
        <v>#REF!</v>
      </c>
      <c r="F1525" s="390" t="e">
        <f>D1525*E1525</f>
        <v>#REF!</v>
      </c>
    </row>
    <row r="1526" spans="1:18">
      <c r="A1526" s="577"/>
      <c r="B1526" s="36" t="s">
        <v>136</v>
      </c>
      <c r="C1526" s="77" t="s">
        <v>68</v>
      </c>
      <c r="D1526" s="368"/>
      <c r="E1526" s="390" t="e">
        <f>E1525</f>
        <v>#REF!</v>
      </c>
      <c r="F1526" s="390" t="e">
        <f>D1526*E1526</f>
        <v>#REF!</v>
      </c>
    </row>
    <row r="1527" spans="1:18">
      <c r="A1527" s="577"/>
      <c r="B1527" s="36" t="s">
        <v>11</v>
      </c>
      <c r="C1527" s="77" t="s">
        <v>284</v>
      </c>
      <c r="D1527" s="368">
        <v>0.03</v>
      </c>
      <c r="E1527" s="390">
        <f>F1528</f>
        <v>1176043.4097620549</v>
      </c>
      <c r="F1527" s="390">
        <f>D1527*E1527</f>
        <v>35281.302292861648</v>
      </c>
    </row>
    <row r="1528" spans="1:18">
      <c r="A1528" s="577"/>
      <c r="B1528" s="165" t="s">
        <v>9</v>
      </c>
      <c r="C1528" s="77" t="s">
        <v>10</v>
      </c>
      <c r="D1528" s="368">
        <v>45</v>
      </c>
      <c r="E1528" s="395">
        <f>'VALOR CUADRILLAS MO'!D75</f>
        <v>26134.297994712331</v>
      </c>
      <c r="F1528" s="390">
        <f>D1528*E1528</f>
        <v>1176043.4097620549</v>
      </c>
    </row>
    <row r="1529" spans="1:18">
      <c r="A1529" s="529"/>
      <c r="B1529" s="165"/>
      <c r="C1529" s="270"/>
      <c r="D1529" s="272"/>
      <c r="E1529" s="266"/>
      <c r="F1529" s="266"/>
    </row>
    <row r="1530" spans="1:18" ht="57.6" customHeight="1">
      <c r="A1530" s="246">
        <f>A1524+1</f>
        <v>188</v>
      </c>
      <c r="B1530" s="83" t="s">
        <v>3081</v>
      </c>
      <c r="C1530" s="76" t="s">
        <v>26</v>
      </c>
      <c r="D1530" s="73"/>
      <c r="E1530" s="430"/>
      <c r="F1530" s="378" t="e">
        <f>ROUND(SUM(F1531:F1537),0)</f>
        <v>#REF!</v>
      </c>
    </row>
    <row r="1531" spans="1:18">
      <c r="A1531" s="529"/>
      <c r="B1531" s="36" t="s">
        <v>3130</v>
      </c>
      <c r="C1531" s="77" t="s">
        <v>124</v>
      </c>
      <c r="D1531" s="379">
        <v>4</v>
      </c>
      <c r="E1531" s="396">
        <v>56350</v>
      </c>
      <c r="F1531" s="396">
        <f>+D1531*E1531</f>
        <v>225400</v>
      </c>
    </row>
    <row r="1532" spans="1:18">
      <c r="A1532" s="529"/>
      <c r="B1532" s="36" t="s">
        <v>3082</v>
      </c>
      <c r="C1532" s="77" t="s">
        <v>26</v>
      </c>
      <c r="D1532" s="379">
        <v>18</v>
      </c>
      <c r="E1532" s="396" t="e">
        <f>INSUMOS!#REF!</f>
        <v>#REF!</v>
      </c>
      <c r="F1532" s="396" t="e">
        <f t="shared" ref="F1532:F1537" si="48">+D1532*E1532</f>
        <v>#REF!</v>
      </c>
    </row>
    <row r="1533" spans="1:18">
      <c r="A1533" s="529"/>
      <c r="B1533" s="36" t="s">
        <v>229</v>
      </c>
      <c r="C1533" s="77" t="s">
        <v>68</v>
      </c>
      <c r="D1533" s="379">
        <v>0.05</v>
      </c>
      <c r="E1533" s="396" t="e">
        <f>SUM(F1531:F1532)</f>
        <v>#REF!</v>
      </c>
      <c r="F1533" s="396" t="e">
        <f t="shared" si="48"/>
        <v>#REF!</v>
      </c>
    </row>
    <row r="1534" spans="1:18">
      <c r="A1534" s="529"/>
      <c r="B1534" s="36" t="s">
        <v>136</v>
      </c>
      <c r="C1534" s="77" t="s">
        <v>68</v>
      </c>
      <c r="D1534" s="379"/>
      <c r="E1534" s="396" t="e">
        <f>SUM(F1531:F1533)</f>
        <v>#REF!</v>
      </c>
      <c r="F1534" s="396" t="e">
        <f t="shared" si="48"/>
        <v>#REF!</v>
      </c>
    </row>
    <row r="1535" spans="1:18">
      <c r="A1535" s="529"/>
      <c r="B1535" s="36" t="s">
        <v>22</v>
      </c>
      <c r="C1535" s="77" t="s">
        <v>12</v>
      </c>
      <c r="D1535" s="379">
        <v>4</v>
      </c>
      <c r="E1535" s="396">
        <f>BASICOS!D33</f>
        <v>2856</v>
      </c>
      <c r="F1535" s="396">
        <f t="shared" si="48"/>
        <v>11424</v>
      </c>
    </row>
    <row r="1536" spans="1:18">
      <c r="A1536" s="529"/>
      <c r="B1536" s="36" t="s">
        <v>11</v>
      </c>
      <c r="C1536" s="77" t="s">
        <v>284</v>
      </c>
      <c r="D1536" s="379">
        <v>0.03</v>
      </c>
      <c r="E1536" s="396">
        <f>F1537</f>
        <v>93168.772351149455</v>
      </c>
      <c r="F1536" s="396">
        <f t="shared" si="48"/>
        <v>2795.0631705344836</v>
      </c>
    </row>
    <row r="1537" spans="1:18">
      <c r="A1537" s="529"/>
      <c r="B1537" s="36" t="s">
        <v>102</v>
      </c>
      <c r="C1537" s="77" t="s">
        <v>10</v>
      </c>
      <c r="D1537" s="379">
        <v>3.1</v>
      </c>
      <c r="E1537" s="396">
        <f>'VALOR CUADRILLAS MO'!D101</f>
        <v>30054.442693919176</v>
      </c>
      <c r="F1537" s="396">
        <f t="shared" si="48"/>
        <v>93168.772351149455</v>
      </c>
    </row>
    <row r="1538" spans="1:18">
      <c r="A1538" s="529"/>
      <c r="B1538" s="165"/>
      <c r="C1538" s="270"/>
      <c r="D1538" s="272"/>
      <c r="E1538" s="266"/>
      <c r="F1538" s="266"/>
    </row>
    <row r="1539" spans="1:18" ht="38.450000000000003" customHeight="1">
      <c r="A1539" s="246">
        <f>A1530+1</f>
        <v>189</v>
      </c>
      <c r="B1539" s="83" t="s">
        <v>3147</v>
      </c>
      <c r="C1539" s="76" t="s">
        <v>119</v>
      </c>
      <c r="D1539" s="73"/>
      <c r="E1539" s="430"/>
      <c r="F1539" s="378" t="e">
        <f>ROUND(SUM(F1540:F1544),0)</f>
        <v>#REF!</v>
      </c>
    </row>
    <row r="1540" spans="1:18">
      <c r="A1540" s="529"/>
      <c r="B1540" s="580" t="s">
        <v>3148</v>
      </c>
      <c r="C1540" s="581" t="s">
        <v>26</v>
      </c>
      <c r="D1540" s="582">
        <v>1</v>
      </c>
      <c r="E1540" s="583" t="e">
        <f>INSUMOS!#REF!</f>
        <v>#REF!</v>
      </c>
      <c r="F1540" s="583" t="e">
        <f t="shared" ref="F1540:F1544" si="49">+D1540*E1540</f>
        <v>#REF!</v>
      </c>
    </row>
    <row r="1541" spans="1:18">
      <c r="A1541" s="529"/>
      <c r="B1541" s="580" t="s">
        <v>229</v>
      </c>
      <c r="C1541" s="581" t="s">
        <v>68</v>
      </c>
      <c r="D1541" s="582">
        <v>0.05</v>
      </c>
      <c r="E1541" s="583" t="e">
        <f>SUM(F1540:F1540)</f>
        <v>#REF!</v>
      </c>
      <c r="F1541" s="583" t="e">
        <f t="shared" si="49"/>
        <v>#REF!</v>
      </c>
    </row>
    <row r="1542" spans="1:18">
      <c r="A1542" s="529"/>
      <c r="B1542" s="580" t="s">
        <v>136</v>
      </c>
      <c r="C1542" s="581" t="s">
        <v>68</v>
      </c>
      <c r="D1542" s="582"/>
      <c r="E1542" s="583" t="e">
        <f>SUM(F1540:F1541)</f>
        <v>#REF!</v>
      </c>
      <c r="F1542" s="583" t="e">
        <f t="shared" si="49"/>
        <v>#REF!</v>
      </c>
    </row>
    <row r="1543" spans="1:18">
      <c r="A1543" s="529"/>
      <c r="B1543" s="580" t="s">
        <v>11</v>
      </c>
      <c r="C1543" s="581" t="s">
        <v>284</v>
      </c>
      <c r="D1543" s="582">
        <v>0.03</v>
      </c>
      <c r="E1543" s="583">
        <f>F1544</f>
        <v>1960.0723496034248</v>
      </c>
      <c r="F1543" s="583">
        <f t="shared" si="49"/>
        <v>58.802170488102739</v>
      </c>
    </row>
    <row r="1544" spans="1:18">
      <c r="A1544" s="529"/>
      <c r="B1544" s="165" t="s">
        <v>9</v>
      </c>
      <c r="C1544" s="581" t="s">
        <v>10</v>
      </c>
      <c r="D1544" s="582">
        <v>7.4999999999999997E-2</v>
      </c>
      <c r="E1544" s="583">
        <f>'VALOR CUADRILLAS MO'!D75</f>
        <v>26134.297994712331</v>
      </c>
      <c r="F1544" s="583">
        <f t="shared" si="49"/>
        <v>1960.0723496034248</v>
      </c>
    </row>
    <row r="1545" spans="1:18" s="272" customFormat="1">
      <c r="A1545" s="529"/>
      <c r="B1545" s="165"/>
      <c r="C1545" s="270"/>
      <c r="E1545" s="266"/>
      <c r="F1545" s="266"/>
      <c r="G1545" s="351"/>
      <c r="H1545" s="351"/>
      <c r="I1545" s="351"/>
      <c r="J1545" s="628"/>
      <c r="K1545" s="628"/>
      <c r="L1545" s="628"/>
      <c r="O1545" s="77"/>
      <c r="P1545" s="77"/>
      <c r="Q1545" s="77"/>
      <c r="R1545" s="77"/>
    </row>
    <row r="1546" spans="1:18" ht="40.15" customHeight="1">
      <c r="A1546" s="246">
        <f>A1539+1</f>
        <v>190</v>
      </c>
      <c r="B1546" s="83" t="s">
        <v>3149</v>
      </c>
      <c r="C1546" s="76" t="s">
        <v>119</v>
      </c>
      <c r="D1546" s="73"/>
      <c r="E1546" s="430"/>
      <c r="F1546" s="378">
        <f>ROUND(SUM(F1547:F1551),0)</f>
        <v>5268</v>
      </c>
    </row>
    <row r="1547" spans="1:18">
      <c r="A1547" s="529"/>
      <c r="B1547" s="580" t="s">
        <v>3150</v>
      </c>
      <c r="C1547" s="581" t="s">
        <v>121</v>
      </c>
      <c r="D1547" s="582">
        <v>0.05</v>
      </c>
      <c r="E1547" s="583">
        <f>BASICOS!D12</f>
        <v>61880</v>
      </c>
      <c r="F1547" s="583">
        <f t="shared" ref="F1547:F1551" si="50">+D1547*E1547</f>
        <v>3094</v>
      </c>
    </row>
    <row r="1548" spans="1:18">
      <c r="A1548" s="529"/>
      <c r="B1548" s="580" t="s">
        <v>229</v>
      </c>
      <c r="C1548" s="581" t="s">
        <v>68</v>
      </c>
      <c r="D1548" s="582">
        <v>0.05</v>
      </c>
      <c r="E1548" s="583">
        <f>SUM(F1547:F1547)</f>
        <v>3094</v>
      </c>
      <c r="F1548" s="583">
        <f t="shared" si="50"/>
        <v>154.70000000000002</v>
      </c>
    </row>
    <row r="1549" spans="1:18">
      <c r="A1549" s="529"/>
      <c r="B1549" s="580" t="s">
        <v>136</v>
      </c>
      <c r="C1549" s="581" t="s">
        <v>68</v>
      </c>
      <c r="D1549" s="582"/>
      <c r="E1549" s="583">
        <f>SUM(F1547:F1548)</f>
        <v>3248.7</v>
      </c>
      <c r="F1549" s="583">
        <f t="shared" si="50"/>
        <v>0</v>
      </c>
    </row>
    <row r="1550" spans="1:18">
      <c r="A1550" s="529"/>
      <c r="B1550" s="580" t="s">
        <v>11</v>
      </c>
      <c r="C1550" s="581" t="s">
        <v>284</v>
      </c>
      <c r="D1550" s="582">
        <v>0.03</v>
      </c>
      <c r="E1550" s="583">
        <f>F1551</f>
        <v>1960.0723496034248</v>
      </c>
      <c r="F1550" s="583">
        <f t="shared" si="50"/>
        <v>58.802170488102739</v>
      </c>
    </row>
    <row r="1551" spans="1:18">
      <c r="A1551" s="529"/>
      <c r="B1551" s="165" t="s">
        <v>9</v>
      </c>
      <c r="C1551" s="581" t="s">
        <v>10</v>
      </c>
      <c r="D1551" s="582">
        <v>7.4999999999999997E-2</v>
      </c>
      <c r="E1551" s="583">
        <f>'VALOR CUADRILLAS MO'!D75</f>
        <v>26134.297994712331</v>
      </c>
      <c r="F1551" s="583">
        <f t="shared" si="50"/>
        <v>1960.0723496034248</v>
      </c>
    </row>
    <row r="1552" spans="1:18">
      <c r="A1552" s="529"/>
      <c r="B1552" s="165"/>
      <c r="C1552" s="270"/>
      <c r="D1552" s="272"/>
      <c r="E1552" s="266"/>
      <c r="F1552" s="266"/>
    </row>
    <row r="1553" spans="1:6" ht="63.6" customHeight="1">
      <c r="A1553" s="246">
        <f>A1546+1</f>
        <v>191</v>
      </c>
      <c r="B1553" s="629" t="s">
        <v>3151</v>
      </c>
      <c r="C1553" s="630" t="s">
        <v>119</v>
      </c>
      <c r="D1553" s="631"/>
      <c r="E1553" s="632"/>
      <c r="F1553" s="378" t="e">
        <f>ROUND(SUM(F1554:F1559),0)</f>
        <v>#REF!</v>
      </c>
    </row>
    <row r="1554" spans="1:6" ht="25.5">
      <c r="A1554" s="529"/>
      <c r="B1554" s="633" t="s">
        <v>3152</v>
      </c>
      <c r="C1554" s="634" t="s">
        <v>119</v>
      </c>
      <c r="D1554" s="635">
        <v>1</v>
      </c>
      <c r="E1554" s="636" t="e">
        <f>INSUMOS!#REF!</f>
        <v>#REF!</v>
      </c>
      <c r="F1554" s="636" t="e">
        <f>D1554*E1554</f>
        <v>#REF!</v>
      </c>
    </row>
    <row r="1555" spans="1:6">
      <c r="A1555" s="529"/>
      <c r="B1555" s="633" t="s">
        <v>67</v>
      </c>
      <c r="C1555" s="634" t="s">
        <v>121</v>
      </c>
      <c r="D1555" s="635">
        <v>0.05</v>
      </c>
      <c r="E1555" s="636">
        <f>BASICOS!E80</f>
        <v>318331</v>
      </c>
      <c r="F1555" s="636">
        <f>+D1555*E1555</f>
        <v>15916.550000000001</v>
      </c>
    </row>
    <row r="1556" spans="1:6">
      <c r="A1556" s="529"/>
      <c r="B1556" s="633" t="s">
        <v>229</v>
      </c>
      <c r="C1556" s="634" t="s">
        <v>68</v>
      </c>
      <c r="D1556" s="635">
        <v>0.05</v>
      </c>
      <c r="E1556" s="636" t="e">
        <f>SUM(F1554:F1555)</f>
        <v>#REF!</v>
      </c>
      <c r="F1556" s="636" t="e">
        <f>+D1556*E1556</f>
        <v>#REF!</v>
      </c>
    </row>
    <row r="1557" spans="1:6">
      <c r="A1557" s="529"/>
      <c r="B1557" s="633" t="s">
        <v>136</v>
      </c>
      <c r="C1557" s="634" t="s">
        <v>68</v>
      </c>
      <c r="D1557" s="635"/>
      <c r="E1557" s="636" t="e">
        <f>SUM(F1554:F1556)</f>
        <v>#REF!</v>
      </c>
      <c r="F1557" s="636" t="e">
        <f>+D1557*E1557</f>
        <v>#REF!</v>
      </c>
    </row>
    <row r="1558" spans="1:6">
      <c r="A1558" s="529"/>
      <c r="B1558" s="633" t="s">
        <v>11</v>
      </c>
      <c r="C1558" s="634" t="s">
        <v>284</v>
      </c>
      <c r="D1558" s="635">
        <v>0.03</v>
      </c>
      <c r="E1558" s="636">
        <f>F1559</f>
        <v>26134.297994712331</v>
      </c>
      <c r="F1558" s="636">
        <f>(D1558*E1558)</f>
        <v>784.02893984136995</v>
      </c>
    </row>
    <row r="1559" spans="1:6">
      <c r="A1559" s="529"/>
      <c r="B1559" s="633" t="s">
        <v>9</v>
      </c>
      <c r="C1559" s="634" t="s">
        <v>10</v>
      </c>
      <c r="D1559" s="635">
        <v>1</v>
      </c>
      <c r="E1559" s="636">
        <f>'VALOR CUADRILLAS MO'!D75</f>
        <v>26134.297994712331</v>
      </c>
      <c r="F1559" s="636">
        <f>+D1559*E1559</f>
        <v>26134.297994712331</v>
      </c>
    </row>
    <row r="1560" spans="1:6">
      <c r="A1560" s="529"/>
      <c r="B1560" s="165"/>
      <c r="C1560" s="270"/>
      <c r="D1560" s="272"/>
      <c r="E1560" s="266"/>
      <c r="F1560" s="266"/>
    </row>
    <row r="1561" spans="1:6">
      <c r="A1561" s="529"/>
      <c r="B1561" s="165"/>
      <c r="C1561" s="270"/>
      <c r="D1561" s="272"/>
      <c r="E1561" s="266"/>
      <c r="F1561" s="266"/>
    </row>
    <row r="1562" spans="1:6">
      <c r="A1562" s="529"/>
      <c r="B1562" s="165"/>
      <c r="C1562" s="270"/>
      <c r="D1562" s="272"/>
      <c r="E1562" s="266"/>
      <c r="F1562" s="266"/>
    </row>
    <row r="1563" spans="1:6">
      <c r="A1563" s="529"/>
      <c r="B1563" s="165"/>
      <c r="C1563" s="270"/>
      <c r="D1563" s="272"/>
      <c r="E1563" s="266"/>
      <c r="F1563" s="266"/>
    </row>
    <row r="1564" spans="1:6">
      <c r="A1564" s="529"/>
      <c r="B1564" s="165"/>
      <c r="C1564" s="270"/>
      <c r="D1564" s="272"/>
      <c r="E1564" s="266"/>
      <c r="F1564" s="266"/>
    </row>
    <row r="1565" spans="1:6">
      <c r="A1565" s="529"/>
      <c r="B1565" s="165"/>
      <c r="C1565" s="270"/>
      <c r="D1565" s="272"/>
      <c r="E1565" s="266"/>
      <c r="F1565" s="266"/>
    </row>
    <row r="1566" spans="1:6">
      <c r="A1566" s="529"/>
      <c r="B1566" s="165"/>
      <c r="C1566" s="270"/>
      <c r="D1566" s="272"/>
      <c r="E1566" s="266"/>
      <c r="F1566" s="266"/>
    </row>
    <row r="1567" spans="1:6">
      <c r="A1567" s="529"/>
      <c r="B1567" s="165"/>
      <c r="C1567" s="270"/>
      <c r="D1567" s="272"/>
      <c r="E1567" s="266"/>
      <c r="F1567" s="266"/>
    </row>
    <row r="1568" spans="1:6">
      <c r="A1568" s="529"/>
      <c r="B1568" s="165"/>
      <c r="C1568" s="270"/>
      <c r="D1568" s="272"/>
      <c r="E1568" s="266"/>
      <c r="F1568" s="266"/>
    </row>
    <row r="1569" spans="1:6">
      <c r="A1569" s="529"/>
      <c r="B1569" s="165"/>
      <c r="C1569" s="270"/>
      <c r="D1569" s="272"/>
      <c r="E1569" s="266"/>
      <c r="F1569" s="266"/>
    </row>
  </sheetData>
  <sheetProtection formatCells="0" formatColumns="0" formatRows="0" insertColumns="0" insertRows="0" insertHyperlinks="0" deleteColumns="0" deleteRows="0" sort="0" autoFilter="0" pivotTables="0"/>
  <mergeCells count="12">
    <mergeCell ref="A2:F2"/>
    <mergeCell ref="A3:F3"/>
    <mergeCell ref="H6:H8"/>
    <mergeCell ref="B1:E1"/>
    <mergeCell ref="V313:W313"/>
    <mergeCell ref="R313:S313"/>
    <mergeCell ref="T313:U313"/>
    <mergeCell ref="N314:O319"/>
    <mergeCell ref="N325:O326"/>
    <mergeCell ref="O320:O324"/>
    <mergeCell ref="N313:O313"/>
    <mergeCell ref="P313:Q313"/>
  </mergeCells>
  <pageMargins left="0.78740157480314965" right="0.39370078740157483" top="1.1811023622047245" bottom="0.78740157480314965" header="0" footer="0"/>
  <pageSetup scale="65" orientation="portrait" errors="NA" r:id="rId1"/>
  <headerFooter alignWithMargins="0">
    <oddFooter>&amp;R&amp;P/&amp;N</oddFooter>
  </headerFooter>
  <rowBreaks count="1" manualBreakCount="1">
    <brk id="290" max="16383" man="1"/>
  </rowBreaks>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rgb="FF92D050"/>
  </sheetPr>
  <dimension ref="A1:T713"/>
  <sheetViews>
    <sheetView view="pageBreakPreview" topLeftCell="A46" zoomScale="90" zoomScaleNormal="90" zoomScaleSheetLayoutView="90" workbookViewId="0">
      <selection activeCell="A4" sqref="A4"/>
    </sheetView>
  </sheetViews>
  <sheetFormatPr baseColWidth="10" defaultColWidth="11.42578125" defaultRowHeight="12.75"/>
  <cols>
    <col min="1" max="1" width="8.7109375" style="531" customWidth="1"/>
    <col min="2" max="2" width="66.42578125" style="385" customWidth="1"/>
    <col min="3" max="3" width="9.140625" style="18" customWidth="1"/>
    <col min="4" max="4" width="11.42578125" style="3" bestFit="1" customWidth="1"/>
    <col min="5" max="5" width="16.28515625" style="259" bestFit="1" customWidth="1"/>
    <col min="6" max="6" width="20" style="259" bestFit="1" customWidth="1"/>
    <col min="7" max="7" width="14.7109375" style="2" hidden="1" customWidth="1"/>
    <col min="8" max="8" width="11" style="2" hidden="1" customWidth="1"/>
    <col min="9" max="9" width="12.28515625" style="2" hidden="1" customWidth="1"/>
    <col min="10" max="10" width="13.5703125" style="244" hidden="1" customWidth="1"/>
    <col min="11" max="11" width="17.42578125" style="244" hidden="1" customWidth="1"/>
    <col min="12" max="12" width="14.5703125" style="244" hidden="1" customWidth="1"/>
    <col min="13" max="13" width="13.28515625" style="3" bestFit="1" customWidth="1"/>
    <col min="14" max="14" width="15.7109375" style="3" customWidth="1"/>
    <col min="15" max="15" width="66.42578125" style="64" customWidth="1"/>
    <col min="16" max="16" width="17.28515625" style="64" customWidth="1"/>
    <col min="17" max="17" width="19.42578125" style="64" customWidth="1"/>
    <col min="18" max="18" width="15.28515625" style="64" customWidth="1"/>
    <col min="19" max="19" width="16.7109375" style="3" bestFit="1" customWidth="1"/>
    <col min="20" max="20" width="16.28515625" style="3" bestFit="1" customWidth="1"/>
    <col min="21" max="16384" width="11.42578125" style="3"/>
  </cols>
  <sheetData>
    <row r="1" spans="1:20" s="242" customFormat="1" ht="42" customHeight="1">
      <c r="A1" s="707"/>
      <c r="B1" s="1184" t="s">
        <v>3237</v>
      </c>
      <c r="C1" s="1184"/>
      <c r="D1" s="1184"/>
      <c r="E1" s="1184"/>
      <c r="F1" s="708"/>
      <c r="O1" s="243"/>
      <c r="P1" s="243"/>
      <c r="Q1" s="243"/>
      <c r="R1" s="243"/>
    </row>
    <row r="2" spans="1:20" s="242" customFormat="1" ht="19.899999999999999" customHeight="1">
      <c r="A2" s="1180" t="s">
        <v>2963</v>
      </c>
      <c r="B2" s="1181"/>
      <c r="C2" s="1181"/>
      <c r="D2" s="1181"/>
      <c r="E2" s="1181"/>
      <c r="F2" s="1182"/>
      <c r="O2" s="243"/>
      <c r="P2" s="243"/>
      <c r="Q2" s="243"/>
      <c r="R2" s="243"/>
    </row>
    <row r="3" spans="1:20" ht="24" customHeight="1">
      <c r="A3" s="1153" t="s">
        <v>3236</v>
      </c>
      <c r="B3" s="1154"/>
      <c r="C3" s="1154"/>
      <c r="D3" s="1154"/>
      <c r="E3" s="1154"/>
      <c r="F3" s="1155"/>
      <c r="G3" s="3"/>
      <c r="H3" s="3"/>
      <c r="I3" s="3"/>
      <c r="J3" s="3"/>
      <c r="K3" s="3"/>
      <c r="L3" s="3"/>
    </row>
    <row r="4" spans="1:20" ht="19.899999999999999" customHeight="1">
      <c r="A4" s="84" t="s">
        <v>201</v>
      </c>
      <c r="B4" s="87" t="s">
        <v>205</v>
      </c>
      <c r="C4" s="85" t="s">
        <v>3084</v>
      </c>
      <c r="D4" s="88" t="s">
        <v>2965</v>
      </c>
      <c r="E4" s="89" t="s">
        <v>532</v>
      </c>
      <c r="F4" s="86" t="s">
        <v>291</v>
      </c>
    </row>
    <row r="5" spans="1:20" ht="19.899999999999999" customHeight="1">
      <c r="A5" s="453" t="s">
        <v>395</v>
      </c>
      <c r="B5" s="454" t="s">
        <v>2710</v>
      </c>
      <c r="C5" s="455"/>
      <c r="D5" s="456"/>
      <c r="E5" s="457"/>
      <c r="F5" s="457"/>
      <c r="G5" s="245"/>
    </row>
    <row r="6" spans="1:20" ht="19.899999999999999" customHeight="1">
      <c r="A6" s="246">
        <v>1</v>
      </c>
      <c r="B6" s="83" t="s">
        <v>285</v>
      </c>
      <c r="C6" s="76" t="s">
        <v>21</v>
      </c>
      <c r="D6" s="73"/>
      <c r="E6" s="74"/>
      <c r="F6" s="75" t="e">
        <f>ROUND(SUM(F7:F13),0)</f>
        <v>#REF!</v>
      </c>
      <c r="H6" s="1185"/>
      <c r="I6" s="1185"/>
      <c r="J6" s="1185"/>
    </row>
    <row r="7" spans="1:20">
      <c r="A7" s="529"/>
      <c r="B7" s="165" t="s">
        <v>13</v>
      </c>
      <c r="C7" s="77" t="s">
        <v>26</v>
      </c>
      <c r="D7" s="78">
        <v>0.25</v>
      </c>
      <c r="E7" s="79">
        <f>+INSUMOS!D5</f>
        <v>2067.0300000000002</v>
      </c>
      <c r="F7" s="79">
        <f t="shared" ref="F7:F13" si="0">+D7*E7</f>
        <v>516.75750000000005</v>
      </c>
    </row>
    <row r="8" spans="1:20">
      <c r="A8" s="529"/>
      <c r="B8" s="165" t="s">
        <v>770</v>
      </c>
      <c r="C8" s="77" t="s">
        <v>771</v>
      </c>
      <c r="D8" s="80">
        <v>0.01</v>
      </c>
      <c r="E8" s="79" t="e">
        <f>INSUMOS!#REF!</f>
        <v>#REF!</v>
      </c>
      <c r="F8" s="79" t="e">
        <f t="shared" si="0"/>
        <v>#REF!</v>
      </c>
    </row>
    <row r="9" spans="1:20">
      <c r="A9" s="529"/>
      <c r="B9" s="165" t="s">
        <v>16</v>
      </c>
      <c r="C9" s="77" t="s">
        <v>17</v>
      </c>
      <c r="D9" s="78">
        <v>2.7000000000000001E-3</v>
      </c>
      <c r="E9" s="79">
        <f>+INSUMOS!D41</f>
        <v>3464.09</v>
      </c>
      <c r="F9" s="79">
        <f t="shared" si="0"/>
        <v>9.3530430000000013</v>
      </c>
      <c r="H9" s="31"/>
    </row>
    <row r="10" spans="1:20">
      <c r="A10" s="529"/>
      <c r="B10" s="165" t="s">
        <v>286</v>
      </c>
      <c r="C10" s="77" t="s">
        <v>129</v>
      </c>
      <c r="D10" s="81">
        <v>2.0000000000000001E-4</v>
      </c>
      <c r="E10" s="79">
        <f>+INSUMOS!D19</f>
        <v>3267000</v>
      </c>
      <c r="F10" s="79">
        <f t="shared" si="0"/>
        <v>653.4</v>
      </c>
      <c r="H10" s="31"/>
    </row>
    <row r="11" spans="1:20">
      <c r="A11" s="529"/>
      <c r="B11" s="165" t="s">
        <v>287</v>
      </c>
      <c r="C11" s="77" t="s">
        <v>129</v>
      </c>
      <c r="D11" s="81">
        <v>1E-4</v>
      </c>
      <c r="E11" s="79">
        <f>+INSUMOS!D20</f>
        <v>1526000</v>
      </c>
      <c r="F11" s="79">
        <f t="shared" si="0"/>
        <v>152.6</v>
      </c>
      <c r="H11" s="31"/>
    </row>
    <row r="12" spans="1:20" s="2" customFormat="1">
      <c r="A12" s="529"/>
      <c r="B12" s="165" t="s">
        <v>288</v>
      </c>
      <c r="C12" s="77" t="s">
        <v>129</v>
      </c>
      <c r="D12" s="81">
        <v>1E-4</v>
      </c>
      <c r="E12" s="79">
        <f>+INSUMOS!D21</f>
        <v>1329000</v>
      </c>
      <c r="F12" s="79">
        <f t="shared" si="0"/>
        <v>132.9</v>
      </c>
      <c r="H12" s="31"/>
      <c r="J12" s="244"/>
      <c r="K12" s="244"/>
      <c r="L12" s="244"/>
      <c r="M12" s="3"/>
      <c r="N12" s="3"/>
      <c r="O12" s="64"/>
      <c r="P12" s="64"/>
      <c r="Q12" s="64"/>
      <c r="R12" s="64"/>
      <c r="S12" s="3"/>
      <c r="T12" s="3"/>
    </row>
    <row r="13" spans="1:20" s="2" customFormat="1">
      <c r="A13" s="529"/>
      <c r="B13" s="165" t="s">
        <v>289</v>
      </c>
      <c r="C13" s="77" t="s">
        <v>129</v>
      </c>
      <c r="D13" s="81">
        <v>1E-4</v>
      </c>
      <c r="E13" s="79" t="e">
        <f>+INSUMOS!#REF!</f>
        <v>#REF!</v>
      </c>
      <c r="F13" s="79" t="e">
        <f t="shared" si="0"/>
        <v>#REF!</v>
      </c>
      <c r="H13" s="31"/>
      <c r="J13" s="244"/>
      <c r="K13" s="244"/>
      <c r="L13" s="244"/>
      <c r="M13" s="3"/>
      <c r="N13" s="3"/>
      <c r="O13" s="64"/>
      <c r="P13" s="64"/>
      <c r="Q13" s="64"/>
      <c r="R13" s="64"/>
      <c r="S13" s="3"/>
      <c r="T13" s="3"/>
    </row>
    <row r="14" spans="1:20" s="2" customFormat="1">
      <c r="A14" s="529"/>
      <c r="B14" s="165"/>
      <c r="C14" s="77"/>
      <c r="D14" s="78"/>
      <c r="E14" s="79"/>
      <c r="F14" s="79"/>
      <c r="H14" s="31"/>
      <c r="J14" s="244"/>
      <c r="K14" s="244"/>
      <c r="L14" s="244"/>
      <c r="M14" s="3"/>
      <c r="N14" s="3"/>
      <c r="O14" s="64"/>
      <c r="P14" s="64"/>
      <c r="Q14" s="64"/>
      <c r="R14" s="64"/>
      <c r="S14" s="3"/>
      <c r="T14" s="3"/>
    </row>
    <row r="15" spans="1:20" s="244" customFormat="1" ht="18" customHeight="1">
      <c r="A15" s="246">
        <f>A6+1</f>
        <v>2</v>
      </c>
      <c r="B15" s="83" t="s">
        <v>210</v>
      </c>
      <c r="C15" s="76" t="s">
        <v>21</v>
      </c>
      <c r="D15" s="73"/>
      <c r="E15" s="74"/>
      <c r="F15" s="75">
        <f>ROUND(SUM(F16:F17),0)</f>
        <v>1750</v>
      </c>
      <c r="G15" s="2"/>
      <c r="H15" s="2"/>
      <c r="I15" s="2"/>
      <c r="M15" s="3"/>
      <c r="N15" s="3"/>
      <c r="O15" s="64"/>
      <c r="P15" s="64"/>
      <c r="Q15" s="64"/>
      <c r="R15" s="64"/>
      <c r="S15" s="3"/>
      <c r="T15" s="3"/>
    </row>
    <row r="16" spans="1:20" s="244" customFormat="1">
      <c r="A16" s="529"/>
      <c r="B16" s="165" t="s">
        <v>11</v>
      </c>
      <c r="C16" s="77" t="s">
        <v>284</v>
      </c>
      <c r="D16" s="78">
        <v>0.03</v>
      </c>
      <c r="E16" s="79">
        <f>+F17</f>
        <v>1698.7293696563015</v>
      </c>
      <c r="F16" s="79">
        <f>(D16*E16)</f>
        <v>50.961881089689044</v>
      </c>
      <c r="G16" s="2"/>
      <c r="H16" s="2"/>
      <c r="I16" s="2"/>
      <c r="M16" s="3"/>
      <c r="N16" s="3"/>
      <c r="O16" s="64"/>
      <c r="P16" s="64"/>
      <c r="Q16" s="64"/>
      <c r="R16" s="64"/>
      <c r="S16" s="3"/>
      <c r="T16" s="3"/>
    </row>
    <row r="17" spans="1:20" s="244" customFormat="1">
      <c r="A17" s="529"/>
      <c r="B17" s="165" t="s">
        <v>9</v>
      </c>
      <c r="C17" s="77" t="s">
        <v>10</v>
      </c>
      <c r="D17" s="78">
        <f>0.065</f>
        <v>6.5000000000000002E-2</v>
      </c>
      <c r="E17" s="79">
        <f>+'VALOR CUADRILLAS MO'!D75</f>
        <v>26134.297994712331</v>
      </c>
      <c r="F17" s="79">
        <f>+D17*E17</f>
        <v>1698.7293696563015</v>
      </c>
      <c r="G17" s="2"/>
      <c r="H17" s="2"/>
      <c r="I17" s="2"/>
      <c r="M17" s="3"/>
      <c r="N17" s="3"/>
      <c r="O17" s="64"/>
      <c r="P17" s="64"/>
      <c r="Q17" s="64"/>
      <c r="R17" s="64"/>
      <c r="S17" s="3"/>
      <c r="T17" s="3"/>
    </row>
    <row r="18" spans="1:20" s="244" customFormat="1">
      <c r="A18" s="529"/>
      <c r="B18" s="165"/>
      <c r="C18" s="77"/>
      <c r="D18" s="78"/>
      <c r="E18" s="79"/>
      <c r="F18" s="79"/>
      <c r="G18" s="2"/>
      <c r="H18" s="2"/>
      <c r="I18" s="2"/>
      <c r="M18" s="3"/>
      <c r="N18" s="3"/>
      <c r="O18" s="64"/>
      <c r="P18" s="64"/>
      <c r="Q18" s="64"/>
      <c r="R18" s="64"/>
      <c r="S18" s="3"/>
      <c r="T18" s="3"/>
    </row>
    <row r="19" spans="1:20" s="244" customFormat="1" ht="34.5" customHeight="1">
      <c r="A19" s="246">
        <f>+A15+1</f>
        <v>3</v>
      </c>
      <c r="B19" s="83" t="s">
        <v>211</v>
      </c>
      <c r="C19" s="76" t="s">
        <v>121</v>
      </c>
      <c r="D19" s="73"/>
      <c r="E19" s="74"/>
      <c r="F19" s="75">
        <f>ROUND(SUM(F20:F22),0)</f>
        <v>80944</v>
      </c>
      <c r="G19" s="2"/>
      <c r="H19" s="2"/>
      <c r="I19" s="2"/>
      <c r="M19" s="3"/>
      <c r="N19" s="3"/>
      <c r="O19" s="64"/>
      <c r="P19" s="64"/>
      <c r="Q19" s="64"/>
      <c r="R19" s="64"/>
      <c r="S19" s="3"/>
      <c r="T19" s="3"/>
    </row>
    <row r="20" spans="1:20" s="244" customFormat="1" ht="16.5" customHeight="1">
      <c r="A20" s="529"/>
      <c r="B20" s="165" t="s">
        <v>405</v>
      </c>
      <c r="C20" s="77" t="s">
        <v>204</v>
      </c>
      <c r="D20" s="78">
        <v>0.1</v>
      </c>
      <c r="E20" s="79">
        <f>+BASICOS!D42</f>
        <v>136480.47829830134</v>
      </c>
      <c r="F20" s="79">
        <f>+D20*E20</f>
        <v>13648.047829830135</v>
      </c>
      <c r="G20" s="2"/>
      <c r="H20" s="2"/>
      <c r="I20" s="2"/>
      <c r="M20" s="3"/>
      <c r="N20" s="3"/>
      <c r="O20" s="64"/>
      <c r="P20" s="64"/>
      <c r="Q20" s="64"/>
      <c r="R20" s="64"/>
      <c r="S20" s="3"/>
      <c r="T20" s="3"/>
    </row>
    <row r="21" spans="1:20" s="244" customFormat="1">
      <c r="A21" s="529"/>
      <c r="B21" s="165" t="s">
        <v>11</v>
      </c>
      <c r="C21" s="77" t="s">
        <v>284</v>
      </c>
      <c r="D21" s="78">
        <v>0.03</v>
      </c>
      <c r="E21" s="79">
        <f>+F22</f>
        <v>65335.744986780832</v>
      </c>
      <c r="F21" s="79">
        <f>(D21*E21)</f>
        <v>1960.072349603425</v>
      </c>
      <c r="G21" s="2"/>
      <c r="H21" s="2"/>
      <c r="I21" s="2"/>
      <c r="M21" s="3"/>
      <c r="N21" s="3"/>
      <c r="O21" s="64"/>
      <c r="P21" s="64"/>
      <c r="Q21" s="64"/>
      <c r="R21" s="64"/>
      <c r="S21" s="3"/>
      <c r="T21" s="3"/>
    </row>
    <row r="22" spans="1:20" s="244" customFormat="1">
      <c r="A22" s="529"/>
      <c r="B22" s="165" t="s">
        <v>9</v>
      </c>
      <c r="C22" s="77" t="s">
        <v>10</v>
      </c>
      <c r="D22" s="78">
        <v>2.5</v>
      </c>
      <c r="E22" s="79">
        <f>+'VALOR CUADRILLAS MO'!D75</f>
        <v>26134.297994712331</v>
      </c>
      <c r="F22" s="79">
        <f>+D22*E22</f>
        <v>65335.744986780832</v>
      </c>
      <c r="G22" s="2"/>
      <c r="H22" s="2"/>
      <c r="I22" s="2"/>
      <c r="M22" s="3"/>
      <c r="N22" s="3"/>
      <c r="O22" s="64"/>
      <c r="P22" s="64"/>
      <c r="Q22" s="64"/>
      <c r="R22" s="64"/>
      <c r="S22" s="3"/>
      <c r="T22" s="3"/>
    </row>
    <row r="23" spans="1:20" s="244" customFormat="1">
      <c r="A23" s="529"/>
      <c r="B23" s="165"/>
      <c r="C23" s="77"/>
      <c r="D23" s="78"/>
      <c r="E23" s="79"/>
      <c r="F23" s="79"/>
      <c r="G23" s="2"/>
      <c r="H23" s="2"/>
      <c r="I23" s="2"/>
      <c r="M23" s="3"/>
      <c r="N23" s="3"/>
      <c r="O23" s="64"/>
      <c r="P23" s="64"/>
      <c r="Q23" s="64"/>
      <c r="R23" s="64"/>
      <c r="S23" s="3"/>
      <c r="T23" s="3"/>
    </row>
    <row r="24" spans="1:20" s="244" customFormat="1" ht="22.9" customHeight="1">
      <c r="A24" s="246">
        <f>+A19+1</f>
        <v>4</v>
      </c>
      <c r="B24" s="83" t="s">
        <v>763</v>
      </c>
      <c r="C24" s="76" t="s">
        <v>121</v>
      </c>
      <c r="D24" s="73"/>
      <c r="E24" s="74"/>
      <c r="F24" s="75">
        <f>ROUND(SUM(F25:F26),0)</f>
        <v>11744</v>
      </c>
      <c r="G24" s="2"/>
      <c r="H24" s="2"/>
      <c r="I24" s="2"/>
      <c r="M24" s="3"/>
      <c r="N24" s="3"/>
      <c r="O24" s="64"/>
      <c r="P24" s="64"/>
      <c r="Q24" s="64"/>
      <c r="R24" s="64"/>
      <c r="S24" s="3"/>
      <c r="T24" s="3"/>
    </row>
    <row r="25" spans="1:20" s="244" customFormat="1" ht="25.5">
      <c r="A25" s="529"/>
      <c r="B25" s="165" t="str">
        <f>INSUMOS!B34</f>
        <v>RETROEXCAVADORA SOBRE LLANTAS, MOTOR 62HP, PROFUNDIDAD DE EXCAVACIÓN DE 5.41 METROS.</v>
      </c>
      <c r="C25" s="77" t="s">
        <v>8</v>
      </c>
      <c r="D25" s="78">
        <v>0.05</v>
      </c>
      <c r="E25" s="79">
        <f>INSUMOS!D34</f>
        <v>193073</v>
      </c>
      <c r="F25" s="79">
        <f>+D25*E25</f>
        <v>9653.65</v>
      </c>
      <c r="G25" s="2"/>
      <c r="H25" s="2"/>
      <c r="I25" s="2"/>
      <c r="M25" s="3"/>
      <c r="N25" s="3"/>
      <c r="O25" s="64"/>
      <c r="P25" s="64"/>
      <c r="Q25" s="64"/>
      <c r="R25" s="64"/>
      <c r="S25" s="3"/>
      <c r="T25" s="3"/>
    </row>
    <row r="26" spans="1:20" s="244" customFormat="1">
      <c r="A26" s="529"/>
      <c r="B26" s="165" t="s">
        <v>764</v>
      </c>
      <c r="C26" s="77" t="s">
        <v>10</v>
      </c>
      <c r="D26" s="80">
        <f>0.08</f>
        <v>0.08</v>
      </c>
      <c r="E26" s="79">
        <f>+'VALOR CUADRILLAS MO'!D75</f>
        <v>26134.297994712331</v>
      </c>
      <c r="F26" s="79">
        <f>+D26*E26</f>
        <v>2090.7438395769864</v>
      </c>
      <c r="G26" s="2"/>
      <c r="H26" s="2"/>
      <c r="I26" s="2"/>
      <c r="M26" s="3"/>
      <c r="N26" s="3"/>
      <c r="O26" s="64"/>
      <c r="P26" s="64"/>
      <c r="Q26" s="64"/>
      <c r="R26" s="64"/>
      <c r="S26" s="3"/>
      <c r="T26" s="3"/>
    </row>
    <row r="27" spans="1:20" s="244" customFormat="1">
      <c r="A27" s="529"/>
      <c r="B27" s="165"/>
      <c r="C27" s="77"/>
      <c r="D27" s="78"/>
      <c r="E27" s="79"/>
      <c r="F27" s="79"/>
      <c r="G27" s="2"/>
      <c r="H27" s="2"/>
      <c r="I27" s="2"/>
      <c r="M27" s="3"/>
      <c r="N27" s="3"/>
      <c r="O27" s="64"/>
      <c r="P27" s="64"/>
      <c r="Q27" s="64"/>
      <c r="R27" s="64"/>
      <c r="S27" s="3"/>
      <c r="T27" s="3"/>
    </row>
    <row r="28" spans="1:20" s="244" customFormat="1" ht="23.45" customHeight="1">
      <c r="A28" s="246">
        <f>+A24+1</f>
        <v>5</v>
      </c>
      <c r="B28" s="83" t="s">
        <v>58</v>
      </c>
      <c r="C28" s="76" t="s">
        <v>121</v>
      </c>
      <c r="D28" s="73"/>
      <c r="E28" s="74"/>
      <c r="F28" s="75">
        <f>ROUND(SUM(F29:F32),0)</f>
        <v>117068</v>
      </c>
      <c r="G28" s="2"/>
      <c r="H28" s="2"/>
      <c r="I28" s="2"/>
      <c r="M28" s="3"/>
      <c r="N28" s="3"/>
      <c r="O28" s="64"/>
      <c r="P28" s="64"/>
      <c r="Q28" s="64"/>
      <c r="R28" s="64"/>
      <c r="S28" s="3"/>
      <c r="T28" s="3"/>
    </row>
    <row r="29" spans="1:20" s="244" customFormat="1">
      <c r="A29" s="529"/>
      <c r="B29" s="165" t="s">
        <v>23</v>
      </c>
      <c r="C29" s="77" t="s">
        <v>8</v>
      </c>
      <c r="D29" s="78">
        <v>1.2</v>
      </c>
      <c r="E29" s="79">
        <f>+INSUMOS!D35</f>
        <v>82148.320000000007</v>
      </c>
      <c r="F29" s="79">
        <f>+D29*E29</f>
        <v>98577.984000000011</v>
      </c>
      <c r="G29" s="2"/>
      <c r="H29" s="2"/>
      <c r="I29" s="2"/>
      <c r="M29" s="3"/>
      <c r="N29" s="3"/>
      <c r="O29" s="64"/>
      <c r="P29" s="64"/>
      <c r="Q29" s="64"/>
      <c r="R29" s="64"/>
      <c r="S29" s="3"/>
      <c r="T29" s="3"/>
    </row>
    <row r="30" spans="1:20" s="244" customFormat="1" ht="25.5">
      <c r="A30" s="529"/>
      <c r="B30" s="165" t="str">
        <f>+INSUMOS!B34</f>
        <v>RETROEXCAVADORA SOBRE LLANTAS, MOTOR 62HP, PROFUNDIDAD DE EXCAVACIÓN DE 5.41 METROS.</v>
      </c>
      <c r="C30" s="77" t="s">
        <v>8</v>
      </c>
      <c r="D30" s="78">
        <v>0.04</v>
      </c>
      <c r="E30" s="79">
        <f>+INSUMOS!D34</f>
        <v>193073</v>
      </c>
      <c r="F30" s="79">
        <f>+D30*E30</f>
        <v>7722.92</v>
      </c>
      <c r="G30" s="2"/>
      <c r="H30" s="2"/>
      <c r="I30" s="2"/>
      <c r="M30" s="3"/>
      <c r="N30" s="3"/>
      <c r="O30" s="64"/>
      <c r="P30" s="64"/>
      <c r="Q30" s="64"/>
      <c r="R30" s="64"/>
      <c r="S30" s="3"/>
      <c r="T30" s="3"/>
    </row>
    <row r="31" spans="1:20" s="244" customFormat="1">
      <c r="A31" s="529"/>
      <c r="B31" s="165" t="s">
        <v>11</v>
      </c>
      <c r="C31" s="77" t="s">
        <v>284</v>
      </c>
      <c r="D31" s="78">
        <v>0.03</v>
      </c>
      <c r="E31" s="79">
        <f>+F32</f>
        <v>10453.719197884933</v>
      </c>
      <c r="F31" s="79">
        <f>(D31*E31)</f>
        <v>313.61157593654798</v>
      </c>
      <c r="G31" s="2"/>
      <c r="H31" s="2"/>
      <c r="I31" s="2"/>
      <c r="M31" s="3"/>
      <c r="N31" s="3"/>
      <c r="O31" s="64"/>
      <c r="P31" s="64"/>
      <c r="Q31" s="64"/>
      <c r="R31" s="64"/>
      <c r="S31" s="3"/>
      <c r="T31" s="3"/>
    </row>
    <row r="32" spans="1:20" s="244" customFormat="1">
      <c r="A32" s="529"/>
      <c r="B32" s="165" t="s">
        <v>9</v>
      </c>
      <c r="C32" s="77" t="s">
        <v>10</v>
      </c>
      <c r="D32" s="78">
        <f>0.4</f>
        <v>0.4</v>
      </c>
      <c r="E32" s="79">
        <f>+'VALOR CUADRILLAS MO'!D75</f>
        <v>26134.297994712331</v>
      </c>
      <c r="F32" s="79">
        <f>+D32*E32</f>
        <v>10453.719197884933</v>
      </c>
      <c r="G32" s="2"/>
      <c r="H32" s="2"/>
      <c r="I32" s="2"/>
      <c r="M32" s="3"/>
      <c r="N32" s="3"/>
      <c r="O32" s="64"/>
      <c r="P32" s="64"/>
      <c r="Q32" s="64"/>
      <c r="R32" s="64"/>
      <c r="S32" s="3"/>
      <c r="T32" s="3"/>
    </row>
    <row r="33" spans="1:20" s="244" customFormat="1">
      <c r="A33" s="529"/>
      <c r="B33" s="165"/>
      <c r="C33" s="77"/>
      <c r="D33" s="78"/>
      <c r="E33" s="79"/>
      <c r="F33" s="79"/>
      <c r="G33" s="2"/>
      <c r="H33" s="2"/>
      <c r="I33" s="2"/>
      <c r="M33" s="3"/>
      <c r="N33" s="3"/>
      <c r="O33" s="64"/>
      <c r="P33" s="64"/>
      <c r="Q33" s="64"/>
      <c r="R33" s="64"/>
      <c r="S33" s="3"/>
      <c r="T33" s="3"/>
    </row>
    <row r="34" spans="1:20" s="244" customFormat="1" ht="22.9" customHeight="1">
      <c r="A34" s="246">
        <f>+A28+1</f>
        <v>6</v>
      </c>
      <c r="B34" s="83" t="s">
        <v>57</v>
      </c>
      <c r="C34" s="76" t="s">
        <v>121</v>
      </c>
      <c r="D34" s="73"/>
      <c r="E34" s="74"/>
      <c r="F34" s="75">
        <f>ROUND(SUM(F35:F36),0)</f>
        <v>15345</v>
      </c>
      <c r="G34" s="2"/>
      <c r="H34" s="2">
        <f>F34*1*0.6</f>
        <v>9207</v>
      </c>
      <c r="I34" s="2"/>
      <c r="M34" s="3"/>
      <c r="N34" s="3"/>
      <c r="O34" s="64"/>
      <c r="P34" s="64"/>
      <c r="Q34" s="64"/>
      <c r="R34" s="64"/>
      <c r="S34" s="3"/>
      <c r="T34" s="3"/>
    </row>
    <row r="35" spans="1:20" s="244" customFormat="1" ht="25.5">
      <c r="A35" s="529"/>
      <c r="B35" s="165" t="str">
        <f>+INSUMOS!B34</f>
        <v>RETROEXCAVADORA SOBRE LLANTAS, MOTOR 62HP, PROFUNDIDAD DE EXCAVACIÓN DE 5.41 METROS.</v>
      </c>
      <c r="C35" s="77" t="s">
        <v>8</v>
      </c>
      <c r="D35" s="78">
        <v>7.0000000000000007E-2</v>
      </c>
      <c r="E35" s="79">
        <f>+INSUMOS!D34</f>
        <v>193073</v>
      </c>
      <c r="F35" s="79">
        <f>+D35*E35</f>
        <v>13515.11</v>
      </c>
      <c r="G35" s="2"/>
      <c r="H35" s="2"/>
      <c r="I35" s="2">
        <v>130000</v>
      </c>
      <c r="M35" s="3"/>
      <c r="N35" s="3"/>
      <c r="O35" s="64"/>
      <c r="P35" s="64"/>
      <c r="Q35" s="64"/>
      <c r="R35" s="64"/>
      <c r="S35" s="3"/>
      <c r="T35" s="3"/>
    </row>
    <row r="36" spans="1:20" s="244" customFormat="1">
      <c r="A36" s="529"/>
      <c r="B36" s="165" t="s">
        <v>9</v>
      </c>
      <c r="C36" s="77" t="s">
        <v>10</v>
      </c>
      <c r="D36" s="78">
        <f>0.07</f>
        <v>7.0000000000000007E-2</v>
      </c>
      <c r="E36" s="79">
        <f>+'VALOR CUADRILLAS MO'!D75</f>
        <v>26134.297994712331</v>
      </c>
      <c r="F36" s="79">
        <f>+D36*E36</f>
        <v>1829.4008596298634</v>
      </c>
      <c r="G36" s="2"/>
      <c r="H36" s="2"/>
      <c r="I36" s="2"/>
      <c r="M36" s="3"/>
      <c r="N36" s="3"/>
      <c r="O36" s="64"/>
      <c r="P36" s="64"/>
      <c r="Q36" s="64"/>
      <c r="R36" s="64"/>
      <c r="S36" s="3"/>
      <c r="T36" s="3"/>
    </row>
    <row r="37" spans="1:20" s="244" customFormat="1">
      <c r="A37" s="529"/>
      <c r="B37" s="165"/>
      <c r="C37" s="77"/>
      <c r="D37" s="78"/>
      <c r="E37" s="79"/>
      <c r="F37" s="79"/>
      <c r="G37" s="2"/>
      <c r="H37" s="2"/>
      <c r="I37" s="2"/>
      <c r="M37" s="3"/>
      <c r="N37" s="3"/>
      <c r="O37" s="64"/>
      <c r="P37" s="64"/>
      <c r="Q37" s="64"/>
      <c r="R37" s="64"/>
      <c r="S37" s="3"/>
      <c r="T37" s="3"/>
    </row>
    <row r="38" spans="1:20" ht="21.6" customHeight="1">
      <c r="A38" s="246">
        <f>A34+1</f>
        <v>7</v>
      </c>
      <c r="B38" s="83" t="s">
        <v>61</v>
      </c>
      <c r="C38" s="76" t="s">
        <v>121</v>
      </c>
      <c r="D38" s="73"/>
      <c r="E38" s="74"/>
      <c r="F38" s="75">
        <f>ROUND(SUM(F39:F41),0)</f>
        <v>27210</v>
      </c>
      <c r="H38" s="59"/>
      <c r="J38" s="248"/>
    </row>
    <row r="39" spans="1:20">
      <c r="A39" s="529"/>
      <c r="B39" s="165" t="s">
        <v>18</v>
      </c>
      <c r="C39" s="77" t="s">
        <v>12</v>
      </c>
      <c r="D39" s="80">
        <v>1.2E-2</v>
      </c>
      <c r="E39" s="79">
        <f>+BASICOS!D42</f>
        <v>136480.47829830134</v>
      </c>
      <c r="F39" s="79">
        <f>+D39*E39</f>
        <v>1637.7657395796161</v>
      </c>
      <c r="H39" s="59"/>
      <c r="I39" s="59"/>
      <c r="J39" s="59"/>
    </row>
    <row r="40" spans="1:20">
      <c r="A40" s="529"/>
      <c r="B40" s="165" t="s">
        <v>11</v>
      </c>
      <c r="C40" s="77" t="s">
        <v>284</v>
      </c>
      <c r="D40" s="78">
        <v>0.03</v>
      </c>
      <c r="E40" s="79">
        <f>+F41</f>
        <v>24827.583094976715</v>
      </c>
      <c r="F40" s="79">
        <f>(D40*E40)</f>
        <v>744.82749284930139</v>
      </c>
      <c r="H40" s="59"/>
      <c r="I40" s="59"/>
      <c r="J40" s="59"/>
    </row>
    <row r="41" spans="1:20">
      <c r="A41" s="529"/>
      <c r="B41" s="165" t="s">
        <v>9</v>
      </c>
      <c r="C41" s="77" t="s">
        <v>10</v>
      </c>
      <c r="D41" s="78">
        <v>0.95</v>
      </c>
      <c r="E41" s="79">
        <f>+'VALOR CUADRILLAS MO'!D75</f>
        <v>26134.297994712331</v>
      </c>
      <c r="F41" s="79">
        <f>+D41*E41</f>
        <v>24827.583094976715</v>
      </c>
      <c r="H41" s="59"/>
      <c r="I41" s="59"/>
      <c r="J41" s="59"/>
    </row>
    <row r="42" spans="1:20">
      <c r="A42" s="529"/>
      <c r="B42" s="165"/>
      <c r="C42" s="77"/>
      <c r="D42" s="78"/>
      <c r="E42" s="79"/>
      <c r="F42" s="79"/>
      <c r="H42" s="59"/>
      <c r="I42" s="59"/>
      <c r="J42" s="59"/>
    </row>
    <row r="43" spans="1:20" ht="24.6" customHeight="1">
      <c r="A43" s="246">
        <f>A38+1</f>
        <v>8</v>
      </c>
      <c r="B43" s="83" t="s">
        <v>139</v>
      </c>
      <c r="C43" s="76" t="s">
        <v>121</v>
      </c>
      <c r="D43" s="73"/>
      <c r="E43" s="74"/>
      <c r="F43" s="75">
        <f>ROUND(SUM(F44:F49),0)</f>
        <v>52398</v>
      </c>
    </row>
    <row r="44" spans="1:20">
      <c r="A44" s="529"/>
      <c r="B44" s="165" t="s">
        <v>19</v>
      </c>
      <c r="C44" s="77" t="s">
        <v>121</v>
      </c>
      <c r="D44" s="78">
        <v>1</v>
      </c>
      <c r="E44" s="343">
        <f>BASICOS!D18</f>
        <v>14280</v>
      </c>
      <c r="F44" s="79">
        <f>+D44*E44</f>
        <v>14280</v>
      </c>
      <c r="H44" s="59"/>
      <c r="I44" s="59"/>
      <c r="J44" s="59"/>
    </row>
    <row r="45" spans="1:20">
      <c r="A45" s="529"/>
      <c r="B45" s="165" t="s">
        <v>228</v>
      </c>
      <c r="C45" s="77" t="s">
        <v>121</v>
      </c>
      <c r="D45" s="78">
        <v>0.3</v>
      </c>
      <c r="E45" s="79">
        <f>E44</f>
        <v>14280</v>
      </c>
      <c r="F45" s="79">
        <f>+D45*E45</f>
        <v>4284</v>
      </c>
      <c r="H45" s="59"/>
      <c r="I45" s="59"/>
      <c r="J45" s="59"/>
    </row>
    <row r="46" spans="1:20">
      <c r="A46" s="529"/>
      <c r="B46" s="165" t="s">
        <v>136</v>
      </c>
      <c r="C46" s="77" t="s">
        <v>2431</v>
      </c>
      <c r="D46" s="78">
        <f>1.3*10</f>
        <v>13</v>
      </c>
      <c r="E46" s="79">
        <f>+INSUMOS!D23</f>
        <v>1094.8912</v>
      </c>
      <c r="F46" s="79">
        <f>+D46*E46</f>
        <v>14233.5856</v>
      </c>
      <c r="H46" s="59"/>
      <c r="I46" s="59"/>
      <c r="J46" s="59"/>
    </row>
    <row r="47" spans="1:20">
      <c r="A47" s="529"/>
      <c r="B47" s="165" t="s">
        <v>18</v>
      </c>
      <c r="C47" s="77" t="s">
        <v>12</v>
      </c>
      <c r="D47" s="80">
        <v>4.4999999999999998E-2</v>
      </c>
      <c r="E47" s="79">
        <f>+BASICOS!D42</f>
        <v>136480.47829830134</v>
      </c>
      <c r="F47" s="79">
        <f>+D47*E47</f>
        <v>6141.6215234235606</v>
      </c>
      <c r="H47" s="59"/>
      <c r="I47" s="59"/>
      <c r="J47" s="59"/>
    </row>
    <row r="48" spans="1:20">
      <c r="A48" s="529"/>
      <c r="B48" s="165" t="s">
        <v>11</v>
      </c>
      <c r="C48" s="77" t="s">
        <v>284</v>
      </c>
      <c r="D48" s="78">
        <v>0.03</v>
      </c>
      <c r="E48" s="79">
        <f>+F49</f>
        <v>13067.148997356166</v>
      </c>
      <c r="F48" s="79">
        <f>(D48*E48)</f>
        <v>392.01446992068497</v>
      </c>
      <c r="H48" s="59"/>
      <c r="I48" s="59"/>
      <c r="J48" s="59"/>
    </row>
    <row r="49" spans="1:20">
      <c r="A49" s="529"/>
      <c r="B49" s="165" t="s">
        <v>9</v>
      </c>
      <c r="C49" s="77" t="s">
        <v>10</v>
      </c>
      <c r="D49" s="78">
        <v>0.5</v>
      </c>
      <c r="E49" s="79">
        <f>+'VALOR CUADRILLAS MO'!D75</f>
        <v>26134.297994712331</v>
      </c>
      <c r="F49" s="79">
        <f>+D49*E49</f>
        <v>13067.148997356166</v>
      </c>
      <c r="G49" s="2">
        <f>F49/0.3</f>
        <v>43557.163324520552</v>
      </c>
      <c r="H49" s="59"/>
      <c r="I49" s="59"/>
      <c r="J49" s="59"/>
      <c r="M49" s="249"/>
    </row>
    <row r="50" spans="1:20" s="64" customFormat="1">
      <c r="A50" s="529"/>
      <c r="B50" s="165"/>
      <c r="C50" s="77"/>
      <c r="D50" s="78"/>
      <c r="E50" s="79"/>
      <c r="F50" s="79"/>
      <c r="G50" s="2"/>
      <c r="H50" s="59"/>
      <c r="I50" s="59"/>
      <c r="J50" s="59"/>
      <c r="K50" s="244"/>
      <c r="L50" s="244"/>
      <c r="M50" s="3"/>
      <c r="N50" s="3"/>
      <c r="S50" s="3"/>
      <c r="T50" s="3"/>
    </row>
    <row r="51" spans="1:20" s="64" customFormat="1" ht="30.6" customHeight="1">
      <c r="A51" s="246">
        <f>+A43+1</f>
        <v>9</v>
      </c>
      <c r="B51" s="83" t="s">
        <v>2714</v>
      </c>
      <c r="C51" s="76" t="s">
        <v>121</v>
      </c>
      <c r="D51" s="73"/>
      <c r="E51" s="74"/>
      <c r="F51" s="75">
        <f>ROUND(SUM(F52:F57),0)</f>
        <v>81791</v>
      </c>
      <c r="G51" s="2"/>
      <c r="H51" s="2"/>
      <c r="I51" s="2"/>
      <c r="J51" s="244"/>
      <c r="K51" s="244"/>
      <c r="L51" s="244"/>
      <c r="M51" s="3"/>
      <c r="N51" s="3"/>
      <c r="S51" s="3"/>
      <c r="T51" s="3"/>
    </row>
    <row r="52" spans="1:20" s="64" customFormat="1">
      <c r="A52" s="529"/>
      <c r="B52" s="165" t="s">
        <v>543</v>
      </c>
      <c r="C52" s="77" t="s">
        <v>121</v>
      </c>
      <c r="D52" s="78">
        <v>1</v>
      </c>
      <c r="E52" s="343">
        <f>BASICOS!D16</f>
        <v>36890</v>
      </c>
      <c r="F52" s="79">
        <f>+D52*E52</f>
        <v>36890</v>
      </c>
      <c r="G52" s="2"/>
      <c r="H52" s="59"/>
      <c r="I52" s="2"/>
      <c r="J52" s="244"/>
      <c r="K52" s="244"/>
      <c r="L52" s="244"/>
      <c r="M52" s="3"/>
      <c r="N52" s="3"/>
      <c r="S52" s="3"/>
      <c r="T52" s="3"/>
    </row>
    <row r="53" spans="1:20" s="64" customFormat="1">
      <c r="A53" s="529"/>
      <c r="B53" s="165" t="s">
        <v>228</v>
      </c>
      <c r="C53" s="77" t="s">
        <v>121</v>
      </c>
      <c r="D53" s="78">
        <v>0.3</v>
      </c>
      <c r="E53" s="79">
        <f>E52</f>
        <v>36890</v>
      </c>
      <c r="F53" s="79">
        <f>+D53*E53</f>
        <v>11067</v>
      </c>
      <c r="G53" s="2"/>
      <c r="H53" s="59"/>
      <c r="I53" s="2"/>
      <c r="J53" s="244"/>
      <c r="K53" s="244"/>
      <c r="L53" s="244"/>
      <c r="M53" s="3"/>
      <c r="N53" s="3"/>
      <c r="S53" s="3"/>
      <c r="T53" s="3"/>
    </row>
    <row r="54" spans="1:20" s="64" customFormat="1">
      <c r="A54" s="529"/>
      <c r="B54" s="165" t="s">
        <v>136</v>
      </c>
      <c r="C54" s="77" t="s">
        <v>2431</v>
      </c>
      <c r="D54" s="78">
        <f>1.3*10</f>
        <v>13</v>
      </c>
      <c r="E54" s="79">
        <f>+INSUMOS!D23</f>
        <v>1094.8912</v>
      </c>
      <c r="F54" s="79">
        <f>+D54*E54</f>
        <v>14233.5856</v>
      </c>
      <c r="G54" s="2"/>
      <c r="H54" s="59"/>
      <c r="I54" s="2"/>
      <c r="J54" s="244"/>
      <c r="K54" s="244"/>
      <c r="L54" s="244"/>
      <c r="M54" s="3"/>
      <c r="N54" s="3"/>
      <c r="S54" s="3"/>
      <c r="T54" s="3"/>
    </row>
    <row r="55" spans="1:20" s="64" customFormat="1">
      <c r="A55" s="529"/>
      <c r="B55" s="165" t="s">
        <v>2437</v>
      </c>
      <c r="C55" s="77" t="s">
        <v>12</v>
      </c>
      <c r="D55" s="80">
        <v>4.4999999999999998E-2</v>
      </c>
      <c r="E55" s="79">
        <f>+BASICOS!D42</f>
        <v>136480.47829830134</v>
      </c>
      <c r="F55" s="79">
        <f>+D55*E55</f>
        <v>6141.6215234235606</v>
      </c>
      <c r="G55" s="2"/>
      <c r="H55" s="2"/>
      <c r="I55" s="2"/>
      <c r="J55" s="244"/>
      <c r="K55" s="244"/>
      <c r="L55" s="244"/>
      <c r="M55" s="249"/>
      <c r="N55" s="3"/>
      <c r="S55" s="3"/>
      <c r="T55" s="3"/>
    </row>
    <row r="56" spans="1:20" s="64" customFormat="1">
      <c r="A56" s="529"/>
      <c r="B56" s="165" t="s">
        <v>11</v>
      </c>
      <c r="C56" s="77" t="s">
        <v>284</v>
      </c>
      <c r="D56" s="78">
        <v>0.03</v>
      </c>
      <c r="E56" s="79">
        <f>+F57</f>
        <v>13067.148997356166</v>
      </c>
      <c r="F56" s="79">
        <f>(D56*E56)</f>
        <v>392.01446992068497</v>
      </c>
      <c r="G56" s="2"/>
      <c r="H56" s="2"/>
      <c r="I56" s="2"/>
      <c r="J56" s="244"/>
      <c r="K56" s="244"/>
      <c r="L56" s="244"/>
      <c r="M56" s="3"/>
      <c r="N56" s="3"/>
      <c r="S56" s="3"/>
      <c r="T56" s="3"/>
    </row>
    <row r="57" spans="1:20" s="64" customFormat="1">
      <c r="A57" s="529"/>
      <c r="B57" s="165" t="s">
        <v>9</v>
      </c>
      <c r="C57" s="77" t="s">
        <v>10</v>
      </c>
      <c r="D57" s="78">
        <v>0.5</v>
      </c>
      <c r="E57" s="79">
        <f>+'VALOR CUADRILLAS MO'!D75</f>
        <v>26134.297994712331</v>
      </c>
      <c r="F57" s="79">
        <f>+D57*E57</f>
        <v>13067.148997356166</v>
      </c>
      <c r="G57" s="2"/>
      <c r="H57" s="2"/>
      <c r="I57" s="2"/>
      <c r="J57" s="244"/>
      <c r="K57" s="244"/>
      <c r="L57" s="244"/>
      <c r="M57" s="3"/>
      <c r="N57" s="3"/>
      <c r="S57" s="3"/>
      <c r="T57" s="3"/>
    </row>
    <row r="58" spans="1:20" s="64" customFormat="1">
      <c r="A58" s="531"/>
      <c r="B58" s="165"/>
      <c r="C58" s="77"/>
      <c r="D58" s="78"/>
      <c r="E58" s="79"/>
      <c r="F58" s="79"/>
      <c r="G58" s="2"/>
      <c r="H58" s="2"/>
      <c r="I58" s="2"/>
      <c r="J58" s="244"/>
      <c r="K58" s="244"/>
      <c r="L58" s="244"/>
      <c r="M58" s="3"/>
      <c r="N58" s="3"/>
      <c r="S58" s="3"/>
      <c r="T58" s="3"/>
    </row>
    <row r="59" spans="1:20" s="64" customFormat="1" ht="23.45" customHeight="1">
      <c r="A59" s="246">
        <f>+A51+1</f>
        <v>10</v>
      </c>
      <c r="B59" s="83" t="s">
        <v>602</v>
      </c>
      <c r="C59" s="76" t="s">
        <v>121</v>
      </c>
      <c r="D59" s="73"/>
      <c r="E59" s="74"/>
      <c r="F59" s="75">
        <f>ROUND(SUM(F60:F64),0)</f>
        <v>68050</v>
      </c>
      <c r="G59" s="2"/>
      <c r="H59" s="2"/>
      <c r="I59" s="2"/>
      <c r="J59" s="244"/>
      <c r="K59" s="244"/>
      <c r="L59" s="244"/>
      <c r="M59" s="3"/>
      <c r="N59" s="3"/>
      <c r="S59" s="3"/>
      <c r="T59" s="3"/>
    </row>
    <row r="60" spans="1:20" s="64" customFormat="1">
      <c r="A60" s="529"/>
      <c r="B60" s="165" t="s">
        <v>36</v>
      </c>
      <c r="C60" s="77" t="s">
        <v>121</v>
      </c>
      <c r="D60" s="78">
        <v>1</v>
      </c>
      <c r="E60" s="343">
        <f>BASICOS!D9</f>
        <v>37500</v>
      </c>
      <c r="F60" s="79">
        <f>+D60*E60</f>
        <v>37500</v>
      </c>
      <c r="G60" s="2"/>
      <c r="H60" s="2"/>
      <c r="I60" s="2"/>
      <c r="J60" s="244"/>
      <c r="K60" s="244"/>
      <c r="L60" s="244"/>
      <c r="M60" s="3"/>
      <c r="N60" s="3"/>
      <c r="S60" s="3"/>
      <c r="T60" s="3"/>
    </row>
    <row r="61" spans="1:20" s="64" customFormat="1">
      <c r="A61" s="529"/>
      <c r="B61" s="165" t="s">
        <v>136</v>
      </c>
      <c r="C61" s="77" t="s">
        <v>2649</v>
      </c>
      <c r="D61" s="78">
        <f>(D60)*10</f>
        <v>10</v>
      </c>
      <c r="E61" s="79">
        <f>+INSUMOS!D23</f>
        <v>1094.8912</v>
      </c>
      <c r="F61" s="79">
        <f>+D61*E61</f>
        <v>10948.912</v>
      </c>
      <c r="G61" s="2"/>
      <c r="H61" s="2"/>
      <c r="I61" s="2"/>
      <c r="J61" s="244"/>
      <c r="K61" s="244"/>
      <c r="L61" s="244"/>
      <c r="M61" s="3"/>
      <c r="N61" s="3"/>
      <c r="S61" s="3"/>
      <c r="T61" s="3"/>
    </row>
    <row r="62" spans="1:20" s="64" customFormat="1">
      <c r="A62" s="529"/>
      <c r="B62" s="165" t="s">
        <v>2437</v>
      </c>
      <c r="C62" s="77" t="s">
        <v>12</v>
      </c>
      <c r="D62" s="80">
        <v>4.4999999999999998E-2</v>
      </c>
      <c r="E62" s="79">
        <f>+BASICOS!D42</f>
        <v>136480.47829830134</v>
      </c>
      <c r="F62" s="79">
        <f>+D62*E62</f>
        <v>6141.6215234235606</v>
      </c>
      <c r="G62" s="2"/>
      <c r="H62" s="2"/>
      <c r="I62" s="2"/>
      <c r="J62" s="244"/>
      <c r="K62" s="244"/>
      <c r="L62" s="244"/>
      <c r="M62" s="3"/>
      <c r="N62" s="3"/>
      <c r="S62" s="3"/>
      <c r="T62" s="3"/>
    </row>
    <row r="63" spans="1:20" s="64" customFormat="1">
      <c r="A63" s="529"/>
      <c r="B63" s="165" t="s">
        <v>11</v>
      </c>
      <c r="C63" s="77" t="s">
        <v>284</v>
      </c>
      <c r="D63" s="78">
        <v>0.03</v>
      </c>
      <c r="E63" s="79">
        <f>+F64</f>
        <v>13067.148997356166</v>
      </c>
      <c r="F63" s="79">
        <f>(D63*E63)</f>
        <v>392.01446992068497</v>
      </c>
      <c r="G63" s="2"/>
      <c r="H63" s="2"/>
      <c r="I63" s="2"/>
      <c r="J63" s="244"/>
      <c r="K63" s="244"/>
      <c r="L63" s="244"/>
      <c r="M63" s="3"/>
      <c r="N63" s="3"/>
      <c r="S63" s="3"/>
      <c r="T63" s="3"/>
    </row>
    <row r="64" spans="1:20" s="64" customFormat="1">
      <c r="A64" s="529"/>
      <c r="B64" s="165" t="s">
        <v>9</v>
      </c>
      <c r="C64" s="77" t="s">
        <v>10</v>
      </c>
      <c r="D64" s="78">
        <v>0.5</v>
      </c>
      <c r="E64" s="79">
        <f>+'VALOR CUADRILLAS MO'!D75</f>
        <v>26134.297994712331</v>
      </c>
      <c r="F64" s="79">
        <f>+D64*E64</f>
        <v>13067.148997356166</v>
      </c>
      <c r="G64" s="2"/>
      <c r="H64" s="2"/>
      <c r="I64" s="2"/>
      <c r="J64" s="244"/>
      <c r="K64" s="244"/>
      <c r="L64" s="244"/>
      <c r="M64" s="3"/>
      <c r="N64" s="3"/>
      <c r="S64" s="3"/>
      <c r="T64" s="3"/>
    </row>
    <row r="65" spans="1:20" s="64" customFormat="1">
      <c r="A65" s="529"/>
      <c r="B65" s="165"/>
      <c r="C65" s="77"/>
      <c r="D65" s="78"/>
      <c r="E65" s="79"/>
      <c r="F65" s="79"/>
      <c r="G65" s="2"/>
      <c r="H65" s="2"/>
      <c r="I65" s="2"/>
      <c r="J65" s="244"/>
      <c r="K65" s="244"/>
      <c r="L65" s="244"/>
      <c r="M65" s="3"/>
      <c r="N65" s="3"/>
      <c r="S65" s="3"/>
      <c r="T65" s="3"/>
    </row>
    <row r="66" spans="1:20" s="244" customFormat="1" ht="19.899999999999999" customHeight="1">
      <c r="A66" s="453" t="s">
        <v>396</v>
      </c>
      <c r="B66" s="454" t="s">
        <v>281</v>
      </c>
      <c r="C66" s="455"/>
      <c r="D66" s="456"/>
      <c r="E66" s="457"/>
      <c r="F66" s="457"/>
      <c r="G66" s="245"/>
      <c r="H66" s="2"/>
      <c r="I66" s="2"/>
      <c r="M66" s="3"/>
      <c r="N66" s="3"/>
      <c r="O66" s="64"/>
      <c r="P66" s="64"/>
      <c r="Q66" s="64"/>
      <c r="R66" s="64"/>
      <c r="S66" s="3"/>
      <c r="T66" s="3"/>
    </row>
    <row r="67" spans="1:20" s="244" customFormat="1" ht="21" customHeight="1">
      <c r="A67" s="246">
        <f>+A59+1</f>
        <v>11</v>
      </c>
      <c r="B67" s="83" t="s">
        <v>62</v>
      </c>
      <c r="C67" s="76" t="s">
        <v>121</v>
      </c>
      <c r="D67" s="73"/>
      <c r="E67" s="74"/>
      <c r="F67" s="75">
        <f>ROUND(SUM(F68:F69),0)</f>
        <v>20551</v>
      </c>
      <c r="G67" s="2"/>
      <c r="H67" s="2"/>
      <c r="I67" s="59"/>
      <c r="M67" s="3"/>
      <c r="N67" s="3"/>
      <c r="O67" s="64"/>
      <c r="P67" s="64"/>
      <c r="Q67" s="64"/>
      <c r="R67" s="64"/>
      <c r="S67" s="3"/>
      <c r="T67" s="3"/>
    </row>
    <row r="68" spans="1:20" s="244" customFormat="1">
      <c r="A68" s="531"/>
      <c r="B68" s="165" t="s">
        <v>27</v>
      </c>
      <c r="C68" s="77" t="s">
        <v>20</v>
      </c>
      <c r="D68" s="78">
        <v>0.17</v>
      </c>
      <c r="E68" s="79">
        <f>+INSUMOS!D31</f>
        <v>120000</v>
      </c>
      <c r="F68" s="79">
        <f>+D68*E68</f>
        <v>20400</v>
      </c>
      <c r="G68" s="2"/>
      <c r="H68" s="2"/>
      <c r="I68" s="2"/>
      <c r="M68" s="3"/>
      <c r="N68" s="3"/>
      <c r="O68" s="64"/>
      <c r="P68" s="64"/>
      <c r="Q68" s="64"/>
      <c r="R68" s="64"/>
      <c r="S68" s="3"/>
      <c r="T68" s="3"/>
    </row>
    <row r="69" spans="1:20" s="244" customFormat="1" ht="25.5">
      <c r="A69" s="529"/>
      <c r="B69" s="165" t="str">
        <f>+INSUMOS!B32</f>
        <v>CARGADOR : POTENCIA EN EL VOLANTE 110 HP, CLASIFICACIÓN DE RPM DEL MOTOR 2300.</v>
      </c>
      <c r="C69" s="77" t="s">
        <v>8</v>
      </c>
      <c r="D69" s="81">
        <v>1.0000000000000002E-3</v>
      </c>
      <c r="E69" s="79">
        <f>+INSUMOS!D32</f>
        <v>151027.54</v>
      </c>
      <c r="F69" s="79">
        <f>+D69*E69</f>
        <v>151.02754000000004</v>
      </c>
      <c r="G69" s="2"/>
      <c r="H69" s="2"/>
      <c r="I69" s="2"/>
      <c r="M69" s="3"/>
      <c r="N69" s="3"/>
      <c r="O69" s="64"/>
      <c r="P69" s="64"/>
      <c r="Q69" s="64"/>
      <c r="R69" s="64"/>
      <c r="S69" s="3"/>
      <c r="T69" s="3"/>
    </row>
    <row r="70" spans="1:20" s="244" customFormat="1">
      <c r="A70" s="531"/>
      <c r="B70" s="165"/>
      <c r="C70" s="77"/>
      <c r="D70" s="78"/>
      <c r="E70" s="79"/>
      <c r="F70" s="79"/>
      <c r="G70" s="2"/>
      <c r="H70" s="2"/>
      <c r="I70" s="2"/>
      <c r="M70" s="3"/>
      <c r="N70" s="3"/>
      <c r="O70" s="64"/>
      <c r="P70" s="64"/>
      <c r="Q70" s="64"/>
      <c r="R70" s="64"/>
      <c r="S70" s="3"/>
      <c r="T70" s="3"/>
    </row>
    <row r="71" spans="1:20" s="244" customFormat="1" ht="20.45" customHeight="1">
      <c r="A71" s="246">
        <f>A67+1</f>
        <v>12</v>
      </c>
      <c r="B71" s="83" t="s">
        <v>250</v>
      </c>
      <c r="C71" s="76" t="s">
        <v>119</v>
      </c>
      <c r="D71" s="73"/>
      <c r="E71" s="74"/>
      <c r="F71" s="75">
        <f>ROUND(SUM(F72:F73),0)</f>
        <v>14805</v>
      </c>
      <c r="G71" s="2"/>
      <c r="H71" s="2"/>
      <c r="I71" s="2"/>
      <c r="M71" s="3"/>
      <c r="N71" s="3"/>
      <c r="O71" s="64"/>
      <c r="P71" s="64"/>
      <c r="Q71" s="64"/>
      <c r="R71" s="64"/>
      <c r="S71" s="3"/>
      <c r="T71" s="3"/>
    </row>
    <row r="72" spans="1:20" s="244" customFormat="1">
      <c r="A72" s="531"/>
      <c r="B72" s="165" t="s">
        <v>11</v>
      </c>
      <c r="C72" s="77" t="s">
        <v>284</v>
      </c>
      <c r="D72" s="78">
        <v>0.03</v>
      </c>
      <c r="E72" s="79">
        <f>+F73</f>
        <v>14373.863897091784</v>
      </c>
      <c r="F72" s="79">
        <f>(D72*E72)</f>
        <v>431.21591691275347</v>
      </c>
      <c r="G72" s="2"/>
      <c r="H72" s="2"/>
      <c r="I72" s="2"/>
      <c r="M72" s="3"/>
      <c r="N72" s="3"/>
      <c r="O72" s="64"/>
      <c r="P72" s="64"/>
      <c r="Q72" s="64"/>
      <c r="R72" s="64"/>
      <c r="S72" s="3"/>
      <c r="T72" s="3"/>
    </row>
    <row r="73" spans="1:20" s="244" customFormat="1">
      <c r="A73" s="529"/>
      <c r="B73" s="165" t="s">
        <v>9</v>
      </c>
      <c r="C73" s="77" t="s">
        <v>10</v>
      </c>
      <c r="D73" s="78">
        <v>0.55000000000000004</v>
      </c>
      <c r="E73" s="79">
        <f>+'VALOR CUADRILLAS MO'!D75</f>
        <v>26134.297994712331</v>
      </c>
      <c r="F73" s="79">
        <f>+D73*E73</f>
        <v>14373.863897091784</v>
      </c>
      <c r="G73" s="2"/>
      <c r="H73" s="2"/>
      <c r="I73" s="2"/>
      <c r="M73" s="3"/>
      <c r="N73" s="3"/>
      <c r="O73" s="64"/>
      <c r="P73" s="64"/>
      <c r="Q73" s="64"/>
      <c r="R73" s="64"/>
      <c r="S73" s="3"/>
      <c r="T73" s="3"/>
    </row>
    <row r="74" spans="1:20" s="2" customFormat="1">
      <c r="A74" s="531"/>
      <c r="B74" s="165"/>
      <c r="C74" s="77"/>
      <c r="D74" s="78"/>
      <c r="E74" s="79"/>
      <c r="F74" s="79"/>
      <c r="J74" s="244"/>
      <c r="K74" s="244"/>
      <c r="L74" s="244"/>
      <c r="M74" s="3"/>
      <c r="N74" s="3"/>
      <c r="O74" s="64"/>
      <c r="P74" s="64"/>
      <c r="Q74" s="64"/>
      <c r="R74" s="64"/>
      <c r="S74" s="3"/>
      <c r="T74" s="3"/>
    </row>
    <row r="75" spans="1:20" s="2" customFormat="1" ht="22.9" customHeight="1">
      <c r="A75" s="246">
        <f>+A71+1</f>
        <v>13</v>
      </c>
      <c r="B75" s="83" t="s">
        <v>2</v>
      </c>
      <c r="C75" s="76" t="s">
        <v>21</v>
      </c>
      <c r="D75" s="73"/>
      <c r="E75" s="74"/>
      <c r="F75" s="75" t="e">
        <f>ROUND(SUM(F76:F77),0)</f>
        <v>#REF!</v>
      </c>
      <c r="J75" s="244"/>
      <c r="K75" s="244"/>
      <c r="L75" s="244"/>
      <c r="M75" s="3"/>
      <c r="N75" s="3"/>
      <c r="O75" s="64"/>
      <c r="P75" s="64"/>
      <c r="Q75" s="64"/>
      <c r="R75" s="64"/>
      <c r="S75" s="3"/>
      <c r="T75" s="3"/>
    </row>
    <row r="76" spans="1:20" s="2" customFormat="1">
      <c r="A76" s="529"/>
      <c r="B76" s="165" t="s">
        <v>3</v>
      </c>
      <c r="C76" s="77" t="s">
        <v>21</v>
      </c>
      <c r="D76" s="78">
        <v>1</v>
      </c>
      <c r="E76" s="79" t="e">
        <f>INSUMOS!#REF!</f>
        <v>#REF!</v>
      </c>
      <c r="F76" s="79" t="e">
        <f>+D76*E76</f>
        <v>#REF!</v>
      </c>
      <c r="J76" s="244"/>
      <c r="K76" s="244"/>
      <c r="L76" s="244"/>
      <c r="M76" s="3"/>
      <c r="N76" s="3"/>
      <c r="O76" s="64"/>
      <c r="P76" s="64"/>
      <c r="Q76" s="64"/>
      <c r="R76" s="64"/>
      <c r="S76" s="3"/>
      <c r="T76" s="3"/>
    </row>
    <row r="77" spans="1:20" s="2" customFormat="1">
      <c r="A77" s="529"/>
      <c r="B77" s="165" t="s">
        <v>9</v>
      </c>
      <c r="C77" s="77" t="s">
        <v>10</v>
      </c>
      <c r="D77" s="78">
        <v>0.02</v>
      </c>
      <c r="E77" s="79">
        <f>+'VALOR CUADRILLAS MO'!D75</f>
        <v>26134.297994712331</v>
      </c>
      <c r="F77" s="79">
        <f>+D77*E77</f>
        <v>522.68595989424659</v>
      </c>
      <c r="J77" s="244"/>
      <c r="K77" s="244"/>
      <c r="L77" s="244"/>
      <c r="M77" s="3"/>
      <c r="N77" s="3"/>
      <c r="O77" s="64"/>
      <c r="P77" s="64"/>
      <c r="Q77" s="64"/>
      <c r="R77" s="64"/>
      <c r="S77" s="3"/>
      <c r="T77" s="3"/>
    </row>
    <row r="78" spans="1:20" s="2" customFormat="1">
      <c r="A78" s="529"/>
      <c r="B78" s="165"/>
      <c r="C78" s="77"/>
      <c r="D78" s="78"/>
      <c r="E78" s="79"/>
      <c r="F78" s="79"/>
      <c r="J78" s="244"/>
      <c r="K78" s="244"/>
      <c r="L78" s="244"/>
      <c r="M78" s="3"/>
      <c r="N78" s="3"/>
      <c r="O78" s="64"/>
      <c r="P78" s="64"/>
      <c r="Q78" s="64"/>
      <c r="R78" s="64"/>
      <c r="S78" s="3"/>
      <c r="T78" s="3"/>
    </row>
    <row r="79" spans="1:20" s="2" customFormat="1" ht="22.5" customHeight="1">
      <c r="A79" s="246">
        <f>+A75+1</f>
        <v>14</v>
      </c>
      <c r="B79" s="83" t="s">
        <v>137</v>
      </c>
      <c r="C79" s="76" t="s">
        <v>138</v>
      </c>
      <c r="D79" s="73"/>
      <c r="E79" s="74"/>
      <c r="F79" s="75">
        <f>ROUND(SUM(F80:F81),0)</f>
        <v>7268</v>
      </c>
      <c r="J79" s="244"/>
      <c r="K79" s="244"/>
      <c r="L79" s="244"/>
      <c r="M79" s="3"/>
      <c r="N79" s="3"/>
      <c r="O79" s="64"/>
      <c r="P79" s="64"/>
      <c r="Q79" s="64"/>
      <c r="R79" s="64"/>
      <c r="S79" s="3"/>
      <c r="T79" s="3"/>
    </row>
    <row r="80" spans="1:20" s="2" customFormat="1">
      <c r="A80" s="531"/>
      <c r="B80" s="165" t="s">
        <v>11</v>
      </c>
      <c r="C80" s="77" t="s">
        <v>284</v>
      </c>
      <c r="D80" s="78">
        <v>0.03</v>
      </c>
      <c r="E80" s="79">
        <f>+F81</f>
        <v>7056.2604585723302</v>
      </c>
      <c r="F80" s="79">
        <f>(D80*E80)</f>
        <v>211.68781375716989</v>
      </c>
      <c r="J80" s="244"/>
      <c r="K80" s="244"/>
      <c r="L80" s="244"/>
      <c r="M80" s="3"/>
      <c r="N80" s="3"/>
      <c r="O80" s="64"/>
      <c r="P80" s="64"/>
      <c r="Q80" s="64"/>
      <c r="R80" s="64"/>
      <c r="S80" s="3"/>
      <c r="T80" s="3"/>
    </row>
    <row r="81" spans="1:20" s="2" customFormat="1">
      <c r="A81" s="529"/>
      <c r="B81" s="165" t="s">
        <v>9</v>
      </c>
      <c r="C81" s="77" t="s">
        <v>10</v>
      </c>
      <c r="D81" s="78">
        <v>0.27</v>
      </c>
      <c r="E81" s="79">
        <f>+'VALOR CUADRILLAS MO'!D75</f>
        <v>26134.297994712331</v>
      </c>
      <c r="F81" s="79">
        <f>+D81*E81</f>
        <v>7056.2604585723302</v>
      </c>
      <c r="H81" s="247"/>
      <c r="J81" s="244"/>
      <c r="K81" s="244"/>
      <c r="L81" s="244"/>
      <c r="M81" s="3"/>
      <c r="N81" s="3"/>
      <c r="O81" s="64"/>
      <c r="P81" s="64"/>
      <c r="Q81" s="64"/>
      <c r="R81" s="64"/>
      <c r="S81" s="3"/>
      <c r="T81" s="3"/>
    </row>
    <row r="82" spans="1:20" s="2" customFormat="1">
      <c r="A82" s="531"/>
      <c r="B82" s="165"/>
      <c r="C82" s="77"/>
      <c r="D82" s="78"/>
      <c r="E82" s="79"/>
      <c r="F82" s="79"/>
      <c r="H82" s="247"/>
      <c r="J82" s="244"/>
      <c r="K82" s="244"/>
      <c r="L82" s="244"/>
      <c r="M82" s="3"/>
      <c r="N82" s="3"/>
      <c r="O82" s="64"/>
      <c r="P82" s="64"/>
      <c r="Q82" s="64"/>
      <c r="R82" s="64"/>
      <c r="S82" s="3"/>
      <c r="T82" s="3"/>
    </row>
    <row r="83" spans="1:20" s="2" customFormat="1" ht="24.6" customHeight="1">
      <c r="A83" s="246">
        <f>+A79+1</f>
        <v>15</v>
      </c>
      <c r="B83" s="83" t="s">
        <v>135</v>
      </c>
      <c r="C83" s="76" t="s">
        <v>119</v>
      </c>
      <c r="D83" s="73"/>
      <c r="E83" s="74"/>
      <c r="F83" s="75">
        <f>ROUND(SUM(F84:F85),0)</f>
        <v>7268</v>
      </c>
      <c r="J83" s="244"/>
      <c r="K83" s="244"/>
      <c r="L83" s="244"/>
      <c r="M83" s="3"/>
      <c r="N83" s="3"/>
      <c r="O83" s="64"/>
      <c r="P83" s="64"/>
      <c r="Q83" s="64"/>
      <c r="R83" s="64"/>
      <c r="S83" s="3"/>
      <c r="T83" s="3"/>
    </row>
    <row r="84" spans="1:20" s="2" customFormat="1">
      <c r="A84" s="531"/>
      <c r="B84" s="165" t="s">
        <v>11</v>
      </c>
      <c r="C84" s="77" t="s">
        <v>284</v>
      </c>
      <c r="D84" s="78">
        <v>0.03</v>
      </c>
      <c r="E84" s="79">
        <f>+F85</f>
        <v>7056.2604585723302</v>
      </c>
      <c r="F84" s="79">
        <f>(D84*E84)</f>
        <v>211.68781375716989</v>
      </c>
      <c r="J84" s="244"/>
      <c r="K84" s="244"/>
      <c r="L84" s="244"/>
      <c r="M84" s="3"/>
      <c r="N84" s="3"/>
      <c r="O84" s="64"/>
      <c r="P84" s="64"/>
      <c r="Q84" s="64"/>
      <c r="R84" s="64"/>
      <c r="S84" s="3"/>
      <c r="T84" s="3"/>
    </row>
    <row r="85" spans="1:20" s="2" customFormat="1">
      <c r="A85" s="529"/>
      <c r="B85" s="165" t="s">
        <v>9</v>
      </c>
      <c r="C85" s="77" t="s">
        <v>10</v>
      </c>
      <c r="D85" s="78">
        <v>0.27</v>
      </c>
      <c r="E85" s="79">
        <f>+'VALOR CUADRILLAS MO'!D75</f>
        <v>26134.297994712331</v>
      </c>
      <c r="F85" s="79">
        <f>+D85*E85</f>
        <v>7056.2604585723302</v>
      </c>
      <c r="H85" s="247"/>
      <c r="J85" s="244"/>
      <c r="K85" s="244"/>
      <c r="L85" s="244"/>
      <c r="M85" s="3"/>
      <c r="N85" s="3"/>
      <c r="O85" s="64"/>
      <c r="P85" s="64"/>
      <c r="Q85" s="64"/>
      <c r="R85" s="64"/>
      <c r="S85" s="3"/>
      <c r="T85" s="3"/>
    </row>
    <row r="86" spans="1:20" s="2" customFormat="1">
      <c r="A86" s="531"/>
      <c r="B86" s="165"/>
      <c r="C86" s="77"/>
      <c r="D86" s="78"/>
      <c r="E86" s="79"/>
      <c r="F86" s="79"/>
      <c r="H86" s="247"/>
      <c r="J86" s="244"/>
      <c r="K86" s="244"/>
      <c r="L86" s="244"/>
      <c r="M86" s="3"/>
      <c r="N86" s="3"/>
      <c r="O86" s="64"/>
      <c r="P86" s="64"/>
      <c r="Q86" s="64"/>
      <c r="R86" s="64"/>
      <c r="S86" s="3"/>
      <c r="T86" s="3"/>
    </row>
    <row r="87" spans="1:20" s="2" customFormat="1" ht="27" customHeight="1">
      <c r="A87" s="246">
        <f>+A83+1</f>
        <v>16</v>
      </c>
      <c r="B87" s="83" t="s">
        <v>143</v>
      </c>
      <c r="C87" s="76" t="s">
        <v>138</v>
      </c>
      <c r="D87" s="73"/>
      <c r="E87" s="74"/>
      <c r="F87" s="75">
        <f>ROUND(SUM(F88:F89),0)</f>
        <v>6730</v>
      </c>
      <c r="J87" s="244"/>
      <c r="K87" s="244"/>
      <c r="L87" s="244"/>
      <c r="M87" s="3"/>
      <c r="N87" s="3"/>
      <c r="O87" s="64"/>
      <c r="P87" s="64"/>
      <c r="Q87" s="64"/>
      <c r="R87" s="64"/>
      <c r="S87" s="3"/>
      <c r="T87" s="3"/>
    </row>
    <row r="88" spans="1:20" s="2" customFormat="1">
      <c r="A88" s="531"/>
      <c r="B88" s="165" t="s">
        <v>11</v>
      </c>
      <c r="C88" s="77" t="s">
        <v>284</v>
      </c>
      <c r="D88" s="78">
        <v>0.03</v>
      </c>
      <c r="E88" s="79">
        <f>+F89</f>
        <v>6533.5744986780828</v>
      </c>
      <c r="F88" s="79">
        <f>(D88*E88)</f>
        <v>196.00723496034249</v>
      </c>
      <c r="J88" s="244"/>
      <c r="K88" s="244"/>
      <c r="L88" s="244"/>
      <c r="M88" s="3"/>
      <c r="N88" s="3"/>
      <c r="O88" s="64"/>
      <c r="P88" s="64"/>
      <c r="Q88" s="64"/>
      <c r="R88" s="64"/>
      <c r="S88" s="3"/>
      <c r="T88" s="3"/>
    </row>
    <row r="89" spans="1:20" s="2" customFormat="1">
      <c r="A89" s="529"/>
      <c r="B89" s="165" t="s">
        <v>9</v>
      </c>
      <c r="C89" s="77" t="s">
        <v>10</v>
      </c>
      <c r="D89" s="78">
        <v>0.25</v>
      </c>
      <c r="E89" s="79">
        <f>+'VALOR CUADRILLAS MO'!D75</f>
        <v>26134.297994712331</v>
      </c>
      <c r="F89" s="79">
        <f>+D89*E89</f>
        <v>6533.5744986780828</v>
      </c>
      <c r="H89" s="247"/>
      <c r="J89" s="244"/>
      <c r="K89" s="244"/>
      <c r="L89" s="244"/>
      <c r="M89" s="3"/>
      <c r="N89" s="3"/>
      <c r="O89" s="64"/>
      <c r="P89" s="64"/>
      <c r="Q89" s="64"/>
      <c r="R89" s="64"/>
      <c r="S89" s="3"/>
      <c r="T89" s="3"/>
    </row>
    <row r="90" spans="1:20" s="244" customFormat="1">
      <c r="A90" s="531"/>
      <c r="B90" s="165"/>
      <c r="C90" s="77"/>
      <c r="D90" s="78"/>
      <c r="E90" s="79"/>
      <c r="F90" s="79"/>
      <c r="G90" s="2"/>
      <c r="H90" s="247"/>
      <c r="I90" s="2"/>
      <c r="M90" s="3"/>
      <c r="N90" s="3"/>
      <c r="O90" s="64"/>
      <c r="P90" s="64"/>
      <c r="Q90" s="64"/>
      <c r="R90" s="64"/>
      <c r="S90" s="3"/>
      <c r="T90" s="3"/>
    </row>
    <row r="91" spans="1:20" s="244" customFormat="1" ht="23.45" customHeight="1">
      <c r="A91" s="246">
        <f>+A87+1</f>
        <v>17</v>
      </c>
      <c r="B91" s="83" t="s">
        <v>740</v>
      </c>
      <c r="C91" s="76" t="s">
        <v>119</v>
      </c>
      <c r="D91" s="73"/>
      <c r="E91" s="74"/>
      <c r="F91" s="75">
        <f>ROUND(SUM(F92:F93),0)</f>
        <v>18843</v>
      </c>
      <c r="G91" s="2"/>
      <c r="H91" s="2"/>
      <c r="I91" s="2"/>
      <c r="M91" s="3"/>
      <c r="N91" s="3"/>
      <c r="O91" s="64"/>
      <c r="P91" s="64"/>
      <c r="Q91" s="64"/>
      <c r="R91" s="64"/>
      <c r="S91" s="3"/>
      <c r="T91" s="3"/>
    </row>
    <row r="92" spans="1:20" s="244" customFormat="1">
      <c r="A92" s="531"/>
      <c r="B92" s="165" t="s">
        <v>11</v>
      </c>
      <c r="C92" s="77" t="s">
        <v>284</v>
      </c>
      <c r="D92" s="78">
        <v>0.03</v>
      </c>
      <c r="E92" s="79">
        <f>+F93</f>
        <v>18294.00859629863</v>
      </c>
      <c r="F92" s="79">
        <f>(D92*E92)</f>
        <v>548.82025788895885</v>
      </c>
      <c r="G92" s="2"/>
      <c r="H92" s="2"/>
      <c r="I92" s="2"/>
      <c r="M92" s="3"/>
      <c r="N92" s="3"/>
      <c r="O92" s="64"/>
      <c r="P92" s="64"/>
      <c r="Q92" s="64"/>
      <c r="R92" s="64"/>
      <c r="S92" s="3"/>
      <c r="T92" s="3"/>
    </row>
    <row r="93" spans="1:20" s="244" customFormat="1">
      <c r="A93" s="529"/>
      <c r="B93" s="165" t="s">
        <v>9</v>
      </c>
      <c r="C93" s="77" t="s">
        <v>10</v>
      </c>
      <c r="D93" s="78">
        <v>0.7</v>
      </c>
      <c r="E93" s="79">
        <f>+'VALOR CUADRILLAS MO'!D75</f>
        <v>26134.297994712331</v>
      </c>
      <c r="F93" s="79">
        <f>+D93*E93</f>
        <v>18294.00859629863</v>
      </c>
      <c r="G93" s="2"/>
      <c r="H93" s="247"/>
      <c r="I93" s="2"/>
      <c r="M93" s="3"/>
      <c r="N93" s="3"/>
      <c r="O93" s="64"/>
      <c r="P93" s="64"/>
      <c r="Q93" s="64"/>
      <c r="R93" s="64"/>
      <c r="S93" s="3"/>
      <c r="T93" s="3"/>
    </row>
    <row r="94" spans="1:20" s="244" customFormat="1">
      <c r="A94" s="531"/>
      <c r="B94" s="165"/>
      <c r="C94" s="77"/>
      <c r="D94" s="78"/>
      <c r="E94" s="79"/>
      <c r="F94" s="79"/>
      <c r="G94" s="2"/>
      <c r="H94" s="247"/>
      <c r="I94" s="2"/>
      <c r="M94" s="3"/>
      <c r="N94" s="3"/>
      <c r="O94" s="64"/>
      <c r="P94" s="64"/>
      <c r="Q94" s="64"/>
      <c r="R94" s="64"/>
      <c r="S94" s="3"/>
      <c r="T94" s="3"/>
    </row>
    <row r="95" spans="1:20" s="244" customFormat="1" ht="23.45" customHeight="1">
      <c r="A95" s="246">
        <f>+A91+1</f>
        <v>18</v>
      </c>
      <c r="B95" s="83" t="s">
        <v>630</v>
      </c>
      <c r="C95" s="76" t="s">
        <v>121</v>
      </c>
      <c r="D95" s="73"/>
      <c r="E95" s="74"/>
      <c r="F95" s="75">
        <f>ROUND(SUM(F96:F97),0)</f>
        <v>96044</v>
      </c>
      <c r="G95" s="2"/>
      <c r="H95" s="247"/>
      <c r="I95" s="2"/>
      <c r="M95" s="3"/>
      <c r="N95" s="3"/>
      <c r="O95" s="64"/>
      <c r="P95" s="64"/>
      <c r="Q95" s="64"/>
      <c r="R95" s="64"/>
      <c r="S95" s="3"/>
      <c r="T95" s="3"/>
    </row>
    <row r="96" spans="1:20" s="244" customFormat="1">
      <c r="A96" s="531"/>
      <c r="B96" s="165" t="s">
        <v>11</v>
      </c>
      <c r="C96" s="77" t="s">
        <v>284</v>
      </c>
      <c r="D96" s="78">
        <v>0.03</v>
      </c>
      <c r="E96" s="79">
        <f>+F97</f>
        <v>93246.663275375337</v>
      </c>
      <c r="F96" s="79">
        <f>(D96*E96)</f>
        <v>2797.3998982612602</v>
      </c>
      <c r="G96" s="2"/>
      <c r="H96" s="247"/>
      <c r="I96" s="2"/>
      <c r="M96" s="3"/>
      <c r="N96" s="3"/>
      <c r="O96" s="64"/>
      <c r="P96" s="64"/>
      <c r="Q96" s="64"/>
      <c r="R96" s="64"/>
      <c r="S96" s="3"/>
      <c r="T96" s="3"/>
    </row>
    <row r="97" spans="1:20" s="244" customFormat="1">
      <c r="A97" s="529"/>
      <c r="B97" s="165" t="s">
        <v>9</v>
      </c>
      <c r="C97" s="77" t="s">
        <v>10</v>
      </c>
      <c r="D97" s="78">
        <v>3.5679804100435999</v>
      </c>
      <c r="E97" s="79">
        <f>+'VALOR CUADRILLAS MO'!D75</f>
        <v>26134.297994712331</v>
      </c>
      <c r="F97" s="79">
        <f>+D97*E97</f>
        <v>93246.663275375337</v>
      </c>
      <c r="G97" s="2"/>
      <c r="H97" s="247"/>
      <c r="I97" s="2"/>
      <c r="M97" s="3"/>
      <c r="N97" s="3"/>
      <c r="O97" s="64"/>
      <c r="P97" s="64"/>
      <c r="Q97" s="64"/>
      <c r="R97" s="64"/>
      <c r="S97" s="3"/>
      <c r="T97" s="3"/>
    </row>
    <row r="98" spans="1:20" s="244" customFormat="1">
      <c r="A98" s="531"/>
      <c r="B98" s="165"/>
      <c r="C98" s="77"/>
      <c r="D98" s="78"/>
      <c r="E98" s="79"/>
      <c r="F98" s="79"/>
      <c r="G98" s="2"/>
      <c r="H98" s="247"/>
      <c r="I98" s="2"/>
      <c r="M98" s="3"/>
      <c r="N98" s="3"/>
      <c r="O98" s="64"/>
      <c r="P98" s="64"/>
      <c r="Q98" s="64"/>
      <c r="R98" s="64"/>
      <c r="S98" s="3"/>
      <c r="T98" s="3"/>
    </row>
    <row r="99" spans="1:20" s="244" customFormat="1" ht="27" customHeight="1">
      <c r="A99" s="246">
        <f>A95+1</f>
        <v>19</v>
      </c>
      <c r="B99" s="83" t="s">
        <v>631</v>
      </c>
      <c r="C99" s="76" t="s">
        <v>206</v>
      </c>
      <c r="D99" s="73"/>
      <c r="E99" s="74"/>
      <c r="F99" s="75" t="e">
        <f>ROUND(SUM(F100:F103),0)</f>
        <v>#REF!</v>
      </c>
      <c r="G99" s="2" t="e">
        <f>F99*0.15</f>
        <v>#REF!</v>
      </c>
      <c r="H99" s="247"/>
      <c r="I99" s="2"/>
      <c r="M99" s="3"/>
      <c r="N99" s="3"/>
      <c r="O99" s="64"/>
      <c r="P99" s="64"/>
      <c r="Q99" s="64"/>
      <c r="R99" s="64"/>
      <c r="S99" s="3"/>
      <c r="T99" s="3"/>
    </row>
    <row r="100" spans="1:20" s="244" customFormat="1">
      <c r="A100" s="531"/>
      <c r="B100" s="165" t="s">
        <v>772</v>
      </c>
      <c r="C100" s="77" t="s">
        <v>153</v>
      </c>
      <c r="D100" s="78">
        <v>1.1000000000000001</v>
      </c>
      <c r="E100" s="79" t="e">
        <f>INSUMOS!#REF!</f>
        <v>#REF!</v>
      </c>
      <c r="F100" s="79" t="e">
        <f>+D100*E100</f>
        <v>#REF!</v>
      </c>
      <c r="G100" s="2"/>
      <c r="H100" s="247"/>
      <c r="I100" s="2" t="e">
        <f>F100*0.15</f>
        <v>#REF!</v>
      </c>
      <c r="M100" s="3"/>
      <c r="N100" s="3"/>
      <c r="O100" s="64"/>
      <c r="P100" s="64"/>
      <c r="Q100" s="64"/>
      <c r="R100" s="64"/>
      <c r="S100" s="3"/>
      <c r="T100" s="3"/>
    </row>
    <row r="101" spans="1:20" s="244" customFormat="1">
      <c r="A101" s="529"/>
      <c r="B101" s="165" t="s">
        <v>524</v>
      </c>
      <c r="C101" s="77" t="s">
        <v>121</v>
      </c>
      <c r="D101" s="78">
        <v>1.03</v>
      </c>
      <c r="E101" s="79" t="e">
        <f>INSUMOS!#REF!</f>
        <v>#REF!</v>
      </c>
      <c r="F101" s="79" t="e">
        <f>+D101*E101</f>
        <v>#REF!</v>
      </c>
      <c r="G101" s="2"/>
      <c r="H101" s="247"/>
      <c r="I101" s="2"/>
      <c r="M101" s="3"/>
      <c r="N101" s="3"/>
      <c r="O101" s="64"/>
      <c r="P101" s="64"/>
      <c r="Q101" s="64"/>
      <c r="R101" s="64"/>
      <c r="S101" s="3"/>
      <c r="T101" s="3"/>
    </row>
    <row r="102" spans="1:20" s="244" customFormat="1">
      <c r="A102" s="529"/>
      <c r="B102" s="165" t="s">
        <v>11</v>
      </c>
      <c r="C102" s="77" t="s">
        <v>127</v>
      </c>
      <c r="D102" s="78">
        <v>0.03</v>
      </c>
      <c r="E102" s="79">
        <f>+F103</f>
        <v>10453.719197884933</v>
      </c>
      <c r="F102" s="79">
        <f>+D102*E102</f>
        <v>313.61157593654798</v>
      </c>
      <c r="G102" s="2"/>
      <c r="H102" s="247"/>
      <c r="I102" s="2"/>
      <c r="M102" s="3"/>
      <c r="N102" s="3"/>
      <c r="O102" s="64"/>
      <c r="P102" s="64"/>
      <c r="Q102" s="64"/>
      <c r="R102" s="64"/>
      <c r="S102" s="3"/>
      <c r="T102" s="3"/>
    </row>
    <row r="103" spans="1:20" s="244" customFormat="1">
      <c r="A103" s="529"/>
      <c r="B103" s="165" t="s">
        <v>9</v>
      </c>
      <c r="C103" s="77" t="s">
        <v>10</v>
      </c>
      <c r="D103" s="78">
        <v>0.4</v>
      </c>
      <c r="E103" s="79">
        <f>+'VALOR CUADRILLAS MO'!D75</f>
        <v>26134.297994712331</v>
      </c>
      <c r="F103" s="79">
        <f>+D103*E103</f>
        <v>10453.719197884933</v>
      </c>
      <c r="G103" s="2"/>
      <c r="H103" s="247"/>
      <c r="I103" s="2"/>
      <c r="M103" s="3"/>
      <c r="N103" s="3"/>
      <c r="O103" s="64"/>
      <c r="P103" s="64"/>
      <c r="Q103" s="64"/>
      <c r="R103" s="64"/>
      <c r="S103" s="3"/>
      <c r="T103" s="3"/>
    </row>
    <row r="104" spans="1:20" s="244" customFormat="1">
      <c r="A104" s="531"/>
      <c r="B104" s="165"/>
      <c r="C104" s="77"/>
      <c r="D104" s="78"/>
      <c r="E104" s="79"/>
      <c r="F104" s="79"/>
      <c r="G104" s="2"/>
      <c r="H104" s="247"/>
      <c r="I104" s="2"/>
      <c r="M104" s="3"/>
      <c r="N104" s="3"/>
      <c r="O104" s="64"/>
      <c r="P104" s="64"/>
      <c r="Q104" s="64"/>
      <c r="R104" s="64"/>
      <c r="S104" s="3"/>
      <c r="T104" s="3"/>
    </row>
    <row r="105" spans="1:20" s="244" customFormat="1" ht="25.9" customHeight="1">
      <c r="A105" s="246">
        <f>+A99+1</f>
        <v>20</v>
      </c>
      <c r="B105" s="83" t="s">
        <v>742</v>
      </c>
      <c r="C105" s="76" t="s">
        <v>206</v>
      </c>
      <c r="D105" s="73"/>
      <c r="E105" s="74"/>
      <c r="F105" s="75" t="e">
        <f>ROUND(SUM(F106:F109),0)</f>
        <v>#REF!</v>
      </c>
      <c r="G105" s="2"/>
      <c r="H105" s="247"/>
      <c r="I105" s="2"/>
      <c r="M105" s="3"/>
      <c r="N105" s="3"/>
      <c r="O105" s="64"/>
      <c r="P105" s="64"/>
      <c r="Q105" s="64"/>
      <c r="R105" s="64"/>
      <c r="S105" s="3"/>
      <c r="T105" s="3"/>
    </row>
    <row r="106" spans="1:20" s="244" customFormat="1">
      <c r="A106" s="531"/>
      <c r="B106" s="165" t="s">
        <v>772</v>
      </c>
      <c r="C106" s="77" t="s">
        <v>153</v>
      </c>
      <c r="D106" s="78">
        <v>0.15245714285714287</v>
      </c>
      <c r="E106" s="79" t="e">
        <f>INSUMOS!#REF!</f>
        <v>#REF!</v>
      </c>
      <c r="F106" s="79" t="e">
        <f>+D106*E106</f>
        <v>#REF!</v>
      </c>
      <c r="G106" s="2"/>
      <c r="H106" s="247"/>
      <c r="I106" s="2"/>
      <c r="M106" s="3"/>
      <c r="N106" s="3"/>
      <c r="O106" s="64"/>
      <c r="P106" s="64"/>
      <c r="Q106" s="64"/>
      <c r="R106" s="64"/>
      <c r="S106" s="3"/>
      <c r="T106" s="3"/>
    </row>
    <row r="107" spans="1:20" s="244" customFormat="1">
      <c r="A107" s="529"/>
      <c r="B107" s="165" t="s">
        <v>524</v>
      </c>
      <c r="C107" s="77" t="s">
        <v>124</v>
      </c>
      <c r="D107" s="78">
        <v>1</v>
      </c>
      <c r="E107" s="79" t="e">
        <f>INSUMOS!#REF!</f>
        <v>#REF!</v>
      </c>
      <c r="F107" s="79" t="e">
        <f>+D107*E107</f>
        <v>#REF!</v>
      </c>
      <c r="G107" s="2"/>
      <c r="H107" s="247"/>
      <c r="I107" s="2"/>
      <c r="M107" s="3"/>
      <c r="N107" s="3"/>
      <c r="O107" s="64"/>
      <c r="P107" s="64"/>
      <c r="Q107" s="64"/>
      <c r="R107" s="64"/>
      <c r="S107" s="3"/>
      <c r="T107" s="3"/>
    </row>
    <row r="108" spans="1:20" s="244" customFormat="1">
      <c r="A108" s="529"/>
      <c r="B108" s="165" t="s">
        <v>11</v>
      </c>
      <c r="C108" s="77" t="s">
        <v>121</v>
      </c>
      <c r="D108" s="78">
        <v>0.03</v>
      </c>
      <c r="E108" s="79">
        <f>+F109</f>
        <v>16987.293696563014</v>
      </c>
      <c r="F108" s="79">
        <f>+D108*E108</f>
        <v>509.61881089689041</v>
      </c>
      <c r="G108" s="2"/>
      <c r="H108" s="247"/>
      <c r="I108" s="2"/>
      <c r="M108" s="3"/>
      <c r="N108" s="3"/>
      <c r="O108" s="64"/>
      <c r="P108" s="64"/>
      <c r="Q108" s="64"/>
      <c r="R108" s="64"/>
      <c r="S108" s="3"/>
      <c r="T108" s="3"/>
    </row>
    <row r="109" spans="1:20" s="244" customFormat="1">
      <c r="A109" s="529"/>
      <c r="B109" s="165" t="s">
        <v>9</v>
      </c>
      <c r="C109" s="77" t="s">
        <v>204</v>
      </c>
      <c r="D109" s="78">
        <v>0.65</v>
      </c>
      <c r="E109" s="79">
        <f>+'VALOR CUADRILLAS MO'!D75</f>
        <v>26134.297994712331</v>
      </c>
      <c r="F109" s="79">
        <f>+D109*E109</f>
        <v>16987.293696563014</v>
      </c>
      <c r="G109" s="2"/>
      <c r="H109" s="247"/>
      <c r="I109" s="2"/>
      <c r="M109" s="3"/>
      <c r="N109" s="3"/>
      <c r="O109" s="64"/>
      <c r="P109" s="64"/>
      <c r="Q109" s="64"/>
      <c r="R109" s="64"/>
      <c r="S109" s="3"/>
      <c r="T109" s="3"/>
    </row>
    <row r="110" spans="1:20" s="244" customFormat="1">
      <c r="A110" s="531"/>
      <c r="B110" s="165"/>
      <c r="C110" s="77"/>
      <c r="D110" s="78"/>
      <c r="E110" s="79"/>
      <c r="F110" s="79"/>
      <c r="G110" s="2"/>
      <c r="H110" s="247"/>
      <c r="I110" s="2"/>
      <c r="M110" s="3"/>
      <c r="N110" s="3"/>
      <c r="O110" s="64"/>
      <c r="P110" s="64"/>
      <c r="Q110" s="64"/>
      <c r="R110" s="64"/>
      <c r="S110" s="3"/>
      <c r="T110" s="3"/>
    </row>
    <row r="111" spans="1:20" s="2" customFormat="1" ht="21.6" customHeight="1">
      <c r="A111" s="246">
        <f>A105+1</f>
        <v>21</v>
      </c>
      <c r="B111" s="83" t="s">
        <v>213</v>
      </c>
      <c r="C111" s="76" t="s">
        <v>21</v>
      </c>
      <c r="D111" s="73"/>
      <c r="E111" s="74"/>
      <c r="F111" s="75">
        <f>ROUND(SUM(F112:F113),0)</f>
        <v>5114</v>
      </c>
      <c r="J111" s="244"/>
      <c r="K111" s="244"/>
      <c r="L111" s="244"/>
      <c r="M111" s="3"/>
      <c r="N111" s="3"/>
      <c r="O111" s="64"/>
      <c r="P111" s="64"/>
      <c r="Q111" s="64"/>
      <c r="R111" s="64"/>
      <c r="S111" s="3"/>
      <c r="T111" s="3"/>
    </row>
    <row r="112" spans="1:20" s="2" customFormat="1">
      <c r="A112" s="529"/>
      <c r="B112" s="165" t="s">
        <v>11</v>
      </c>
      <c r="C112" s="77" t="s">
        <v>284</v>
      </c>
      <c r="D112" s="78">
        <v>0.03</v>
      </c>
      <c r="E112" s="79">
        <f>+F113</f>
        <v>4965.5166189953434</v>
      </c>
      <c r="F112" s="79">
        <f>(D112*E112)</f>
        <v>148.9654985698603</v>
      </c>
      <c r="J112" s="244"/>
      <c r="K112" s="244"/>
      <c r="L112" s="244"/>
      <c r="M112" s="3"/>
      <c r="N112" s="3"/>
      <c r="O112" s="64"/>
      <c r="P112" s="64"/>
      <c r="Q112" s="64"/>
      <c r="R112" s="64"/>
      <c r="S112" s="3"/>
      <c r="T112" s="3"/>
    </row>
    <row r="113" spans="1:20" s="2" customFormat="1">
      <c r="A113" s="529"/>
      <c r="B113" s="165" t="s">
        <v>9</v>
      </c>
      <c r="C113" s="77" t="s">
        <v>10</v>
      </c>
      <c r="D113" s="78">
        <f>0.19</f>
        <v>0.19</v>
      </c>
      <c r="E113" s="79">
        <f>+'VALOR CUADRILLAS MO'!D75</f>
        <v>26134.297994712331</v>
      </c>
      <c r="F113" s="79">
        <f>+D113*E113</f>
        <v>4965.5166189953434</v>
      </c>
      <c r="J113" s="244"/>
      <c r="K113" s="244"/>
      <c r="L113" s="244"/>
      <c r="M113" s="3"/>
      <c r="N113" s="3"/>
      <c r="O113" s="64"/>
      <c r="P113" s="64"/>
      <c r="Q113" s="64"/>
      <c r="R113" s="64"/>
      <c r="S113" s="3"/>
      <c r="T113" s="3"/>
    </row>
    <row r="114" spans="1:20" s="2" customFormat="1">
      <c r="A114" s="531"/>
      <c r="B114" s="165"/>
      <c r="C114" s="77"/>
      <c r="D114" s="78"/>
      <c r="E114" s="79"/>
      <c r="F114" s="79"/>
      <c r="J114" s="244"/>
      <c r="K114" s="244"/>
      <c r="L114" s="244"/>
      <c r="M114" s="3"/>
      <c r="N114" s="3"/>
      <c r="O114" s="64"/>
      <c r="P114" s="64"/>
      <c r="Q114" s="64"/>
      <c r="R114" s="64"/>
      <c r="S114" s="3"/>
      <c r="T114" s="3"/>
    </row>
    <row r="115" spans="1:20" s="2" customFormat="1" ht="30" customHeight="1">
      <c r="A115" s="246">
        <f>+A111+1</f>
        <v>22</v>
      </c>
      <c r="B115" s="83" t="s">
        <v>59</v>
      </c>
      <c r="C115" s="76" t="s">
        <v>713</v>
      </c>
      <c r="D115" s="73"/>
      <c r="E115" s="74"/>
      <c r="F115" s="75">
        <f>ROUND(SUM(F116),0)</f>
        <v>1100</v>
      </c>
      <c r="J115" s="244"/>
      <c r="K115" s="244"/>
      <c r="L115" s="244"/>
      <c r="M115" s="3"/>
      <c r="N115" s="3"/>
      <c r="O115" s="64"/>
      <c r="P115" s="64"/>
      <c r="Q115" s="64"/>
      <c r="R115" s="64"/>
      <c r="S115" s="3"/>
      <c r="T115" s="3"/>
    </row>
    <row r="116" spans="1:20" s="2" customFormat="1">
      <c r="A116" s="529"/>
      <c r="B116" s="165" t="s">
        <v>27</v>
      </c>
      <c r="C116" s="77" t="s">
        <v>20</v>
      </c>
      <c r="D116" s="80">
        <v>9.1633333333333341E-3</v>
      </c>
      <c r="E116" s="79">
        <f>+INSUMOS!D31</f>
        <v>120000</v>
      </c>
      <c r="F116" s="79">
        <f>+D116*E116</f>
        <v>1099.6000000000001</v>
      </c>
      <c r="J116" s="244"/>
      <c r="K116" s="244"/>
      <c r="L116" s="244"/>
      <c r="M116" s="3"/>
      <c r="N116" s="3"/>
      <c r="O116" s="64"/>
      <c r="P116" s="64"/>
      <c r="Q116" s="64"/>
      <c r="R116" s="64"/>
      <c r="S116" s="3"/>
      <c r="T116" s="3"/>
    </row>
    <row r="117" spans="1:20" s="2" customFormat="1">
      <c r="A117" s="529"/>
      <c r="B117" s="165"/>
      <c r="C117" s="77"/>
      <c r="D117" s="80"/>
      <c r="E117" s="79"/>
      <c r="F117" s="79"/>
      <c r="J117" s="244"/>
      <c r="K117" s="244"/>
      <c r="L117" s="244"/>
      <c r="M117" s="3"/>
      <c r="N117" s="3"/>
      <c r="O117" s="64"/>
      <c r="P117" s="64"/>
      <c r="Q117" s="64"/>
      <c r="R117" s="64"/>
      <c r="S117" s="3"/>
      <c r="T117" s="3"/>
    </row>
    <row r="118" spans="1:20" s="2" customFormat="1" ht="25.5">
      <c r="A118" s="246">
        <f>+A115+1</f>
        <v>23</v>
      </c>
      <c r="B118" s="83" t="s">
        <v>682</v>
      </c>
      <c r="C118" s="76" t="s">
        <v>121</v>
      </c>
      <c r="D118" s="73"/>
      <c r="E118" s="74"/>
      <c r="F118" s="75">
        <f>ROUND(SUM(F119:F120),0)</f>
        <v>12348</v>
      </c>
      <c r="J118" s="244"/>
      <c r="K118" s="244"/>
      <c r="L118" s="244"/>
      <c r="M118" s="3"/>
      <c r="N118" s="3"/>
      <c r="O118" s="64"/>
      <c r="P118" s="64"/>
      <c r="Q118" s="64"/>
      <c r="R118" s="64"/>
      <c r="S118" s="3"/>
      <c r="T118" s="3"/>
    </row>
    <row r="119" spans="1:20" s="2" customFormat="1">
      <c r="A119" s="531"/>
      <c r="B119" s="165" t="s">
        <v>11</v>
      </c>
      <c r="C119" s="77" t="s">
        <v>284</v>
      </c>
      <c r="D119" s="78">
        <v>0.05</v>
      </c>
      <c r="E119" s="79">
        <f>+F120</f>
        <v>11760.434097620549</v>
      </c>
      <c r="F119" s="79">
        <f>(D119*E119)</f>
        <v>588.02170488102752</v>
      </c>
      <c r="J119" s="244"/>
      <c r="K119" s="244"/>
      <c r="L119" s="244"/>
      <c r="M119" s="3"/>
      <c r="N119" s="3"/>
      <c r="O119" s="64"/>
      <c r="P119" s="64"/>
      <c r="Q119" s="64"/>
      <c r="R119" s="64"/>
      <c r="S119" s="3"/>
      <c r="T119" s="3"/>
    </row>
    <row r="120" spans="1:20" s="2" customFormat="1">
      <c r="A120" s="529"/>
      <c r="B120" s="165" t="s">
        <v>9</v>
      </c>
      <c r="C120" s="77" t="s">
        <v>10</v>
      </c>
      <c r="D120" s="78">
        <f>0.45</f>
        <v>0.45</v>
      </c>
      <c r="E120" s="79">
        <f>+'VALOR CUADRILLAS MO'!D75</f>
        <v>26134.297994712331</v>
      </c>
      <c r="F120" s="79">
        <f>+D120*E120</f>
        <v>11760.434097620549</v>
      </c>
      <c r="J120" s="244"/>
      <c r="K120" s="244"/>
      <c r="L120" s="244"/>
      <c r="M120" s="3"/>
      <c r="N120" s="3"/>
      <c r="O120" s="64"/>
      <c r="P120" s="64"/>
      <c r="Q120" s="64"/>
      <c r="R120" s="64"/>
      <c r="S120" s="3"/>
      <c r="T120" s="3"/>
    </row>
    <row r="121" spans="1:20" s="2" customFormat="1">
      <c r="A121" s="531"/>
      <c r="B121" s="165"/>
      <c r="C121" s="77"/>
      <c r="D121" s="80"/>
      <c r="E121" s="79"/>
      <c r="F121" s="79"/>
      <c r="J121" s="244"/>
      <c r="K121" s="244"/>
      <c r="L121" s="244"/>
      <c r="M121" s="3"/>
      <c r="N121" s="3"/>
      <c r="O121" s="64"/>
      <c r="P121" s="64"/>
      <c r="Q121" s="64"/>
      <c r="R121" s="64"/>
      <c r="S121" s="3"/>
      <c r="T121" s="3"/>
    </row>
    <row r="122" spans="1:20" s="2" customFormat="1" ht="68.25" customHeight="1">
      <c r="A122" s="246">
        <f>+A118+1</f>
        <v>24</v>
      </c>
      <c r="B122" s="83" t="s">
        <v>632</v>
      </c>
      <c r="C122" s="76" t="s">
        <v>26</v>
      </c>
      <c r="D122" s="73"/>
      <c r="E122" s="74"/>
      <c r="F122" s="75">
        <f>ROUND(SUM(F123:F125),0)</f>
        <v>221510</v>
      </c>
      <c r="J122" s="244"/>
      <c r="K122" s="244"/>
      <c r="L122" s="244"/>
      <c r="M122" s="3"/>
      <c r="N122" s="3"/>
      <c r="O122" s="64"/>
      <c r="P122" s="64"/>
      <c r="Q122" s="64"/>
      <c r="R122" s="64"/>
      <c r="S122" s="3"/>
      <c r="T122" s="3"/>
    </row>
    <row r="123" spans="1:20" s="2" customFormat="1">
      <c r="A123" s="529"/>
      <c r="B123" s="165" t="s">
        <v>27</v>
      </c>
      <c r="C123" s="77" t="s">
        <v>20</v>
      </c>
      <c r="D123" s="78">
        <v>0.5</v>
      </c>
      <c r="E123" s="79">
        <f>+INSUMOS!D31</f>
        <v>120000</v>
      </c>
      <c r="F123" s="79">
        <f>+D123*E123</f>
        <v>60000</v>
      </c>
      <c r="J123" s="244"/>
      <c r="K123" s="244"/>
      <c r="L123" s="244"/>
      <c r="M123" s="3"/>
      <c r="N123" s="3"/>
      <c r="O123" s="64"/>
      <c r="P123" s="64"/>
      <c r="Q123" s="64"/>
      <c r="R123" s="64"/>
      <c r="S123" s="3"/>
      <c r="T123" s="3"/>
    </row>
    <row r="124" spans="1:20" s="2" customFormat="1">
      <c r="A124" s="529"/>
      <c r="B124" s="165" t="s">
        <v>11</v>
      </c>
      <c r="C124" s="77" t="s">
        <v>284</v>
      </c>
      <c r="D124" s="78">
        <v>0.03</v>
      </c>
      <c r="E124" s="79">
        <f>+F125</f>
        <v>156805.78796827397</v>
      </c>
      <c r="F124" s="79">
        <f>(D124*E124)</f>
        <v>4704.1736390482192</v>
      </c>
      <c r="J124" s="244"/>
      <c r="K124" s="244"/>
      <c r="L124" s="244"/>
      <c r="M124" s="3"/>
      <c r="N124" s="3"/>
      <c r="O124" s="64"/>
      <c r="P124" s="64"/>
      <c r="Q124" s="64"/>
      <c r="R124" s="64"/>
      <c r="S124" s="3"/>
      <c r="T124" s="3"/>
    </row>
    <row r="125" spans="1:20" s="2" customFormat="1">
      <c r="A125" s="529"/>
      <c r="B125" s="165" t="s">
        <v>9</v>
      </c>
      <c r="C125" s="77" t="s">
        <v>10</v>
      </c>
      <c r="D125" s="78">
        <v>6</v>
      </c>
      <c r="E125" s="79">
        <f>+'VALOR CUADRILLAS MO'!D75</f>
        <v>26134.297994712331</v>
      </c>
      <c r="F125" s="79">
        <f>+D125*E125</f>
        <v>156805.78796827397</v>
      </c>
      <c r="J125" s="244"/>
      <c r="K125" s="244"/>
      <c r="L125" s="244"/>
      <c r="M125" s="3"/>
      <c r="N125" s="3"/>
      <c r="O125" s="64"/>
      <c r="P125" s="64"/>
      <c r="Q125" s="64"/>
      <c r="R125" s="64"/>
      <c r="S125" s="3"/>
      <c r="T125" s="3"/>
    </row>
    <row r="126" spans="1:20" s="2" customFormat="1">
      <c r="A126" s="529"/>
      <c r="B126" s="165"/>
      <c r="C126" s="77"/>
      <c r="D126" s="78"/>
      <c r="E126" s="79"/>
      <c r="F126" s="79"/>
      <c r="J126" s="244"/>
      <c r="K126" s="244"/>
      <c r="L126" s="244"/>
      <c r="M126" s="3"/>
      <c r="N126" s="3"/>
      <c r="O126" s="64"/>
      <c r="P126" s="64"/>
      <c r="Q126" s="64"/>
      <c r="R126" s="64"/>
      <c r="S126" s="3"/>
      <c r="T126" s="3"/>
    </row>
    <row r="127" spans="1:20" s="2" customFormat="1" ht="38.25">
      <c r="A127" s="246">
        <f>+A122+1</f>
        <v>25</v>
      </c>
      <c r="B127" s="83" t="s">
        <v>502</v>
      </c>
      <c r="C127" s="76" t="s">
        <v>26</v>
      </c>
      <c r="D127" s="73"/>
      <c r="E127" s="74"/>
      <c r="F127" s="75">
        <f>ROUND(SUM(F128:F130),0)</f>
        <v>509183</v>
      </c>
      <c r="J127" s="244"/>
      <c r="K127" s="244"/>
      <c r="L127" s="244"/>
      <c r="M127" s="3"/>
      <c r="N127" s="3"/>
      <c r="O127" s="64"/>
      <c r="P127" s="64"/>
      <c r="Q127" s="64"/>
      <c r="R127" s="64"/>
      <c r="S127" s="3"/>
      <c r="T127" s="3"/>
    </row>
    <row r="128" spans="1:20" s="2" customFormat="1">
      <c r="A128" s="529"/>
      <c r="B128" s="165" t="s">
        <v>27</v>
      </c>
      <c r="C128" s="77" t="s">
        <v>20</v>
      </c>
      <c r="D128" s="78">
        <v>2</v>
      </c>
      <c r="E128" s="79">
        <f>+INSUMOS!D31</f>
        <v>120000</v>
      </c>
      <c r="F128" s="79">
        <f>+D128*E128</f>
        <v>240000</v>
      </c>
      <c r="J128" s="244"/>
      <c r="K128" s="244"/>
      <c r="L128" s="244"/>
      <c r="M128" s="3"/>
      <c r="N128" s="3"/>
      <c r="O128" s="64"/>
      <c r="P128" s="64"/>
      <c r="Q128" s="64"/>
      <c r="R128" s="64"/>
      <c r="S128" s="3"/>
      <c r="T128" s="3"/>
    </row>
    <row r="129" spans="1:20" s="2" customFormat="1">
      <c r="A129" s="529"/>
      <c r="B129" s="165" t="s">
        <v>11</v>
      </c>
      <c r="C129" s="77" t="s">
        <v>284</v>
      </c>
      <c r="D129" s="78">
        <v>0.03</v>
      </c>
      <c r="E129" s="79">
        <f>+F130</f>
        <v>261342.97994712333</v>
      </c>
      <c r="F129" s="79">
        <f>(D129*E129)</f>
        <v>7840.2893984136999</v>
      </c>
      <c r="J129" s="244"/>
      <c r="K129" s="244"/>
      <c r="L129" s="244"/>
      <c r="M129" s="3"/>
      <c r="N129" s="3"/>
      <c r="O129" s="64"/>
      <c r="P129" s="64"/>
      <c r="Q129" s="64"/>
      <c r="R129" s="64"/>
      <c r="S129" s="3"/>
      <c r="T129" s="3"/>
    </row>
    <row r="130" spans="1:20" s="2" customFormat="1">
      <c r="A130" s="529"/>
      <c r="B130" s="165" t="s">
        <v>9</v>
      </c>
      <c r="C130" s="77" t="s">
        <v>10</v>
      </c>
      <c r="D130" s="78">
        <v>10</v>
      </c>
      <c r="E130" s="79">
        <f>+'VALOR CUADRILLAS MO'!D75</f>
        <v>26134.297994712331</v>
      </c>
      <c r="F130" s="79">
        <f>+D130*E130</f>
        <v>261342.97994712333</v>
      </c>
      <c r="J130" s="244"/>
      <c r="K130" s="244"/>
      <c r="L130" s="244"/>
      <c r="M130" s="3"/>
      <c r="N130" s="3"/>
      <c r="O130" s="64"/>
      <c r="P130" s="64"/>
      <c r="Q130" s="64"/>
      <c r="R130" s="64"/>
      <c r="S130" s="3"/>
      <c r="T130" s="3"/>
    </row>
    <row r="131" spans="1:20" s="2" customFormat="1">
      <c r="A131" s="529"/>
      <c r="B131" s="165"/>
      <c r="C131" s="77"/>
      <c r="D131" s="78"/>
      <c r="E131" s="79"/>
      <c r="F131" s="79"/>
      <c r="J131" s="244"/>
      <c r="K131" s="244"/>
      <c r="L131" s="244"/>
      <c r="M131" s="3"/>
      <c r="N131" s="3"/>
      <c r="O131" s="64"/>
      <c r="P131" s="64"/>
      <c r="Q131" s="64"/>
      <c r="R131" s="64"/>
      <c r="S131" s="3"/>
      <c r="T131" s="3"/>
    </row>
    <row r="132" spans="1:20" s="2" customFormat="1" ht="43.15" customHeight="1">
      <c r="A132" s="246">
        <f>+A127+1</f>
        <v>26</v>
      </c>
      <c r="B132" s="83" t="s">
        <v>633</v>
      </c>
      <c r="C132" s="76" t="s">
        <v>26</v>
      </c>
      <c r="D132" s="73"/>
      <c r="E132" s="74"/>
      <c r="F132" s="75">
        <f>ROUND(SUM(F133:F135),0)</f>
        <v>898367</v>
      </c>
      <c r="J132" s="244"/>
      <c r="K132" s="244"/>
      <c r="L132" s="244"/>
      <c r="M132" s="3"/>
      <c r="N132" s="3"/>
      <c r="O132" s="64"/>
      <c r="P132" s="64"/>
      <c r="Q132" s="64"/>
      <c r="R132" s="64"/>
      <c r="S132" s="3"/>
      <c r="T132" s="3"/>
    </row>
    <row r="133" spans="1:20" s="2" customFormat="1">
      <c r="A133" s="529"/>
      <c r="B133" s="165" t="s">
        <v>27</v>
      </c>
      <c r="C133" s="77" t="s">
        <v>20</v>
      </c>
      <c r="D133" s="78">
        <v>3</v>
      </c>
      <c r="E133" s="79">
        <f>+INSUMOS!D31</f>
        <v>120000</v>
      </c>
      <c r="F133" s="79">
        <f>+D133*E133</f>
        <v>360000</v>
      </c>
      <c r="J133" s="244"/>
      <c r="K133" s="244"/>
      <c r="L133" s="244"/>
      <c r="M133" s="3"/>
      <c r="N133" s="3"/>
      <c r="O133" s="64"/>
      <c r="P133" s="64"/>
      <c r="Q133" s="64"/>
      <c r="R133" s="64"/>
      <c r="S133" s="3"/>
      <c r="T133" s="3"/>
    </row>
    <row r="134" spans="1:20" s="2" customFormat="1">
      <c r="A134" s="529"/>
      <c r="B134" s="165" t="s">
        <v>11</v>
      </c>
      <c r="C134" s="77" t="s">
        <v>284</v>
      </c>
      <c r="D134" s="78">
        <v>0.03</v>
      </c>
      <c r="E134" s="79">
        <f>+F135</f>
        <v>522685.95989424665</v>
      </c>
      <c r="F134" s="79">
        <f>(D134*E134)</f>
        <v>15680.5787968274</v>
      </c>
      <c r="J134" s="244"/>
      <c r="K134" s="244"/>
      <c r="L134" s="244"/>
      <c r="M134" s="3"/>
      <c r="N134" s="3"/>
      <c r="O134" s="64"/>
      <c r="P134" s="64"/>
      <c r="Q134" s="64"/>
      <c r="R134" s="64"/>
      <c r="S134" s="3"/>
      <c r="T134" s="3"/>
    </row>
    <row r="135" spans="1:20" s="2" customFormat="1">
      <c r="A135" s="529"/>
      <c r="B135" s="165" t="s">
        <v>9</v>
      </c>
      <c r="C135" s="77" t="s">
        <v>10</v>
      </c>
      <c r="D135" s="78">
        <v>20</v>
      </c>
      <c r="E135" s="79">
        <f>+'VALOR CUADRILLAS MO'!D75</f>
        <v>26134.297994712331</v>
      </c>
      <c r="F135" s="79">
        <f>+D135*E135</f>
        <v>522685.95989424665</v>
      </c>
      <c r="J135" s="244"/>
      <c r="K135" s="244"/>
      <c r="L135" s="244"/>
      <c r="M135" s="3"/>
      <c r="N135" s="3"/>
      <c r="O135" s="64"/>
      <c r="P135" s="64"/>
      <c r="Q135" s="64"/>
      <c r="R135" s="64"/>
      <c r="S135" s="3"/>
      <c r="T135" s="3"/>
    </row>
    <row r="136" spans="1:20" s="2" customFormat="1">
      <c r="A136" s="529"/>
      <c r="B136" s="165"/>
      <c r="C136" s="77"/>
      <c r="D136" s="78"/>
      <c r="E136" s="79"/>
      <c r="F136" s="79"/>
      <c r="J136" s="244"/>
      <c r="K136" s="244"/>
      <c r="L136" s="244"/>
      <c r="M136" s="3"/>
      <c r="N136" s="3"/>
      <c r="O136" s="64"/>
      <c r="P136" s="64"/>
      <c r="Q136" s="64"/>
      <c r="R136" s="64"/>
      <c r="S136" s="3"/>
      <c r="T136" s="3"/>
    </row>
    <row r="137" spans="1:20" s="2" customFormat="1" ht="63" customHeight="1">
      <c r="A137" s="246">
        <f>+A132+1</f>
        <v>27</v>
      </c>
      <c r="B137" s="83" t="s">
        <v>514</v>
      </c>
      <c r="C137" s="76" t="s">
        <v>21</v>
      </c>
      <c r="D137" s="73"/>
      <c r="E137" s="74"/>
      <c r="F137" s="75" t="e">
        <f>ROUND(SUM(F138:F142),0)</f>
        <v>#REF!</v>
      </c>
      <c r="J137" s="244"/>
      <c r="K137" s="244"/>
      <c r="L137" s="244"/>
      <c r="M137" s="3"/>
      <c r="N137" s="3"/>
      <c r="O137" s="64"/>
      <c r="P137" s="64"/>
      <c r="Q137" s="64"/>
      <c r="R137" s="64"/>
      <c r="S137" s="3"/>
      <c r="T137" s="3"/>
    </row>
    <row r="138" spans="1:20" s="2" customFormat="1">
      <c r="A138" s="529"/>
      <c r="B138" s="165" t="s">
        <v>515</v>
      </c>
      <c r="C138" s="77" t="s">
        <v>21</v>
      </c>
      <c r="D138" s="78">
        <v>3</v>
      </c>
      <c r="E138" s="79">
        <f>INSUMOS!D26</f>
        <v>112.76</v>
      </c>
      <c r="F138" s="79">
        <f>+D138*E138</f>
        <v>338.28000000000003</v>
      </c>
      <c r="J138" s="244"/>
      <c r="K138" s="244"/>
      <c r="L138" s="244"/>
      <c r="M138" s="3"/>
      <c r="N138" s="3"/>
      <c r="O138" s="64"/>
      <c r="P138" s="64"/>
      <c r="Q138" s="64"/>
      <c r="R138" s="64"/>
      <c r="S138" s="3"/>
      <c r="T138" s="3"/>
    </row>
    <row r="139" spans="1:20" s="2" customFormat="1">
      <c r="A139" s="529"/>
      <c r="B139" s="165" t="s">
        <v>229</v>
      </c>
      <c r="C139" s="77" t="s">
        <v>68</v>
      </c>
      <c r="D139" s="78">
        <v>0.05</v>
      </c>
      <c r="E139" s="79">
        <f>F138</f>
        <v>338.28000000000003</v>
      </c>
      <c r="F139" s="79">
        <f>+D139*E139</f>
        <v>16.914000000000001</v>
      </c>
      <c r="J139" s="244"/>
      <c r="K139" s="244"/>
      <c r="L139" s="244"/>
      <c r="M139" s="3"/>
      <c r="N139" s="3"/>
      <c r="O139" s="64"/>
      <c r="P139" s="64"/>
      <c r="Q139" s="64"/>
      <c r="R139" s="64"/>
      <c r="S139" s="3"/>
      <c r="T139" s="3"/>
    </row>
    <row r="140" spans="1:20" s="2" customFormat="1" ht="25.5">
      <c r="A140" s="529"/>
      <c r="B140" s="165" t="s">
        <v>516</v>
      </c>
      <c r="C140" s="77" t="s">
        <v>26</v>
      </c>
      <c r="D140" s="78">
        <v>0.12000000000000002</v>
      </c>
      <c r="E140" s="79" t="e">
        <f>INSUMOS!#REF!</f>
        <v>#REF!</v>
      </c>
      <c r="F140" s="79" t="e">
        <f>+D140*E140</f>
        <v>#REF!</v>
      </c>
      <c r="J140" s="244"/>
      <c r="K140" s="244"/>
      <c r="L140" s="244"/>
      <c r="M140" s="3"/>
      <c r="N140" s="3"/>
      <c r="O140" s="64"/>
      <c r="P140" s="64"/>
      <c r="Q140" s="64"/>
      <c r="R140" s="64"/>
      <c r="S140" s="3"/>
      <c r="T140" s="3"/>
    </row>
    <row r="141" spans="1:20" s="2" customFormat="1">
      <c r="A141" s="529"/>
      <c r="B141" s="165" t="s">
        <v>11</v>
      </c>
      <c r="C141" s="77" t="s">
        <v>284</v>
      </c>
      <c r="D141" s="78">
        <v>0.03</v>
      </c>
      <c r="E141" s="79">
        <f>+F142</f>
        <v>261.3429799471233</v>
      </c>
      <c r="F141" s="79">
        <f>(D141*E141)</f>
        <v>7.8402893984136988</v>
      </c>
      <c r="J141" s="244"/>
      <c r="K141" s="244"/>
      <c r="L141" s="244"/>
      <c r="M141" s="3"/>
      <c r="N141" s="3"/>
      <c r="O141" s="64"/>
      <c r="P141" s="64"/>
      <c r="Q141" s="64"/>
      <c r="R141" s="64"/>
      <c r="S141" s="3"/>
      <c r="T141" s="3"/>
    </row>
    <row r="142" spans="1:20" s="2" customFormat="1">
      <c r="A142" s="529"/>
      <c r="B142" s="165" t="s">
        <v>9</v>
      </c>
      <c r="C142" s="77" t="s">
        <v>10</v>
      </c>
      <c r="D142" s="78">
        <v>0.01</v>
      </c>
      <c r="E142" s="79">
        <f>+'VALOR CUADRILLAS MO'!D75</f>
        <v>26134.297994712331</v>
      </c>
      <c r="F142" s="79">
        <f>+D142*E142</f>
        <v>261.3429799471233</v>
      </c>
      <c r="J142" s="244"/>
      <c r="K142" s="244"/>
      <c r="L142" s="244"/>
      <c r="M142" s="3"/>
      <c r="N142" s="3"/>
      <c r="O142" s="64"/>
      <c r="P142" s="64"/>
      <c r="Q142" s="64"/>
      <c r="R142" s="64"/>
      <c r="S142" s="3"/>
      <c r="T142" s="3"/>
    </row>
    <row r="143" spans="1:20" s="2" customFormat="1">
      <c r="A143" s="529"/>
      <c r="B143" s="165"/>
      <c r="C143" s="77"/>
      <c r="D143" s="78"/>
      <c r="E143" s="79"/>
      <c r="F143" s="79"/>
      <c r="J143" s="244"/>
      <c r="K143" s="244"/>
      <c r="L143" s="244"/>
      <c r="M143" s="3"/>
      <c r="N143" s="3"/>
      <c r="O143" s="64"/>
      <c r="P143" s="64"/>
      <c r="Q143" s="64"/>
      <c r="R143" s="64"/>
      <c r="S143" s="3"/>
      <c r="T143" s="3"/>
    </row>
    <row r="144" spans="1:20" s="2" customFormat="1" ht="30.6" customHeight="1">
      <c r="A144" s="246">
        <f>+A137+1</f>
        <v>28</v>
      </c>
      <c r="B144" s="83" t="s">
        <v>440</v>
      </c>
      <c r="C144" s="76" t="s">
        <v>21</v>
      </c>
      <c r="D144" s="73"/>
      <c r="E144" s="74"/>
      <c r="F144" s="75" t="e">
        <f>ROUND(SUM(F145:F149),0)</f>
        <v>#REF!</v>
      </c>
      <c r="J144" s="244"/>
      <c r="K144" s="244"/>
      <c r="L144" s="244"/>
      <c r="M144" s="3"/>
      <c r="N144" s="3"/>
      <c r="O144" s="64"/>
      <c r="P144" s="64"/>
      <c r="Q144" s="64"/>
      <c r="R144" s="64"/>
      <c r="S144" s="3"/>
      <c r="T144" s="3"/>
    </row>
    <row r="145" spans="1:20" s="2" customFormat="1">
      <c r="A145" s="529"/>
      <c r="B145" s="165" t="s">
        <v>522</v>
      </c>
      <c r="C145" s="77" t="s">
        <v>26</v>
      </c>
      <c r="D145" s="78">
        <v>1.01010101010101E-2</v>
      </c>
      <c r="E145" s="79" t="e">
        <f>+INSUMOS!#REF!</f>
        <v>#REF!</v>
      </c>
      <c r="F145" s="79" t="e">
        <f>+D145*E145</f>
        <v>#REF!</v>
      </c>
      <c r="J145" s="244"/>
      <c r="K145" s="244"/>
      <c r="L145" s="244"/>
      <c r="M145" s="3"/>
      <c r="N145" s="3"/>
      <c r="O145" s="64"/>
      <c r="P145" s="64"/>
      <c r="Q145" s="64"/>
      <c r="R145" s="64"/>
      <c r="S145" s="3"/>
      <c r="T145" s="3"/>
    </row>
    <row r="146" spans="1:20" s="2" customFormat="1">
      <c r="A146" s="529"/>
      <c r="B146" s="165" t="s">
        <v>515</v>
      </c>
      <c r="C146" s="77" t="s">
        <v>21</v>
      </c>
      <c r="D146" s="78">
        <v>3</v>
      </c>
      <c r="E146" s="79">
        <f>INSUMOS!D26</f>
        <v>112.76</v>
      </c>
      <c r="F146" s="79">
        <f>+D146*E146</f>
        <v>338.28000000000003</v>
      </c>
      <c r="J146" s="244"/>
      <c r="K146" s="244"/>
      <c r="L146" s="244"/>
      <c r="M146" s="3"/>
      <c r="N146" s="3"/>
      <c r="O146" s="64"/>
      <c r="P146" s="64"/>
      <c r="Q146" s="64"/>
      <c r="R146" s="64"/>
      <c r="S146" s="3"/>
      <c r="T146" s="3"/>
    </row>
    <row r="147" spans="1:20">
      <c r="A147" s="529"/>
      <c r="B147" s="165" t="s">
        <v>136</v>
      </c>
      <c r="C147" s="77" t="s">
        <v>68</v>
      </c>
      <c r="D147" s="78"/>
      <c r="E147" s="79" t="e">
        <f>SUM(F145:F146)</f>
        <v>#REF!</v>
      </c>
      <c r="F147" s="79" t="e">
        <f>+D147*E147</f>
        <v>#REF!</v>
      </c>
    </row>
    <row r="148" spans="1:20">
      <c r="A148" s="529"/>
      <c r="B148" s="165" t="s">
        <v>11</v>
      </c>
      <c r="C148" s="77" t="s">
        <v>284</v>
      </c>
      <c r="D148" s="78">
        <v>0.03</v>
      </c>
      <c r="E148" s="79">
        <f>+F149</f>
        <v>249.9418924469301</v>
      </c>
      <c r="F148" s="79">
        <f>(D148*E148)</f>
        <v>7.4982567734079026</v>
      </c>
    </row>
    <row r="149" spans="1:20">
      <c r="A149" s="529"/>
      <c r="B149" s="165" t="s">
        <v>9</v>
      </c>
      <c r="C149" s="77" t="s">
        <v>10</v>
      </c>
      <c r="D149" s="80">
        <v>9.5637500000000011E-3</v>
      </c>
      <c r="E149" s="79">
        <f>+'VALOR CUADRILLAS MO'!D75</f>
        <v>26134.297994712331</v>
      </c>
      <c r="F149" s="79">
        <f>+D149*E149</f>
        <v>249.9418924469301</v>
      </c>
    </row>
    <row r="150" spans="1:20">
      <c r="A150" s="529"/>
      <c r="B150" s="165"/>
      <c r="C150" s="77"/>
      <c r="D150" s="80"/>
      <c r="E150" s="79"/>
      <c r="F150" s="79"/>
    </row>
    <row r="151" spans="1:20" ht="19.899999999999999" customHeight="1">
      <c r="A151" s="453" t="s">
        <v>397</v>
      </c>
      <c r="B151" s="454" t="s">
        <v>280</v>
      </c>
      <c r="C151" s="455"/>
      <c r="D151" s="456"/>
      <c r="E151" s="457"/>
      <c r="F151" s="457"/>
      <c r="G151" s="245"/>
    </row>
    <row r="152" spans="1:20" s="64" customFormat="1" ht="19.899999999999999" customHeight="1">
      <c r="A152" s="246">
        <f>A144+1</f>
        <v>29</v>
      </c>
      <c r="B152" s="83" t="s">
        <v>2874</v>
      </c>
      <c r="C152" s="76" t="s">
        <v>121</v>
      </c>
      <c r="D152" s="73"/>
      <c r="E152" s="74"/>
      <c r="F152" s="75">
        <f>ROUND(SUM(F153:F157),0)</f>
        <v>509326</v>
      </c>
      <c r="G152" s="2"/>
      <c r="H152" s="2"/>
      <c r="I152" s="2"/>
      <c r="J152" s="244"/>
      <c r="K152" s="244"/>
      <c r="L152" s="244"/>
      <c r="M152" s="251" t="s">
        <v>119</v>
      </c>
      <c r="N152" s="252">
        <f>F152*0.05</f>
        <v>25466.300000000003</v>
      </c>
      <c r="S152" s="3"/>
      <c r="T152" s="3"/>
    </row>
    <row r="153" spans="1:20" s="64" customFormat="1">
      <c r="A153" s="529"/>
      <c r="B153" s="165" t="s">
        <v>2637</v>
      </c>
      <c r="C153" s="77" t="s">
        <v>121</v>
      </c>
      <c r="D153" s="78">
        <v>1</v>
      </c>
      <c r="E153" s="79">
        <f>+BASICOS!E156</f>
        <v>367144</v>
      </c>
      <c r="F153" s="79">
        <f>+D153*E153</f>
        <v>367144</v>
      </c>
      <c r="G153" s="2"/>
      <c r="H153" s="2"/>
      <c r="I153" s="2"/>
      <c r="J153" s="244"/>
      <c r="K153" s="244"/>
      <c r="L153" s="244"/>
      <c r="M153" s="3"/>
      <c r="N153" s="3"/>
      <c r="S153" s="3"/>
      <c r="T153" s="3"/>
    </row>
    <row r="154" spans="1:20" s="64" customFormat="1">
      <c r="A154" s="529"/>
      <c r="B154" s="165" t="s">
        <v>229</v>
      </c>
      <c r="C154" s="77" t="s">
        <v>68</v>
      </c>
      <c r="D154" s="78">
        <v>0.05</v>
      </c>
      <c r="E154" s="79">
        <f>SUM(F153)</f>
        <v>367144</v>
      </c>
      <c r="F154" s="79">
        <f>+D154*E154</f>
        <v>18357.2</v>
      </c>
      <c r="G154" s="2"/>
      <c r="H154" s="2"/>
      <c r="I154" s="2"/>
      <c r="J154" s="244"/>
      <c r="K154" s="244"/>
      <c r="L154" s="244"/>
      <c r="M154" s="3"/>
      <c r="N154" s="3"/>
      <c r="S154" s="3"/>
      <c r="T154" s="3"/>
    </row>
    <row r="155" spans="1:20" s="64" customFormat="1">
      <c r="A155" s="529"/>
      <c r="B155" s="165" t="s">
        <v>136</v>
      </c>
      <c r="C155" s="77" t="s">
        <v>68</v>
      </c>
      <c r="D155" s="78"/>
      <c r="E155" s="79">
        <f>SUM(F153:F154)</f>
        <v>385501.2</v>
      </c>
      <c r="F155" s="79">
        <f>+D155*E155</f>
        <v>0</v>
      </c>
      <c r="G155" s="2"/>
      <c r="H155" s="2"/>
      <c r="I155" s="2"/>
      <c r="J155" s="244"/>
      <c r="K155" s="244"/>
      <c r="L155" s="244"/>
      <c r="M155" s="3"/>
      <c r="N155" s="3"/>
      <c r="S155" s="3"/>
      <c r="T155" s="3"/>
    </row>
    <row r="156" spans="1:20" s="64" customFormat="1">
      <c r="A156" s="529"/>
      <c r="B156" s="165" t="s">
        <v>11</v>
      </c>
      <c r="C156" s="77" t="s">
        <v>284</v>
      </c>
      <c r="D156" s="78">
        <v>0.03</v>
      </c>
      <c r="E156" s="79">
        <f>+F157</f>
        <v>120217.77077567672</v>
      </c>
      <c r="F156" s="79">
        <f>(D156*E156)</f>
        <v>3606.5331232703015</v>
      </c>
      <c r="G156" s="2"/>
      <c r="H156" s="2"/>
      <c r="I156" s="2"/>
      <c r="J156" s="244"/>
      <c r="K156" s="244"/>
      <c r="L156" s="244"/>
      <c r="M156" s="3"/>
      <c r="N156" s="3"/>
      <c r="S156" s="3"/>
      <c r="T156" s="3"/>
    </row>
    <row r="157" spans="1:20" s="64" customFormat="1">
      <c r="A157" s="529"/>
      <c r="B157" s="165" t="s">
        <v>9</v>
      </c>
      <c r="C157" s="77" t="s">
        <v>10</v>
      </c>
      <c r="D157" s="78">
        <v>4.5999999999999996</v>
      </c>
      <c r="E157" s="79">
        <f>+'VALOR CUADRILLAS MO'!D75</f>
        <v>26134.297994712331</v>
      </c>
      <c r="F157" s="79">
        <f>+D157*E157</f>
        <v>120217.77077567672</v>
      </c>
      <c r="G157" s="2" t="s">
        <v>766</v>
      </c>
      <c r="H157" s="2">
        <f>4050/0.05</f>
        <v>81000</v>
      </c>
      <c r="I157" s="2">
        <f>F157*0.05</f>
        <v>6010.8885387838363</v>
      </c>
      <c r="J157" s="244"/>
      <c r="K157" s="244"/>
      <c r="L157" s="244"/>
      <c r="M157" s="3"/>
      <c r="N157" s="3"/>
      <c r="S157" s="3"/>
      <c r="T157" s="3"/>
    </row>
    <row r="158" spans="1:20" s="64" customFormat="1">
      <c r="A158" s="531"/>
      <c r="B158" s="165"/>
      <c r="C158" s="77"/>
      <c r="D158" s="78"/>
      <c r="E158" s="79"/>
      <c r="F158" s="79"/>
      <c r="G158" s="2"/>
      <c r="H158" s="2"/>
      <c r="I158" s="2"/>
      <c r="J158" s="244"/>
      <c r="K158" s="244"/>
      <c r="L158" s="244"/>
      <c r="M158" s="3"/>
      <c r="N158" s="3"/>
      <c r="S158" s="3"/>
      <c r="T158" s="3"/>
    </row>
    <row r="159" spans="1:20" s="2" customFormat="1" ht="19.899999999999999" customHeight="1">
      <c r="A159" s="453" t="s">
        <v>398</v>
      </c>
      <c r="B159" s="454" t="s">
        <v>279</v>
      </c>
      <c r="C159" s="455"/>
      <c r="D159" s="456"/>
      <c r="E159" s="457"/>
      <c r="F159" s="457"/>
      <c r="G159" s="245"/>
      <c r="J159" s="244"/>
      <c r="K159" s="244"/>
      <c r="L159" s="244"/>
      <c r="M159" s="3"/>
      <c r="N159" s="3"/>
      <c r="O159" s="64"/>
      <c r="P159" s="64"/>
      <c r="Q159" s="64"/>
      <c r="R159" s="64"/>
      <c r="S159" s="3"/>
      <c r="T159" s="3"/>
    </row>
    <row r="160" spans="1:20" s="2" customFormat="1" ht="81" customHeight="1">
      <c r="A160" s="246">
        <f>A152+1</f>
        <v>30</v>
      </c>
      <c r="B160" s="83" t="s">
        <v>620</v>
      </c>
      <c r="C160" s="76" t="s">
        <v>26</v>
      </c>
      <c r="D160" s="73"/>
      <c r="E160" s="74"/>
      <c r="F160" s="75">
        <f>ROUND(SUM(F161:F170),0)</f>
        <v>348568</v>
      </c>
      <c r="J160" s="244"/>
      <c r="K160" s="244"/>
      <c r="L160" s="244"/>
      <c r="M160" s="3"/>
      <c r="N160" s="3"/>
      <c r="O160" s="64"/>
      <c r="P160" s="64"/>
      <c r="Q160" s="64"/>
      <c r="R160" s="64"/>
      <c r="S160" s="3"/>
      <c r="T160" s="3"/>
    </row>
    <row r="161" spans="1:20" s="2" customFormat="1">
      <c r="A161" s="529"/>
      <c r="B161" s="165" t="s">
        <v>2666</v>
      </c>
      <c r="C161" s="77" t="s">
        <v>121</v>
      </c>
      <c r="D161" s="78">
        <v>0.28999999999999998</v>
      </c>
      <c r="E161" s="79">
        <f>+BASICOS!E135</f>
        <v>425444</v>
      </c>
      <c r="F161" s="79">
        <f t="shared" ref="F161:F168" si="1">+D161*E161</f>
        <v>123378.76</v>
      </c>
      <c r="J161" s="244"/>
      <c r="K161" s="244"/>
      <c r="L161" s="244"/>
      <c r="M161" s="3"/>
      <c r="N161" s="3"/>
      <c r="O161" s="64"/>
      <c r="P161" s="64"/>
      <c r="Q161" s="64"/>
      <c r="R161" s="64"/>
      <c r="S161" s="3"/>
      <c r="T161" s="3"/>
    </row>
    <row r="162" spans="1:20" s="2" customFormat="1">
      <c r="A162" s="529"/>
      <c r="B162" s="165" t="s">
        <v>607</v>
      </c>
      <c r="C162" s="77" t="s">
        <v>121</v>
      </c>
      <c r="D162" s="78">
        <v>0.02</v>
      </c>
      <c r="E162" s="79">
        <f>+BASICOS!E96</f>
        <v>405781</v>
      </c>
      <c r="F162" s="79">
        <f t="shared" si="1"/>
        <v>8115.62</v>
      </c>
      <c r="J162" s="244"/>
      <c r="K162" s="244"/>
      <c r="L162" s="244"/>
      <c r="M162" s="3"/>
      <c r="N162" s="3"/>
      <c r="O162" s="64"/>
      <c r="P162" s="64"/>
      <c r="Q162" s="64"/>
      <c r="R162" s="64"/>
      <c r="S162" s="3"/>
      <c r="T162" s="3"/>
    </row>
    <row r="163" spans="1:20" s="2" customFormat="1">
      <c r="A163" s="529"/>
      <c r="B163" s="165" t="s">
        <v>33</v>
      </c>
      <c r="C163" s="77" t="s">
        <v>32</v>
      </c>
      <c r="D163" s="78">
        <f>+D164*3%</f>
        <v>0.16799999999999998</v>
      </c>
      <c r="E163" s="79">
        <f>+INSUMOS!D44</f>
        <v>7066.22</v>
      </c>
      <c r="F163" s="79">
        <f t="shared" si="1"/>
        <v>1187.1249599999999</v>
      </c>
      <c r="J163" s="244"/>
      <c r="K163" s="244"/>
      <c r="L163" s="244"/>
      <c r="M163" s="3"/>
      <c r="N163" s="3"/>
      <c r="O163" s="64"/>
      <c r="P163" s="64"/>
      <c r="Q163" s="64"/>
      <c r="R163" s="64"/>
      <c r="S163" s="3"/>
      <c r="T163" s="3"/>
    </row>
    <row r="164" spans="1:20" s="2" customFormat="1">
      <c r="A164" s="529"/>
      <c r="B164" s="165" t="s">
        <v>37</v>
      </c>
      <c r="C164" s="77" t="s">
        <v>32</v>
      </c>
      <c r="D164" s="78">
        <v>5.6</v>
      </c>
      <c r="E164" s="79">
        <f>+INSUMOS!D46</f>
        <v>5600</v>
      </c>
      <c r="F164" s="79">
        <f t="shared" si="1"/>
        <v>31359.999999999996</v>
      </c>
      <c r="J164" s="244"/>
      <c r="K164" s="244"/>
      <c r="L164" s="244"/>
      <c r="M164" s="3"/>
      <c r="N164" s="3"/>
      <c r="O164" s="64"/>
      <c r="P164" s="64"/>
      <c r="Q164" s="64"/>
      <c r="R164" s="64"/>
      <c r="S164" s="3"/>
      <c r="T164" s="3"/>
    </row>
    <row r="165" spans="1:20" s="2" customFormat="1" ht="38.25">
      <c r="A165" s="529"/>
      <c r="B165" s="165" t="s">
        <v>615</v>
      </c>
      <c r="C165" s="77" t="s">
        <v>26</v>
      </c>
      <c r="D165" s="78">
        <v>1</v>
      </c>
      <c r="E165" s="79">
        <f>+INSUMOS!D194</f>
        <v>75000</v>
      </c>
      <c r="F165" s="79">
        <f t="shared" si="1"/>
        <v>75000</v>
      </c>
      <c r="J165" s="244"/>
      <c r="K165" s="244"/>
      <c r="L165" s="244"/>
      <c r="M165" s="3"/>
      <c r="N165" s="3"/>
      <c r="O165" s="64"/>
      <c r="P165" s="64"/>
      <c r="Q165" s="64"/>
      <c r="R165" s="64"/>
      <c r="S165" s="3"/>
      <c r="T165" s="3"/>
    </row>
    <row r="166" spans="1:20" s="2" customFormat="1">
      <c r="A166" s="529"/>
      <c r="B166" s="165" t="s">
        <v>229</v>
      </c>
      <c r="C166" s="77" t="s">
        <v>68</v>
      </c>
      <c r="D166" s="78">
        <v>0.05</v>
      </c>
      <c r="E166" s="79">
        <f>SUM(F161:F164)</f>
        <v>164041.50495999999</v>
      </c>
      <c r="F166" s="79">
        <f t="shared" si="1"/>
        <v>8202.0752479999992</v>
      </c>
      <c r="J166" s="244"/>
      <c r="K166" s="244"/>
      <c r="L166" s="244"/>
      <c r="M166" s="3"/>
      <c r="N166" s="3"/>
      <c r="O166" s="64"/>
      <c r="P166" s="64"/>
      <c r="Q166" s="64"/>
      <c r="R166" s="64"/>
      <c r="S166" s="3"/>
      <c r="T166" s="3"/>
    </row>
    <row r="167" spans="1:20" s="2" customFormat="1">
      <c r="A167" s="529"/>
      <c r="B167" s="165" t="s">
        <v>126</v>
      </c>
      <c r="C167" s="77" t="s">
        <v>26</v>
      </c>
      <c r="D167" s="78">
        <v>0.71</v>
      </c>
      <c r="E167" s="79">
        <f>+INSUMOS!D8</f>
        <v>21387.87</v>
      </c>
      <c r="F167" s="79">
        <f t="shared" si="1"/>
        <v>15185.387699999999</v>
      </c>
      <c r="J167" s="244"/>
      <c r="K167" s="244"/>
      <c r="L167" s="244"/>
      <c r="M167" s="3"/>
      <c r="N167" s="3"/>
      <c r="O167" s="64"/>
      <c r="P167" s="64"/>
      <c r="Q167" s="64"/>
      <c r="R167" s="64"/>
      <c r="S167" s="3"/>
      <c r="T167" s="3"/>
    </row>
    <row r="168" spans="1:20" s="2" customFormat="1">
      <c r="A168" s="529"/>
      <c r="B168" s="165" t="s">
        <v>136</v>
      </c>
      <c r="C168" s="77" t="s">
        <v>68</v>
      </c>
      <c r="D168" s="78"/>
      <c r="E168" s="79">
        <f>SUM(F161:F167)</f>
        <v>262428.96790799999</v>
      </c>
      <c r="F168" s="79">
        <f t="shared" si="1"/>
        <v>0</v>
      </c>
      <c r="J168" s="244"/>
      <c r="K168" s="244"/>
      <c r="L168" s="244"/>
      <c r="M168" s="3"/>
      <c r="N168" s="3"/>
      <c r="O168" s="64"/>
      <c r="P168" s="64"/>
      <c r="Q168" s="64"/>
      <c r="R168" s="64"/>
      <c r="S168" s="3"/>
      <c r="T168" s="3"/>
    </row>
    <row r="169" spans="1:20" s="2" customFormat="1">
      <c r="A169" s="529"/>
      <c r="B169" s="165" t="s">
        <v>11</v>
      </c>
      <c r="C169" s="77" t="s">
        <v>284</v>
      </c>
      <c r="D169" s="78">
        <v>0.03</v>
      </c>
      <c r="E169" s="79">
        <f>+F170</f>
        <v>83629.753583079466</v>
      </c>
      <c r="F169" s="79">
        <f>(D169*E169)</f>
        <v>2508.8926074923838</v>
      </c>
      <c r="J169" s="244"/>
      <c r="K169" s="244"/>
      <c r="L169" s="244"/>
      <c r="M169" s="3"/>
      <c r="N169" s="3"/>
      <c r="O169" s="64"/>
      <c r="P169" s="64"/>
      <c r="Q169" s="64"/>
      <c r="R169" s="64"/>
      <c r="S169" s="3"/>
      <c r="T169" s="3"/>
    </row>
    <row r="170" spans="1:20" s="2" customFormat="1">
      <c r="A170" s="529"/>
      <c r="B170" s="165" t="s">
        <v>9</v>
      </c>
      <c r="C170" s="77" t="s">
        <v>10</v>
      </c>
      <c r="D170" s="78">
        <f>3.2</f>
        <v>3.2</v>
      </c>
      <c r="E170" s="79">
        <f>+'VALOR CUADRILLAS MO'!D75</f>
        <v>26134.297994712331</v>
      </c>
      <c r="F170" s="79">
        <f>+D170*E170</f>
        <v>83629.753583079466</v>
      </c>
      <c r="J170" s="244"/>
      <c r="K170" s="244"/>
      <c r="L170" s="244"/>
      <c r="M170" s="3"/>
      <c r="N170" s="3"/>
      <c r="O170" s="64"/>
      <c r="P170" s="64"/>
      <c r="Q170" s="64"/>
      <c r="R170" s="64"/>
      <c r="S170" s="3"/>
      <c r="T170" s="3"/>
    </row>
    <row r="171" spans="1:20" s="2" customFormat="1">
      <c r="A171" s="531"/>
      <c r="B171" s="165"/>
      <c r="C171" s="77"/>
      <c r="D171" s="78"/>
      <c r="E171" s="79"/>
      <c r="F171" s="79"/>
      <c r="J171" s="244"/>
      <c r="K171" s="244"/>
      <c r="L171" s="244"/>
      <c r="M171" s="3"/>
      <c r="N171" s="3"/>
      <c r="O171" s="64"/>
      <c r="P171" s="64"/>
      <c r="Q171" s="64"/>
      <c r="R171" s="64"/>
      <c r="S171" s="3"/>
      <c r="T171" s="3"/>
    </row>
    <row r="172" spans="1:20" s="2" customFormat="1" ht="74.45" customHeight="1">
      <c r="A172" s="246">
        <f>+A160+1</f>
        <v>31</v>
      </c>
      <c r="B172" s="83" t="s">
        <v>617</v>
      </c>
      <c r="C172" s="76" t="s">
        <v>26</v>
      </c>
      <c r="D172" s="73"/>
      <c r="E172" s="74"/>
      <c r="F172" s="75">
        <f>ROUND(SUM(F173:F182),0)</f>
        <v>287179</v>
      </c>
      <c r="J172" s="244"/>
      <c r="K172" s="244"/>
      <c r="L172" s="244"/>
      <c r="M172" s="3"/>
      <c r="N172" s="3"/>
      <c r="O172" s="64"/>
      <c r="P172" s="64"/>
      <c r="Q172" s="64"/>
      <c r="R172" s="64"/>
      <c r="S172" s="3"/>
      <c r="T172" s="3"/>
    </row>
    <row r="173" spans="1:20" s="2" customFormat="1">
      <c r="A173" s="529"/>
      <c r="B173" s="165" t="s">
        <v>2666</v>
      </c>
      <c r="C173" s="77" t="s">
        <v>121</v>
      </c>
      <c r="D173" s="78">
        <v>0.17</v>
      </c>
      <c r="E173" s="79">
        <f>+BASICOS!E135</f>
        <v>425444</v>
      </c>
      <c r="F173" s="79">
        <f t="shared" ref="F173:F180" si="2">+D173*E173</f>
        <v>72325.48000000001</v>
      </c>
      <c r="J173" s="244"/>
      <c r="K173" s="244"/>
      <c r="L173" s="244"/>
      <c r="M173" s="3"/>
      <c r="N173" s="3"/>
      <c r="O173" s="64"/>
      <c r="P173" s="64"/>
      <c r="Q173" s="64"/>
      <c r="R173" s="64"/>
      <c r="S173" s="3"/>
      <c r="T173" s="3"/>
    </row>
    <row r="174" spans="1:20" s="2" customFormat="1">
      <c r="A174" s="529"/>
      <c r="B174" s="165" t="s">
        <v>607</v>
      </c>
      <c r="C174" s="77" t="s">
        <v>121</v>
      </c>
      <c r="D174" s="78">
        <v>0.02</v>
      </c>
      <c r="E174" s="79">
        <f>+BASICOS!E96</f>
        <v>405781</v>
      </c>
      <c r="F174" s="79">
        <f t="shared" si="2"/>
        <v>8115.62</v>
      </c>
      <c r="J174" s="244"/>
      <c r="K174" s="244"/>
      <c r="L174" s="244"/>
      <c r="M174" s="3"/>
      <c r="N174" s="3"/>
      <c r="O174" s="64"/>
      <c r="P174" s="64"/>
      <c r="Q174" s="64"/>
      <c r="R174" s="64"/>
      <c r="S174" s="3"/>
      <c r="T174" s="3"/>
    </row>
    <row r="175" spans="1:20" s="2" customFormat="1">
      <c r="A175" s="529"/>
      <c r="B175" s="165" t="s">
        <v>37</v>
      </c>
      <c r="C175" s="77" t="s">
        <v>32</v>
      </c>
      <c r="D175" s="78">
        <v>6.72</v>
      </c>
      <c r="E175" s="79">
        <f>+INSUMOS!D46</f>
        <v>5600</v>
      </c>
      <c r="F175" s="79">
        <f t="shared" si="2"/>
        <v>37632</v>
      </c>
      <c r="J175" s="244"/>
      <c r="K175" s="244"/>
      <c r="L175" s="244"/>
      <c r="M175" s="3"/>
      <c r="N175" s="3"/>
      <c r="O175" s="64"/>
      <c r="P175" s="64"/>
      <c r="Q175" s="64"/>
      <c r="R175" s="64"/>
      <c r="S175" s="3"/>
      <c r="T175" s="3"/>
    </row>
    <row r="176" spans="1:20" s="2" customFormat="1">
      <c r="A176" s="529"/>
      <c r="B176" s="165" t="s">
        <v>33</v>
      </c>
      <c r="C176" s="77" t="s">
        <v>32</v>
      </c>
      <c r="D176" s="78">
        <f>+D175*3%</f>
        <v>0.20159999999999997</v>
      </c>
      <c r="E176" s="79">
        <f>+INSUMOS!D44</f>
        <v>7066.22</v>
      </c>
      <c r="F176" s="79">
        <f t="shared" si="2"/>
        <v>1424.5499519999998</v>
      </c>
      <c r="J176" s="244"/>
      <c r="K176" s="244"/>
      <c r="L176" s="244"/>
      <c r="M176" s="3"/>
      <c r="N176" s="3"/>
      <c r="O176" s="64"/>
      <c r="P176" s="64"/>
      <c r="Q176" s="64"/>
      <c r="R176" s="64"/>
      <c r="S176" s="3"/>
      <c r="T176" s="3"/>
    </row>
    <row r="177" spans="1:20" s="2" customFormat="1" ht="38.25">
      <c r="A177" s="529"/>
      <c r="B177" s="165" t="s">
        <v>615</v>
      </c>
      <c r="C177" s="77" t="s">
        <v>26</v>
      </c>
      <c r="D177" s="78">
        <v>1</v>
      </c>
      <c r="E177" s="79">
        <f>+INSUMOS!D194</f>
        <v>75000</v>
      </c>
      <c r="F177" s="79">
        <f t="shared" si="2"/>
        <v>75000</v>
      </c>
      <c r="J177" s="244"/>
      <c r="K177" s="244"/>
      <c r="L177" s="244"/>
      <c r="M177" s="3"/>
      <c r="N177" s="3"/>
      <c r="O177" s="64"/>
      <c r="P177" s="64"/>
      <c r="Q177" s="64"/>
      <c r="R177" s="64"/>
      <c r="S177" s="3"/>
      <c r="T177" s="3"/>
    </row>
    <row r="178" spans="1:20" s="2" customFormat="1">
      <c r="A178" s="529"/>
      <c r="B178" s="165" t="s">
        <v>229</v>
      </c>
      <c r="C178" s="77" t="s">
        <v>68</v>
      </c>
      <c r="D178" s="78">
        <v>0.05</v>
      </c>
      <c r="E178" s="79">
        <f>SUM(F173:F176)</f>
        <v>119497.64995200001</v>
      </c>
      <c r="F178" s="79">
        <f t="shared" si="2"/>
        <v>5974.8824976000005</v>
      </c>
      <c r="J178" s="244"/>
      <c r="K178" s="244"/>
      <c r="L178" s="244"/>
      <c r="M178" s="3"/>
      <c r="N178" s="3"/>
      <c r="O178" s="64"/>
      <c r="P178" s="64"/>
      <c r="Q178" s="64"/>
      <c r="R178" s="64"/>
      <c r="S178" s="3"/>
      <c r="T178" s="3"/>
    </row>
    <row r="179" spans="1:20" s="2" customFormat="1">
      <c r="A179" s="529"/>
      <c r="B179" s="165" t="s">
        <v>126</v>
      </c>
      <c r="C179" s="77" t="s">
        <v>26</v>
      </c>
      <c r="D179" s="78">
        <v>0.53</v>
      </c>
      <c r="E179" s="79">
        <f>+INSUMOS!D8</f>
        <v>21387.87</v>
      </c>
      <c r="F179" s="79">
        <f t="shared" si="2"/>
        <v>11335.571099999999</v>
      </c>
      <c r="J179" s="244"/>
      <c r="K179" s="244"/>
      <c r="L179" s="244"/>
      <c r="M179" s="3"/>
      <c r="N179" s="3"/>
      <c r="O179" s="64"/>
      <c r="P179" s="64"/>
      <c r="Q179" s="64"/>
      <c r="R179" s="64"/>
      <c r="S179" s="3"/>
      <c r="T179" s="3"/>
    </row>
    <row r="180" spans="1:20" s="2" customFormat="1">
      <c r="A180" s="529"/>
      <c r="B180" s="165" t="s">
        <v>136</v>
      </c>
      <c r="C180" s="77" t="s">
        <v>68</v>
      </c>
      <c r="D180" s="78"/>
      <c r="E180" s="79">
        <f>SUM(F173:F179)</f>
        <v>211808.1035496</v>
      </c>
      <c r="F180" s="79">
        <f t="shared" si="2"/>
        <v>0</v>
      </c>
      <c r="J180" s="244"/>
      <c r="K180" s="244"/>
      <c r="L180" s="244"/>
      <c r="M180" s="3"/>
      <c r="N180" s="3"/>
      <c r="O180" s="64"/>
      <c r="P180" s="64"/>
      <c r="Q180" s="64"/>
      <c r="R180" s="64"/>
      <c r="S180" s="3"/>
      <c r="T180" s="3"/>
    </row>
    <row r="181" spans="1:20" s="2" customFormat="1">
      <c r="A181" s="529"/>
      <c r="B181" s="165" t="s">
        <v>11</v>
      </c>
      <c r="C181" s="77" t="s">
        <v>284</v>
      </c>
      <c r="D181" s="78">
        <v>0.03</v>
      </c>
      <c r="E181" s="79">
        <f>+F182</f>
        <v>73176.034385194522</v>
      </c>
      <c r="F181" s="79">
        <f>(D181*E181)</f>
        <v>2195.2810315558354</v>
      </c>
      <c r="J181" s="244"/>
      <c r="K181" s="244"/>
      <c r="L181" s="244"/>
      <c r="M181" s="3"/>
      <c r="N181" s="3"/>
      <c r="O181" s="64"/>
      <c r="P181" s="64"/>
      <c r="Q181" s="64"/>
      <c r="R181" s="64"/>
      <c r="S181" s="3"/>
      <c r="T181" s="3"/>
    </row>
    <row r="182" spans="1:20" s="2" customFormat="1">
      <c r="A182" s="529"/>
      <c r="B182" s="165" t="s">
        <v>9</v>
      </c>
      <c r="C182" s="77" t="s">
        <v>10</v>
      </c>
      <c r="D182" s="78">
        <f>2.8</f>
        <v>2.8</v>
      </c>
      <c r="E182" s="79">
        <f>+'VALOR CUADRILLAS MO'!D75</f>
        <v>26134.297994712331</v>
      </c>
      <c r="F182" s="79">
        <f>+D182*E182</f>
        <v>73176.034385194522</v>
      </c>
      <c r="J182" s="244"/>
      <c r="K182" s="244"/>
      <c r="L182" s="244"/>
      <c r="M182" s="3"/>
      <c r="N182" s="3"/>
      <c r="O182" s="64"/>
      <c r="P182" s="64"/>
      <c r="Q182" s="64"/>
      <c r="R182" s="64"/>
      <c r="S182" s="3"/>
      <c r="T182" s="3"/>
    </row>
    <row r="183" spans="1:20" s="2" customFormat="1">
      <c r="A183" s="529"/>
      <c r="B183" s="165"/>
      <c r="C183" s="77"/>
      <c r="D183" s="78"/>
      <c r="E183" s="79"/>
      <c r="F183" s="79"/>
      <c r="J183" s="244"/>
      <c r="K183" s="244"/>
      <c r="L183" s="244"/>
      <c r="M183" s="3"/>
      <c r="N183" s="3"/>
      <c r="O183" s="64"/>
      <c r="P183" s="64"/>
      <c r="Q183" s="64"/>
      <c r="R183" s="64"/>
      <c r="S183" s="3"/>
      <c r="T183" s="3"/>
    </row>
    <row r="184" spans="1:20" s="2" customFormat="1" ht="117" customHeight="1">
      <c r="A184" s="246">
        <f>+A172+1</f>
        <v>32</v>
      </c>
      <c r="B184" s="83" t="s">
        <v>618</v>
      </c>
      <c r="C184" s="76" t="s">
        <v>26</v>
      </c>
      <c r="D184" s="73"/>
      <c r="E184" s="74"/>
      <c r="F184" s="75">
        <f>ROUND(SUM(F185:F193),0)</f>
        <v>308153</v>
      </c>
      <c r="J184" s="244"/>
      <c r="K184" s="244"/>
      <c r="L184" s="244"/>
      <c r="M184" s="3"/>
      <c r="N184" s="3"/>
      <c r="O184" s="64"/>
      <c r="P184" s="64"/>
      <c r="Q184" s="64"/>
      <c r="R184" s="64"/>
      <c r="S184" s="3"/>
      <c r="T184" s="3"/>
    </row>
    <row r="185" spans="1:20" s="2" customFormat="1">
      <c r="A185" s="529"/>
      <c r="B185" s="165" t="s">
        <v>608</v>
      </c>
      <c r="C185" s="77" t="s">
        <v>121</v>
      </c>
      <c r="D185" s="78">
        <v>0.1</v>
      </c>
      <c r="E185" s="79">
        <f>+BASICOS!E96</f>
        <v>405781</v>
      </c>
      <c r="F185" s="79">
        <f t="shared" ref="F185:F191" si="3">+D185*E185</f>
        <v>40578.100000000006</v>
      </c>
      <c r="J185" s="244"/>
      <c r="K185" s="244"/>
      <c r="L185" s="244"/>
      <c r="M185" s="3"/>
      <c r="N185" s="3"/>
      <c r="O185" s="64"/>
      <c r="P185" s="64"/>
      <c r="Q185" s="64"/>
      <c r="R185" s="64"/>
      <c r="S185" s="3"/>
      <c r="T185" s="3"/>
    </row>
    <row r="186" spans="1:20" s="2" customFormat="1">
      <c r="A186" s="529"/>
      <c r="B186" s="165" t="s">
        <v>607</v>
      </c>
      <c r="C186" s="77" t="s">
        <v>121</v>
      </c>
      <c r="D186" s="78">
        <v>0.02</v>
      </c>
      <c r="E186" s="79">
        <f>+BASICOS!E96</f>
        <v>405781</v>
      </c>
      <c r="F186" s="79">
        <f t="shared" si="3"/>
        <v>8115.62</v>
      </c>
      <c r="J186" s="244"/>
      <c r="K186" s="244"/>
      <c r="L186" s="244"/>
      <c r="M186" s="3"/>
      <c r="N186" s="3"/>
      <c r="O186" s="64"/>
      <c r="P186" s="64"/>
      <c r="Q186" s="64"/>
      <c r="R186" s="64"/>
      <c r="S186" s="3"/>
      <c r="T186" s="3"/>
    </row>
    <row r="187" spans="1:20" s="2" customFormat="1">
      <c r="A187" s="529"/>
      <c r="B187" s="165" t="s">
        <v>2667</v>
      </c>
      <c r="C187" s="77" t="s">
        <v>121</v>
      </c>
      <c r="D187" s="78">
        <f>0.8*0.8*0.14</f>
        <v>8.9600000000000027E-2</v>
      </c>
      <c r="E187" s="79">
        <f>+BASICOS!E135</f>
        <v>425444</v>
      </c>
      <c r="F187" s="79">
        <f t="shared" si="3"/>
        <v>38119.782400000011</v>
      </c>
      <c r="J187" s="244"/>
      <c r="K187" s="244"/>
      <c r="L187" s="244"/>
      <c r="M187" s="3"/>
      <c r="N187" s="3"/>
      <c r="O187" s="64"/>
      <c r="P187" s="64"/>
      <c r="Q187" s="64"/>
      <c r="R187" s="64"/>
      <c r="S187" s="3"/>
      <c r="T187" s="3"/>
    </row>
    <row r="188" spans="1:20" s="2" customFormat="1">
      <c r="A188" s="529"/>
      <c r="B188" s="165" t="s">
        <v>34</v>
      </c>
      <c r="C188" s="77" t="s">
        <v>26</v>
      </c>
      <c r="D188" s="78">
        <v>133</v>
      </c>
      <c r="E188" s="79">
        <f>+BASICOS!D19</f>
        <v>400</v>
      </c>
      <c r="F188" s="79">
        <f t="shared" si="3"/>
        <v>53200</v>
      </c>
      <c r="J188" s="244"/>
      <c r="K188" s="244"/>
      <c r="L188" s="244"/>
      <c r="M188" s="3"/>
      <c r="N188" s="3"/>
      <c r="O188" s="64"/>
      <c r="P188" s="64"/>
      <c r="Q188" s="64"/>
      <c r="R188" s="64"/>
      <c r="S188" s="3"/>
      <c r="T188" s="3"/>
    </row>
    <row r="189" spans="1:20" s="2" customFormat="1" ht="38.25">
      <c r="A189" s="529"/>
      <c r="B189" s="165" t="s">
        <v>615</v>
      </c>
      <c r="C189" s="77" t="s">
        <v>26</v>
      </c>
      <c r="D189" s="78">
        <v>1</v>
      </c>
      <c r="E189" s="79">
        <f>+INSUMOS!D194</f>
        <v>75000</v>
      </c>
      <c r="F189" s="79">
        <f t="shared" si="3"/>
        <v>75000</v>
      </c>
      <c r="J189" s="244"/>
      <c r="K189" s="244"/>
      <c r="L189" s="244"/>
      <c r="M189" s="3"/>
      <c r="N189" s="3"/>
      <c r="O189" s="64"/>
      <c r="P189" s="64"/>
      <c r="Q189" s="64"/>
      <c r="R189" s="64"/>
      <c r="S189" s="3"/>
      <c r="T189" s="3"/>
    </row>
    <row r="190" spans="1:20" s="2" customFormat="1">
      <c r="A190" s="529"/>
      <c r="B190" s="165" t="s">
        <v>229</v>
      </c>
      <c r="C190" s="77" t="s">
        <v>68</v>
      </c>
      <c r="D190" s="78">
        <v>0.05</v>
      </c>
      <c r="E190" s="79">
        <f>SUM(F185:F188)</f>
        <v>140013.50240000003</v>
      </c>
      <c r="F190" s="79">
        <f t="shared" si="3"/>
        <v>7000.6751200000017</v>
      </c>
      <c r="J190" s="244"/>
      <c r="K190" s="244"/>
      <c r="L190" s="244"/>
      <c r="M190" s="3"/>
      <c r="N190" s="3"/>
      <c r="O190" s="64"/>
      <c r="P190" s="64"/>
      <c r="Q190" s="64"/>
      <c r="R190" s="64"/>
      <c r="S190" s="3"/>
      <c r="T190" s="3"/>
    </row>
    <row r="191" spans="1:20" s="2" customFormat="1">
      <c r="A191" s="529"/>
      <c r="B191" s="165" t="s">
        <v>136</v>
      </c>
      <c r="C191" s="77" t="s">
        <v>68</v>
      </c>
      <c r="D191" s="78"/>
      <c r="E191" s="79">
        <f>SUM(F188:F188)</f>
        <v>53200</v>
      </c>
      <c r="F191" s="79">
        <f t="shared" si="3"/>
        <v>0</v>
      </c>
      <c r="J191" s="244"/>
      <c r="K191" s="244"/>
      <c r="L191" s="244"/>
      <c r="M191" s="3"/>
      <c r="N191" s="3"/>
      <c r="O191" s="64"/>
      <c r="P191" s="64"/>
      <c r="Q191" s="64"/>
      <c r="R191" s="64"/>
      <c r="S191" s="3"/>
      <c r="T191" s="3"/>
    </row>
    <row r="192" spans="1:20" s="2" customFormat="1">
      <c r="A192" s="529"/>
      <c r="B192" s="165" t="s">
        <v>11</v>
      </c>
      <c r="C192" s="77" t="s">
        <v>284</v>
      </c>
      <c r="D192" s="78">
        <v>0.03</v>
      </c>
      <c r="E192" s="79">
        <f>+F193</f>
        <v>83629.753583079466</v>
      </c>
      <c r="F192" s="79">
        <f>(D192*E192)</f>
        <v>2508.8926074923838</v>
      </c>
      <c r="J192" s="244"/>
      <c r="K192" s="244"/>
      <c r="L192" s="244"/>
      <c r="M192" s="3"/>
      <c r="N192" s="3"/>
      <c r="O192" s="64"/>
      <c r="P192" s="64"/>
      <c r="Q192" s="64"/>
      <c r="R192" s="64"/>
      <c r="S192" s="3"/>
      <c r="T192" s="3"/>
    </row>
    <row r="193" spans="1:20" s="2" customFormat="1">
      <c r="A193" s="529"/>
      <c r="B193" s="165" t="s">
        <v>9</v>
      </c>
      <c r="C193" s="77" t="s">
        <v>10</v>
      </c>
      <c r="D193" s="78">
        <f>3.2</f>
        <v>3.2</v>
      </c>
      <c r="E193" s="79">
        <f>+'VALOR CUADRILLAS MO'!D75</f>
        <v>26134.297994712331</v>
      </c>
      <c r="F193" s="79">
        <f>+D193*E193</f>
        <v>83629.753583079466</v>
      </c>
      <c r="J193" s="244"/>
      <c r="K193" s="244"/>
      <c r="L193" s="244"/>
      <c r="M193" s="3"/>
      <c r="N193" s="3"/>
      <c r="O193" s="64"/>
      <c r="P193" s="64"/>
      <c r="Q193" s="64"/>
      <c r="R193" s="64"/>
      <c r="S193" s="3"/>
      <c r="T193" s="3"/>
    </row>
    <row r="194" spans="1:20" s="2" customFormat="1">
      <c r="A194" s="529"/>
      <c r="B194" s="165"/>
      <c r="C194" s="77"/>
      <c r="D194" s="78"/>
      <c r="E194" s="79"/>
      <c r="F194" s="79"/>
      <c r="J194" s="244"/>
      <c r="K194" s="244"/>
      <c r="L194" s="244"/>
      <c r="M194" s="3"/>
      <c r="N194" s="3"/>
      <c r="O194" s="64"/>
      <c r="P194" s="64"/>
      <c r="Q194" s="64"/>
      <c r="R194" s="64"/>
      <c r="S194" s="3"/>
      <c r="T194" s="3"/>
    </row>
    <row r="195" spans="1:20" s="2" customFormat="1" ht="114.75" customHeight="1">
      <c r="A195" s="246">
        <f>+A184+1</f>
        <v>33</v>
      </c>
      <c r="B195" s="83" t="s">
        <v>619</v>
      </c>
      <c r="C195" s="76" t="s">
        <v>26</v>
      </c>
      <c r="D195" s="73"/>
      <c r="E195" s="74"/>
      <c r="F195" s="75">
        <f>ROUND(SUM(F196:F204),0)</f>
        <v>280501</v>
      </c>
      <c r="J195" s="244"/>
      <c r="K195" s="244"/>
      <c r="L195" s="244"/>
      <c r="M195" s="3"/>
      <c r="N195" s="3"/>
      <c r="O195" s="64"/>
      <c r="P195" s="64"/>
      <c r="Q195" s="64"/>
      <c r="R195" s="64"/>
      <c r="S195" s="3"/>
      <c r="T195" s="3"/>
    </row>
    <row r="196" spans="1:20" s="2" customFormat="1">
      <c r="A196" s="529"/>
      <c r="B196" s="165" t="s">
        <v>758</v>
      </c>
      <c r="C196" s="77" t="s">
        <v>121</v>
      </c>
      <c r="D196" s="78">
        <v>0.1</v>
      </c>
      <c r="E196" s="79">
        <f>+BASICOS!E96</f>
        <v>405781</v>
      </c>
      <c r="F196" s="79">
        <f t="shared" ref="F196:F202" si="4">+D196*E196</f>
        <v>40578.100000000006</v>
      </c>
      <c r="J196" s="244"/>
      <c r="K196" s="244"/>
      <c r="L196" s="244"/>
      <c r="M196" s="3"/>
      <c r="N196" s="3"/>
      <c r="O196" s="64"/>
      <c r="P196" s="64"/>
      <c r="Q196" s="64"/>
      <c r="R196" s="64"/>
      <c r="S196" s="3"/>
      <c r="T196" s="3"/>
    </row>
    <row r="197" spans="1:20" s="2" customFormat="1">
      <c r="A197" s="529"/>
      <c r="B197" s="165" t="s">
        <v>607</v>
      </c>
      <c r="C197" s="77" t="s">
        <v>121</v>
      </c>
      <c r="D197" s="78">
        <v>0.02</v>
      </c>
      <c r="E197" s="79">
        <f>+BASICOS!E96</f>
        <v>405781</v>
      </c>
      <c r="F197" s="79">
        <f t="shared" si="4"/>
        <v>8115.62</v>
      </c>
      <c r="J197" s="244"/>
      <c r="K197" s="244"/>
      <c r="L197" s="244"/>
      <c r="M197" s="3"/>
      <c r="N197" s="3"/>
      <c r="O197" s="64"/>
      <c r="P197" s="64"/>
      <c r="Q197" s="64"/>
      <c r="R197" s="64"/>
      <c r="S197" s="3"/>
      <c r="T197" s="3"/>
    </row>
    <row r="198" spans="1:20" s="2" customFormat="1">
      <c r="A198" s="529"/>
      <c r="B198" s="165" t="s">
        <v>2667</v>
      </c>
      <c r="C198" s="77" t="s">
        <v>121</v>
      </c>
      <c r="D198" s="78">
        <f>0.8*0.8*0.14</f>
        <v>8.9600000000000027E-2</v>
      </c>
      <c r="E198" s="79">
        <f>+BASICOS!E135</f>
        <v>425444</v>
      </c>
      <c r="F198" s="79">
        <f t="shared" si="4"/>
        <v>38119.782400000011</v>
      </c>
      <c r="J198" s="244"/>
      <c r="K198" s="244"/>
      <c r="L198" s="244"/>
      <c r="M198" s="3"/>
      <c r="N198" s="3"/>
      <c r="O198" s="64"/>
      <c r="P198" s="64"/>
      <c r="Q198" s="64"/>
      <c r="R198" s="64"/>
      <c r="S198" s="3"/>
      <c r="T198" s="3"/>
    </row>
    <row r="199" spans="1:20" s="2" customFormat="1">
      <c r="A199" s="529"/>
      <c r="B199" s="165" t="s">
        <v>34</v>
      </c>
      <c r="C199" s="77" t="s">
        <v>26</v>
      </c>
      <c r="D199" s="78">
        <v>92.8</v>
      </c>
      <c r="E199" s="79">
        <f>+BASICOS!D19</f>
        <v>400</v>
      </c>
      <c r="F199" s="79">
        <f t="shared" si="4"/>
        <v>37120</v>
      </c>
      <c r="J199" s="244"/>
      <c r="K199" s="244"/>
      <c r="L199" s="244"/>
      <c r="M199" s="3"/>
      <c r="N199" s="3"/>
      <c r="O199" s="64"/>
      <c r="P199" s="64"/>
      <c r="Q199" s="64"/>
      <c r="R199" s="64"/>
      <c r="S199" s="3"/>
      <c r="T199" s="3"/>
    </row>
    <row r="200" spans="1:20" s="2" customFormat="1" ht="38.25">
      <c r="A200" s="529"/>
      <c r="B200" s="165" t="s">
        <v>615</v>
      </c>
      <c r="C200" s="77" t="s">
        <v>26</v>
      </c>
      <c r="D200" s="78">
        <v>1</v>
      </c>
      <c r="E200" s="79">
        <f>+INSUMOS!D194</f>
        <v>75000</v>
      </c>
      <c r="F200" s="79">
        <f t="shared" si="4"/>
        <v>75000</v>
      </c>
      <c r="J200" s="244"/>
      <c r="K200" s="244"/>
      <c r="L200" s="244"/>
      <c r="M200" s="3"/>
      <c r="N200" s="3"/>
      <c r="O200" s="64"/>
      <c r="P200" s="64"/>
      <c r="Q200" s="64"/>
      <c r="R200" s="64"/>
      <c r="S200" s="3"/>
      <c r="T200" s="3"/>
    </row>
    <row r="201" spans="1:20" s="2" customFormat="1">
      <c r="A201" s="529"/>
      <c r="B201" s="165" t="s">
        <v>229</v>
      </c>
      <c r="C201" s="77" t="s">
        <v>68</v>
      </c>
      <c r="D201" s="78">
        <v>0.05</v>
      </c>
      <c r="E201" s="79">
        <f>SUM(F196:F199)</f>
        <v>123933.50240000003</v>
      </c>
      <c r="F201" s="79">
        <f t="shared" si="4"/>
        <v>6196.6751200000017</v>
      </c>
      <c r="J201" s="244"/>
      <c r="K201" s="244"/>
      <c r="L201" s="244"/>
      <c r="M201" s="3"/>
      <c r="N201" s="3"/>
      <c r="O201" s="64"/>
      <c r="P201" s="64"/>
      <c r="Q201" s="64"/>
      <c r="R201" s="64"/>
      <c r="S201" s="3"/>
      <c r="T201" s="3"/>
    </row>
    <row r="202" spans="1:20" s="2" customFormat="1">
      <c r="A202" s="529"/>
      <c r="B202" s="165" t="s">
        <v>136</v>
      </c>
      <c r="C202" s="77" t="s">
        <v>68</v>
      </c>
      <c r="D202" s="78"/>
      <c r="E202" s="79">
        <f>SUM(F199)</f>
        <v>37120</v>
      </c>
      <c r="F202" s="79">
        <f t="shared" si="4"/>
        <v>0</v>
      </c>
      <c r="J202" s="244"/>
      <c r="K202" s="244"/>
      <c r="L202" s="244"/>
      <c r="M202" s="3"/>
      <c r="N202" s="3"/>
      <c r="O202" s="64"/>
      <c r="P202" s="64"/>
      <c r="Q202" s="64"/>
      <c r="R202" s="64"/>
      <c r="S202" s="3"/>
      <c r="T202" s="3"/>
    </row>
    <row r="203" spans="1:20" s="2" customFormat="1">
      <c r="A203" s="529"/>
      <c r="B203" s="165" t="s">
        <v>11</v>
      </c>
      <c r="C203" s="77" t="s">
        <v>284</v>
      </c>
      <c r="D203" s="78">
        <v>0.03</v>
      </c>
      <c r="E203" s="79">
        <f>+F204</f>
        <v>73176.034385194522</v>
      </c>
      <c r="F203" s="79">
        <f>(D203*E203)</f>
        <v>2195.2810315558354</v>
      </c>
      <c r="J203" s="244"/>
      <c r="K203" s="244"/>
      <c r="L203" s="244"/>
      <c r="M203" s="3"/>
      <c r="N203" s="3"/>
      <c r="O203" s="64"/>
      <c r="P203" s="64"/>
      <c r="Q203" s="64"/>
      <c r="R203" s="64"/>
      <c r="S203" s="3"/>
      <c r="T203" s="3"/>
    </row>
    <row r="204" spans="1:20" s="2" customFormat="1">
      <c r="A204" s="529"/>
      <c r="B204" s="165" t="s">
        <v>9</v>
      </c>
      <c r="C204" s="77" t="s">
        <v>10</v>
      </c>
      <c r="D204" s="78">
        <f>2.8</f>
        <v>2.8</v>
      </c>
      <c r="E204" s="79">
        <f>+'VALOR CUADRILLAS MO'!D75</f>
        <v>26134.297994712331</v>
      </c>
      <c r="F204" s="79">
        <f>+D204*E204</f>
        <v>73176.034385194522</v>
      </c>
      <c r="J204" s="244"/>
      <c r="K204" s="244"/>
      <c r="L204" s="244"/>
      <c r="M204" s="3"/>
      <c r="N204" s="3"/>
      <c r="O204" s="64"/>
      <c r="P204" s="64"/>
      <c r="Q204" s="64"/>
      <c r="R204" s="64"/>
      <c r="S204" s="3"/>
      <c r="T204" s="3"/>
    </row>
    <row r="205" spans="1:20" s="2" customFormat="1">
      <c r="A205" s="529"/>
      <c r="B205" s="165"/>
      <c r="C205" s="77"/>
      <c r="D205" s="78"/>
      <c r="E205" s="79"/>
      <c r="F205" s="79"/>
      <c r="J205" s="244"/>
      <c r="K205" s="244"/>
      <c r="L205" s="244"/>
      <c r="M205" s="3"/>
      <c r="N205" s="3"/>
      <c r="O205" s="64"/>
      <c r="P205" s="64"/>
      <c r="Q205" s="64"/>
      <c r="R205" s="64"/>
      <c r="S205" s="3"/>
      <c r="T205" s="3"/>
    </row>
    <row r="206" spans="1:20" ht="45.75" customHeight="1">
      <c r="A206" s="246">
        <f>A195+1</f>
        <v>34</v>
      </c>
      <c r="B206" s="83" t="s">
        <v>123</v>
      </c>
      <c r="C206" s="76" t="s">
        <v>26</v>
      </c>
      <c r="D206" s="73"/>
      <c r="E206" s="74"/>
      <c r="F206" s="75" t="e">
        <f>ROUND(SUM(F207:F216),0)</f>
        <v>#REF!</v>
      </c>
    </row>
    <row r="207" spans="1:20">
      <c r="A207" s="529"/>
      <c r="B207" s="165" t="s">
        <v>31</v>
      </c>
      <c r="C207" s="77" t="s">
        <v>32</v>
      </c>
      <c r="D207" s="78">
        <v>94.38</v>
      </c>
      <c r="E207" s="79">
        <f>+BASICOS!D126</f>
        <v>606.9</v>
      </c>
      <c r="F207" s="79">
        <f t="shared" ref="F207:F213" si="5">+D207*E207</f>
        <v>57279.221999999994</v>
      </c>
    </row>
    <row r="208" spans="1:20">
      <c r="A208" s="529"/>
      <c r="B208" s="165" t="s">
        <v>33</v>
      </c>
      <c r="C208" s="77" t="s">
        <v>32</v>
      </c>
      <c r="D208" s="78">
        <v>0.09</v>
      </c>
      <c r="E208" s="79">
        <f>+INSUMOS!D44</f>
        <v>7066.22</v>
      </c>
      <c r="F208" s="79">
        <f t="shared" si="5"/>
        <v>635.95979999999997</v>
      </c>
    </row>
    <row r="209" spans="1:20">
      <c r="A209" s="529"/>
      <c r="B209" s="165" t="s">
        <v>34</v>
      </c>
      <c r="C209" s="77" t="s">
        <v>26</v>
      </c>
      <c r="D209" s="78">
        <v>133</v>
      </c>
      <c r="E209" s="79">
        <f>+BASICOS!D19</f>
        <v>400</v>
      </c>
      <c r="F209" s="79">
        <f t="shared" si="5"/>
        <v>53200</v>
      </c>
    </row>
    <row r="210" spans="1:20">
      <c r="A210" s="529"/>
      <c r="B210" s="165" t="s">
        <v>35</v>
      </c>
      <c r="C210" s="77" t="s">
        <v>121</v>
      </c>
      <c r="D210" s="78">
        <v>0.09</v>
      </c>
      <c r="E210" s="79">
        <f>+BASICOS!D10</f>
        <v>88160</v>
      </c>
      <c r="F210" s="79">
        <f t="shared" si="5"/>
        <v>7934.4</v>
      </c>
    </row>
    <row r="211" spans="1:20">
      <c r="A211" s="529"/>
      <c r="B211" s="165" t="s">
        <v>36</v>
      </c>
      <c r="C211" s="77" t="s">
        <v>121</v>
      </c>
      <c r="D211" s="78">
        <v>0.24</v>
      </c>
      <c r="E211" s="79">
        <f>+BASICOS!D9</f>
        <v>37500</v>
      </c>
      <c r="F211" s="79">
        <f t="shared" si="5"/>
        <v>9000</v>
      </c>
    </row>
    <row r="212" spans="1:20">
      <c r="A212" s="529"/>
      <c r="B212" s="165" t="s">
        <v>229</v>
      </c>
      <c r="C212" s="77" t="s">
        <v>68</v>
      </c>
      <c r="D212" s="78">
        <v>0.05</v>
      </c>
      <c r="E212" s="79">
        <f>SUM(F207:F211)</f>
        <v>128049.58179999999</v>
      </c>
      <c r="F212" s="79">
        <f t="shared" si="5"/>
        <v>6402.4790899999998</v>
      </c>
    </row>
    <row r="213" spans="1:20">
      <c r="A213" s="529"/>
      <c r="B213" s="165" t="s">
        <v>122</v>
      </c>
      <c r="C213" s="77" t="s">
        <v>26</v>
      </c>
      <c r="D213" s="78">
        <v>1</v>
      </c>
      <c r="E213" s="79" t="e">
        <f>INSUMOS!#REF!</f>
        <v>#REF!</v>
      </c>
      <c r="F213" s="79" t="e">
        <f t="shared" si="5"/>
        <v>#REF!</v>
      </c>
    </row>
    <row r="214" spans="1:20">
      <c r="A214" s="529"/>
      <c r="B214" s="165" t="s">
        <v>136</v>
      </c>
      <c r="C214" s="77" t="s">
        <v>68</v>
      </c>
      <c r="D214" s="78"/>
      <c r="E214" s="79" t="e">
        <f>SUM(F207:F213)</f>
        <v>#REF!</v>
      </c>
      <c r="F214" s="79" t="e">
        <f>+D214*E214</f>
        <v>#REF!</v>
      </c>
    </row>
    <row r="215" spans="1:20">
      <c r="A215" s="529"/>
      <c r="B215" s="165" t="s">
        <v>11</v>
      </c>
      <c r="C215" s="77" t="s">
        <v>284</v>
      </c>
      <c r="D215" s="78">
        <v>0.03</v>
      </c>
      <c r="E215" s="79">
        <f>+F216</f>
        <v>55404.711748790149</v>
      </c>
      <c r="F215" s="79">
        <f>(D215*E215)</f>
        <v>1662.1413524637044</v>
      </c>
    </row>
    <row r="216" spans="1:20">
      <c r="A216" s="529"/>
      <c r="B216" s="165" t="s">
        <v>9</v>
      </c>
      <c r="C216" s="77" t="s">
        <v>10</v>
      </c>
      <c r="D216" s="78">
        <f>2*1.06</f>
        <v>2.12</v>
      </c>
      <c r="E216" s="79">
        <f>+'VALOR CUADRILLAS MO'!D75</f>
        <v>26134.297994712331</v>
      </c>
      <c r="F216" s="79">
        <f>+D216*E216</f>
        <v>55404.711748790149</v>
      </c>
    </row>
    <row r="217" spans="1:20" s="64" customFormat="1">
      <c r="A217" s="529"/>
      <c r="B217" s="165"/>
      <c r="C217" s="77"/>
      <c r="D217" s="78"/>
      <c r="E217" s="79"/>
      <c r="F217" s="79"/>
      <c r="G217" s="2"/>
      <c r="H217" s="2"/>
      <c r="I217" s="2"/>
      <c r="J217" s="244"/>
      <c r="K217" s="244"/>
      <c r="L217" s="244"/>
      <c r="M217" s="3"/>
      <c r="N217" s="3"/>
      <c r="S217" s="3"/>
      <c r="T217" s="3"/>
    </row>
    <row r="218" spans="1:20" s="2" customFormat="1" ht="34.15" customHeight="1">
      <c r="A218" s="458" t="s">
        <v>399</v>
      </c>
      <c r="B218" s="454" t="s">
        <v>2717</v>
      </c>
      <c r="C218" s="459"/>
      <c r="D218" s="460"/>
      <c r="E218" s="461"/>
      <c r="F218" s="461"/>
      <c r="J218" s="244"/>
      <c r="K218" s="244"/>
      <c r="L218" s="244"/>
      <c r="M218" s="3"/>
      <c r="N218" s="3"/>
      <c r="O218" s="64"/>
      <c r="P218" s="64"/>
      <c r="Q218" s="64"/>
      <c r="R218" s="64"/>
      <c r="S218" s="3"/>
      <c r="T218" s="3"/>
    </row>
    <row r="219" spans="1:20" s="2" customFormat="1" ht="21.6" customHeight="1">
      <c r="A219" s="246">
        <f>A206+1</f>
        <v>35</v>
      </c>
      <c r="B219" s="83" t="s">
        <v>765</v>
      </c>
      <c r="C219" s="76" t="s">
        <v>21</v>
      </c>
      <c r="D219" s="73"/>
      <c r="E219" s="74"/>
      <c r="F219" s="75" t="e">
        <f>ROUND(SUM(F220:F227),0)</f>
        <v>#REF!</v>
      </c>
      <c r="J219" s="244"/>
      <c r="K219" s="244"/>
      <c r="L219" s="244"/>
      <c r="M219" s="3"/>
      <c r="N219" s="3"/>
      <c r="O219" s="64"/>
      <c r="P219" s="64"/>
      <c r="Q219" s="64"/>
      <c r="R219" s="64"/>
      <c r="S219" s="3"/>
      <c r="T219" s="3"/>
    </row>
    <row r="220" spans="1:20" s="2" customFormat="1">
      <c r="A220" s="529"/>
      <c r="B220" s="165" t="s">
        <v>761</v>
      </c>
      <c r="C220" s="77" t="s">
        <v>21</v>
      </c>
      <c r="D220" s="78">
        <v>1</v>
      </c>
      <c r="E220" s="79">
        <f>INSUMOS!D92</f>
        <v>31812.071666666667</v>
      </c>
      <c r="F220" s="79">
        <f t="shared" ref="F220:F225" si="6">+D220*E220</f>
        <v>31812.071666666667</v>
      </c>
      <c r="H220" s="62"/>
      <c r="J220" s="244"/>
      <c r="K220" s="244"/>
      <c r="L220" s="244"/>
      <c r="M220" s="3"/>
      <c r="N220" s="3"/>
      <c r="O220" s="64"/>
      <c r="P220" s="64"/>
      <c r="Q220" s="64"/>
      <c r="R220" s="64"/>
      <c r="S220" s="3"/>
      <c r="T220" s="3"/>
    </row>
    <row r="221" spans="1:20" s="2" customFormat="1">
      <c r="A221" s="529"/>
      <c r="B221" s="165" t="s">
        <v>609</v>
      </c>
      <c r="C221" s="77" t="s">
        <v>26</v>
      </c>
      <c r="D221" s="78">
        <v>0.33</v>
      </c>
      <c r="E221" s="79" t="e">
        <f>INSUMOS!#REF!</f>
        <v>#REF!</v>
      </c>
      <c r="F221" s="79" t="e">
        <f t="shared" si="6"/>
        <v>#REF!</v>
      </c>
      <c r="J221" s="244"/>
      <c r="K221" s="244"/>
      <c r="L221" s="244"/>
      <c r="M221" s="3"/>
      <c r="N221" s="3"/>
      <c r="O221" s="64"/>
      <c r="P221" s="64"/>
      <c r="Q221" s="64"/>
      <c r="R221" s="64"/>
      <c r="S221" s="3"/>
      <c r="T221" s="3"/>
    </row>
    <row r="222" spans="1:20" s="2" customFormat="1">
      <c r="A222" s="529"/>
      <c r="B222" s="165" t="s">
        <v>610</v>
      </c>
      <c r="C222" s="77" t="s">
        <v>124</v>
      </c>
      <c r="D222" s="80">
        <v>2E-3</v>
      </c>
      <c r="E222" s="79" t="e">
        <f>INSUMOS!#REF!</f>
        <v>#REF!</v>
      </c>
      <c r="F222" s="79" t="e">
        <f t="shared" si="6"/>
        <v>#REF!</v>
      </c>
      <c r="J222" s="244"/>
      <c r="K222" s="244"/>
      <c r="L222" s="244"/>
      <c r="M222" s="3"/>
      <c r="N222" s="3"/>
      <c r="O222" s="64"/>
      <c r="P222" s="64"/>
      <c r="Q222" s="64"/>
      <c r="R222" s="64"/>
      <c r="S222" s="3"/>
      <c r="T222" s="3"/>
    </row>
    <row r="223" spans="1:20" s="2" customFormat="1">
      <c r="A223" s="529"/>
      <c r="B223" s="165" t="s">
        <v>611</v>
      </c>
      <c r="C223" s="77" t="s">
        <v>124</v>
      </c>
      <c r="D223" s="80">
        <v>2E-3</v>
      </c>
      <c r="E223" s="79" t="e">
        <f>INSUMOS!#REF!</f>
        <v>#REF!</v>
      </c>
      <c r="F223" s="79" t="e">
        <f t="shared" si="6"/>
        <v>#REF!</v>
      </c>
      <c r="J223" s="244"/>
      <c r="K223" s="244"/>
      <c r="L223" s="244"/>
      <c r="M223" s="3"/>
      <c r="N223" s="3"/>
      <c r="O223" s="64"/>
      <c r="P223" s="64"/>
      <c r="Q223" s="64"/>
      <c r="R223" s="64"/>
      <c r="S223" s="3"/>
      <c r="T223" s="3"/>
    </row>
    <row r="224" spans="1:20" s="2" customFormat="1">
      <c r="A224" s="529"/>
      <c r="B224" s="165" t="s">
        <v>229</v>
      </c>
      <c r="C224" s="77" t="s">
        <v>68</v>
      </c>
      <c r="D224" s="78">
        <v>0.05</v>
      </c>
      <c r="E224" s="79" t="e">
        <f>SUM(F220:F223)</f>
        <v>#REF!</v>
      </c>
      <c r="F224" s="79" t="e">
        <f t="shared" si="6"/>
        <v>#REF!</v>
      </c>
      <c r="J224" s="244"/>
      <c r="K224" s="244"/>
      <c r="L224" s="244"/>
      <c r="M224" s="3"/>
      <c r="N224" s="3"/>
      <c r="O224" s="64"/>
      <c r="P224" s="64"/>
      <c r="Q224" s="64"/>
      <c r="R224" s="64"/>
      <c r="S224" s="3"/>
      <c r="T224" s="3"/>
    </row>
    <row r="225" spans="1:20" s="2" customFormat="1">
      <c r="A225" s="529"/>
      <c r="B225" s="165" t="s">
        <v>136</v>
      </c>
      <c r="C225" s="77" t="s">
        <v>68</v>
      </c>
      <c r="D225" s="78"/>
      <c r="E225" s="79" t="e">
        <f>SUM(F220:F224)</f>
        <v>#REF!</v>
      </c>
      <c r="F225" s="79" t="e">
        <f t="shared" si="6"/>
        <v>#REF!</v>
      </c>
      <c r="J225" s="244"/>
      <c r="K225" s="244"/>
      <c r="L225" s="244"/>
      <c r="M225" s="3"/>
      <c r="N225" s="3"/>
      <c r="O225" s="64"/>
      <c r="P225" s="64"/>
      <c r="Q225" s="64"/>
      <c r="R225" s="64"/>
      <c r="S225" s="3"/>
      <c r="T225" s="3"/>
    </row>
    <row r="226" spans="1:20" s="2" customFormat="1">
      <c r="A226" s="529"/>
      <c r="B226" s="165" t="s">
        <v>11</v>
      </c>
      <c r="C226" s="77" t="s">
        <v>284</v>
      </c>
      <c r="D226" s="78">
        <v>0.03</v>
      </c>
      <c r="E226" s="79">
        <f>+F227</f>
        <v>18686.023066219317</v>
      </c>
      <c r="F226" s="79">
        <f>(D226*E226)</f>
        <v>560.5806919865795</v>
      </c>
      <c r="J226" s="244"/>
      <c r="K226" s="244"/>
      <c r="L226" s="244"/>
      <c r="M226" s="3"/>
      <c r="N226" s="3"/>
      <c r="O226" s="64"/>
      <c r="P226" s="64"/>
      <c r="Q226" s="64"/>
      <c r="R226" s="64"/>
      <c r="S226" s="3"/>
      <c r="T226" s="3"/>
    </row>
    <row r="227" spans="1:20" s="2" customFormat="1">
      <c r="A227" s="529"/>
      <c r="B227" s="165" t="s">
        <v>612</v>
      </c>
      <c r="C227" s="77" t="s">
        <v>10</v>
      </c>
      <c r="D227" s="78">
        <v>0.65</v>
      </c>
      <c r="E227" s="79">
        <f>+'VALOR CUADRILLAS MO'!D89</f>
        <v>28747.727794183564</v>
      </c>
      <c r="F227" s="79">
        <f>+D227*E227</f>
        <v>18686.023066219317</v>
      </c>
      <c r="J227" s="244"/>
      <c r="K227" s="244"/>
      <c r="L227" s="244"/>
      <c r="M227" s="3"/>
      <c r="N227" s="3"/>
      <c r="O227" s="64"/>
      <c r="P227" s="64"/>
      <c r="Q227" s="64"/>
      <c r="R227" s="64"/>
      <c r="S227" s="3"/>
      <c r="T227" s="3"/>
    </row>
    <row r="228" spans="1:20" s="2" customFormat="1">
      <c r="A228" s="529"/>
      <c r="B228" s="165"/>
      <c r="C228" s="77"/>
      <c r="D228" s="78"/>
      <c r="E228" s="79"/>
      <c r="F228" s="79"/>
      <c r="J228" s="244"/>
      <c r="K228" s="244"/>
      <c r="L228" s="244"/>
      <c r="M228" s="3"/>
      <c r="N228" s="3"/>
      <c r="O228" s="64"/>
      <c r="P228" s="64"/>
      <c r="Q228" s="64"/>
      <c r="R228" s="64"/>
      <c r="S228" s="3"/>
      <c r="T228" s="3"/>
    </row>
    <row r="229" spans="1:20" s="2" customFormat="1" ht="22.9" customHeight="1">
      <c r="A229" s="246">
        <f>+A219+1</f>
        <v>36</v>
      </c>
      <c r="B229" s="83" t="s">
        <v>768</v>
      </c>
      <c r="C229" s="76" t="s">
        <v>21</v>
      </c>
      <c r="D229" s="73"/>
      <c r="E229" s="74"/>
      <c r="F229" s="75" t="e">
        <f>ROUND(SUM(F230:F237),0)</f>
        <v>#REF!</v>
      </c>
      <c r="G229" s="2">
        <v>56890</v>
      </c>
      <c r="J229" s="244"/>
      <c r="K229" s="244"/>
      <c r="L229" s="244"/>
      <c r="M229" s="3"/>
      <c r="N229" s="3"/>
      <c r="O229" s="64"/>
      <c r="P229" s="64"/>
      <c r="Q229" s="64"/>
      <c r="R229" s="64"/>
      <c r="S229" s="3"/>
      <c r="T229" s="3"/>
    </row>
    <row r="230" spans="1:20" s="2" customFormat="1">
      <c r="A230" s="529"/>
      <c r="B230" s="165" t="s">
        <v>255</v>
      </c>
      <c r="C230" s="77" t="s">
        <v>21</v>
      </c>
      <c r="D230" s="78">
        <v>1</v>
      </c>
      <c r="E230" s="79">
        <f>+INSUMOS!D93</f>
        <v>43445.313333333332</v>
      </c>
      <c r="F230" s="79">
        <f t="shared" ref="F230:F235" si="7">+D230*E230</f>
        <v>43445.313333333332</v>
      </c>
      <c r="J230" s="244"/>
      <c r="K230" s="244"/>
      <c r="L230" s="244"/>
      <c r="M230" s="3"/>
      <c r="N230" s="3"/>
      <c r="O230" s="64"/>
      <c r="P230" s="64"/>
      <c r="Q230" s="64"/>
      <c r="R230" s="64"/>
      <c r="S230" s="3"/>
      <c r="T230" s="3"/>
    </row>
    <row r="231" spans="1:20" s="2" customFormat="1">
      <c r="A231" s="529"/>
      <c r="B231" s="165" t="s">
        <v>609</v>
      </c>
      <c r="C231" s="77" t="s">
        <v>26</v>
      </c>
      <c r="D231" s="78">
        <v>0.33</v>
      </c>
      <c r="E231" s="79" t="e">
        <f>INSUMOS!#REF!</f>
        <v>#REF!</v>
      </c>
      <c r="F231" s="79" t="e">
        <f t="shared" si="7"/>
        <v>#REF!</v>
      </c>
      <c r="J231" s="244"/>
      <c r="K231" s="244"/>
      <c r="L231" s="244"/>
      <c r="M231" s="3"/>
      <c r="N231" s="3"/>
      <c r="O231" s="64"/>
      <c r="P231" s="64"/>
      <c r="Q231" s="64"/>
      <c r="R231" s="64"/>
      <c r="S231" s="3"/>
      <c r="T231" s="3"/>
    </row>
    <row r="232" spans="1:20" s="2" customFormat="1">
      <c r="A232" s="529"/>
      <c r="B232" s="165" t="s">
        <v>610</v>
      </c>
      <c r="C232" s="77" t="s">
        <v>124</v>
      </c>
      <c r="D232" s="80">
        <v>2E-3</v>
      </c>
      <c r="E232" s="79" t="e">
        <f>INSUMOS!#REF!</f>
        <v>#REF!</v>
      </c>
      <c r="F232" s="79" t="e">
        <f t="shared" si="7"/>
        <v>#REF!</v>
      </c>
      <c r="J232" s="244"/>
      <c r="K232" s="244"/>
      <c r="L232" s="244"/>
      <c r="M232" s="3"/>
      <c r="N232" s="3"/>
      <c r="O232" s="64"/>
      <c r="P232" s="64"/>
      <c r="Q232" s="64"/>
      <c r="R232" s="64"/>
      <c r="S232" s="3"/>
      <c r="T232" s="3"/>
    </row>
    <row r="233" spans="1:20" s="2" customFormat="1">
      <c r="A233" s="529"/>
      <c r="B233" s="165" t="s">
        <v>611</v>
      </c>
      <c r="C233" s="77" t="s">
        <v>124</v>
      </c>
      <c r="D233" s="80">
        <v>2E-3</v>
      </c>
      <c r="E233" s="79" t="e">
        <f>INSUMOS!#REF!</f>
        <v>#REF!</v>
      </c>
      <c r="F233" s="79" t="e">
        <f t="shared" si="7"/>
        <v>#REF!</v>
      </c>
      <c r="J233" s="244"/>
      <c r="K233" s="244"/>
      <c r="L233" s="244"/>
      <c r="M233" s="3"/>
      <c r="N233" s="3"/>
      <c r="O233" s="64"/>
      <c r="P233" s="64"/>
      <c r="Q233" s="64"/>
      <c r="R233" s="64"/>
      <c r="S233" s="3"/>
      <c r="T233" s="3"/>
    </row>
    <row r="234" spans="1:20" s="2" customFormat="1">
      <c r="A234" s="529"/>
      <c r="B234" s="165" t="s">
        <v>229</v>
      </c>
      <c r="C234" s="77" t="s">
        <v>68</v>
      </c>
      <c r="D234" s="78">
        <v>0.05</v>
      </c>
      <c r="E234" s="79" t="e">
        <f>SUM(F230:F233)</f>
        <v>#REF!</v>
      </c>
      <c r="F234" s="79" t="e">
        <f t="shared" si="7"/>
        <v>#REF!</v>
      </c>
      <c r="J234" s="244"/>
      <c r="K234" s="244"/>
      <c r="L234" s="244"/>
      <c r="M234" s="3"/>
      <c r="N234" s="3"/>
      <c r="O234" s="64"/>
      <c r="P234" s="64"/>
      <c r="Q234" s="64"/>
      <c r="R234" s="64"/>
      <c r="S234" s="3"/>
      <c r="T234" s="3"/>
    </row>
    <row r="235" spans="1:20" s="2" customFormat="1">
      <c r="A235" s="529"/>
      <c r="B235" s="165" t="s">
        <v>136</v>
      </c>
      <c r="C235" s="77" t="s">
        <v>68</v>
      </c>
      <c r="D235" s="78"/>
      <c r="E235" s="79" t="e">
        <f>SUM(F230:F234)</f>
        <v>#REF!</v>
      </c>
      <c r="F235" s="79" t="e">
        <f t="shared" si="7"/>
        <v>#REF!</v>
      </c>
      <c r="J235" s="244"/>
      <c r="K235" s="244"/>
      <c r="L235" s="244"/>
      <c r="M235" s="3"/>
      <c r="N235" s="3"/>
      <c r="O235" s="64"/>
      <c r="P235" s="64"/>
      <c r="Q235" s="64"/>
      <c r="R235" s="64"/>
      <c r="S235" s="3"/>
      <c r="T235" s="3"/>
    </row>
    <row r="236" spans="1:20" s="2" customFormat="1">
      <c r="A236" s="529"/>
      <c r="B236" s="165" t="s">
        <v>11</v>
      </c>
      <c r="C236" s="77" t="s">
        <v>284</v>
      </c>
      <c r="D236" s="78">
        <v>0.03</v>
      </c>
      <c r="E236" s="79">
        <f>+F237</f>
        <v>18973.500344161152</v>
      </c>
      <c r="F236" s="79">
        <f>(D236*E236)</f>
        <v>569.20501032483457</v>
      </c>
      <c r="J236" s="244"/>
      <c r="K236" s="244"/>
      <c r="L236" s="244"/>
      <c r="M236" s="3"/>
      <c r="N236" s="3"/>
      <c r="O236" s="64"/>
      <c r="P236" s="64"/>
      <c r="Q236" s="64"/>
      <c r="R236" s="64"/>
      <c r="S236" s="3"/>
      <c r="T236" s="3"/>
    </row>
    <row r="237" spans="1:20" s="2" customFormat="1">
      <c r="A237" s="529"/>
      <c r="B237" s="165" t="s">
        <v>612</v>
      </c>
      <c r="C237" s="77" t="s">
        <v>10</v>
      </c>
      <c r="D237" s="78">
        <v>0.66</v>
      </c>
      <c r="E237" s="79">
        <f>+'VALOR CUADRILLAS MO'!D89</f>
        <v>28747.727794183564</v>
      </c>
      <c r="F237" s="79">
        <f>+D237*E237</f>
        <v>18973.500344161152</v>
      </c>
      <c r="J237" s="244"/>
      <c r="K237" s="244"/>
      <c r="L237" s="244"/>
      <c r="M237" s="3"/>
      <c r="N237" s="3"/>
      <c r="O237" s="64"/>
      <c r="P237" s="64"/>
      <c r="Q237" s="64"/>
      <c r="R237" s="64"/>
      <c r="S237" s="3"/>
      <c r="T237" s="3"/>
    </row>
    <row r="238" spans="1:20" s="2" customFormat="1">
      <c r="A238" s="529"/>
      <c r="B238" s="165"/>
      <c r="C238" s="77"/>
      <c r="D238" s="78"/>
      <c r="E238" s="79"/>
      <c r="F238" s="79"/>
      <c r="J238" s="244"/>
      <c r="K238" s="244"/>
      <c r="L238" s="244"/>
      <c r="M238" s="3"/>
      <c r="N238" s="3"/>
      <c r="O238" s="64"/>
      <c r="P238" s="64"/>
      <c r="Q238" s="64"/>
      <c r="R238" s="64"/>
      <c r="S238" s="3"/>
      <c r="T238" s="3"/>
    </row>
    <row r="239" spans="1:20" s="2" customFormat="1" ht="33" customHeight="1">
      <c r="A239" s="246">
        <f>+A229+1</f>
        <v>37</v>
      </c>
      <c r="B239" s="83" t="s">
        <v>2955</v>
      </c>
      <c r="C239" s="76" t="s">
        <v>21</v>
      </c>
      <c r="D239" s="73"/>
      <c r="E239" s="74"/>
      <c r="F239" s="75" t="e">
        <f>ROUND(SUM(F240:F247),0)</f>
        <v>#REF!</v>
      </c>
      <c r="J239" s="244"/>
      <c r="K239" s="244"/>
      <c r="L239" s="244"/>
      <c r="M239" s="3"/>
      <c r="N239" s="3"/>
      <c r="O239" s="64"/>
      <c r="P239" s="64"/>
      <c r="Q239" s="64"/>
      <c r="R239" s="64"/>
      <c r="S239" s="3"/>
      <c r="T239" s="3"/>
    </row>
    <row r="240" spans="1:20" s="2" customFormat="1">
      <c r="A240" s="529"/>
      <c r="B240" s="165" t="s">
        <v>716</v>
      </c>
      <c r="C240" s="77" t="s">
        <v>21</v>
      </c>
      <c r="D240" s="78">
        <v>1</v>
      </c>
      <c r="E240" s="79">
        <f>+INSUMOS!D94</f>
        <v>63454.171666666669</v>
      </c>
      <c r="F240" s="79">
        <f t="shared" ref="F240:F245" si="8">+D240*E240</f>
        <v>63454.171666666669</v>
      </c>
      <c r="J240" s="244"/>
      <c r="K240" s="244"/>
      <c r="L240" s="244"/>
      <c r="M240" s="3"/>
      <c r="N240" s="3"/>
      <c r="O240" s="64"/>
      <c r="P240" s="64"/>
      <c r="Q240" s="64"/>
      <c r="R240" s="64"/>
      <c r="S240" s="3"/>
      <c r="T240" s="3"/>
    </row>
    <row r="241" spans="1:20" s="2" customFormat="1">
      <c r="A241" s="529"/>
      <c r="B241" s="165" t="s">
        <v>609</v>
      </c>
      <c r="C241" s="77" t="s">
        <v>26</v>
      </c>
      <c r="D241" s="78">
        <v>0.33</v>
      </c>
      <c r="E241" s="79" t="e">
        <f>INSUMOS!#REF!</f>
        <v>#REF!</v>
      </c>
      <c r="F241" s="79" t="e">
        <f t="shared" si="8"/>
        <v>#REF!</v>
      </c>
      <c r="J241" s="244"/>
      <c r="K241" s="244"/>
      <c r="L241" s="244"/>
      <c r="M241" s="3"/>
      <c r="N241" s="3"/>
      <c r="O241" s="64"/>
      <c r="P241" s="64"/>
      <c r="Q241" s="64"/>
      <c r="R241" s="64"/>
      <c r="S241" s="3"/>
      <c r="T241" s="3"/>
    </row>
    <row r="242" spans="1:20" s="2" customFormat="1">
      <c r="A242" s="529"/>
      <c r="B242" s="165" t="s">
        <v>610</v>
      </c>
      <c r="C242" s="77" t="s">
        <v>124</v>
      </c>
      <c r="D242" s="80">
        <v>2E-3</v>
      </c>
      <c r="E242" s="79" t="e">
        <f>INSUMOS!#REF!</f>
        <v>#REF!</v>
      </c>
      <c r="F242" s="79" t="e">
        <f t="shared" si="8"/>
        <v>#REF!</v>
      </c>
      <c r="J242" s="244"/>
      <c r="K242" s="244"/>
      <c r="L242" s="244"/>
      <c r="M242" s="3"/>
      <c r="N242" s="3"/>
      <c r="O242" s="64"/>
      <c r="P242" s="64"/>
      <c r="Q242" s="64"/>
      <c r="R242" s="64"/>
      <c r="S242" s="3"/>
      <c r="T242" s="3"/>
    </row>
    <row r="243" spans="1:20" s="2" customFormat="1">
      <c r="A243" s="529"/>
      <c r="B243" s="165" t="s">
        <v>611</v>
      </c>
      <c r="C243" s="77" t="s">
        <v>124</v>
      </c>
      <c r="D243" s="80">
        <v>2E-3</v>
      </c>
      <c r="E243" s="79" t="e">
        <f>INSUMOS!#REF!</f>
        <v>#REF!</v>
      </c>
      <c r="F243" s="79" t="e">
        <f t="shared" si="8"/>
        <v>#REF!</v>
      </c>
      <c r="J243" s="244"/>
      <c r="K243" s="244"/>
      <c r="L243" s="244"/>
      <c r="M243" s="3"/>
      <c r="N243" s="3"/>
      <c r="O243" s="64"/>
      <c r="P243" s="64"/>
      <c r="Q243" s="64"/>
      <c r="R243" s="64"/>
      <c r="S243" s="3"/>
      <c r="T243" s="3"/>
    </row>
    <row r="244" spans="1:20" s="2" customFormat="1">
      <c r="A244" s="529"/>
      <c r="B244" s="165" t="s">
        <v>229</v>
      </c>
      <c r="C244" s="77" t="s">
        <v>68</v>
      </c>
      <c r="D244" s="78">
        <v>0.05</v>
      </c>
      <c r="E244" s="79" t="e">
        <f>SUM(F240:F243)</f>
        <v>#REF!</v>
      </c>
      <c r="F244" s="79" t="e">
        <f t="shared" si="8"/>
        <v>#REF!</v>
      </c>
      <c r="J244" s="244"/>
      <c r="K244" s="244"/>
      <c r="L244" s="244"/>
      <c r="M244" s="3"/>
      <c r="N244" s="3"/>
      <c r="O244" s="64"/>
      <c r="P244" s="64"/>
      <c r="Q244" s="64"/>
      <c r="R244" s="64"/>
      <c r="S244" s="3"/>
      <c r="T244" s="3"/>
    </row>
    <row r="245" spans="1:20" s="2" customFormat="1">
      <c r="A245" s="529"/>
      <c r="B245" s="165" t="s">
        <v>136</v>
      </c>
      <c r="C245" s="77" t="s">
        <v>68</v>
      </c>
      <c r="D245" s="78"/>
      <c r="E245" s="79" t="e">
        <f>SUM(F240:F244)</f>
        <v>#REF!</v>
      </c>
      <c r="F245" s="79" t="e">
        <f t="shared" si="8"/>
        <v>#REF!</v>
      </c>
      <c r="J245" s="244"/>
      <c r="K245" s="244"/>
      <c r="L245" s="244"/>
      <c r="M245" s="3"/>
      <c r="N245" s="3"/>
      <c r="O245" s="64"/>
      <c r="P245" s="64"/>
      <c r="Q245" s="64"/>
      <c r="R245" s="64"/>
      <c r="S245" s="3"/>
      <c r="T245" s="3"/>
    </row>
    <row r="246" spans="1:20" s="2" customFormat="1">
      <c r="A246" s="529"/>
      <c r="B246" s="165" t="s">
        <v>11</v>
      </c>
      <c r="C246" s="77" t="s">
        <v>284</v>
      </c>
      <c r="D246" s="78">
        <v>0.03</v>
      </c>
      <c r="E246" s="79">
        <f>+F247</f>
        <v>20123.409455928493</v>
      </c>
      <c r="F246" s="79">
        <f>(D246*E246)</f>
        <v>603.70228367785478</v>
      </c>
      <c r="J246" s="244"/>
      <c r="K246" s="244"/>
      <c r="L246" s="244"/>
      <c r="M246" s="3"/>
      <c r="N246" s="3"/>
      <c r="O246" s="64"/>
      <c r="P246" s="64"/>
      <c r="Q246" s="64"/>
      <c r="R246" s="64"/>
      <c r="S246" s="3"/>
      <c r="T246" s="3"/>
    </row>
    <row r="247" spans="1:20" s="2" customFormat="1">
      <c r="A247" s="529"/>
      <c r="B247" s="165" t="s">
        <v>612</v>
      </c>
      <c r="C247" s="77" t="s">
        <v>10</v>
      </c>
      <c r="D247" s="78">
        <v>0.7</v>
      </c>
      <c r="E247" s="79">
        <f>+'VALOR CUADRILLAS MO'!D89</f>
        <v>28747.727794183564</v>
      </c>
      <c r="F247" s="79">
        <f>+D247*E247</f>
        <v>20123.409455928493</v>
      </c>
      <c r="J247" s="244"/>
      <c r="K247" s="244"/>
      <c r="L247" s="244"/>
      <c r="M247" s="3"/>
      <c r="N247" s="3"/>
      <c r="O247" s="64"/>
      <c r="P247" s="64"/>
      <c r="Q247" s="64"/>
      <c r="R247" s="64"/>
      <c r="S247" s="3"/>
      <c r="T247" s="3"/>
    </row>
    <row r="248" spans="1:20" s="2" customFormat="1">
      <c r="A248" s="529"/>
      <c r="B248" s="165"/>
      <c r="C248" s="77"/>
      <c r="D248" s="78"/>
      <c r="E248" s="79"/>
      <c r="F248" s="79"/>
      <c r="J248" s="244"/>
      <c r="K248" s="244"/>
      <c r="L248" s="244"/>
      <c r="M248" s="3"/>
      <c r="N248" s="3"/>
      <c r="O248" s="64"/>
      <c r="P248" s="64"/>
      <c r="Q248" s="64"/>
      <c r="R248" s="64"/>
      <c r="S248" s="3"/>
      <c r="T248" s="3"/>
    </row>
    <row r="249" spans="1:20" s="2" customFormat="1" ht="28.5" customHeight="1">
      <c r="A249" s="246">
        <f>+A239+1</f>
        <v>38</v>
      </c>
      <c r="B249" s="83" t="s">
        <v>2956</v>
      </c>
      <c r="C249" s="76" t="s">
        <v>21</v>
      </c>
      <c r="D249" s="73"/>
      <c r="E249" s="74"/>
      <c r="F249" s="75" t="e">
        <f>ROUND(SUM(F250:F257),0)</f>
        <v>#REF!</v>
      </c>
      <c r="J249" s="244"/>
      <c r="K249" s="244"/>
      <c r="L249" s="244"/>
      <c r="M249" s="3"/>
      <c r="N249" s="3"/>
      <c r="O249" s="64"/>
      <c r="P249" s="64"/>
      <c r="Q249" s="64"/>
      <c r="R249" s="64"/>
      <c r="S249" s="3"/>
      <c r="T249" s="3"/>
    </row>
    <row r="250" spans="1:20" s="2" customFormat="1">
      <c r="A250" s="529"/>
      <c r="B250" s="165" t="s">
        <v>759</v>
      </c>
      <c r="C250" s="77" t="s">
        <v>21</v>
      </c>
      <c r="D250" s="78">
        <v>1</v>
      </c>
      <c r="E250" s="79">
        <f>+INSUMOS!D95</f>
        <v>93819.401666666672</v>
      </c>
      <c r="F250" s="79">
        <f t="shared" ref="F250:F255" si="9">+D250*E250</f>
        <v>93819.401666666672</v>
      </c>
      <c r="J250" s="244"/>
      <c r="K250" s="244"/>
      <c r="L250" s="244"/>
      <c r="M250" s="3"/>
      <c r="N250" s="3"/>
      <c r="O250" s="64"/>
      <c r="P250" s="64"/>
      <c r="Q250" s="64"/>
      <c r="R250" s="64"/>
      <c r="S250" s="3"/>
      <c r="T250" s="3"/>
    </row>
    <row r="251" spans="1:20" s="2" customFormat="1">
      <c r="A251" s="529"/>
      <c r="B251" s="165" t="s">
        <v>609</v>
      </c>
      <c r="C251" s="77" t="s">
        <v>26</v>
      </c>
      <c r="D251" s="78">
        <v>0.33</v>
      </c>
      <c r="E251" s="79" t="e">
        <f>INSUMOS!#REF!</f>
        <v>#REF!</v>
      </c>
      <c r="F251" s="79" t="e">
        <f t="shared" si="9"/>
        <v>#REF!</v>
      </c>
      <c r="J251" s="244"/>
      <c r="K251" s="244"/>
      <c r="L251" s="244"/>
      <c r="M251" s="3"/>
      <c r="N251" s="3"/>
      <c r="O251" s="64"/>
      <c r="P251" s="64"/>
      <c r="Q251" s="64"/>
      <c r="R251" s="64"/>
      <c r="S251" s="3"/>
      <c r="T251" s="3"/>
    </row>
    <row r="252" spans="1:20" s="2" customFormat="1">
      <c r="A252" s="529"/>
      <c r="B252" s="165" t="s">
        <v>610</v>
      </c>
      <c r="C252" s="77" t="s">
        <v>124</v>
      </c>
      <c r="D252" s="80">
        <v>2E-3</v>
      </c>
      <c r="E252" s="79" t="e">
        <f>INSUMOS!#REF!</f>
        <v>#REF!</v>
      </c>
      <c r="F252" s="79" t="e">
        <f t="shared" si="9"/>
        <v>#REF!</v>
      </c>
      <c r="J252" s="244"/>
      <c r="K252" s="244"/>
      <c r="L252" s="244"/>
      <c r="M252" s="3"/>
      <c r="N252" s="3"/>
      <c r="O252" s="64"/>
      <c r="P252" s="64"/>
      <c r="Q252" s="64"/>
      <c r="R252" s="64"/>
      <c r="S252" s="3"/>
      <c r="T252" s="3"/>
    </row>
    <row r="253" spans="1:20" s="2" customFormat="1">
      <c r="A253" s="529"/>
      <c r="B253" s="165" t="s">
        <v>611</v>
      </c>
      <c r="C253" s="77" t="s">
        <v>124</v>
      </c>
      <c r="D253" s="80">
        <v>2E-3</v>
      </c>
      <c r="E253" s="79" t="e">
        <f>INSUMOS!#REF!</f>
        <v>#REF!</v>
      </c>
      <c r="F253" s="79" t="e">
        <f t="shared" si="9"/>
        <v>#REF!</v>
      </c>
      <c r="J253" s="244"/>
      <c r="K253" s="244"/>
      <c r="L253" s="244"/>
      <c r="M253" s="3"/>
      <c r="N253" s="3"/>
      <c r="O253" s="64"/>
      <c r="P253" s="64"/>
      <c r="Q253" s="64"/>
      <c r="R253" s="64"/>
      <c r="S253" s="3"/>
      <c r="T253" s="3"/>
    </row>
    <row r="254" spans="1:20" s="2" customFormat="1">
      <c r="A254" s="529"/>
      <c r="B254" s="165" t="s">
        <v>229</v>
      </c>
      <c r="C254" s="77" t="s">
        <v>68</v>
      </c>
      <c r="D254" s="78">
        <v>0.05</v>
      </c>
      <c r="E254" s="79" t="e">
        <f>SUM(F250:F253)</f>
        <v>#REF!</v>
      </c>
      <c r="F254" s="79" t="e">
        <f t="shared" si="9"/>
        <v>#REF!</v>
      </c>
      <c r="J254" s="244"/>
      <c r="K254" s="244"/>
      <c r="L254" s="244"/>
      <c r="M254" s="3"/>
      <c r="N254" s="3"/>
      <c r="O254" s="64"/>
      <c r="P254" s="64"/>
      <c r="Q254" s="64"/>
      <c r="R254" s="64"/>
      <c r="S254" s="3"/>
      <c r="T254" s="3"/>
    </row>
    <row r="255" spans="1:20" s="2" customFormat="1">
      <c r="A255" s="529"/>
      <c r="B255" s="165" t="s">
        <v>136</v>
      </c>
      <c r="C255" s="77" t="s">
        <v>68</v>
      </c>
      <c r="D255" s="78"/>
      <c r="E255" s="79" t="e">
        <f>SUM(F250:F254)</f>
        <v>#REF!</v>
      </c>
      <c r="F255" s="79" t="e">
        <f t="shared" si="9"/>
        <v>#REF!</v>
      </c>
      <c r="J255" s="244"/>
      <c r="K255" s="244"/>
      <c r="L255" s="244"/>
      <c r="M255" s="3"/>
      <c r="N255" s="3"/>
      <c r="O255" s="64"/>
      <c r="P255" s="64"/>
      <c r="Q255" s="64"/>
      <c r="R255" s="64"/>
      <c r="S255" s="3"/>
      <c r="T255" s="3"/>
    </row>
    <row r="256" spans="1:20" s="2" customFormat="1">
      <c r="A256" s="529"/>
      <c r="B256" s="165" t="s">
        <v>11</v>
      </c>
      <c r="C256" s="77" t="s">
        <v>284</v>
      </c>
      <c r="D256" s="78">
        <v>0.03</v>
      </c>
      <c r="E256" s="79">
        <f>+F257</f>
        <v>21560.795845637673</v>
      </c>
      <c r="F256" s="79">
        <f>(D256*E256)</f>
        <v>646.82387536913018</v>
      </c>
      <c r="J256" s="244"/>
      <c r="K256" s="244"/>
      <c r="L256" s="244"/>
      <c r="M256" s="3"/>
      <c r="N256" s="3"/>
      <c r="O256" s="64"/>
      <c r="P256" s="64"/>
      <c r="Q256" s="64"/>
      <c r="R256" s="64"/>
      <c r="S256" s="3"/>
      <c r="T256" s="3"/>
    </row>
    <row r="257" spans="1:20" s="2" customFormat="1">
      <c r="A257" s="529"/>
      <c r="B257" s="165" t="s">
        <v>612</v>
      </c>
      <c r="C257" s="77" t="s">
        <v>10</v>
      </c>
      <c r="D257" s="78">
        <v>0.75</v>
      </c>
      <c r="E257" s="79">
        <f>+'VALOR CUADRILLAS MO'!D89</f>
        <v>28747.727794183564</v>
      </c>
      <c r="F257" s="79">
        <f>+D257*E257</f>
        <v>21560.795845637673</v>
      </c>
      <c r="J257" s="244"/>
      <c r="K257" s="244"/>
      <c r="L257" s="244"/>
      <c r="M257" s="3"/>
      <c r="N257" s="3"/>
      <c r="O257" s="64"/>
      <c r="P257" s="64"/>
      <c r="Q257" s="64"/>
      <c r="R257" s="64"/>
      <c r="S257" s="3"/>
      <c r="T257" s="3"/>
    </row>
    <row r="258" spans="1:20" s="2" customFormat="1">
      <c r="A258" s="529"/>
      <c r="B258" s="165"/>
      <c r="C258" s="77"/>
      <c r="D258" s="78"/>
      <c r="E258" s="79"/>
      <c r="F258" s="79"/>
      <c r="J258" s="244"/>
      <c r="K258" s="244"/>
      <c r="L258" s="244"/>
      <c r="M258" s="3"/>
      <c r="N258" s="3"/>
      <c r="O258" s="64"/>
      <c r="P258" s="64"/>
      <c r="Q258" s="64"/>
      <c r="R258" s="64"/>
      <c r="S258" s="3"/>
      <c r="T258" s="3"/>
    </row>
    <row r="259" spans="1:20" s="2" customFormat="1" ht="30" customHeight="1">
      <c r="A259" s="246">
        <f>+A249+1</f>
        <v>39</v>
      </c>
      <c r="B259" s="83" t="s">
        <v>2957</v>
      </c>
      <c r="C259" s="76" t="s">
        <v>21</v>
      </c>
      <c r="D259" s="73"/>
      <c r="E259" s="74"/>
      <c r="F259" s="75" t="e">
        <f>ROUND(SUM(F260:F267),0)</f>
        <v>#REF!</v>
      </c>
      <c r="J259" s="244"/>
      <c r="K259" s="244"/>
      <c r="L259" s="244"/>
      <c r="M259" s="3"/>
      <c r="N259" s="3"/>
      <c r="O259" s="64"/>
      <c r="P259" s="64"/>
      <c r="Q259" s="64"/>
      <c r="R259" s="64"/>
      <c r="S259" s="3"/>
      <c r="T259" s="3"/>
    </row>
    <row r="260" spans="1:20" s="2" customFormat="1">
      <c r="A260" s="529"/>
      <c r="B260" s="165" t="s">
        <v>551</v>
      </c>
      <c r="C260" s="77" t="s">
        <v>21</v>
      </c>
      <c r="D260" s="78">
        <v>1</v>
      </c>
      <c r="E260" s="79">
        <f>+INSUMOS!D96</f>
        <v>134434.30000000002</v>
      </c>
      <c r="F260" s="79">
        <f t="shared" ref="F260:F265" si="10">+D260*E260</f>
        <v>134434.30000000002</v>
      </c>
      <c r="J260" s="244"/>
      <c r="K260" s="244"/>
      <c r="L260" s="244"/>
      <c r="M260" s="3"/>
      <c r="N260" s="3"/>
      <c r="O260" s="64"/>
      <c r="P260" s="64"/>
      <c r="Q260" s="64"/>
      <c r="R260" s="64"/>
      <c r="S260" s="3"/>
      <c r="T260" s="3"/>
    </row>
    <row r="261" spans="1:20" s="2" customFormat="1">
      <c r="A261" s="529"/>
      <c r="B261" s="165" t="s">
        <v>609</v>
      </c>
      <c r="C261" s="77" t="s">
        <v>26</v>
      </c>
      <c r="D261" s="78">
        <v>0.33</v>
      </c>
      <c r="E261" s="79" t="e">
        <f>INSUMOS!#REF!</f>
        <v>#REF!</v>
      </c>
      <c r="F261" s="79" t="e">
        <f>+D261*E261</f>
        <v>#REF!</v>
      </c>
      <c r="J261" s="244"/>
      <c r="K261" s="244"/>
      <c r="L261" s="244"/>
      <c r="M261" s="3"/>
      <c r="N261" s="3"/>
      <c r="O261" s="64"/>
      <c r="P261" s="64"/>
      <c r="Q261" s="64"/>
      <c r="R261" s="64"/>
      <c r="S261" s="3"/>
      <c r="T261" s="3"/>
    </row>
    <row r="262" spans="1:20" s="2" customFormat="1">
      <c r="A262" s="529"/>
      <c r="B262" s="165" t="s">
        <v>610</v>
      </c>
      <c r="C262" s="77" t="s">
        <v>124</v>
      </c>
      <c r="D262" s="80">
        <v>2E-3</v>
      </c>
      <c r="E262" s="79" t="e">
        <f>INSUMOS!#REF!</f>
        <v>#REF!</v>
      </c>
      <c r="F262" s="79" t="e">
        <f t="shared" si="10"/>
        <v>#REF!</v>
      </c>
      <c r="J262" s="244"/>
      <c r="K262" s="244"/>
      <c r="L262" s="244"/>
      <c r="M262" s="3"/>
      <c r="N262" s="3"/>
      <c r="O262" s="64"/>
      <c r="P262" s="64"/>
      <c r="Q262" s="64"/>
      <c r="R262" s="64"/>
      <c r="S262" s="3"/>
      <c r="T262" s="3"/>
    </row>
    <row r="263" spans="1:20" s="2" customFormat="1">
      <c r="A263" s="529"/>
      <c r="B263" s="165" t="s">
        <v>611</v>
      </c>
      <c r="C263" s="77" t="s">
        <v>124</v>
      </c>
      <c r="D263" s="80">
        <v>2E-3</v>
      </c>
      <c r="E263" s="79" t="e">
        <f>INSUMOS!#REF!</f>
        <v>#REF!</v>
      </c>
      <c r="F263" s="79" t="e">
        <f t="shared" si="10"/>
        <v>#REF!</v>
      </c>
      <c r="J263" s="244"/>
      <c r="K263" s="244"/>
      <c r="L263" s="244"/>
      <c r="M263" s="3"/>
      <c r="N263" s="3"/>
      <c r="O263" s="64"/>
      <c r="P263" s="64"/>
      <c r="Q263" s="64"/>
      <c r="R263" s="64"/>
      <c r="S263" s="3"/>
      <c r="T263" s="3"/>
    </row>
    <row r="264" spans="1:20" s="2" customFormat="1">
      <c r="A264" s="529"/>
      <c r="B264" s="165" t="s">
        <v>229</v>
      </c>
      <c r="C264" s="77" t="s">
        <v>68</v>
      </c>
      <c r="D264" s="78">
        <v>0.05</v>
      </c>
      <c r="E264" s="79" t="e">
        <f>SUM(F260:F263)</f>
        <v>#REF!</v>
      </c>
      <c r="F264" s="79" t="e">
        <f t="shared" si="10"/>
        <v>#REF!</v>
      </c>
      <c r="J264" s="244"/>
      <c r="K264" s="244"/>
      <c r="L264" s="244"/>
      <c r="M264" s="3"/>
      <c r="N264" s="3"/>
      <c r="O264" s="64"/>
      <c r="P264" s="64"/>
      <c r="Q264" s="64"/>
      <c r="R264" s="64"/>
      <c r="S264" s="3"/>
      <c r="T264" s="3"/>
    </row>
    <row r="265" spans="1:20" s="2" customFormat="1">
      <c r="A265" s="529"/>
      <c r="B265" s="165" t="s">
        <v>136</v>
      </c>
      <c r="C265" s="77" t="s">
        <v>68</v>
      </c>
      <c r="D265" s="78"/>
      <c r="E265" s="79" t="e">
        <f>SUM(F260:F264)</f>
        <v>#REF!</v>
      </c>
      <c r="F265" s="79" t="e">
        <f t="shared" si="10"/>
        <v>#REF!</v>
      </c>
      <c r="J265" s="244"/>
      <c r="K265" s="244"/>
      <c r="L265" s="244"/>
      <c r="M265" s="3"/>
      <c r="N265" s="3"/>
      <c r="O265" s="64"/>
      <c r="P265" s="64"/>
      <c r="Q265" s="64"/>
      <c r="R265" s="64"/>
      <c r="S265" s="3"/>
      <c r="T265" s="3"/>
    </row>
    <row r="266" spans="1:20" s="2" customFormat="1">
      <c r="A266" s="529"/>
      <c r="B266" s="165" t="s">
        <v>11</v>
      </c>
      <c r="C266" s="77" t="s">
        <v>284</v>
      </c>
      <c r="D266" s="78">
        <v>0.03</v>
      </c>
      <c r="E266" s="79">
        <f>+F267</f>
        <v>22998.182235346852</v>
      </c>
      <c r="F266" s="79">
        <f>(D266*E266)</f>
        <v>689.94546706040558</v>
      </c>
      <c r="J266" s="244"/>
      <c r="K266" s="244"/>
      <c r="L266" s="244"/>
      <c r="M266" s="3"/>
      <c r="N266" s="3"/>
      <c r="O266" s="64"/>
      <c r="P266" s="64"/>
      <c r="Q266" s="64"/>
      <c r="R266" s="64"/>
      <c r="S266" s="3"/>
      <c r="T266" s="3"/>
    </row>
    <row r="267" spans="1:20" s="2" customFormat="1">
      <c r="A267" s="529"/>
      <c r="B267" s="165" t="s">
        <v>612</v>
      </c>
      <c r="C267" s="77" t="s">
        <v>10</v>
      </c>
      <c r="D267" s="78">
        <v>0.8</v>
      </c>
      <c r="E267" s="79">
        <f>+'VALOR CUADRILLAS MO'!D89</f>
        <v>28747.727794183564</v>
      </c>
      <c r="F267" s="79">
        <f>+D267*E267</f>
        <v>22998.182235346852</v>
      </c>
      <c r="J267" s="244"/>
      <c r="K267" s="244"/>
      <c r="L267" s="244"/>
      <c r="M267" s="3"/>
      <c r="N267" s="3"/>
      <c r="O267" s="64"/>
      <c r="P267" s="64"/>
      <c r="Q267" s="64"/>
      <c r="R267" s="64"/>
      <c r="S267" s="3"/>
      <c r="T267" s="3"/>
    </row>
    <row r="268" spans="1:20" s="2" customFormat="1">
      <c r="A268" s="529"/>
      <c r="B268" s="165"/>
      <c r="C268" s="77"/>
      <c r="D268" s="78"/>
      <c r="E268" s="79"/>
      <c r="F268" s="79"/>
      <c r="J268" s="244"/>
      <c r="K268" s="244"/>
      <c r="L268" s="244"/>
      <c r="M268" s="3"/>
      <c r="N268" s="3"/>
      <c r="O268" s="64"/>
      <c r="P268" s="64"/>
      <c r="Q268" s="64"/>
      <c r="R268" s="64"/>
      <c r="S268" s="3"/>
      <c r="T268" s="3"/>
    </row>
    <row r="269" spans="1:20" s="2" customFormat="1" ht="24.6" customHeight="1">
      <c r="A269" s="246">
        <f>+A259+1</f>
        <v>40</v>
      </c>
      <c r="B269" s="83" t="s">
        <v>2958</v>
      </c>
      <c r="C269" s="76" t="s">
        <v>21</v>
      </c>
      <c r="D269" s="73"/>
      <c r="E269" s="74"/>
      <c r="F269" s="75" t="e">
        <f>ROUND(SUM(F270:F277),0)</f>
        <v>#REF!</v>
      </c>
      <c r="J269" s="244"/>
      <c r="K269" s="244"/>
      <c r="L269" s="244"/>
      <c r="M269" s="3"/>
      <c r="N269" s="3"/>
      <c r="O269" s="64"/>
      <c r="P269" s="64"/>
      <c r="Q269" s="64"/>
      <c r="R269" s="64"/>
      <c r="S269" s="3"/>
      <c r="T269" s="3"/>
    </row>
    <row r="270" spans="1:20" s="2" customFormat="1">
      <c r="A270" s="529"/>
      <c r="B270" s="165" t="s">
        <v>715</v>
      </c>
      <c r="C270" s="77" t="s">
        <v>21</v>
      </c>
      <c r="D270" s="78">
        <v>1</v>
      </c>
      <c r="E270" s="79">
        <f>+INSUMOS!D97</f>
        <v>164427.655</v>
      </c>
      <c r="F270" s="79">
        <f t="shared" ref="F270:F275" si="11">+D270*E270</f>
        <v>164427.655</v>
      </c>
      <c r="J270" s="244"/>
      <c r="K270" s="244"/>
      <c r="L270" s="244"/>
      <c r="M270" s="3"/>
      <c r="N270" s="3"/>
      <c r="O270" s="64"/>
      <c r="P270" s="64"/>
      <c r="Q270" s="64"/>
      <c r="R270" s="64"/>
      <c r="S270" s="3"/>
      <c r="T270" s="3"/>
    </row>
    <row r="271" spans="1:20" s="2" customFormat="1">
      <c r="A271" s="529"/>
      <c r="B271" s="165" t="s">
        <v>609</v>
      </c>
      <c r="C271" s="77" t="s">
        <v>26</v>
      </c>
      <c r="D271" s="78">
        <v>0.33</v>
      </c>
      <c r="E271" s="79" t="e">
        <f>INSUMOS!#REF!</f>
        <v>#REF!</v>
      </c>
      <c r="F271" s="79" t="e">
        <f t="shared" si="11"/>
        <v>#REF!</v>
      </c>
      <c r="J271" s="244"/>
      <c r="K271" s="244"/>
      <c r="L271" s="244"/>
      <c r="M271" s="3"/>
      <c r="N271" s="3"/>
      <c r="O271" s="64"/>
      <c r="P271" s="64"/>
      <c r="Q271" s="64"/>
      <c r="R271" s="64"/>
      <c r="S271" s="3"/>
      <c r="T271" s="3"/>
    </row>
    <row r="272" spans="1:20" s="2" customFormat="1">
      <c r="A272" s="529"/>
      <c r="B272" s="165" t="s">
        <v>610</v>
      </c>
      <c r="C272" s="77" t="s">
        <v>124</v>
      </c>
      <c r="D272" s="80">
        <v>2E-3</v>
      </c>
      <c r="E272" s="79" t="e">
        <f>INSUMOS!#REF!</f>
        <v>#REF!</v>
      </c>
      <c r="F272" s="79" t="e">
        <f t="shared" si="11"/>
        <v>#REF!</v>
      </c>
      <c r="J272" s="244"/>
      <c r="K272" s="244"/>
      <c r="L272" s="244"/>
      <c r="M272" s="3"/>
      <c r="N272" s="3"/>
      <c r="O272" s="64"/>
      <c r="P272" s="64"/>
      <c r="Q272" s="64"/>
      <c r="R272" s="64"/>
      <c r="S272" s="3"/>
      <c r="T272" s="3"/>
    </row>
    <row r="273" spans="1:20" s="2" customFormat="1">
      <c r="A273" s="529"/>
      <c r="B273" s="165" t="s">
        <v>611</v>
      </c>
      <c r="C273" s="77" t="s">
        <v>124</v>
      </c>
      <c r="D273" s="80">
        <v>2E-3</v>
      </c>
      <c r="E273" s="79" t="e">
        <f>INSUMOS!#REF!</f>
        <v>#REF!</v>
      </c>
      <c r="F273" s="79" t="e">
        <f t="shared" si="11"/>
        <v>#REF!</v>
      </c>
      <c r="J273" s="244"/>
      <c r="K273" s="244"/>
      <c r="L273" s="244"/>
      <c r="M273" s="3"/>
      <c r="N273" s="3"/>
      <c r="O273" s="64"/>
      <c r="P273" s="64"/>
      <c r="Q273" s="64"/>
      <c r="R273" s="64"/>
      <c r="S273" s="3"/>
      <c r="T273" s="3"/>
    </row>
    <row r="274" spans="1:20" s="2" customFormat="1">
      <c r="A274" s="529"/>
      <c r="B274" s="165" t="s">
        <v>229</v>
      </c>
      <c r="C274" s="77" t="s">
        <v>68</v>
      </c>
      <c r="D274" s="78">
        <v>0.05</v>
      </c>
      <c r="E274" s="79" t="e">
        <f>SUM(F270:F273)</f>
        <v>#REF!</v>
      </c>
      <c r="F274" s="79" t="e">
        <f t="shared" si="11"/>
        <v>#REF!</v>
      </c>
      <c r="J274" s="244"/>
      <c r="K274" s="244"/>
      <c r="L274" s="244"/>
      <c r="M274" s="3"/>
      <c r="N274" s="3"/>
      <c r="O274" s="64"/>
      <c r="P274" s="64"/>
      <c r="Q274" s="64"/>
      <c r="R274" s="64"/>
      <c r="S274" s="3"/>
      <c r="T274" s="3"/>
    </row>
    <row r="275" spans="1:20" s="2" customFormat="1">
      <c r="A275" s="529"/>
      <c r="B275" s="165" t="s">
        <v>136</v>
      </c>
      <c r="C275" s="77" t="s">
        <v>68</v>
      </c>
      <c r="D275" s="78"/>
      <c r="E275" s="79" t="e">
        <f>SUM(F270:F274)</f>
        <v>#REF!</v>
      </c>
      <c r="F275" s="79" t="e">
        <f t="shared" si="11"/>
        <v>#REF!</v>
      </c>
      <c r="J275" s="244"/>
      <c r="K275" s="244"/>
      <c r="L275" s="244"/>
      <c r="M275" s="3"/>
      <c r="N275" s="3"/>
      <c r="O275" s="64"/>
      <c r="P275" s="64"/>
      <c r="Q275" s="64"/>
      <c r="R275" s="64"/>
      <c r="S275" s="3"/>
      <c r="T275" s="3"/>
    </row>
    <row r="276" spans="1:20" s="2" customFormat="1">
      <c r="A276" s="529"/>
      <c r="B276" s="165" t="s">
        <v>11</v>
      </c>
      <c r="C276" s="77" t="s">
        <v>284</v>
      </c>
      <c r="D276" s="78">
        <v>0.03</v>
      </c>
      <c r="E276" s="79">
        <f>+F277</f>
        <v>24435.568625056028</v>
      </c>
      <c r="F276" s="79">
        <f>(D276*E276)</f>
        <v>733.06705875168086</v>
      </c>
      <c r="J276" s="244"/>
      <c r="K276" s="244"/>
      <c r="L276" s="244"/>
      <c r="M276" s="3"/>
      <c r="N276" s="3"/>
      <c r="O276" s="64"/>
      <c r="P276" s="64"/>
      <c r="Q276" s="64"/>
      <c r="R276" s="64"/>
      <c r="S276" s="3"/>
      <c r="T276" s="3"/>
    </row>
    <row r="277" spans="1:20" s="2" customFormat="1">
      <c r="A277" s="529"/>
      <c r="B277" s="165" t="s">
        <v>612</v>
      </c>
      <c r="C277" s="77" t="s">
        <v>10</v>
      </c>
      <c r="D277" s="78">
        <v>0.85</v>
      </c>
      <c r="E277" s="79">
        <f>+'VALOR CUADRILLAS MO'!D89</f>
        <v>28747.727794183564</v>
      </c>
      <c r="F277" s="79">
        <f>+D277*E277</f>
        <v>24435.568625056028</v>
      </c>
      <c r="J277" s="244"/>
      <c r="K277" s="244"/>
      <c r="L277" s="244"/>
      <c r="M277" s="3"/>
      <c r="N277" s="3"/>
      <c r="O277" s="64"/>
      <c r="P277" s="64"/>
      <c r="Q277" s="64"/>
      <c r="R277" s="64"/>
      <c r="S277" s="3"/>
      <c r="T277" s="3"/>
    </row>
    <row r="278" spans="1:20" s="2" customFormat="1">
      <c r="A278" s="529"/>
      <c r="B278" s="165"/>
      <c r="C278" s="77"/>
      <c r="D278" s="78"/>
      <c r="E278" s="79"/>
      <c r="F278" s="79"/>
      <c r="J278" s="244"/>
      <c r="K278" s="244"/>
      <c r="L278" s="244"/>
      <c r="M278" s="3"/>
      <c r="N278" s="3"/>
      <c r="O278" s="64"/>
      <c r="P278" s="64"/>
      <c r="Q278" s="64"/>
      <c r="R278" s="64"/>
      <c r="S278" s="3"/>
      <c r="T278" s="3"/>
    </row>
    <row r="279" spans="1:20" s="2" customFormat="1" ht="32.25" customHeight="1">
      <c r="A279" s="246">
        <f>+A269+1</f>
        <v>41</v>
      </c>
      <c r="B279" s="83" t="s">
        <v>776</v>
      </c>
      <c r="C279" s="76" t="s">
        <v>21</v>
      </c>
      <c r="D279" s="73"/>
      <c r="E279" s="74"/>
      <c r="F279" s="75" t="e">
        <f>ROUND(SUM(F280:F287),0)</f>
        <v>#REF!</v>
      </c>
      <c r="J279" s="244"/>
      <c r="K279" s="244"/>
      <c r="L279" s="244"/>
      <c r="M279" s="3"/>
      <c r="N279" s="3"/>
      <c r="O279" s="64"/>
      <c r="P279" s="64"/>
      <c r="Q279" s="64"/>
      <c r="R279" s="64"/>
      <c r="S279" s="3"/>
      <c r="T279" s="3"/>
    </row>
    <row r="280" spans="1:20" s="2" customFormat="1">
      <c r="A280" s="529"/>
      <c r="B280" s="165" t="s">
        <v>254</v>
      </c>
      <c r="C280" s="77" t="s">
        <v>21</v>
      </c>
      <c r="D280" s="78">
        <v>1</v>
      </c>
      <c r="E280" s="79">
        <f>+INSUMOS!D98</f>
        <v>276852.50833333336</v>
      </c>
      <c r="F280" s="79">
        <f t="shared" ref="F280:F285" si="12">+D280*E280</f>
        <v>276852.50833333336</v>
      </c>
      <c r="J280" s="244"/>
      <c r="K280" s="244"/>
      <c r="L280" s="244"/>
      <c r="M280" s="3"/>
      <c r="N280" s="249"/>
      <c r="O280" s="64"/>
      <c r="P280" s="64"/>
      <c r="Q280" s="64"/>
      <c r="R280" s="64"/>
      <c r="S280" s="3"/>
      <c r="T280" s="3"/>
    </row>
    <row r="281" spans="1:20" s="2" customFormat="1">
      <c r="A281" s="529"/>
      <c r="B281" s="165" t="s">
        <v>609</v>
      </c>
      <c r="C281" s="77" t="s">
        <v>26</v>
      </c>
      <c r="D281" s="78">
        <v>0.33</v>
      </c>
      <c r="E281" s="79" t="e">
        <f>INSUMOS!#REF!</f>
        <v>#REF!</v>
      </c>
      <c r="F281" s="79" t="e">
        <f t="shared" si="12"/>
        <v>#REF!</v>
      </c>
      <c r="J281" s="244"/>
      <c r="K281" s="244"/>
      <c r="L281" s="244"/>
      <c r="M281" s="3"/>
      <c r="N281" s="3"/>
      <c r="O281" s="64"/>
      <c r="P281" s="64"/>
      <c r="Q281" s="64"/>
      <c r="R281" s="64"/>
      <c r="S281" s="3"/>
      <c r="T281" s="3"/>
    </row>
    <row r="282" spans="1:20" s="2" customFormat="1">
      <c r="A282" s="529"/>
      <c r="B282" s="165" t="s">
        <v>610</v>
      </c>
      <c r="C282" s="77" t="s">
        <v>124</v>
      </c>
      <c r="D282" s="80">
        <v>2E-3</v>
      </c>
      <c r="E282" s="79" t="e">
        <f>INSUMOS!#REF!</f>
        <v>#REF!</v>
      </c>
      <c r="F282" s="79" t="e">
        <f t="shared" si="12"/>
        <v>#REF!</v>
      </c>
      <c r="J282" s="244"/>
      <c r="K282" s="244"/>
      <c r="L282" s="244"/>
      <c r="M282" s="3"/>
      <c r="N282" s="3"/>
      <c r="O282" s="64"/>
      <c r="P282" s="64"/>
      <c r="Q282" s="64"/>
      <c r="R282" s="64"/>
      <c r="S282" s="3"/>
      <c r="T282" s="3"/>
    </row>
    <row r="283" spans="1:20" s="2" customFormat="1">
      <c r="A283" s="529"/>
      <c r="B283" s="165" t="s">
        <v>611</v>
      </c>
      <c r="C283" s="77" t="s">
        <v>124</v>
      </c>
      <c r="D283" s="80">
        <v>2E-3</v>
      </c>
      <c r="E283" s="79" t="e">
        <f>INSUMOS!#REF!</f>
        <v>#REF!</v>
      </c>
      <c r="F283" s="79" t="e">
        <f t="shared" si="12"/>
        <v>#REF!</v>
      </c>
      <c r="J283" s="244"/>
      <c r="K283" s="244"/>
      <c r="L283" s="244"/>
      <c r="M283" s="3"/>
      <c r="N283" s="3"/>
      <c r="O283" s="64"/>
      <c r="P283" s="64"/>
      <c r="Q283" s="64"/>
      <c r="R283" s="64"/>
      <c r="S283" s="3"/>
      <c r="T283" s="3"/>
    </row>
    <row r="284" spans="1:20" s="2" customFormat="1">
      <c r="A284" s="529"/>
      <c r="B284" s="165" t="s">
        <v>229</v>
      </c>
      <c r="C284" s="77" t="s">
        <v>68</v>
      </c>
      <c r="D284" s="78">
        <v>0.05</v>
      </c>
      <c r="E284" s="79" t="e">
        <f>SUM(F280:F283)</f>
        <v>#REF!</v>
      </c>
      <c r="F284" s="79" t="e">
        <f t="shared" si="12"/>
        <v>#REF!</v>
      </c>
      <c r="J284" s="244"/>
      <c r="K284" s="244"/>
      <c r="L284" s="244"/>
      <c r="M284" s="3"/>
      <c r="N284" s="3"/>
      <c r="O284" s="64"/>
      <c r="P284" s="64"/>
      <c r="Q284" s="64"/>
      <c r="R284" s="64"/>
      <c r="S284" s="3"/>
      <c r="T284" s="3"/>
    </row>
    <row r="285" spans="1:20" s="2" customFormat="1">
      <c r="A285" s="529"/>
      <c r="B285" s="165" t="s">
        <v>136</v>
      </c>
      <c r="C285" s="77" t="s">
        <v>68</v>
      </c>
      <c r="D285" s="78"/>
      <c r="E285" s="79" t="e">
        <f>SUM(F280:F284)</f>
        <v>#REF!</v>
      </c>
      <c r="F285" s="79" t="e">
        <f t="shared" si="12"/>
        <v>#REF!</v>
      </c>
      <c r="J285" s="244"/>
      <c r="K285" s="244"/>
      <c r="L285" s="244"/>
      <c r="M285" s="3"/>
      <c r="N285" s="3"/>
      <c r="O285" s="64"/>
      <c r="P285" s="64"/>
      <c r="Q285" s="64"/>
      <c r="R285" s="64"/>
      <c r="S285" s="3"/>
      <c r="T285" s="3"/>
    </row>
    <row r="286" spans="1:20" s="2" customFormat="1">
      <c r="A286" s="529"/>
      <c r="B286" s="165" t="s">
        <v>11</v>
      </c>
      <c r="C286" s="77" t="s">
        <v>284</v>
      </c>
      <c r="D286" s="78">
        <v>0.03</v>
      </c>
      <c r="E286" s="79">
        <f>+F287</f>
        <v>25872.955014765208</v>
      </c>
      <c r="F286" s="79">
        <f>(D286*E286)</f>
        <v>776.18865044295626</v>
      </c>
      <c r="J286" s="244"/>
      <c r="K286" s="244"/>
      <c r="L286" s="244"/>
      <c r="M286" s="3"/>
      <c r="N286" s="3"/>
      <c r="O286" s="64"/>
      <c r="P286" s="64"/>
      <c r="Q286" s="64"/>
      <c r="R286" s="64"/>
      <c r="S286" s="3"/>
      <c r="T286" s="3"/>
    </row>
    <row r="287" spans="1:20" s="2" customFormat="1">
      <c r="A287" s="529"/>
      <c r="B287" s="165" t="s">
        <v>612</v>
      </c>
      <c r="C287" s="77" t="s">
        <v>10</v>
      </c>
      <c r="D287" s="78">
        <v>0.9</v>
      </c>
      <c r="E287" s="79">
        <f>+'VALOR CUADRILLAS MO'!D89</f>
        <v>28747.727794183564</v>
      </c>
      <c r="F287" s="79">
        <f>+D287*E287</f>
        <v>25872.955014765208</v>
      </c>
      <c r="J287" s="244"/>
      <c r="K287" s="244"/>
      <c r="L287" s="244"/>
      <c r="M287" s="3"/>
      <c r="N287" s="3"/>
      <c r="O287" s="64"/>
      <c r="P287" s="64"/>
      <c r="Q287" s="64"/>
      <c r="R287" s="64"/>
      <c r="S287" s="3"/>
      <c r="T287" s="3"/>
    </row>
    <row r="288" spans="1:20" s="2" customFormat="1">
      <c r="A288" s="529"/>
      <c r="B288" s="165"/>
      <c r="C288" s="77"/>
      <c r="D288" s="78"/>
      <c r="E288" s="79"/>
      <c r="F288" s="79"/>
      <c r="J288" s="244"/>
      <c r="K288" s="244"/>
      <c r="L288" s="244"/>
      <c r="M288" s="3"/>
      <c r="N288" s="3"/>
      <c r="O288" s="64"/>
      <c r="P288" s="64"/>
      <c r="Q288" s="64"/>
      <c r="R288" s="64"/>
      <c r="S288" s="3"/>
      <c r="T288" s="3"/>
    </row>
    <row r="289" spans="1:20" s="2" customFormat="1" ht="19.5" customHeight="1">
      <c r="A289" s="246">
        <f>+A279+1</f>
        <v>42</v>
      </c>
      <c r="B289" s="83" t="s">
        <v>757</v>
      </c>
      <c r="C289" s="76" t="s">
        <v>21</v>
      </c>
      <c r="D289" s="73"/>
      <c r="E289" s="74"/>
      <c r="F289" s="75" t="e">
        <f>ROUND(SUM(F290:F298),0)</f>
        <v>#REF!</v>
      </c>
      <c r="J289" s="244"/>
      <c r="K289" s="244"/>
      <c r="L289" s="244"/>
      <c r="M289" s="3"/>
      <c r="N289" s="3"/>
      <c r="O289" s="64"/>
      <c r="P289" s="64"/>
      <c r="Q289" s="64"/>
      <c r="R289" s="64"/>
      <c r="S289" s="3"/>
      <c r="T289" s="3"/>
    </row>
    <row r="290" spans="1:20" s="2" customFormat="1">
      <c r="A290" s="529"/>
      <c r="B290" s="165" t="s">
        <v>555</v>
      </c>
      <c r="C290" s="77" t="s">
        <v>21</v>
      </c>
      <c r="D290" s="78">
        <v>1</v>
      </c>
      <c r="E290" s="79">
        <f>+INSUMOS!D99</f>
        <v>587432.88153846154</v>
      </c>
      <c r="F290" s="79">
        <f t="shared" ref="F290:F296" si="13">+D290*E290</f>
        <v>587432.88153846154</v>
      </c>
      <c r="J290" s="244"/>
      <c r="K290" s="244"/>
      <c r="L290" s="244"/>
      <c r="M290" s="3"/>
      <c r="N290" s="3"/>
      <c r="O290" s="64"/>
      <c r="P290" s="64"/>
      <c r="Q290" s="64"/>
      <c r="R290" s="64"/>
      <c r="S290" s="3"/>
      <c r="T290" s="3"/>
    </row>
    <row r="291" spans="1:20" s="2" customFormat="1">
      <c r="A291" s="529"/>
      <c r="B291" s="165" t="s">
        <v>609</v>
      </c>
      <c r="C291" s="77" t="s">
        <v>26</v>
      </c>
      <c r="D291" s="78">
        <v>0.33</v>
      </c>
      <c r="E291" s="79" t="e">
        <f>INSUMOS!#REF!</f>
        <v>#REF!</v>
      </c>
      <c r="F291" s="79" t="e">
        <f t="shared" si="13"/>
        <v>#REF!</v>
      </c>
      <c r="J291" s="244"/>
      <c r="K291" s="244"/>
      <c r="L291" s="244"/>
      <c r="M291" s="3"/>
      <c r="N291" s="3"/>
      <c r="O291" s="64"/>
      <c r="P291" s="64"/>
      <c r="Q291" s="64"/>
      <c r="R291" s="64"/>
      <c r="S291" s="3"/>
      <c r="T291" s="3"/>
    </row>
    <row r="292" spans="1:20" s="2" customFormat="1">
      <c r="A292" s="529"/>
      <c r="B292" s="165" t="s">
        <v>610</v>
      </c>
      <c r="C292" s="77" t="s">
        <v>124</v>
      </c>
      <c r="D292" s="80">
        <v>2E-3</v>
      </c>
      <c r="E292" s="79" t="e">
        <f>INSUMOS!#REF!</f>
        <v>#REF!</v>
      </c>
      <c r="F292" s="79" t="e">
        <f t="shared" si="13"/>
        <v>#REF!</v>
      </c>
      <c r="J292" s="244"/>
      <c r="K292" s="244"/>
      <c r="L292" s="244"/>
      <c r="M292" s="3"/>
      <c r="N292" s="3"/>
      <c r="O292" s="64"/>
      <c r="P292" s="64"/>
      <c r="Q292" s="64"/>
      <c r="R292" s="64"/>
      <c r="S292" s="3"/>
      <c r="T292" s="3"/>
    </row>
    <row r="293" spans="1:20" s="2" customFormat="1">
      <c r="A293" s="529"/>
      <c r="B293" s="165" t="s">
        <v>611</v>
      </c>
      <c r="C293" s="77" t="s">
        <v>124</v>
      </c>
      <c r="D293" s="80">
        <v>2E-3</v>
      </c>
      <c r="E293" s="79" t="e">
        <f>INSUMOS!#REF!</f>
        <v>#REF!</v>
      </c>
      <c r="F293" s="79" t="e">
        <f t="shared" si="13"/>
        <v>#REF!</v>
      </c>
      <c r="J293" s="244"/>
      <c r="K293" s="244"/>
      <c r="L293" s="244"/>
      <c r="M293" s="3"/>
      <c r="N293" s="3"/>
      <c r="O293" s="64"/>
      <c r="P293" s="64"/>
      <c r="Q293" s="64"/>
      <c r="R293" s="64"/>
      <c r="S293" s="3"/>
      <c r="T293" s="3"/>
    </row>
    <row r="294" spans="1:20" s="2" customFormat="1">
      <c r="A294" s="529"/>
      <c r="B294" s="165" t="s">
        <v>229</v>
      </c>
      <c r="C294" s="77" t="s">
        <v>68</v>
      </c>
      <c r="D294" s="78">
        <v>0.05</v>
      </c>
      <c r="E294" s="79" t="e">
        <f>F290+F292+F293</f>
        <v>#REF!</v>
      </c>
      <c r="F294" s="79" t="e">
        <f t="shared" si="13"/>
        <v>#REF!</v>
      </c>
      <c r="J294" s="244"/>
      <c r="K294" s="244"/>
      <c r="L294" s="244"/>
      <c r="M294" s="3"/>
      <c r="N294" s="3"/>
      <c r="O294" s="64"/>
      <c r="P294" s="64"/>
      <c r="Q294" s="64"/>
      <c r="R294" s="64"/>
      <c r="S294" s="3"/>
      <c r="T294" s="3"/>
    </row>
    <row r="295" spans="1:20" s="2" customFormat="1">
      <c r="A295" s="529"/>
      <c r="B295" s="165" t="s">
        <v>136</v>
      </c>
      <c r="C295" s="77" t="s">
        <v>68</v>
      </c>
      <c r="D295" s="78"/>
      <c r="E295" s="79" t="e">
        <f>SUM(F290:F294)</f>
        <v>#REF!</v>
      </c>
      <c r="F295" s="79" t="e">
        <f t="shared" si="13"/>
        <v>#REF!</v>
      </c>
      <c r="J295" s="244"/>
      <c r="K295" s="244"/>
      <c r="L295" s="244"/>
      <c r="M295" s="3"/>
      <c r="N295" s="3"/>
      <c r="O295" s="64"/>
      <c r="P295" s="64"/>
      <c r="Q295" s="64"/>
      <c r="R295" s="64"/>
      <c r="S295" s="3"/>
      <c r="T295" s="3"/>
    </row>
    <row r="296" spans="1:20" s="2" customFormat="1" ht="25.5">
      <c r="A296" s="529"/>
      <c r="B296" s="165" t="str">
        <f>+INSUMOS!B34</f>
        <v>RETROEXCAVADORA SOBRE LLANTAS, MOTOR 62HP, PROFUNDIDAD DE EXCAVACIÓN DE 5.41 METROS.</v>
      </c>
      <c r="C296" s="77" t="s">
        <v>8</v>
      </c>
      <c r="D296" s="78">
        <v>0.03</v>
      </c>
      <c r="E296" s="79">
        <f>+INSUMOS!D34</f>
        <v>193073</v>
      </c>
      <c r="F296" s="79">
        <f t="shared" si="13"/>
        <v>5792.19</v>
      </c>
      <c r="J296" s="244"/>
      <c r="K296" s="244"/>
      <c r="L296" s="244"/>
      <c r="M296" s="3"/>
      <c r="N296" s="3"/>
      <c r="O296" s="64"/>
      <c r="P296" s="64"/>
      <c r="Q296" s="64"/>
      <c r="R296" s="64"/>
      <c r="S296" s="3"/>
      <c r="T296" s="3"/>
    </row>
    <row r="297" spans="1:20" s="2" customFormat="1">
      <c r="A297" s="529"/>
      <c r="B297" s="165" t="s">
        <v>11</v>
      </c>
      <c r="C297" s="77" t="s">
        <v>284</v>
      </c>
      <c r="D297" s="78">
        <v>0.03</v>
      </c>
      <c r="E297" s="79">
        <f>+F298</f>
        <v>27310.341404474384</v>
      </c>
      <c r="F297" s="79">
        <f>(D297*E297)</f>
        <v>819.31024213423154</v>
      </c>
      <c r="J297" s="244"/>
      <c r="K297" s="244"/>
      <c r="L297" s="244"/>
      <c r="M297" s="3"/>
      <c r="N297" s="3"/>
      <c r="O297" s="64"/>
      <c r="P297" s="64"/>
      <c r="Q297" s="64"/>
      <c r="R297" s="64"/>
      <c r="S297" s="3"/>
      <c r="T297" s="3"/>
    </row>
    <row r="298" spans="1:20" s="2" customFormat="1">
      <c r="A298" s="529"/>
      <c r="B298" s="165" t="s">
        <v>612</v>
      </c>
      <c r="C298" s="77" t="s">
        <v>10</v>
      </c>
      <c r="D298" s="78">
        <v>0.95</v>
      </c>
      <c r="E298" s="79">
        <f>+'VALOR CUADRILLAS MO'!D89</f>
        <v>28747.727794183564</v>
      </c>
      <c r="F298" s="79">
        <f>+D298*E298</f>
        <v>27310.341404474384</v>
      </c>
      <c r="J298" s="244"/>
      <c r="K298" s="244"/>
      <c r="L298" s="244"/>
      <c r="M298" s="3"/>
      <c r="N298" s="3"/>
      <c r="O298" s="64"/>
      <c r="P298" s="64"/>
      <c r="Q298" s="64"/>
      <c r="R298" s="64"/>
      <c r="S298" s="3"/>
      <c r="T298" s="3"/>
    </row>
    <row r="299" spans="1:20" s="2" customFormat="1">
      <c r="A299" s="529"/>
      <c r="B299" s="165"/>
      <c r="C299" s="77"/>
      <c r="D299" s="78"/>
      <c r="E299" s="79"/>
      <c r="F299" s="79"/>
      <c r="J299" s="244"/>
      <c r="K299" s="244"/>
      <c r="L299" s="244"/>
      <c r="M299" s="3"/>
      <c r="N299" s="3"/>
      <c r="O299" s="64"/>
      <c r="P299" s="64"/>
      <c r="Q299" s="64"/>
      <c r="R299" s="64"/>
      <c r="S299" s="3"/>
      <c r="T299" s="3"/>
    </row>
    <row r="300" spans="1:20" s="2" customFormat="1" ht="21.75" customHeight="1">
      <c r="A300" s="246">
        <f>+A289+1</f>
        <v>43</v>
      </c>
      <c r="B300" s="83" t="s">
        <v>2959</v>
      </c>
      <c r="C300" s="76" t="s">
        <v>21</v>
      </c>
      <c r="D300" s="73"/>
      <c r="E300" s="74"/>
      <c r="F300" s="75" t="e">
        <f>ROUND(SUM(F301:F309),0)</f>
        <v>#REF!</v>
      </c>
      <c r="J300" s="244"/>
      <c r="K300" s="244"/>
      <c r="L300" s="244"/>
      <c r="M300" s="3"/>
      <c r="N300" s="3"/>
      <c r="O300" s="64"/>
      <c r="P300" s="64"/>
      <c r="Q300" s="64"/>
      <c r="R300" s="64"/>
      <c r="S300" s="3"/>
      <c r="T300" s="3"/>
    </row>
    <row r="301" spans="1:20" s="2" customFormat="1">
      <c r="A301" s="529"/>
      <c r="B301" s="165" t="s">
        <v>554</v>
      </c>
      <c r="C301" s="77" t="s">
        <v>21</v>
      </c>
      <c r="D301" s="78">
        <v>1</v>
      </c>
      <c r="E301" s="79" t="e">
        <f>+INSUMOS!#REF!</f>
        <v>#REF!</v>
      </c>
      <c r="F301" s="79" t="e">
        <f t="shared" ref="F301:F307" si="14">+D301*E301</f>
        <v>#REF!</v>
      </c>
      <c r="J301" s="244"/>
      <c r="K301" s="244"/>
      <c r="L301" s="244"/>
      <c r="M301" s="3"/>
      <c r="N301" s="3"/>
      <c r="O301" s="64"/>
      <c r="P301" s="64"/>
      <c r="Q301" s="64"/>
      <c r="R301" s="64"/>
      <c r="S301" s="3"/>
      <c r="T301" s="3"/>
    </row>
    <row r="302" spans="1:20" s="2" customFormat="1">
      <c r="A302" s="529"/>
      <c r="B302" s="165" t="s">
        <v>609</v>
      </c>
      <c r="C302" s="77" t="s">
        <v>26</v>
      </c>
      <c r="D302" s="78">
        <v>0.33</v>
      </c>
      <c r="E302" s="79" t="e">
        <f>INSUMOS!#REF!</f>
        <v>#REF!</v>
      </c>
      <c r="F302" s="79" t="e">
        <f t="shared" si="14"/>
        <v>#REF!</v>
      </c>
      <c r="J302" s="244"/>
      <c r="K302" s="244"/>
      <c r="L302" s="244"/>
      <c r="M302" s="3"/>
      <c r="N302" s="3"/>
      <c r="O302" s="64"/>
      <c r="P302" s="64"/>
      <c r="Q302" s="64"/>
      <c r="R302" s="64"/>
      <c r="S302" s="3"/>
      <c r="T302" s="3"/>
    </row>
    <row r="303" spans="1:20" s="2" customFormat="1">
      <c r="A303" s="529"/>
      <c r="B303" s="165" t="s">
        <v>610</v>
      </c>
      <c r="C303" s="77" t="s">
        <v>124</v>
      </c>
      <c r="D303" s="80">
        <v>2E-3</v>
      </c>
      <c r="E303" s="79" t="e">
        <f>INSUMOS!#REF!</f>
        <v>#REF!</v>
      </c>
      <c r="F303" s="79" t="e">
        <f t="shared" si="14"/>
        <v>#REF!</v>
      </c>
      <c r="J303" s="244"/>
      <c r="K303" s="244"/>
      <c r="L303" s="244"/>
      <c r="M303" s="3"/>
      <c r="N303" s="3"/>
      <c r="O303" s="64"/>
      <c r="P303" s="64"/>
      <c r="Q303" s="64"/>
      <c r="R303" s="64"/>
      <c r="S303" s="3"/>
      <c r="T303" s="3"/>
    </row>
    <row r="304" spans="1:20" s="2" customFormat="1">
      <c r="A304" s="529"/>
      <c r="B304" s="165" t="s">
        <v>611</v>
      </c>
      <c r="C304" s="77" t="s">
        <v>124</v>
      </c>
      <c r="D304" s="80">
        <v>2E-3</v>
      </c>
      <c r="E304" s="79" t="e">
        <f>INSUMOS!#REF!</f>
        <v>#REF!</v>
      </c>
      <c r="F304" s="79" t="e">
        <f t="shared" si="14"/>
        <v>#REF!</v>
      </c>
      <c r="J304" s="244"/>
      <c r="K304" s="244"/>
      <c r="L304" s="244"/>
      <c r="M304" s="3"/>
      <c r="N304" s="3"/>
      <c r="O304" s="64"/>
      <c r="P304" s="64"/>
      <c r="Q304" s="64"/>
      <c r="R304" s="64"/>
      <c r="S304" s="3"/>
      <c r="T304" s="3"/>
    </row>
    <row r="305" spans="1:20" s="2" customFormat="1">
      <c r="A305" s="529"/>
      <c r="B305" s="165" t="s">
        <v>229</v>
      </c>
      <c r="C305" s="77" t="s">
        <v>68</v>
      </c>
      <c r="D305" s="78">
        <v>0.05</v>
      </c>
      <c r="E305" s="79" t="e">
        <f>F301+F303+F304</f>
        <v>#REF!</v>
      </c>
      <c r="F305" s="79" t="e">
        <f t="shared" si="14"/>
        <v>#REF!</v>
      </c>
      <c r="J305" s="244"/>
      <c r="K305" s="244"/>
      <c r="L305" s="244"/>
      <c r="M305" s="3"/>
      <c r="N305" s="3"/>
      <c r="O305" s="64"/>
      <c r="P305" s="64"/>
      <c r="Q305" s="64"/>
      <c r="R305" s="64"/>
      <c r="S305" s="3"/>
      <c r="T305" s="3"/>
    </row>
    <row r="306" spans="1:20" s="2" customFormat="1">
      <c r="A306" s="529"/>
      <c r="B306" s="165" t="s">
        <v>136</v>
      </c>
      <c r="C306" s="77" t="s">
        <v>68</v>
      </c>
      <c r="D306" s="78"/>
      <c r="E306" s="79" t="e">
        <f>SUM(F301:F305)</f>
        <v>#REF!</v>
      </c>
      <c r="F306" s="79" t="e">
        <f t="shared" si="14"/>
        <v>#REF!</v>
      </c>
      <c r="J306" s="244"/>
      <c r="K306" s="244"/>
      <c r="L306" s="244"/>
      <c r="M306" s="3"/>
      <c r="N306" s="3"/>
      <c r="O306" s="64"/>
      <c r="P306" s="64"/>
      <c r="Q306" s="64"/>
      <c r="R306" s="64"/>
      <c r="S306" s="3"/>
      <c r="T306" s="3"/>
    </row>
    <row r="307" spans="1:20" s="2" customFormat="1" ht="25.5">
      <c r="A307" s="529"/>
      <c r="B307" s="165" t="str">
        <f>+INSUMOS!B34</f>
        <v>RETROEXCAVADORA SOBRE LLANTAS, MOTOR 62HP, PROFUNDIDAD DE EXCAVACIÓN DE 5.41 METROS.</v>
      </c>
      <c r="C307" s="77" t="s">
        <v>8</v>
      </c>
      <c r="D307" s="78">
        <v>0.03</v>
      </c>
      <c r="E307" s="79">
        <f>+INSUMOS!D34</f>
        <v>193073</v>
      </c>
      <c r="F307" s="79">
        <f t="shared" si="14"/>
        <v>5792.19</v>
      </c>
      <c r="J307" s="244"/>
      <c r="K307" s="244"/>
      <c r="L307" s="244"/>
      <c r="M307" s="3"/>
      <c r="N307" s="3"/>
      <c r="O307" s="64"/>
      <c r="P307" s="64"/>
      <c r="Q307" s="64"/>
      <c r="R307" s="64"/>
      <c r="S307" s="3"/>
      <c r="T307" s="3"/>
    </row>
    <row r="308" spans="1:20" s="2" customFormat="1">
      <c r="A308" s="529"/>
      <c r="B308" s="165" t="s">
        <v>11</v>
      </c>
      <c r="C308" s="77" t="s">
        <v>284</v>
      </c>
      <c r="D308" s="78">
        <v>0.03</v>
      </c>
      <c r="E308" s="79">
        <f>+F309</f>
        <v>35934.659742729455</v>
      </c>
      <c r="F308" s="79">
        <f>(D308*E308)</f>
        <v>1078.0397922818836</v>
      </c>
      <c r="J308" s="244"/>
      <c r="K308" s="244"/>
      <c r="L308" s="244"/>
      <c r="M308" s="3"/>
      <c r="N308" s="3"/>
      <c r="O308" s="64"/>
      <c r="P308" s="64"/>
      <c r="Q308" s="64"/>
      <c r="R308" s="64"/>
      <c r="S308" s="3"/>
      <c r="T308" s="3"/>
    </row>
    <row r="309" spans="1:20" s="2" customFormat="1">
      <c r="A309" s="529"/>
      <c r="B309" s="165" t="s">
        <v>612</v>
      </c>
      <c r="C309" s="77" t="s">
        <v>10</v>
      </c>
      <c r="D309" s="78">
        <v>1.25</v>
      </c>
      <c r="E309" s="79">
        <f>+'VALOR CUADRILLAS MO'!D89</f>
        <v>28747.727794183564</v>
      </c>
      <c r="F309" s="79">
        <f>+D309*E309</f>
        <v>35934.659742729455</v>
      </c>
      <c r="J309" s="244"/>
      <c r="K309" s="244"/>
      <c r="L309" s="244"/>
      <c r="M309" s="3"/>
      <c r="N309" s="3"/>
      <c r="O309" s="64"/>
      <c r="P309" s="64"/>
      <c r="Q309" s="64"/>
      <c r="R309" s="64"/>
      <c r="S309" s="3"/>
      <c r="T309" s="3"/>
    </row>
    <row r="310" spans="1:20" s="2" customFormat="1">
      <c r="A310" s="529"/>
      <c r="B310" s="165"/>
      <c r="C310" s="77"/>
      <c r="D310" s="78"/>
      <c r="E310" s="79"/>
      <c r="F310" s="79"/>
      <c r="J310" s="244"/>
      <c r="K310" s="244"/>
      <c r="L310" s="244"/>
      <c r="M310" s="3"/>
      <c r="N310" s="3"/>
      <c r="O310" s="64"/>
      <c r="P310" s="64"/>
      <c r="Q310" s="64"/>
      <c r="R310" s="64"/>
      <c r="S310" s="3"/>
      <c r="T310" s="3"/>
    </row>
    <row r="311" spans="1:20" s="2" customFormat="1" ht="28.15" customHeight="1">
      <c r="A311" s="246">
        <f>+A300+1</f>
        <v>44</v>
      </c>
      <c r="B311" s="83" t="s">
        <v>2960</v>
      </c>
      <c r="C311" s="76" t="s">
        <v>21</v>
      </c>
      <c r="D311" s="73"/>
      <c r="E311" s="74"/>
      <c r="F311" s="75" t="e">
        <f>ROUND(SUM(F312:F320),0)</f>
        <v>#REF!</v>
      </c>
      <c r="J311" s="244"/>
      <c r="K311" s="244"/>
      <c r="L311" s="244"/>
      <c r="M311" s="3"/>
      <c r="N311" s="3"/>
      <c r="O311" s="64"/>
      <c r="P311" s="64"/>
      <c r="Q311" s="64"/>
      <c r="R311" s="64"/>
      <c r="S311" s="3"/>
      <c r="T311" s="3"/>
    </row>
    <row r="312" spans="1:20" s="2" customFormat="1">
      <c r="A312" s="529"/>
      <c r="B312" s="165" t="s">
        <v>553</v>
      </c>
      <c r="C312" s="77" t="s">
        <v>21</v>
      </c>
      <c r="D312" s="78">
        <v>1</v>
      </c>
      <c r="E312" s="79" t="e">
        <f>+INSUMOS!#REF!</f>
        <v>#REF!</v>
      </c>
      <c r="F312" s="79" t="e">
        <f t="shared" ref="F312:F318" si="15">+D312*E312</f>
        <v>#REF!</v>
      </c>
      <c r="J312" s="244"/>
      <c r="K312" s="244"/>
      <c r="L312" s="244"/>
      <c r="M312" s="3"/>
      <c r="N312" s="3"/>
      <c r="O312" s="64"/>
      <c r="P312" s="64"/>
      <c r="Q312" s="64"/>
      <c r="R312" s="64"/>
      <c r="S312" s="3"/>
      <c r="T312" s="3"/>
    </row>
    <row r="313" spans="1:20" s="2" customFormat="1">
      <c r="A313" s="529"/>
      <c r="B313" s="165" t="s">
        <v>609</v>
      </c>
      <c r="C313" s="77" t="s">
        <v>26</v>
      </c>
      <c r="D313" s="78">
        <v>0.33</v>
      </c>
      <c r="E313" s="79" t="e">
        <f>INSUMOS!#REF!</f>
        <v>#REF!</v>
      </c>
      <c r="F313" s="79" t="e">
        <f t="shared" si="15"/>
        <v>#REF!</v>
      </c>
      <c r="J313" s="244"/>
      <c r="K313" s="244"/>
      <c r="L313" s="244"/>
      <c r="M313" s="3"/>
      <c r="N313" s="3"/>
      <c r="O313" s="64"/>
      <c r="P313" s="64"/>
      <c r="Q313" s="64"/>
      <c r="R313" s="64"/>
      <c r="S313" s="3"/>
      <c r="T313" s="3"/>
    </row>
    <row r="314" spans="1:20" s="2" customFormat="1">
      <c r="A314" s="529"/>
      <c r="B314" s="165" t="s">
        <v>610</v>
      </c>
      <c r="C314" s="77" t="s">
        <v>124</v>
      </c>
      <c r="D314" s="80">
        <v>2E-3</v>
      </c>
      <c r="E314" s="79" t="e">
        <f>INSUMOS!#REF!</f>
        <v>#REF!</v>
      </c>
      <c r="F314" s="79" t="e">
        <f t="shared" si="15"/>
        <v>#REF!</v>
      </c>
      <c r="J314" s="244"/>
      <c r="K314" s="244"/>
      <c r="L314" s="244"/>
      <c r="M314" s="3"/>
      <c r="N314" s="3"/>
      <c r="O314" s="64"/>
      <c r="P314" s="64"/>
      <c r="Q314" s="64"/>
      <c r="R314" s="64"/>
      <c r="S314" s="3"/>
      <c r="T314" s="3"/>
    </row>
    <row r="315" spans="1:20" s="2" customFormat="1">
      <c r="A315" s="529"/>
      <c r="B315" s="165" t="s">
        <v>611</v>
      </c>
      <c r="C315" s="77" t="s">
        <v>124</v>
      </c>
      <c r="D315" s="80">
        <v>2E-3</v>
      </c>
      <c r="E315" s="79" t="e">
        <f>INSUMOS!#REF!</f>
        <v>#REF!</v>
      </c>
      <c r="F315" s="79" t="e">
        <f t="shared" si="15"/>
        <v>#REF!</v>
      </c>
      <c r="J315" s="244"/>
      <c r="K315" s="244"/>
      <c r="L315" s="244"/>
      <c r="M315" s="3"/>
      <c r="N315" s="3"/>
      <c r="O315" s="64"/>
      <c r="P315" s="64"/>
      <c r="Q315" s="64"/>
      <c r="R315" s="64"/>
      <c r="S315" s="3"/>
      <c r="T315" s="3"/>
    </row>
    <row r="316" spans="1:20" s="2" customFormat="1">
      <c r="A316" s="529"/>
      <c r="B316" s="165" t="s">
        <v>229</v>
      </c>
      <c r="C316" s="77" t="s">
        <v>68</v>
      </c>
      <c r="D316" s="78">
        <v>0.05</v>
      </c>
      <c r="E316" s="79" t="e">
        <f>SUM(F312:F315)</f>
        <v>#REF!</v>
      </c>
      <c r="F316" s="79" t="e">
        <f t="shared" si="15"/>
        <v>#REF!</v>
      </c>
      <c r="J316" s="244"/>
      <c r="K316" s="244"/>
      <c r="L316" s="244"/>
      <c r="M316" s="3"/>
      <c r="N316" s="3"/>
      <c r="O316" s="64"/>
      <c r="P316" s="64"/>
      <c r="Q316" s="64"/>
      <c r="R316" s="64"/>
      <c r="S316" s="3"/>
      <c r="T316" s="3"/>
    </row>
    <row r="317" spans="1:20" s="2" customFormat="1">
      <c r="A317" s="529"/>
      <c r="B317" s="165" t="s">
        <v>136</v>
      </c>
      <c r="C317" s="77" t="s">
        <v>68</v>
      </c>
      <c r="D317" s="78"/>
      <c r="E317" s="79" t="e">
        <f>SUM(F312:F316)</f>
        <v>#REF!</v>
      </c>
      <c r="F317" s="79" t="e">
        <f t="shared" si="15"/>
        <v>#REF!</v>
      </c>
      <c r="J317" s="244"/>
      <c r="K317" s="244"/>
      <c r="L317" s="244"/>
      <c r="M317" s="3"/>
      <c r="N317" s="3"/>
      <c r="O317" s="64"/>
      <c r="P317" s="64"/>
      <c r="Q317" s="64"/>
      <c r="R317" s="64"/>
      <c r="S317" s="3"/>
      <c r="T317" s="3"/>
    </row>
    <row r="318" spans="1:20" s="2" customFormat="1" ht="25.5">
      <c r="A318" s="529"/>
      <c r="B318" s="165" t="str">
        <f>+INSUMOS!B34</f>
        <v>RETROEXCAVADORA SOBRE LLANTAS, MOTOR 62HP, PROFUNDIDAD DE EXCAVACIÓN DE 5.41 METROS.</v>
      </c>
      <c r="C318" s="77" t="s">
        <v>8</v>
      </c>
      <c r="D318" s="78">
        <v>0.03</v>
      </c>
      <c r="E318" s="79">
        <f>+INSUMOS!D34</f>
        <v>193073</v>
      </c>
      <c r="F318" s="79">
        <f t="shared" si="15"/>
        <v>5792.19</v>
      </c>
      <c r="J318" s="244"/>
      <c r="K318" s="244"/>
      <c r="L318" s="244"/>
      <c r="M318" s="3"/>
      <c r="N318" s="3"/>
      <c r="O318" s="64"/>
      <c r="P318" s="64"/>
      <c r="Q318" s="64"/>
      <c r="R318" s="64"/>
      <c r="S318" s="3"/>
      <c r="T318" s="3"/>
    </row>
    <row r="319" spans="1:20" s="2" customFormat="1">
      <c r="A319" s="529"/>
      <c r="B319" s="165" t="s">
        <v>11</v>
      </c>
      <c r="C319" s="77" t="s">
        <v>284</v>
      </c>
      <c r="D319" s="78">
        <v>0.03</v>
      </c>
      <c r="E319" s="79">
        <f>+F320</f>
        <v>47433.750860402877</v>
      </c>
      <c r="F319" s="79">
        <f>(D319*E319)</f>
        <v>1423.0125258120863</v>
      </c>
      <c r="J319" s="244"/>
      <c r="K319" s="244"/>
      <c r="L319" s="244"/>
      <c r="M319" s="3"/>
      <c r="N319" s="3"/>
      <c r="O319" s="64"/>
      <c r="P319" s="64"/>
      <c r="Q319" s="64"/>
      <c r="R319" s="64"/>
      <c r="S319" s="3"/>
      <c r="T319" s="3"/>
    </row>
    <row r="320" spans="1:20" s="2" customFormat="1">
      <c r="A320" s="529"/>
      <c r="B320" s="165" t="s">
        <v>612</v>
      </c>
      <c r="C320" s="77" t="s">
        <v>10</v>
      </c>
      <c r="D320" s="78">
        <v>1.65</v>
      </c>
      <c r="E320" s="79">
        <f>+'VALOR CUADRILLAS MO'!D89</f>
        <v>28747.727794183564</v>
      </c>
      <c r="F320" s="79">
        <f>+D320*E320</f>
        <v>47433.750860402877</v>
      </c>
      <c r="J320" s="244"/>
      <c r="K320" s="244"/>
      <c r="L320" s="244"/>
      <c r="M320" s="3"/>
      <c r="N320" s="3"/>
      <c r="O320" s="64"/>
      <c r="P320" s="64"/>
      <c r="Q320" s="64"/>
      <c r="R320" s="64"/>
      <c r="S320" s="3"/>
      <c r="T320" s="3"/>
    </row>
    <row r="321" spans="1:20" s="2" customFormat="1">
      <c r="A321" s="529"/>
      <c r="B321" s="165"/>
      <c r="C321" s="77"/>
      <c r="D321" s="78"/>
      <c r="E321" s="79"/>
      <c r="F321" s="79"/>
      <c r="J321" s="244"/>
      <c r="K321" s="244"/>
      <c r="L321" s="244"/>
      <c r="M321" s="3"/>
      <c r="N321" s="3"/>
      <c r="O321" s="64"/>
      <c r="P321" s="64"/>
      <c r="Q321" s="64"/>
      <c r="R321" s="64"/>
      <c r="S321" s="3"/>
      <c r="T321" s="3"/>
    </row>
    <row r="322" spans="1:20" s="2" customFormat="1" ht="34.15" customHeight="1">
      <c r="A322" s="246">
        <f>+A311+1</f>
        <v>45</v>
      </c>
      <c r="B322" s="83" t="s">
        <v>2961</v>
      </c>
      <c r="C322" s="76" t="s">
        <v>21</v>
      </c>
      <c r="D322" s="73"/>
      <c r="E322" s="74"/>
      <c r="F322" s="75" t="e">
        <f>ROUND(SUM(F323:F331),0)</f>
        <v>#REF!</v>
      </c>
      <c r="J322" s="244"/>
      <c r="K322" s="244"/>
      <c r="L322" s="244"/>
      <c r="M322" s="3"/>
      <c r="N322" s="3"/>
      <c r="O322" s="64"/>
      <c r="P322" s="64"/>
      <c r="Q322" s="64"/>
      <c r="R322" s="64"/>
      <c r="S322" s="3"/>
      <c r="T322" s="3"/>
    </row>
    <row r="323" spans="1:20" s="2" customFormat="1">
      <c r="A323" s="529"/>
      <c r="B323" s="165" t="s">
        <v>552</v>
      </c>
      <c r="C323" s="77" t="s">
        <v>21</v>
      </c>
      <c r="D323" s="78">
        <v>1</v>
      </c>
      <c r="E323" s="79" t="e">
        <f>+INSUMOS!#REF!</f>
        <v>#REF!</v>
      </c>
      <c r="F323" s="79" t="e">
        <f t="shared" ref="F323:F329" si="16">+D323*E323</f>
        <v>#REF!</v>
      </c>
      <c r="J323" s="244"/>
      <c r="K323" s="244"/>
      <c r="L323" s="244"/>
      <c r="M323" s="3"/>
      <c r="N323" s="3"/>
      <c r="O323" s="64"/>
      <c r="P323" s="64"/>
      <c r="Q323" s="64"/>
      <c r="R323" s="64"/>
      <c r="S323" s="3"/>
      <c r="T323" s="3"/>
    </row>
    <row r="324" spans="1:20" s="2" customFormat="1">
      <c r="A324" s="529"/>
      <c r="B324" s="165" t="s">
        <v>609</v>
      </c>
      <c r="C324" s="77" t="s">
        <v>26</v>
      </c>
      <c r="D324" s="78">
        <v>0.33</v>
      </c>
      <c r="E324" s="79" t="e">
        <f>INSUMOS!#REF!</f>
        <v>#REF!</v>
      </c>
      <c r="F324" s="79" t="e">
        <f t="shared" si="16"/>
        <v>#REF!</v>
      </c>
      <c r="J324" s="244"/>
      <c r="K324" s="244"/>
      <c r="L324" s="244"/>
      <c r="M324" s="3"/>
      <c r="N324" s="3"/>
      <c r="O324" s="64"/>
      <c r="P324" s="64"/>
      <c r="Q324" s="64"/>
      <c r="R324" s="64"/>
      <c r="S324" s="3"/>
      <c r="T324" s="3"/>
    </row>
    <row r="325" spans="1:20" s="2" customFormat="1">
      <c r="A325" s="529"/>
      <c r="B325" s="165" t="s">
        <v>610</v>
      </c>
      <c r="C325" s="77" t="s">
        <v>124</v>
      </c>
      <c r="D325" s="80">
        <v>2E-3</v>
      </c>
      <c r="E325" s="79" t="e">
        <f>INSUMOS!#REF!</f>
        <v>#REF!</v>
      </c>
      <c r="F325" s="79" t="e">
        <f t="shared" si="16"/>
        <v>#REF!</v>
      </c>
      <c r="J325" s="244"/>
      <c r="K325" s="244"/>
      <c r="L325" s="244"/>
      <c r="M325" s="3"/>
      <c r="N325" s="3"/>
      <c r="O325" s="64"/>
      <c r="P325" s="64"/>
      <c r="Q325" s="64"/>
      <c r="R325" s="64"/>
      <c r="S325" s="3"/>
      <c r="T325" s="3"/>
    </row>
    <row r="326" spans="1:20" s="2" customFormat="1">
      <c r="A326" s="529"/>
      <c r="B326" s="165" t="s">
        <v>611</v>
      </c>
      <c r="C326" s="77" t="s">
        <v>124</v>
      </c>
      <c r="D326" s="80">
        <v>2E-3</v>
      </c>
      <c r="E326" s="79" t="e">
        <f>INSUMOS!#REF!</f>
        <v>#REF!</v>
      </c>
      <c r="F326" s="79" t="e">
        <f t="shared" si="16"/>
        <v>#REF!</v>
      </c>
      <c r="J326" s="244"/>
      <c r="K326" s="244"/>
      <c r="L326" s="244"/>
      <c r="M326" s="3"/>
      <c r="N326" s="3"/>
      <c r="O326" s="64"/>
      <c r="P326" s="64"/>
      <c r="Q326" s="64"/>
      <c r="R326" s="64"/>
      <c r="S326" s="3"/>
      <c r="T326" s="3"/>
    </row>
    <row r="327" spans="1:20" s="2" customFormat="1">
      <c r="A327" s="529"/>
      <c r="B327" s="165" t="s">
        <v>229</v>
      </c>
      <c r="C327" s="77" t="s">
        <v>68</v>
      </c>
      <c r="D327" s="78">
        <v>0.05</v>
      </c>
      <c r="E327" s="79" t="e">
        <f>SUM(F323:F326)</f>
        <v>#REF!</v>
      </c>
      <c r="F327" s="79" t="e">
        <f t="shared" si="16"/>
        <v>#REF!</v>
      </c>
      <c r="J327" s="244"/>
      <c r="K327" s="244"/>
      <c r="L327" s="244"/>
      <c r="M327" s="3"/>
      <c r="N327" s="3"/>
      <c r="O327" s="64"/>
      <c r="P327" s="64"/>
      <c r="Q327" s="64"/>
      <c r="R327" s="64"/>
      <c r="S327" s="3"/>
      <c r="T327" s="3"/>
    </row>
    <row r="328" spans="1:20" s="2" customFormat="1">
      <c r="A328" s="529"/>
      <c r="B328" s="165" t="s">
        <v>136</v>
      </c>
      <c r="C328" s="77" t="s">
        <v>68</v>
      </c>
      <c r="D328" s="78"/>
      <c r="E328" s="79" t="e">
        <f>SUM(F323:F327)</f>
        <v>#REF!</v>
      </c>
      <c r="F328" s="79" t="e">
        <f t="shared" si="16"/>
        <v>#REF!</v>
      </c>
      <c r="J328" s="244"/>
      <c r="K328" s="244"/>
      <c r="L328" s="244"/>
      <c r="M328" s="3"/>
      <c r="N328" s="3"/>
      <c r="O328" s="64"/>
      <c r="P328" s="64"/>
      <c r="Q328" s="64"/>
      <c r="R328" s="64"/>
      <c r="S328" s="3"/>
      <c r="T328" s="3"/>
    </row>
    <row r="329" spans="1:20" s="2" customFormat="1" ht="25.5">
      <c r="A329" s="529"/>
      <c r="B329" s="165" t="str">
        <f>+INSUMOS!B34</f>
        <v>RETROEXCAVADORA SOBRE LLANTAS, MOTOR 62HP, PROFUNDIDAD DE EXCAVACIÓN DE 5.41 METROS.</v>
      </c>
      <c r="C329" s="77" t="s">
        <v>8</v>
      </c>
      <c r="D329" s="78">
        <v>0.03</v>
      </c>
      <c r="E329" s="79">
        <f>+INSUMOS!D34</f>
        <v>193073</v>
      </c>
      <c r="F329" s="79">
        <f t="shared" si="16"/>
        <v>5792.19</v>
      </c>
      <c r="J329" s="244"/>
      <c r="K329" s="244"/>
      <c r="L329" s="244"/>
      <c r="M329" s="3"/>
      <c r="N329" s="3"/>
      <c r="O329" s="64"/>
      <c r="P329" s="64"/>
      <c r="Q329" s="64"/>
      <c r="R329" s="64"/>
      <c r="S329" s="3"/>
      <c r="T329" s="3"/>
    </row>
    <row r="330" spans="1:20" s="2" customFormat="1">
      <c r="A330" s="529"/>
      <c r="B330" s="165" t="s">
        <v>11</v>
      </c>
      <c r="C330" s="77" t="s">
        <v>284</v>
      </c>
      <c r="D330" s="78">
        <v>0.03</v>
      </c>
      <c r="E330" s="79">
        <f>+F331</f>
        <v>50308.523639821236</v>
      </c>
      <c r="F330" s="79">
        <f>(D330*E330)</f>
        <v>1509.2557091946371</v>
      </c>
      <c r="J330" s="244"/>
      <c r="K330" s="244"/>
      <c r="L330" s="244"/>
      <c r="M330" s="3"/>
      <c r="N330" s="3"/>
      <c r="O330" s="64"/>
      <c r="P330" s="64"/>
      <c r="Q330" s="64"/>
      <c r="R330" s="64"/>
      <c r="S330" s="3"/>
      <c r="T330" s="3"/>
    </row>
    <row r="331" spans="1:20" s="2" customFormat="1">
      <c r="A331" s="529"/>
      <c r="B331" s="165" t="s">
        <v>612</v>
      </c>
      <c r="C331" s="77" t="s">
        <v>10</v>
      </c>
      <c r="D331" s="78">
        <v>1.75</v>
      </c>
      <c r="E331" s="79">
        <f>+'VALOR CUADRILLAS MO'!D89</f>
        <v>28747.727794183564</v>
      </c>
      <c r="F331" s="79">
        <f>+D331*E331</f>
        <v>50308.523639821236</v>
      </c>
      <c r="J331" s="244"/>
      <c r="K331" s="244"/>
      <c r="L331" s="244"/>
      <c r="M331" s="3"/>
      <c r="N331" s="3"/>
      <c r="O331" s="64"/>
      <c r="P331" s="64"/>
      <c r="Q331" s="64"/>
      <c r="R331" s="64"/>
      <c r="S331" s="3"/>
      <c r="T331" s="3"/>
    </row>
    <row r="332" spans="1:20" s="2" customFormat="1">
      <c r="A332" s="529"/>
      <c r="B332" s="165"/>
      <c r="C332" s="77"/>
      <c r="D332" s="78"/>
      <c r="E332" s="79"/>
      <c r="F332" s="79"/>
      <c r="J332" s="244"/>
      <c r="K332" s="244"/>
      <c r="L332" s="244"/>
      <c r="M332" s="3"/>
      <c r="N332" s="3"/>
      <c r="O332" s="64"/>
      <c r="P332" s="64"/>
      <c r="Q332" s="64"/>
      <c r="R332" s="64"/>
      <c r="S332" s="3"/>
      <c r="T332" s="3"/>
    </row>
    <row r="333" spans="1:20" ht="28.15" customHeight="1">
      <c r="A333" s="458" t="s">
        <v>400</v>
      </c>
      <c r="B333" s="454" t="s">
        <v>2715</v>
      </c>
      <c r="C333" s="459"/>
      <c r="D333" s="460"/>
      <c r="E333" s="461"/>
      <c r="F333" s="461"/>
    </row>
    <row r="334" spans="1:20" ht="59.45" customHeight="1">
      <c r="A334" s="246">
        <f>A322+1</f>
        <v>46</v>
      </c>
      <c r="B334" s="83" t="s">
        <v>634</v>
      </c>
      <c r="C334" s="76" t="s">
        <v>26</v>
      </c>
      <c r="D334" s="73"/>
      <c r="E334" s="74"/>
      <c r="F334" s="75" t="e">
        <f>ROUND(SUM(F335:F342),0)</f>
        <v>#REF!</v>
      </c>
    </row>
    <row r="335" spans="1:20" s="2" customFormat="1" ht="25.5">
      <c r="A335" s="529"/>
      <c r="B335" s="165" t="s">
        <v>361</v>
      </c>
      <c r="C335" s="77" t="s">
        <v>21</v>
      </c>
      <c r="D335" s="78">
        <v>0.4</v>
      </c>
      <c r="E335" s="79" t="e">
        <f>+F353</f>
        <v>#REF!</v>
      </c>
      <c r="F335" s="79" t="e">
        <f>+E335*D335</f>
        <v>#REF!</v>
      </c>
      <c r="J335" s="244"/>
      <c r="K335" s="244"/>
      <c r="L335" s="244"/>
      <c r="M335" s="3"/>
      <c r="N335" s="3"/>
      <c r="O335" s="64"/>
      <c r="P335" s="64"/>
      <c r="Q335" s="64"/>
      <c r="R335" s="64"/>
      <c r="S335" s="3"/>
      <c r="T335" s="3"/>
    </row>
    <row r="336" spans="1:20" s="2" customFormat="1">
      <c r="A336" s="529"/>
      <c r="B336" s="165" t="s">
        <v>37</v>
      </c>
      <c r="C336" s="77" t="s">
        <v>120</v>
      </c>
      <c r="D336" s="78">
        <v>9</v>
      </c>
      <c r="E336" s="79">
        <f>INSUMOS!D46</f>
        <v>5600</v>
      </c>
      <c r="F336" s="79">
        <f>+E336*D336</f>
        <v>50400</v>
      </c>
      <c r="J336" s="244"/>
      <c r="K336" s="244"/>
      <c r="L336" s="244"/>
      <c r="M336" s="3"/>
      <c r="N336" s="3"/>
      <c r="O336" s="64"/>
      <c r="P336" s="64"/>
      <c r="Q336" s="64"/>
      <c r="R336" s="64"/>
      <c r="S336" s="3"/>
      <c r="T336" s="3"/>
    </row>
    <row r="337" spans="1:20" s="2" customFormat="1">
      <c r="A337" s="529"/>
      <c r="B337" s="165" t="s">
        <v>2648</v>
      </c>
      <c r="C337" s="77" t="s">
        <v>121</v>
      </c>
      <c r="D337" s="78">
        <v>0.22</v>
      </c>
      <c r="E337" s="79">
        <f>+BASICOS!E135</f>
        <v>425444</v>
      </c>
      <c r="F337" s="79">
        <f>+E337*D337</f>
        <v>93597.680000000008</v>
      </c>
      <c r="J337" s="244"/>
      <c r="K337" s="244"/>
      <c r="L337" s="244"/>
      <c r="M337" s="3"/>
      <c r="N337" s="3"/>
      <c r="O337" s="64"/>
      <c r="P337" s="64"/>
      <c r="Q337" s="64"/>
      <c r="R337" s="64"/>
      <c r="S337" s="3"/>
      <c r="T337" s="3"/>
    </row>
    <row r="338" spans="1:20" s="2" customFormat="1">
      <c r="A338" s="529"/>
      <c r="B338" s="165" t="s">
        <v>229</v>
      </c>
      <c r="C338" s="77" t="s">
        <v>68</v>
      </c>
      <c r="D338" s="78">
        <v>0.05</v>
      </c>
      <c r="E338" s="79">
        <f>SUM(F336:F337)</f>
        <v>143997.68</v>
      </c>
      <c r="F338" s="79">
        <f t="shared" ref="F338" si="17">+D338*E338</f>
        <v>7199.884</v>
      </c>
      <c r="J338" s="244"/>
      <c r="K338" s="244"/>
      <c r="L338" s="244"/>
      <c r="M338" s="3"/>
      <c r="N338" s="3"/>
      <c r="O338" s="64"/>
      <c r="P338" s="64"/>
      <c r="Q338" s="64"/>
      <c r="R338" s="64"/>
      <c r="S338" s="3"/>
      <c r="T338" s="3"/>
    </row>
    <row r="339" spans="1:20" s="2" customFormat="1">
      <c r="A339" s="529"/>
      <c r="B339" s="165" t="s">
        <v>136</v>
      </c>
      <c r="C339" s="77" t="s">
        <v>68</v>
      </c>
      <c r="D339" s="78"/>
      <c r="E339" s="79" t="e">
        <f>SUM(F335:F337)</f>
        <v>#REF!</v>
      </c>
      <c r="F339" s="79" t="e">
        <f>+D339*E339</f>
        <v>#REF!</v>
      </c>
      <c r="J339" s="244"/>
      <c r="K339" s="244"/>
      <c r="L339" s="244"/>
      <c r="M339" s="3"/>
      <c r="N339" s="3"/>
      <c r="O339" s="64"/>
      <c r="P339" s="64"/>
      <c r="Q339" s="64"/>
      <c r="R339" s="64"/>
      <c r="S339" s="3"/>
      <c r="T339" s="3"/>
    </row>
    <row r="340" spans="1:20" s="2" customFormat="1" ht="25.5">
      <c r="A340" s="529"/>
      <c r="B340" s="165" t="s">
        <v>624</v>
      </c>
      <c r="C340" s="77" t="s">
        <v>26</v>
      </c>
      <c r="D340" s="78">
        <v>1</v>
      </c>
      <c r="E340" s="79" t="e">
        <f>+F376</f>
        <v>#REF!</v>
      </c>
      <c r="F340" s="79" t="e">
        <f>+E340*D340</f>
        <v>#REF!</v>
      </c>
      <c r="J340" s="244"/>
      <c r="K340" s="244"/>
      <c r="L340" s="244"/>
      <c r="M340" s="3"/>
      <c r="N340" s="3"/>
      <c r="O340" s="64"/>
      <c r="P340" s="64"/>
      <c r="Q340" s="64"/>
      <c r="R340" s="64"/>
      <c r="S340" s="3"/>
      <c r="T340" s="3"/>
    </row>
    <row r="341" spans="1:20" s="2" customFormat="1">
      <c r="A341" s="529"/>
      <c r="B341" s="165" t="s">
        <v>11</v>
      </c>
      <c r="C341" s="77" t="s">
        <v>284</v>
      </c>
      <c r="D341" s="78">
        <v>0.03</v>
      </c>
      <c r="E341" s="79">
        <f>F342</f>
        <v>104537.19197884933</v>
      </c>
      <c r="F341" s="79">
        <f>(D341*E341)</f>
        <v>3136.1157593654798</v>
      </c>
      <c r="J341" s="244"/>
      <c r="K341" s="244"/>
      <c r="L341" s="244"/>
      <c r="M341" s="3"/>
      <c r="N341" s="3"/>
      <c r="O341" s="64"/>
      <c r="P341" s="64"/>
      <c r="Q341" s="64"/>
      <c r="R341" s="64"/>
      <c r="S341" s="3"/>
      <c r="T341" s="3"/>
    </row>
    <row r="342" spans="1:20" s="2" customFormat="1">
      <c r="A342" s="529"/>
      <c r="B342" s="165" t="s">
        <v>9</v>
      </c>
      <c r="C342" s="77" t="s">
        <v>10</v>
      </c>
      <c r="D342" s="78">
        <v>4</v>
      </c>
      <c r="E342" s="79">
        <f>+'VALOR CUADRILLAS MO'!D75</f>
        <v>26134.297994712331</v>
      </c>
      <c r="F342" s="79">
        <f>+D342*E342</f>
        <v>104537.19197884933</v>
      </c>
      <c r="J342" s="244"/>
      <c r="K342" s="244"/>
      <c r="L342" s="244"/>
      <c r="M342" s="3"/>
      <c r="N342" s="3"/>
      <c r="O342" s="64"/>
      <c r="P342" s="64"/>
      <c r="Q342" s="64"/>
      <c r="R342" s="64"/>
      <c r="S342" s="3"/>
      <c r="T342" s="3"/>
    </row>
    <row r="343" spans="1:20" s="2" customFormat="1">
      <c r="A343" s="529"/>
      <c r="B343" s="165"/>
      <c r="C343" s="77"/>
      <c r="D343" s="78"/>
      <c r="E343" s="79"/>
      <c r="F343" s="79"/>
      <c r="J343" s="244"/>
      <c r="K343" s="244"/>
      <c r="L343" s="244"/>
      <c r="M343" s="3"/>
      <c r="N343" s="3"/>
      <c r="O343" s="64"/>
      <c r="P343" s="64"/>
      <c r="Q343" s="64"/>
      <c r="R343" s="64"/>
      <c r="S343" s="3"/>
      <c r="T343" s="3"/>
    </row>
    <row r="344" spans="1:20" s="2" customFormat="1" ht="41.45" customHeight="1">
      <c r="A344" s="246">
        <f>+A334+1</f>
        <v>47</v>
      </c>
      <c r="B344" s="83" t="s">
        <v>2639</v>
      </c>
      <c r="C344" s="76" t="s">
        <v>21</v>
      </c>
      <c r="D344" s="73"/>
      <c r="E344" s="74"/>
      <c r="F344" s="75" t="e">
        <f>SUM(F345:F351)</f>
        <v>#REF!</v>
      </c>
      <c r="J344" s="244"/>
      <c r="K344" s="244"/>
      <c r="L344" s="244"/>
      <c r="M344" s="3"/>
      <c r="N344" s="3"/>
      <c r="O344" s="64"/>
      <c r="P344" s="64"/>
      <c r="Q344" s="64"/>
      <c r="R344" s="64"/>
      <c r="S344" s="3"/>
      <c r="T344" s="3"/>
    </row>
    <row r="345" spans="1:20" s="2" customFormat="1">
      <c r="A345" s="529"/>
      <c r="B345" s="165" t="s">
        <v>2631</v>
      </c>
      <c r="C345" s="77" t="s">
        <v>121</v>
      </c>
      <c r="D345" s="78">
        <v>0.64</v>
      </c>
      <c r="E345" s="79">
        <f>BASICOS!E146</f>
        <v>392821</v>
      </c>
      <c r="F345" s="79">
        <f>+E345*D345</f>
        <v>251405.44</v>
      </c>
      <c r="J345" s="244"/>
      <c r="K345" s="244"/>
      <c r="L345" s="244"/>
      <c r="M345" s="3"/>
      <c r="N345" s="3"/>
      <c r="O345" s="64"/>
      <c r="P345" s="64"/>
      <c r="Q345" s="64"/>
      <c r="R345" s="64"/>
      <c r="S345" s="3"/>
      <c r="T345" s="3"/>
    </row>
    <row r="346" spans="1:20" s="2" customFormat="1">
      <c r="A346" s="529"/>
      <c r="B346" s="165" t="s">
        <v>406</v>
      </c>
      <c r="C346" s="77" t="s">
        <v>144</v>
      </c>
      <c r="D346" s="78">
        <v>3.6</v>
      </c>
      <c r="E346" s="79">
        <f>+INSUMOS!D56</f>
        <v>3391.54</v>
      </c>
      <c r="F346" s="79">
        <f>+E346*D346</f>
        <v>12209.544</v>
      </c>
      <c r="J346" s="244"/>
      <c r="K346" s="244"/>
      <c r="L346" s="244"/>
      <c r="M346" s="3"/>
      <c r="N346" s="3"/>
      <c r="O346" s="64"/>
      <c r="P346" s="64"/>
      <c r="Q346" s="64"/>
      <c r="R346" s="64"/>
      <c r="S346" s="3"/>
      <c r="T346" s="3"/>
    </row>
    <row r="347" spans="1:20" s="2" customFormat="1">
      <c r="A347" s="529"/>
      <c r="B347" s="165" t="s">
        <v>229</v>
      </c>
      <c r="C347" s="77" t="s">
        <v>68</v>
      </c>
      <c r="D347" s="78">
        <v>0.05</v>
      </c>
      <c r="E347" s="79">
        <f>SUM(F345:F346)</f>
        <v>263614.984</v>
      </c>
      <c r="F347" s="79">
        <f>+D347*E347</f>
        <v>13180.7492</v>
      </c>
      <c r="J347" s="244"/>
      <c r="K347" s="244"/>
      <c r="L347" s="244"/>
      <c r="M347" s="3"/>
      <c r="N347" s="3"/>
      <c r="O347" s="64"/>
      <c r="P347" s="64"/>
      <c r="Q347" s="64"/>
      <c r="R347" s="64"/>
      <c r="S347" s="3"/>
      <c r="T347" s="3"/>
    </row>
    <row r="348" spans="1:20" s="2" customFormat="1">
      <c r="A348" s="529"/>
      <c r="B348" s="165" t="s">
        <v>407</v>
      </c>
      <c r="C348" s="77" t="s">
        <v>204</v>
      </c>
      <c r="D348" s="78">
        <v>1.03</v>
      </c>
      <c r="E348" s="79" t="e">
        <f>INSUMOS!#REF!</f>
        <v>#REF!</v>
      </c>
      <c r="F348" s="79" t="e">
        <f>+E348*D348</f>
        <v>#REF!</v>
      </c>
      <c r="J348" s="244"/>
      <c r="K348" s="244"/>
      <c r="L348" s="244"/>
      <c r="M348" s="3"/>
      <c r="N348" s="3"/>
      <c r="O348" s="64"/>
      <c r="P348" s="64"/>
      <c r="Q348" s="64"/>
      <c r="R348" s="64"/>
      <c r="S348" s="3"/>
      <c r="T348" s="3"/>
    </row>
    <row r="349" spans="1:20" s="2" customFormat="1">
      <c r="A349" s="529"/>
      <c r="B349" s="165" t="s">
        <v>136</v>
      </c>
      <c r="C349" s="77" t="s">
        <v>68</v>
      </c>
      <c r="D349" s="78"/>
      <c r="E349" s="79" t="e">
        <f>SUM(F345:F348)</f>
        <v>#REF!</v>
      </c>
      <c r="F349" s="79" t="e">
        <f>+D349*E349</f>
        <v>#REF!</v>
      </c>
      <c r="J349" s="244"/>
      <c r="K349" s="244"/>
      <c r="L349" s="244"/>
      <c r="M349" s="3"/>
      <c r="N349" s="3"/>
      <c r="O349" s="64"/>
      <c r="P349" s="64"/>
      <c r="Q349" s="64"/>
      <c r="R349" s="64"/>
      <c r="S349" s="3"/>
      <c r="T349" s="3"/>
    </row>
    <row r="350" spans="1:20" s="2" customFormat="1">
      <c r="A350" s="529"/>
      <c r="B350" s="165" t="s">
        <v>11</v>
      </c>
      <c r="C350" s="77" t="s">
        <v>121</v>
      </c>
      <c r="D350" s="78">
        <v>0.03</v>
      </c>
      <c r="E350" s="79">
        <f>+F351</f>
        <v>117604.34097620549</v>
      </c>
      <c r="F350" s="79">
        <f>+E350*D350</f>
        <v>3528.1302292861646</v>
      </c>
      <c r="J350" s="244"/>
      <c r="K350" s="244"/>
      <c r="L350" s="244"/>
      <c r="M350" s="3"/>
      <c r="N350" s="3"/>
      <c r="O350" s="64"/>
      <c r="P350" s="64"/>
      <c r="Q350" s="64"/>
      <c r="R350" s="64"/>
      <c r="S350" s="3"/>
      <c r="T350" s="3"/>
    </row>
    <row r="351" spans="1:20" s="2" customFormat="1">
      <c r="A351" s="529"/>
      <c r="B351" s="165" t="s">
        <v>9</v>
      </c>
      <c r="C351" s="77" t="s">
        <v>10</v>
      </c>
      <c r="D351" s="78">
        <v>4.5</v>
      </c>
      <c r="E351" s="79">
        <f>+'VALOR CUADRILLAS MO'!D75</f>
        <v>26134.297994712331</v>
      </c>
      <c r="F351" s="79">
        <f>+E351*D351</f>
        <v>117604.34097620549</v>
      </c>
      <c r="J351" s="244"/>
      <c r="K351" s="244"/>
      <c r="L351" s="244"/>
      <c r="M351" s="3"/>
      <c r="N351" s="3"/>
      <c r="O351" s="64"/>
      <c r="P351" s="64"/>
      <c r="Q351" s="64"/>
      <c r="R351" s="64"/>
      <c r="S351" s="3"/>
      <c r="T351" s="3"/>
    </row>
    <row r="352" spans="1:20" s="2" customFormat="1">
      <c r="A352" s="529"/>
      <c r="B352" s="165"/>
      <c r="C352" s="77"/>
      <c r="D352" s="78"/>
      <c r="E352" s="79"/>
      <c r="F352" s="79"/>
      <c r="J352" s="244"/>
      <c r="K352" s="244"/>
      <c r="L352" s="244"/>
      <c r="M352" s="3"/>
      <c r="N352" s="3"/>
      <c r="O352" s="64"/>
      <c r="P352" s="64"/>
      <c r="Q352" s="64"/>
      <c r="R352" s="64"/>
      <c r="S352" s="3"/>
      <c r="T352" s="3"/>
    </row>
    <row r="353" spans="1:20" s="2" customFormat="1" ht="38.25" customHeight="1">
      <c r="A353" s="246">
        <f>+A344+1</f>
        <v>48</v>
      </c>
      <c r="B353" s="83" t="s">
        <v>2641</v>
      </c>
      <c r="C353" s="76" t="s">
        <v>21</v>
      </c>
      <c r="D353" s="73"/>
      <c r="E353" s="74"/>
      <c r="F353" s="75" t="e">
        <f>ROUND(SUM(F354:F360),0)</f>
        <v>#REF!</v>
      </c>
      <c r="J353" s="244"/>
      <c r="K353" s="244"/>
      <c r="L353" s="244"/>
      <c r="M353" s="3"/>
      <c r="N353" s="3"/>
      <c r="O353" s="64"/>
      <c r="P353" s="64"/>
      <c r="Q353" s="64"/>
      <c r="R353" s="64"/>
      <c r="S353" s="3"/>
      <c r="T353" s="3"/>
    </row>
    <row r="354" spans="1:20" s="2" customFormat="1">
      <c r="A354" s="529"/>
      <c r="B354" s="165" t="s">
        <v>2631</v>
      </c>
      <c r="C354" s="77" t="s">
        <v>121</v>
      </c>
      <c r="D354" s="78">
        <v>0.64</v>
      </c>
      <c r="E354" s="79">
        <f>+BASICOS!E146</f>
        <v>392821</v>
      </c>
      <c r="F354" s="79">
        <f>+E354*D354</f>
        <v>251405.44</v>
      </c>
      <c r="J354" s="244"/>
      <c r="K354" s="244"/>
      <c r="L354" s="244"/>
      <c r="M354" s="3"/>
      <c r="N354" s="3"/>
      <c r="O354" s="64"/>
      <c r="P354" s="64"/>
      <c r="Q354" s="64"/>
      <c r="R354" s="64"/>
      <c r="S354" s="3"/>
      <c r="T354" s="3"/>
    </row>
    <row r="355" spans="1:20" s="2" customFormat="1">
      <c r="A355" s="529"/>
      <c r="B355" s="165" t="s">
        <v>406</v>
      </c>
      <c r="C355" s="77" t="s">
        <v>144</v>
      </c>
      <c r="D355" s="78">
        <v>3.6</v>
      </c>
      <c r="E355" s="79">
        <f>+INSUMOS!D56</f>
        <v>3391.54</v>
      </c>
      <c r="F355" s="79">
        <f>+E355*D355</f>
        <v>12209.544</v>
      </c>
      <c r="J355" s="244"/>
      <c r="K355" s="244"/>
      <c r="L355" s="244"/>
      <c r="M355" s="3"/>
      <c r="N355" s="3"/>
      <c r="O355" s="64"/>
      <c r="P355" s="64"/>
      <c r="Q355" s="64"/>
      <c r="R355" s="64"/>
      <c r="S355" s="3"/>
      <c r="T355" s="3"/>
    </row>
    <row r="356" spans="1:20" s="2" customFormat="1">
      <c r="A356" s="529"/>
      <c r="B356" s="165" t="s">
        <v>229</v>
      </c>
      <c r="C356" s="77" t="s">
        <v>68</v>
      </c>
      <c r="D356" s="78">
        <v>0.05</v>
      </c>
      <c r="E356" s="79">
        <f>SUM(F354:F355)</f>
        <v>263614.984</v>
      </c>
      <c r="F356" s="79">
        <f>+D356*E356</f>
        <v>13180.7492</v>
      </c>
      <c r="J356" s="244"/>
      <c r="K356" s="244"/>
      <c r="L356" s="244"/>
      <c r="M356" s="3"/>
      <c r="N356" s="3"/>
      <c r="O356" s="64"/>
      <c r="P356" s="64"/>
      <c r="Q356" s="64"/>
      <c r="R356" s="64"/>
      <c r="S356" s="3"/>
      <c r="T356" s="3"/>
    </row>
    <row r="357" spans="1:20" s="2" customFormat="1">
      <c r="A357" s="529"/>
      <c r="B357" s="165" t="s">
        <v>407</v>
      </c>
      <c r="C357" s="77" t="s">
        <v>204</v>
      </c>
      <c r="D357" s="78">
        <v>1.03</v>
      </c>
      <c r="E357" s="79" t="e">
        <f>INSUMOS!#REF!</f>
        <v>#REF!</v>
      </c>
      <c r="F357" s="79" t="e">
        <f>+E357*D357</f>
        <v>#REF!</v>
      </c>
      <c r="J357" s="244"/>
      <c r="K357" s="244"/>
      <c r="L357" s="244"/>
      <c r="M357" s="3"/>
      <c r="N357" s="3"/>
      <c r="O357" s="64"/>
      <c r="P357" s="64"/>
      <c r="Q357" s="64"/>
      <c r="R357" s="64"/>
      <c r="S357" s="3"/>
      <c r="T357" s="3"/>
    </row>
    <row r="358" spans="1:20" s="2" customFormat="1">
      <c r="A358" s="529"/>
      <c r="B358" s="165" t="s">
        <v>136</v>
      </c>
      <c r="C358" s="77" t="s">
        <v>68</v>
      </c>
      <c r="D358" s="78"/>
      <c r="E358" s="79" t="e">
        <f>SUM(F354:F357)</f>
        <v>#REF!</v>
      </c>
      <c r="F358" s="79" t="e">
        <f>+D358*E358</f>
        <v>#REF!</v>
      </c>
      <c r="J358" s="244"/>
      <c r="K358" s="244"/>
      <c r="L358" s="244"/>
      <c r="M358" s="3"/>
      <c r="N358" s="3"/>
      <c r="O358" s="64"/>
      <c r="P358" s="64"/>
      <c r="Q358" s="64"/>
      <c r="R358" s="64"/>
      <c r="S358" s="3"/>
      <c r="T358" s="3"/>
    </row>
    <row r="359" spans="1:20" s="2" customFormat="1">
      <c r="A359" s="529"/>
      <c r="B359" s="165" t="s">
        <v>11</v>
      </c>
      <c r="C359" s="77" t="s">
        <v>121</v>
      </c>
      <c r="D359" s="78">
        <v>0.03</v>
      </c>
      <c r="E359" s="79">
        <f>+F360</f>
        <v>117604.34097620549</v>
      </c>
      <c r="F359" s="79">
        <f>+E359*D359</f>
        <v>3528.1302292861646</v>
      </c>
      <c r="J359" s="244"/>
      <c r="K359" s="244"/>
      <c r="L359" s="244"/>
      <c r="M359" s="3"/>
      <c r="N359" s="3"/>
      <c r="O359" s="64"/>
      <c r="P359" s="64"/>
      <c r="Q359" s="64"/>
      <c r="R359" s="64"/>
      <c r="S359" s="3"/>
      <c r="T359" s="3"/>
    </row>
    <row r="360" spans="1:20" s="2" customFormat="1">
      <c r="A360" s="529"/>
      <c r="B360" s="165" t="s">
        <v>9</v>
      </c>
      <c r="C360" s="77" t="s">
        <v>10</v>
      </c>
      <c r="D360" s="78">
        <v>4.5</v>
      </c>
      <c r="E360" s="79">
        <f>+'VALOR CUADRILLAS MO'!D75</f>
        <v>26134.297994712331</v>
      </c>
      <c r="F360" s="79">
        <f>+E360*D360</f>
        <v>117604.34097620549</v>
      </c>
      <c r="J360" s="244"/>
      <c r="K360" s="244"/>
      <c r="L360" s="244"/>
      <c r="M360" s="3"/>
      <c r="N360" s="3"/>
      <c r="O360" s="64"/>
      <c r="P360" s="64"/>
      <c r="Q360" s="64"/>
      <c r="R360" s="64"/>
      <c r="S360" s="3"/>
      <c r="T360" s="3"/>
    </row>
    <row r="361" spans="1:20" s="2" customFormat="1">
      <c r="A361" s="529"/>
      <c r="B361" s="165"/>
      <c r="C361" s="77"/>
      <c r="D361" s="78"/>
      <c r="E361" s="79"/>
      <c r="F361" s="79"/>
      <c r="J361" s="244"/>
      <c r="K361" s="244"/>
      <c r="L361" s="244"/>
      <c r="M361" s="3"/>
      <c r="N361" s="3"/>
      <c r="O361" s="64"/>
      <c r="P361" s="64"/>
      <c r="Q361" s="64"/>
      <c r="R361" s="64"/>
      <c r="S361" s="3"/>
      <c r="T361" s="3"/>
    </row>
    <row r="362" spans="1:20" s="2" customFormat="1" ht="34.15" customHeight="1">
      <c r="A362" s="246">
        <f>+A353+1</f>
        <v>49</v>
      </c>
      <c r="B362" s="83" t="s">
        <v>2640</v>
      </c>
      <c r="C362" s="76" t="s">
        <v>26</v>
      </c>
      <c r="D362" s="73"/>
      <c r="E362" s="74"/>
      <c r="F362" s="75">
        <f>SUM(F363:F367)</f>
        <v>144296.26826491981</v>
      </c>
      <c r="J362" s="244"/>
      <c r="K362" s="244"/>
      <c r="L362" s="244"/>
      <c r="M362" s="3"/>
      <c r="N362" s="3"/>
      <c r="O362" s="64"/>
      <c r="P362" s="64"/>
      <c r="Q362" s="64"/>
      <c r="R362" s="64"/>
      <c r="S362" s="3"/>
      <c r="T362" s="3"/>
    </row>
    <row r="363" spans="1:20" s="2" customFormat="1">
      <c r="A363" s="529"/>
      <c r="B363" s="165" t="s">
        <v>2631</v>
      </c>
      <c r="C363" s="77" t="s">
        <v>121</v>
      </c>
      <c r="D363" s="78">
        <v>0.26500000000000001</v>
      </c>
      <c r="E363" s="79">
        <f>+BASICOS!E146</f>
        <v>392821</v>
      </c>
      <c r="F363" s="79">
        <f>+E363*D363</f>
        <v>104097.565</v>
      </c>
      <c r="J363" s="244"/>
      <c r="K363" s="244"/>
      <c r="L363" s="244"/>
      <c r="M363" s="3"/>
      <c r="N363" s="3"/>
      <c r="O363" s="64"/>
      <c r="P363" s="64"/>
      <c r="Q363" s="64"/>
      <c r="R363" s="64"/>
      <c r="S363" s="3"/>
      <c r="T363" s="3"/>
    </row>
    <row r="364" spans="1:20" s="2" customFormat="1">
      <c r="A364" s="529"/>
      <c r="B364" s="165" t="s">
        <v>229</v>
      </c>
      <c r="C364" s="77" t="s">
        <v>68</v>
      </c>
      <c r="D364" s="78">
        <v>0.05</v>
      </c>
      <c r="E364" s="79">
        <f>SUM(F363)</f>
        <v>104097.565</v>
      </c>
      <c r="F364" s="79">
        <f>+D364*E364</f>
        <v>5204.8782500000007</v>
      </c>
      <c r="J364" s="244"/>
      <c r="K364" s="244"/>
      <c r="L364" s="244"/>
      <c r="M364" s="3"/>
      <c r="N364" s="3"/>
      <c r="O364" s="64"/>
      <c r="P364" s="64"/>
      <c r="Q364" s="64"/>
      <c r="R364" s="64"/>
      <c r="S364" s="3"/>
      <c r="T364" s="3"/>
    </row>
    <row r="365" spans="1:20" s="2" customFormat="1">
      <c r="A365" s="529"/>
      <c r="B365" s="165" t="s">
        <v>136</v>
      </c>
      <c r="C365" s="77" t="s">
        <v>68</v>
      </c>
      <c r="D365" s="78"/>
      <c r="E365" s="79">
        <f>SUM(F363:F364)</f>
        <v>109302.44325</v>
      </c>
      <c r="F365" s="79">
        <f>+D365*E365</f>
        <v>0</v>
      </c>
      <c r="J365" s="244"/>
      <c r="K365" s="244"/>
      <c r="L365" s="244"/>
      <c r="M365" s="3"/>
      <c r="N365" s="3"/>
      <c r="O365" s="64"/>
      <c r="P365" s="64"/>
      <c r="Q365" s="64"/>
      <c r="R365" s="64"/>
      <c r="S365" s="3"/>
      <c r="T365" s="3"/>
    </row>
    <row r="366" spans="1:20" s="2" customFormat="1">
      <c r="A366" s="529"/>
      <c r="B366" s="165" t="s">
        <v>11</v>
      </c>
      <c r="C366" s="77" t="s">
        <v>121</v>
      </c>
      <c r="D366" s="78">
        <v>0.03</v>
      </c>
      <c r="E366" s="79">
        <f>+F367</f>
        <v>33974.587393126028</v>
      </c>
      <c r="F366" s="79">
        <f>+E366*D366</f>
        <v>1019.2376217937808</v>
      </c>
      <c r="J366" s="244"/>
      <c r="K366" s="244"/>
      <c r="L366" s="244"/>
      <c r="M366" s="3"/>
      <c r="N366" s="3"/>
      <c r="O366" s="64"/>
      <c r="P366" s="64"/>
      <c r="Q366" s="64"/>
      <c r="R366" s="64"/>
      <c r="S366" s="3"/>
      <c r="T366" s="3"/>
    </row>
    <row r="367" spans="1:20" s="2" customFormat="1">
      <c r="A367" s="529"/>
      <c r="B367" s="165" t="s">
        <v>9</v>
      </c>
      <c r="C367" s="77" t="s">
        <v>204</v>
      </c>
      <c r="D367" s="78">
        <v>1.3</v>
      </c>
      <c r="E367" s="79">
        <f>+'VALOR CUADRILLAS MO'!D75</f>
        <v>26134.297994712331</v>
      </c>
      <c r="F367" s="79">
        <f>+E367*D367</f>
        <v>33974.587393126028</v>
      </c>
      <c r="J367" s="244"/>
      <c r="K367" s="244"/>
      <c r="L367" s="244"/>
      <c r="M367" s="3"/>
      <c r="N367" s="3"/>
      <c r="O367" s="64"/>
      <c r="P367" s="64"/>
      <c r="Q367" s="64"/>
      <c r="R367" s="64"/>
      <c r="S367" s="3"/>
      <c r="T367" s="3"/>
    </row>
    <row r="368" spans="1:20" s="244" customFormat="1">
      <c r="A368" s="529"/>
      <c r="B368" s="165"/>
      <c r="C368" s="77"/>
      <c r="D368" s="78"/>
      <c r="E368" s="79"/>
      <c r="F368" s="79"/>
      <c r="G368" s="2"/>
      <c r="H368" s="2"/>
      <c r="I368" s="2"/>
      <c r="M368" s="3"/>
      <c r="N368" s="3"/>
      <c r="O368" s="64"/>
      <c r="P368" s="64"/>
      <c r="Q368" s="64"/>
      <c r="R368" s="64"/>
      <c r="S368" s="3"/>
      <c r="T368" s="3"/>
    </row>
    <row r="369" spans="1:20" s="244" customFormat="1" ht="34.9" customHeight="1">
      <c r="A369" s="246">
        <f>+A362+1</f>
        <v>50</v>
      </c>
      <c r="B369" s="83" t="s">
        <v>2642</v>
      </c>
      <c r="C369" s="76" t="s">
        <v>26</v>
      </c>
      <c r="D369" s="73"/>
      <c r="E369" s="74"/>
      <c r="F369" s="75">
        <f>ROUND(SUM(F370:F374),0)</f>
        <v>221861</v>
      </c>
      <c r="G369" s="2"/>
      <c r="H369" s="2"/>
      <c r="I369" s="2"/>
      <c r="M369" s="3"/>
      <c r="N369" s="3"/>
      <c r="O369" s="64"/>
      <c r="P369" s="64"/>
      <c r="Q369" s="64"/>
      <c r="R369" s="64"/>
      <c r="S369" s="3"/>
      <c r="T369" s="3"/>
    </row>
    <row r="370" spans="1:20" s="244" customFormat="1">
      <c r="A370" s="529"/>
      <c r="B370" s="165" t="s">
        <v>2631</v>
      </c>
      <c r="C370" s="77" t="s">
        <v>121</v>
      </c>
      <c r="D370" s="78">
        <v>0.44</v>
      </c>
      <c r="E370" s="79">
        <f>+BASICOS!E146</f>
        <v>392821</v>
      </c>
      <c r="F370" s="79">
        <f>+E370*D370</f>
        <v>172841.24</v>
      </c>
      <c r="G370" s="2"/>
      <c r="H370" s="2"/>
      <c r="I370" s="2"/>
      <c r="M370" s="3"/>
      <c r="N370" s="3"/>
      <c r="O370" s="64"/>
      <c r="P370" s="64"/>
      <c r="Q370" s="64"/>
      <c r="R370" s="64"/>
      <c r="S370" s="3"/>
      <c r="T370" s="3"/>
    </row>
    <row r="371" spans="1:20" s="244" customFormat="1">
      <c r="A371" s="529"/>
      <c r="B371" s="165" t="s">
        <v>229</v>
      </c>
      <c r="C371" s="77" t="s">
        <v>68</v>
      </c>
      <c r="D371" s="78">
        <v>0.05</v>
      </c>
      <c r="E371" s="79">
        <f>SUM(F370)</f>
        <v>172841.24</v>
      </c>
      <c r="F371" s="79">
        <f>+D371*E371</f>
        <v>8642.0619999999999</v>
      </c>
      <c r="G371" s="2"/>
      <c r="H371" s="2"/>
      <c r="I371" s="2"/>
      <c r="M371" s="3"/>
      <c r="N371" s="3"/>
      <c r="O371" s="64"/>
      <c r="P371" s="64"/>
      <c r="Q371" s="64"/>
      <c r="R371" s="64"/>
      <c r="S371" s="3"/>
      <c r="T371" s="3"/>
    </row>
    <row r="372" spans="1:20" s="244" customFormat="1">
      <c r="A372" s="529"/>
      <c r="B372" s="165" t="s">
        <v>136</v>
      </c>
      <c r="C372" s="77" t="s">
        <v>68</v>
      </c>
      <c r="D372" s="78"/>
      <c r="E372" s="79">
        <f>SUM(F370:F371)</f>
        <v>181483.302</v>
      </c>
      <c r="F372" s="79">
        <f>+D372*E372</f>
        <v>0</v>
      </c>
      <c r="G372" s="2"/>
      <c r="H372" s="2"/>
      <c r="I372" s="2"/>
      <c r="M372" s="3"/>
      <c r="N372" s="3"/>
      <c r="O372" s="64"/>
      <c r="P372" s="64"/>
      <c r="Q372" s="64"/>
      <c r="R372" s="64"/>
      <c r="S372" s="3"/>
      <c r="T372" s="3"/>
    </row>
    <row r="373" spans="1:20" s="244" customFormat="1">
      <c r="A373" s="529"/>
      <c r="B373" s="165" t="s">
        <v>11</v>
      </c>
      <c r="C373" s="77" t="s">
        <v>121</v>
      </c>
      <c r="D373" s="78">
        <v>0.03</v>
      </c>
      <c r="E373" s="79">
        <f>+F374</f>
        <v>39201.446992068493</v>
      </c>
      <c r="F373" s="79">
        <f>+E373*D373</f>
        <v>1176.0434097620548</v>
      </c>
      <c r="G373" s="2"/>
      <c r="H373" s="2"/>
      <c r="I373" s="2"/>
      <c r="M373" s="3"/>
      <c r="N373" s="3"/>
      <c r="O373" s="64"/>
      <c r="P373" s="64"/>
      <c r="Q373" s="64"/>
      <c r="R373" s="64"/>
      <c r="S373" s="3"/>
      <c r="T373" s="3"/>
    </row>
    <row r="374" spans="1:20" s="244" customFormat="1">
      <c r="A374" s="529"/>
      <c r="B374" s="165" t="s">
        <v>9</v>
      </c>
      <c r="C374" s="77" t="s">
        <v>204</v>
      </c>
      <c r="D374" s="78">
        <v>1.5</v>
      </c>
      <c r="E374" s="79">
        <f>+'VALOR CUADRILLAS MO'!D75</f>
        <v>26134.297994712331</v>
      </c>
      <c r="F374" s="79">
        <f>+E374*D374</f>
        <v>39201.446992068493</v>
      </c>
      <c r="G374" s="2"/>
      <c r="H374" s="2"/>
      <c r="I374" s="2"/>
      <c r="M374" s="3"/>
      <c r="N374" s="3"/>
      <c r="O374" s="64"/>
      <c r="P374" s="64"/>
      <c r="Q374" s="64"/>
      <c r="R374" s="64"/>
      <c r="S374" s="3"/>
      <c r="T374" s="3"/>
    </row>
    <row r="375" spans="1:20" s="244" customFormat="1">
      <c r="A375" s="529"/>
      <c r="B375" s="165"/>
      <c r="C375" s="77"/>
      <c r="D375" s="78"/>
      <c r="E375" s="79"/>
      <c r="F375" s="79"/>
      <c r="G375" s="2"/>
      <c r="H375" s="2"/>
      <c r="I375" s="2"/>
      <c r="M375" s="3"/>
      <c r="N375" s="3"/>
      <c r="O375" s="64"/>
      <c r="P375" s="64"/>
      <c r="Q375" s="64"/>
      <c r="R375" s="64"/>
      <c r="S375" s="3"/>
      <c r="T375" s="3"/>
    </row>
    <row r="376" spans="1:20" s="244" customFormat="1" ht="44.45" customHeight="1">
      <c r="A376" s="246">
        <f>+A369+1</f>
        <v>51</v>
      </c>
      <c r="B376" s="83" t="s">
        <v>638</v>
      </c>
      <c r="C376" s="76" t="s">
        <v>26</v>
      </c>
      <c r="D376" s="73"/>
      <c r="E376" s="74"/>
      <c r="F376" s="75" t="e">
        <f>ROUND(SUM(F377:F382),0)</f>
        <v>#REF!</v>
      </c>
      <c r="G376" s="2"/>
      <c r="H376" s="2"/>
      <c r="I376" s="2"/>
      <c r="M376" s="3"/>
      <c r="N376" s="3"/>
      <c r="O376" s="64"/>
      <c r="P376" s="64"/>
      <c r="Q376" s="64"/>
      <c r="R376" s="64"/>
      <c r="S376" s="3"/>
      <c r="T376" s="3"/>
    </row>
    <row r="377" spans="1:20" s="244" customFormat="1" ht="25.5">
      <c r="A377" s="529"/>
      <c r="B377" s="165" t="s">
        <v>637</v>
      </c>
      <c r="C377" s="77" t="s">
        <v>26</v>
      </c>
      <c r="D377" s="78">
        <v>1</v>
      </c>
      <c r="E377" s="79" t="e">
        <f>INSUMOS!#REF!</f>
        <v>#REF!</v>
      </c>
      <c r="F377" s="79" t="e">
        <f>+E377*D377</f>
        <v>#REF!</v>
      </c>
      <c r="G377" s="2"/>
      <c r="H377" s="2"/>
      <c r="I377" s="2"/>
      <c r="J377" s="255"/>
      <c r="M377" s="3"/>
      <c r="N377" s="3"/>
      <c r="O377" s="64"/>
      <c r="P377" s="64"/>
      <c r="Q377" s="64"/>
      <c r="R377" s="64"/>
      <c r="S377" s="3"/>
      <c r="T377" s="3"/>
    </row>
    <row r="378" spans="1:20" s="244" customFormat="1">
      <c r="A378" s="529"/>
      <c r="B378" s="165" t="s">
        <v>2631</v>
      </c>
      <c r="C378" s="77" t="s">
        <v>121</v>
      </c>
      <c r="D378" s="78">
        <v>0.03</v>
      </c>
      <c r="E378" s="79">
        <f>+BASICOS!E146</f>
        <v>392821</v>
      </c>
      <c r="F378" s="79">
        <f>+E378*D378</f>
        <v>11784.63</v>
      </c>
      <c r="G378" s="2"/>
      <c r="H378" s="2"/>
      <c r="I378" s="2"/>
      <c r="J378" s="255"/>
      <c r="M378" s="3"/>
      <c r="N378" s="3"/>
      <c r="O378" s="64"/>
      <c r="P378" s="64"/>
      <c r="Q378" s="64"/>
      <c r="R378" s="64"/>
      <c r="S378" s="3"/>
      <c r="T378" s="3"/>
    </row>
    <row r="379" spans="1:20" s="244" customFormat="1">
      <c r="A379" s="529"/>
      <c r="B379" s="165" t="s">
        <v>229</v>
      </c>
      <c r="C379" s="77" t="s">
        <v>68</v>
      </c>
      <c r="D379" s="78">
        <v>0.05</v>
      </c>
      <c r="E379" s="79">
        <f>SUM(F378)</f>
        <v>11784.63</v>
      </c>
      <c r="F379" s="79">
        <f>+D379*E379</f>
        <v>589.23149999999998</v>
      </c>
      <c r="G379" s="2"/>
      <c r="H379" s="2"/>
      <c r="I379" s="2"/>
      <c r="J379" s="255"/>
      <c r="M379" s="3"/>
      <c r="N379" s="3"/>
      <c r="O379" s="64"/>
      <c r="P379" s="64"/>
      <c r="Q379" s="64"/>
      <c r="R379" s="64"/>
      <c r="S379" s="3"/>
      <c r="T379" s="3"/>
    </row>
    <row r="380" spans="1:20" s="244" customFormat="1">
      <c r="A380" s="529"/>
      <c r="B380" s="165" t="s">
        <v>136</v>
      </c>
      <c r="C380" s="77" t="s">
        <v>68</v>
      </c>
      <c r="D380" s="78"/>
      <c r="E380" s="79" t="e">
        <f>SUM(F377:F378)</f>
        <v>#REF!</v>
      </c>
      <c r="F380" s="79" t="e">
        <f>+D380*E380</f>
        <v>#REF!</v>
      </c>
      <c r="G380" s="2"/>
      <c r="H380" s="2"/>
      <c r="I380" s="2"/>
      <c r="J380" s="255"/>
      <c r="M380" s="3"/>
      <c r="N380" s="3"/>
      <c r="O380" s="64"/>
      <c r="P380" s="64"/>
      <c r="Q380" s="64"/>
      <c r="R380" s="64"/>
      <c r="S380" s="3"/>
      <c r="T380" s="3"/>
    </row>
    <row r="381" spans="1:20" s="244" customFormat="1">
      <c r="A381" s="529"/>
      <c r="B381" s="165" t="s">
        <v>11</v>
      </c>
      <c r="C381" s="77" t="s">
        <v>121</v>
      </c>
      <c r="D381" s="78">
        <v>0.03</v>
      </c>
      <c r="E381" s="79">
        <f>+F382</f>
        <v>39201.446992068493</v>
      </c>
      <c r="F381" s="79">
        <f>+E381*D381</f>
        <v>1176.0434097620548</v>
      </c>
      <c r="G381" s="2"/>
      <c r="H381" s="2"/>
      <c r="I381" s="2"/>
      <c r="J381" s="3"/>
      <c r="K381" s="2"/>
      <c r="M381" s="3"/>
      <c r="N381" s="3"/>
      <c r="O381" s="64"/>
      <c r="P381" s="64"/>
      <c r="Q381" s="64"/>
      <c r="R381" s="64"/>
      <c r="S381" s="3"/>
      <c r="T381" s="3"/>
    </row>
    <row r="382" spans="1:20" s="244" customFormat="1">
      <c r="A382" s="529"/>
      <c r="B382" s="165" t="s">
        <v>9</v>
      </c>
      <c r="C382" s="77" t="s">
        <v>204</v>
      </c>
      <c r="D382" s="78">
        <v>1.5</v>
      </c>
      <c r="E382" s="79">
        <f>+'VALOR CUADRILLAS MO'!D75</f>
        <v>26134.297994712331</v>
      </c>
      <c r="F382" s="79">
        <f>+E382*D382</f>
        <v>39201.446992068493</v>
      </c>
      <c r="G382" s="2"/>
      <c r="H382" s="2"/>
      <c r="I382" s="2"/>
      <c r="J382" s="3"/>
      <c r="K382" s="2"/>
      <c r="M382" s="3"/>
      <c r="N382" s="3"/>
      <c r="O382" s="64"/>
      <c r="P382" s="64"/>
      <c r="Q382" s="64"/>
      <c r="R382" s="64"/>
      <c r="S382" s="3"/>
      <c r="T382" s="3"/>
    </row>
    <row r="383" spans="1:20" s="244" customFormat="1">
      <c r="A383" s="529"/>
      <c r="B383" s="165"/>
      <c r="C383" s="77"/>
      <c r="D383" s="78"/>
      <c r="E383" s="79"/>
      <c r="F383" s="79"/>
      <c r="G383" s="2"/>
      <c r="H383" s="2"/>
      <c r="I383" s="2"/>
      <c r="J383" s="3"/>
      <c r="K383" s="2"/>
      <c r="M383" s="3"/>
      <c r="N383" s="3"/>
      <c r="O383" s="64"/>
      <c r="P383" s="64"/>
      <c r="Q383" s="64"/>
      <c r="R383" s="64"/>
      <c r="S383" s="3"/>
      <c r="T383" s="3"/>
    </row>
    <row r="384" spans="1:20" s="244" customFormat="1" ht="64.5" customHeight="1">
      <c r="A384" s="246">
        <f>+A376+1</f>
        <v>52</v>
      </c>
      <c r="B384" s="83" t="s">
        <v>2643</v>
      </c>
      <c r="C384" s="76" t="s">
        <v>26</v>
      </c>
      <c r="D384" s="73"/>
      <c r="E384" s="74"/>
      <c r="F384" s="75" t="e">
        <f>ROUND(SUM(F385:F394),0)</f>
        <v>#REF!</v>
      </c>
      <c r="G384" s="2"/>
      <c r="H384" s="2"/>
      <c r="I384" s="2"/>
      <c r="M384" s="3"/>
      <c r="N384" s="3"/>
      <c r="O384" s="64"/>
      <c r="P384" s="64"/>
      <c r="Q384" s="64"/>
      <c r="R384" s="64"/>
      <c r="S384" s="3"/>
      <c r="T384" s="3"/>
    </row>
    <row r="385" spans="1:20" s="2" customFormat="1">
      <c r="A385" s="529"/>
      <c r="B385" s="165" t="s">
        <v>362</v>
      </c>
      <c r="C385" s="77" t="s">
        <v>121</v>
      </c>
      <c r="D385" s="78">
        <v>0.34</v>
      </c>
      <c r="E385" s="79">
        <f>+BASICOS!E96</f>
        <v>405781</v>
      </c>
      <c r="F385" s="79">
        <f>+E385*D385</f>
        <v>137965.54</v>
      </c>
      <c r="J385" s="244"/>
      <c r="K385" s="244"/>
      <c r="L385" s="244"/>
      <c r="M385" s="3"/>
      <c r="N385" s="3"/>
      <c r="O385" s="64"/>
      <c r="P385" s="64"/>
      <c r="Q385" s="64"/>
      <c r="R385" s="64"/>
      <c r="S385" s="3"/>
      <c r="T385" s="3"/>
    </row>
    <row r="386" spans="1:20" s="2" customFormat="1">
      <c r="A386" s="529"/>
      <c r="B386" s="165" t="s">
        <v>37</v>
      </c>
      <c r="C386" s="77" t="s">
        <v>120</v>
      </c>
      <c r="D386" s="78">
        <v>290</v>
      </c>
      <c r="E386" s="79">
        <f>INSUMOS!D46</f>
        <v>5600</v>
      </c>
      <c r="F386" s="79">
        <f>+E386*D386</f>
        <v>1624000</v>
      </c>
      <c r="J386" s="244"/>
      <c r="K386" s="244"/>
      <c r="L386" s="244"/>
      <c r="M386" s="3"/>
      <c r="N386" s="3"/>
      <c r="O386" s="64"/>
      <c r="P386" s="64"/>
      <c r="Q386" s="64"/>
      <c r="R386" s="64"/>
      <c r="S386" s="3"/>
      <c r="T386" s="3"/>
    </row>
    <row r="387" spans="1:20" s="2" customFormat="1">
      <c r="A387" s="529"/>
      <c r="B387" s="165" t="s">
        <v>635</v>
      </c>
      <c r="C387" s="77" t="s">
        <v>121</v>
      </c>
      <c r="D387" s="78">
        <v>1.78</v>
      </c>
      <c r="E387" s="79">
        <f>+BASICOS!D16</f>
        <v>36890</v>
      </c>
      <c r="F387" s="79">
        <f>+E387*D387</f>
        <v>65664.2</v>
      </c>
      <c r="J387" s="244"/>
      <c r="K387" s="244"/>
      <c r="L387" s="244"/>
      <c r="M387" s="3"/>
      <c r="N387" s="3"/>
      <c r="O387" s="64"/>
      <c r="P387" s="64"/>
      <c r="Q387" s="64"/>
      <c r="R387" s="64"/>
      <c r="S387" s="3"/>
      <c r="T387" s="3"/>
    </row>
    <row r="388" spans="1:20" s="2" customFormat="1">
      <c r="A388" s="529"/>
      <c r="B388" s="165" t="s">
        <v>229</v>
      </c>
      <c r="C388" s="77" t="s">
        <v>68</v>
      </c>
      <c r="D388" s="78">
        <v>0.05</v>
      </c>
      <c r="E388" s="79">
        <f>SUM(F385:F387)</f>
        <v>1827629.74</v>
      </c>
      <c r="F388" s="79">
        <f>+D388*E388</f>
        <v>91381.487000000008</v>
      </c>
      <c r="J388" s="244"/>
      <c r="K388" s="244"/>
      <c r="L388" s="244"/>
      <c r="M388" s="3"/>
      <c r="N388" s="3"/>
      <c r="O388" s="64"/>
      <c r="P388" s="64"/>
      <c r="Q388" s="64"/>
      <c r="R388" s="64"/>
      <c r="S388" s="3"/>
      <c r="T388" s="3"/>
    </row>
    <row r="389" spans="1:20" s="2" customFormat="1">
      <c r="A389" s="529"/>
      <c r="B389" s="165" t="s">
        <v>136</v>
      </c>
      <c r="C389" s="77" t="s">
        <v>68</v>
      </c>
      <c r="D389" s="78"/>
      <c r="E389" s="79">
        <f>SUM(F385:F387)</f>
        <v>1827629.74</v>
      </c>
      <c r="F389" s="79">
        <f>+D389*E389</f>
        <v>0</v>
      </c>
      <c r="J389" s="244"/>
      <c r="K389" s="244"/>
      <c r="L389" s="244"/>
      <c r="M389" s="3"/>
      <c r="N389" s="3"/>
      <c r="O389" s="64"/>
      <c r="P389" s="64"/>
      <c r="Q389" s="64"/>
      <c r="R389" s="64"/>
      <c r="S389" s="3"/>
      <c r="T389" s="3"/>
    </row>
    <row r="390" spans="1:20" s="2" customFormat="1" ht="25.5">
      <c r="A390" s="529"/>
      <c r="B390" s="165" t="s">
        <v>361</v>
      </c>
      <c r="C390" s="77" t="s">
        <v>21</v>
      </c>
      <c r="D390" s="78">
        <v>3.5</v>
      </c>
      <c r="E390" s="79" t="e">
        <f>+F353</f>
        <v>#REF!</v>
      </c>
      <c r="F390" s="79" t="e">
        <f>+E390*D390</f>
        <v>#REF!</v>
      </c>
      <c r="J390" s="244"/>
      <c r="K390" s="244"/>
      <c r="L390" s="244"/>
      <c r="M390" s="3"/>
      <c r="N390" s="3"/>
      <c r="O390" s="64"/>
      <c r="P390" s="64"/>
      <c r="Q390" s="64"/>
      <c r="R390" s="64"/>
      <c r="S390" s="3"/>
      <c r="T390" s="3"/>
    </row>
    <row r="391" spans="1:20" s="2" customFormat="1">
      <c r="A391" s="529"/>
      <c r="B391" s="165" t="s">
        <v>625</v>
      </c>
      <c r="C391" s="77" t="s">
        <v>26</v>
      </c>
      <c r="D391" s="78">
        <v>1</v>
      </c>
      <c r="E391" s="79" t="e">
        <f>+F353</f>
        <v>#REF!</v>
      </c>
      <c r="F391" s="79" t="e">
        <f>+E391*D391</f>
        <v>#REF!</v>
      </c>
      <c r="J391" s="244"/>
      <c r="K391" s="244"/>
      <c r="L391" s="244"/>
      <c r="M391" s="3"/>
      <c r="N391" s="3"/>
      <c r="O391" s="64"/>
      <c r="P391" s="64"/>
      <c r="Q391" s="64"/>
      <c r="R391" s="64"/>
      <c r="S391" s="3"/>
      <c r="T391" s="3"/>
    </row>
    <row r="392" spans="1:20" s="2" customFormat="1">
      <c r="A392" s="529"/>
      <c r="B392" s="165" t="s">
        <v>636</v>
      </c>
      <c r="C392" s="77" t="s">
        <v>26</v>
      </c>
      <c r="D392" s="78">
        <v>1</v>
      </c>
      <c r="E392" s="79" t="e">
        <f>+INSUMOS!#REF!</f>
        <v>#REF!</v>
      </c>
      <c r="F392" s="79" t="e">
        <f>+E392*D392</f>
        <v>#REF!</v>
      </c>
      <c r="J392" s="244"/>
      <c r="K392" s="244"/>
      <c r="L392" s="244"/>
      <c r="M392" s="3"/>
      <c r="N392" s="3"/>
      <c r="O392" s="64"/>
      <c r="P392" s="64"/>
      <c r="Q392" s="64"/>
      <c r="R392" s="64"/>
      <c r="S392" s="3"/>
      <c r="T392" s="3"/>
    </row>
    <row r="393" spans="1:20" s="2" customFormat="1">
      <c r="A393" s="529"/>
      <c r="B393" s="165" t="s">
        <v>11</v>
      </c>
      <c r="C393" s="77" t="s">
        <v>284</v>
      </c>
      <c r="D393" s="78">
        <v>0.03</v>
      </c>
      <c r="E393" s="79">
        <f>+F394</f>
        <v>457350.21490746579</v>
      </c>
      <c r="F393" s="79">
        <f>(D393*E393)</f>
        <v>13720.506447223974</v>
      </c>
      <c r="J393" s="244"/>
      <c r="K393" s="244"/>
      <c r="L393" s="244"/>
      <c r="M393" s="3"/>
      <c r="N393" s="3"/>
      <c r="O393" s="64"/>
      <c r="P393" s="64"/>
      <c r="Q393" s="64"/>
      <c r="R393" s="64"/>
      <c r="S393" s="3"/>
      <c r="T393" s="3"/>
    </row>
    <row r="394" spans="1:20" s="2" customFormat="1">
      <c r="A394" s="529"/>
      <c r="B394" s="165" t="s">
        <v>9</v>
      </c>
      <c r="C394" s="77" t="s">
        <v>10</v>
      </c>
      <c r="D394" s="78">
        <v>17.5</v>
      </c>
      <c r="E394" s="79">
        <f>+'VALOR CUADRILLAS MO'!D75</f>
        <v>26134.297994712331</v>
      </c>
      <c r="F394" s="79">
        <f>+D394*E394</f>
        <v>457350.21490746579</v>
      </c>
      <c r="J394" s="244"/>
      <c r="K394" s="244"/>
      <c r="L394" s="244"/>
      <c r="M394" s="3"/>
      <c r="N394" s="3"/>
      <c r="O394" s="64"/>
      <c r="P394" s="64"/>
      <c r="Q394" s="64"/>
      <c r="R394" s="64"/>
      <c r="S394" s="3"/>
      <c r="T394" s="3"/>
    </row>
    <row r="395" spans="1:20" s="2" customFormat="1">
      <c r="A395" s="529"/>
      <c r="B395" s="165"/>
      <c r="C395" s="77"/>
      <c r="D395" s="78"/>
      <c r="E395" s="79"/>
      <c r="F395" s="79"/>
      <c r="J395" s="244"/>
      <c r="K395" s="244"/>
      <c r="L395" s="244"/>
      <c r="M395" s="3"/>
      <c r="N395" s="3"/>
      <c r="O395" s="64"/>
      <c r="P395" s="64"/>
      <c r="Q395" s="64"/>
      <c r="R395" s="64"/>
      <c r="S395" s="3"/>
      <c r="T395" s="3"/>
    </row>
    <row r="396" spans="1:20" s="2" customFormat="1" ht="69" customHeight="1">
      <c r="A396" s="246">
        <f>+A384+1</f>
        <v>53</v>
      </c>
      <c r="B396" s="83" t="s">
        <v>613</v>
      </c>
      <c r="C396" s="76" t="s">
        <v>26</v>
      </c>
      <c r="D396" s="73"/>
      <c r="E396" s="74"/>
      <c r="F396" s="75" t="e">
        <f>ROUND(SUM(F397:F408),0)</f>
        <v>#REF!</v>
      </c>
      <c r="J396" s="244"/>
      <c r="K396" s="244"/>
      <c r="L396" s="244"/>
      <c r="M396" s="3"/>
      <c r="N396" s="3"/>
      <c r="O396" s="64"/>
      <c r="P396" s="64"/>
      <c r="Q396" s="64"/>
      <c r="R396" s="64"/>
      <c r="S396" s="3"/>
      <c r="T396" s="3"/>
    </row>
    <row r="397" spans="1:20" s="2" customFormat="1" hidden="1">
      <c r="A397" s="531"/>
      <c r="B397" s="385" t="s">
        <v>34</v>
      </c>
      <c r="C397" s="64" t="s">
        <v>26</v>
      </c>
      <c r="D397" s="59">
        <v>478</v>
      </c>
      <c r="E397" s="70">
        <f>+BASICOS!D19</f>
        <v>400</v>
      </c>
      <c r="F397" s="70">
        <f t="shared" ref="F397:F402" si="18">+E397*D397</f>
        <v>191200</v>
      </c>
      <c r="J397" s="244"/>
      <c r="K397" s="244"/>
      <c r="L397" s="244"/>
      <c r="M397" s="3"/>
      <c r="N397" s="3"/>
      <c r="O397" s="64"/>
      <c r="P397" s="64"/>
      <c r="Q397" s="64"/>
      <c r="R397" s="64"/>
      <c r="S397" s="3"/>
      <c r="T397" s="3"/>
    </row>
    <row r="398" spans="1:20" s="2" customFormat="1">
      <c r="A398" s="529"/>
      <c r="B398" s="165" t="s">
        <v>34</v>
      </c>
      <c r="C398" s="77" t="s">
        <v>26</v>
      </c>
      <c r="D398" s="78">
        <v>234</v>
      </c>
      <c r="E398" s="79">
        <f>+BASICOS!D19</f>
        <v>400</v>
      </c>
      <c r="F398" s="79">
        <f t="shared" si="18"/>
        <v>93600</v>
      </c>
      <c r="J398" s="244"/>
      <c r="K398" s="244"/>
      <c r="L398" s="244"/>
      <c r="M398" s="3"/>
      <c r="N398" s="3"/>
      <c r="O398" s="64"/>
      <c r="P398" s="64"/>
      <c r="Q398" s="64"/>
      <c r="R398" s="64"/>
      <c r="S398" s="3"/>
      <c r="T398" s="3"/>
    </row>
    <row r="399" spans="1:20" s="2" customFormat="1">
      <c r="A399" s="529"/>
      <c r="B399" s="165" t="s">
        <v>258</v>
      </c>
      <c r="C399" s="77" t="s">
        <v>121</v>
      </c>
      <c r="D399" s="78">
        <v>0.09</v>
      </c>
      <c r="E399" s="79">
        <f>+BASICOS!E80</f>
        <v>318331</v>
      </c>
      <c r="F399" s="79">
        <f t="shared" si="18"/>
        <v>28649.789999999997</v>
      </c>
      <c r="J399" s="244"/>
      <c r="K399" s="244"/>
      <c r="L399" s="244"/>
      <c r="M399" s="3"/>
      <c r="N399" s="3"/>
      <c r="O399" s="64"/>
      <c r="P399" s="64"/>
      <c r="Q399" s="64"/>
      <c r="R399" s="64"/>
      <c r="S399" s="3"/>
      <c r="T399" s="3"/>
    </row>
    <row r="400" spans="1:20" s="2" customFormat="1">
      <c r="A400" s="529"/>
      <c r="B400" s="165" t="s">
        <v>362</v>
      </c>
      <c r="C400" s="77" t="s">
        <v>121</v>
      </c>
      <c r="D400" s="78">
        <v>0.09</v>
      </c>
      <c r="E400" s="79">
        <f>+BASICOS!E96</f>
        <v>405781</v>
      </c>
      <c r="F400" s="79">
        <f t="shared" si="18"/>
        <v>36520.29</v>
      </c>
      <c r="J400" s="244"/>
      <c r="K400" s="244"/>
      <c r="L400" s="244"/>
      <c r="M400" s="3"/>
      <c r="N400" s="3"/>
      <c r="O400" s="64"/>
      <c r="P400" s="64"/>
      <c r="Q400" s="64"/>
      <c r="R400" s="64"/>
      <c r="S400" s="3"/>
      <c r="T400" s="3"/>
    </row>
    <row r="401" spans="1:20" s="2" customFormat="1">
      <c r="A401" s="529"/>
      <c r="B401" s="165" t="s">
        <v>37</v>
      </c>
      <c r="C401" s="77" t="s">
        <v>120</v>
      </c>
      <c r="D401" s="78">
        <f>11*0.56</f>
        <v>6.16</v>
      </c>
      <c r="E401" s="79">
        <f>INSUMOS!D46</f>
        <v>5600</v>
      </c>
      <c r="F401" s="79">
        <f t="shared" si="18"/>
        <v>34496</v>
      </c>
      <c r="J401" s="244"/>
      <c r="K401" s="244"/>
      <c r="L401" s="244"/>
      <c r="M401" s="3"/>
      <c r="N401" s="3"/>
      <c r="O401" s="64"/>
      <c r="P401" s="64"/>
      <c r="Q401" s="64"/>
      <c r="R401" s="64"/>
      <c r="S401" s="3"/>
      <c r="T401" s="3"/>
    </row>
    <row r="402" spans="1:20" s="2" customFormat="1">
      <c r="A402" s="529"/>
      <c r="B402" s="165" t="s">
        <v>363</v>
      </c>
      <c r="C402" s="77" t="s">
        <v>121</v>
      </c>
      <c r="D402" s="78">
        <v>0.13</v>
      </c>
      <c r="E402" s="79">
        <f>+BASICOS!E156</f>
        <v>367144</v>
      </c>
      <c r="F402" s="79">
        <f t="shared" si="18"/>
        <v>47728.72</v>
      </c>
      <c r="J402" s="244"/>
      <c r="K402" s="244"/>
      <c r="L402" s="244"/>
      <c r="M402" s="3"/>
      <c r="N402" s="3"/>
      <c r="O402" s="64"/>
      <c r="P402" s="64"/>
      <c r="Q402" s="64"/>
      <c r="R402" s="64"/>
      <c r="S402" s="3"/>
      <c r="T402" s="3"/>
    </row>
    <row r="403" spans="1:20" s="2" customFormat="1">
      <c r="A403" s="529"/>
      <c r="B403" s="165" t="s">
        <v>229</v>
      </c>
      <c r="C403" s="77" t="s">
        <v>68</v>
      </c>
      <c r="D403" s="78">
        <v>0.05</v>
      </c>
      <c r="E403" s="79">
        <f>SUM(F398:F402)</f>
        <v>240994.8</v>
      </c>
      <c r="F403" s="79">
        <f>+D403*E403</f>
        <v>12049.74</v>
      </c>
      <c r="J403" s="244"/>
      <c r="K403" s="244"/>
      <c r="L403" s="244"/>
      <c r="M403" s="3"/>
      <c r="N403" s="3"/>
      <c r="O403" s="64"/>
      <c r="P403" s="64"/>
      <c r="Q403" s="64"/>
      <c r="R403" s="64"/>
      <c r="S403" s="3"/>
      <c r="T403" s="3"/>
    </row>
    <row r="404" spans="1:20" s="2" customFormat="1">
      <c r="A404" s="529"/>
      <c r="B404" s="165" t="s">
        <v>136</v>
      </c>
      <c r="C404" s="77" t="s">
        <v>68</v>
      </c>
      <c r="D404" s="78"/>
      <c r="E404" s="79">
        <f>SUM(F397:F402)</f>
        <v>432194.79999999993</v>
      </c>
      <c r="F404" s="79">
        <f>+D404*E404</f>
        <v>0</v>
      </c>
      <c r="J404" s="244"/>
      <c r="K404" s="244"/>
      <c r="L404" s="244"/>
      <c r="M404" s="3"/>
      <c r="N404" s="3"/>
      <c r="O404" s="64"/>
      <c r="P404" s="64"/>
      <c r="Q404" s="64"/>
      <c r="R404" s="64"/>
      <c r="S404" s="3"/>
      <c r="T404" s="3"/>
    </row>
    <row r="405" spans="1:20" s="2" customFormat="1">
      <c r="A405" s="529"/>
      <c r="B405" s="165" t="s">
        <v>626</v>
      </c>
      <c r="C405" s="77" t="s">
        <v>26</v>
      </c>
      <c r="D405" s="78">
        <v>1</v>
      </c>
      <c r="E405" s="79">
        <f>+F362</f>
        <v>144296.26826491981</v>
      </c>
      <c r="F405" s="79">
        <f>+E405*D405</f>
        <v>144296.26826491981</v>
      </c>
      <c r="J405" s="244"/>
      <c r="K405" s="244"/>
      <c r="L405" s="244"/>
      <c r="M405" s="3"/>
      <c r="N405" s="3"/>
      <c r="O405" s="64"/>
      <c r="P405" s="64"/>
      <c r="Q405" s="64"/>
      <c r="R405" s="64"/>
      <c r="S405" s="3"/>
      <c r="T405" s="3"/>
    </row>
    <row r="406" spans="1:20" s="2" customFormat="1">
      <c r="A406" s="529"/>
      <c r="B406" s="165" t="s">
        <v>366</v>
      </c>
      <c r="C406" s="77" t="s">
        <v>26</v>
      </c>
      <c r="D406" s="78">
        <v>1</v>
      </c>
      <c r="E406" s="79" t="e">
        <f>+INSUMOS!#REF!</f>
        <v>#REF!</v>
      </c>
      <c r="F406" s="79" t="e">
        <f>+E406*D406</f>
        <v>#REF!</v>
      </c>
      <c r="J406" s="244"/>
      <c r="K406" s="244"/>
      <c r="L406" s="244"/>
      <c r="M406" s="3"/>
      <c r="N406" s="3"/>
      <c r="O406" s="64"/>
      <c r="P406" s="64"/>
      <c r="Q406" s="64"/>
      <c r="R406" s="64"/>
      <c r="S406" s="3"/>
      <c r="T406" s="3"/>
    </row>
    <row r="407" spans="1:20" s="2" customFormat="1">
      <c r="A407" s="529"/>
      <c r="B407" s="165" t="s">
        <v>11</v>
      </c>
      <c r="C407" s="77" t="s">
        <v>284</v>
      </c>
      <c r="D407" s="78">
        <v>0.03</v>
      </c>
      <c r="E407" s="79">
        <f>+F408</f>
        <v>156805.78796827397</v>
      </c>
      <c r="F407" s="79">
        <f>(D407*E407)</f>
        <v>4704.1736390482192</v>
      </c>
      <c r="J407" s="244"/>
      <c r="K407" s="244"/>
      <c r="L407" s="244"/>
      <c r="M407" s="3"/>
      <c r="N407" s="3"/>
      <c r="O407" s="64"/>
      <c r="P407" s="64"/>
      <c r="Q407" s="64"/>
      <c r="R407" s="64"/>
      <c r="S407" s="3"/>
      <c r="T407" s="3"/>
    </row>
    <row r="408" spans="1:20" s="2" customFormat="1">
      <c r="A408" s="529"/>
      <c r="B408" s="165" t="s">
        <v>9</v>
      </c>
      <c r="C408" s="77" t="s">
        <v>10</v>
      </c>
      <c r="D408" s="78">
        <v>6</v>
      </c>
      <c r="E408" s="79">
        <f>+'VALOR CUADRILLAS MO'!D75</f>
        <v>26134.297994712331</v>
      </c>
      <c r="F408" s="79">
        <f>+D408*E408</f>
        <v>156805.78796827397</v>
      </c>
      <c r="J408" s="244"/>
      <c r="K408" s="244"/>
      <c r="L408" s="244"/>
      <c r="M408" s="3"/>
      <c r="N408" s="3"/>
      <c r="O408" s="64"/>
      <c r="P408" s="64"/>
      <c r="Q408" s="64"/>
      <c r="R408" s="64"/>
      <c r="S408" s="3"/>
      <c r="T408" s="3"/>
    </row>
    <row r="409" spans="1:20" s="2" customFormat="1">
      <c r="A409" s="529"/>
      <c r="B409" s="165"/>
      <c r="C409" s="77"/>
      <c r="D409" s="78"/>
      <c r="E409" s="79"/>
      <c r="F409" s="79"/>
      <c r="J409" s="244"/>
      <c r="K409" s="244"/>
      <c r="L409" s="244"/>
      <c r="M409" s="3"/>
      <c r="N409" s="3"/>
      <c r="O409" s="64"/>
      <c r="P409" s="64"/>
      <c r="Q409" s="64"/>
      <c r="R409" s="64"/>
      <c r="S409" s="3"/>
      <c r="T409" s="3"/>
    </row>
    <row r="410" spans="1:20" s="2" customFormat="1" ht="46.9" customHeight="1">
      <c r="A410" s="246">
        <f>+A396+1</f>
        <v>54</v>
      </c>
      <c r="B410" s="83" t="s">
        <v>639</v>
      </c>
      <c r="C410" s="76" t="s">
        <v>26</v>
      </c>
      <c r="D410" s="73"/>
      <c r="E410" s="74"/>
      <c r="F410" s="75" t="e">
        <f>ROUND(SUM(F411:F420),0)</f>
        <v>#REF!</v>
      </c>
      <c r="J410" s="244"/>
      <c r="K410" s="244"/>
      <c r="L410" s="244"/>
      <c r="M410" s="3"/>
      <c r="N410" s="3"/>
      <c r="O410" s="64"/>
      <c r="P410" s="64"/>
      <c r="Q410" s="64"/>
      <c r="R410" s="64"/>
      <c r="S410" s="3"/>
      <c r="T410" s="3"/>
    </row>
    <row r="411" spans="1:20" s="2" customFormat="1">
      <c r="A411" s="529"/>
      <c r="B411" s="165" t="s">
        <v>362</v>
      </c>
      <c r="C411" s="77" t="s">
        <v>121</v>
      </c>
      <c r="D411" s="78">
        <v>0.2</v>
      </c>
      <c r="E411" s="79">
        <f>+BASICOS!E96</f>
        <v>405781</v>
      </c>
      <c r="F411" s="79">
        <f t="shared" ref="F411:F418" si="19">+E411*D411</f>
        <v>81156.200000000012</v>
      </c>
      <c r="J411" s="244"/>
      <c r="K411" s="244"/>
      <c r="L411" s="244"/>
      <c r="M411" s="3"/>
      <c r="N411" s="3"/>
      <c r="O411" s="64"/>
      <c r="P411" s="64"/>
      <c r="Q411" s="64"/>
      <c r="R411" s="64"/>
      <c r="S411" s="3"/>
      <c r="T411" s="3"/>
    </row>
    <row r="412" spans="1:20" s="2" customFormat="1">
      <c r="A412" s="529"/>
      <c r="B412" s="165" t="s">
        <v>37</v>
      </c>
      <c r="C412" s="77" t="s">
        <v>120</v>
      </c>
      <c r="D412" s="78">
        <v>176</v>
      </c>
      <c r="E412" s="79">
        <f>INSUMOS!D46</f>
        <v>5600</v>
      </c>
      <c r="F412" s="79">
        <f t="shared" si="19"/>
        <v>985600</v>
      </c>
      <c r="J412" s="244"/>
      <c r="K412" s="244"/>
      <c r="L412" s="244"/>
      <c r="M412" s="3"/>
      <c r="N412" s="3"/>
      <c r="O412" s="64"/>
      <c r="P412" s="64"/>
      <c r="Q412" s="64"/>
      <c r="R412" s="64"/>
      <c r="S412" s="3"/>
      <c r="T412" s="3"/>
    </row>
    <row r="413" spans="1:20" s="2" customFormat="1">
      <c r="A413" s="529"/>
      <c r="B413" s="165" t="s">
        <v>635</v>
      </c>
      <c r="C413" s="77" t="s">
        <v>121</v>
      </c>
      <c r="D413" s="78">
        <v>1.02</v>
      </c>
      <c r="E413" s="79">
        <f>+BASICOS!D16</f>
        <v>36890</v>
      </c>
      <c r="F413" s="79">
        <f>+E413*D413</f>
        <v>37627.800000000003</v>
      </c>
      <c r="J413" s="244"/>
      <c r="K413" s="244"/>
      <c r="L413" s="244"/>
      <c r="M413" s="3"/>
      <c r="N413" s="3"/>
      <c r="O413" s="64"/>
      <c r="P413" s="64"/>
      <c r="Q413" s="64"/>
      <c r="R413" s="64"/>
      <c r="S413" s="3"/>
      <c r="T413" s="3"/>
    </row>
    <row r="414" spans="1:20" s="2" customFormat="1">
      <c r="A414" s="529"/>
      <c r="B414" s="165" t="s">
        <v>229</v>
      </c>
      <c r="C414" s="77" t="s">
        <v>68</v>
      </c>
      <c r="D414" s="78">
        <v>0.05</v>
      </c>
      <c r="E414" s="79">
        <f>SUM(F411:F413)</f>
        <v>1104384</v>
      </c>
      <c r="F414" s="79">
        <f>+D414*E414</f>
        <v>55219.200000000004</v>
      </c>
      <c r="J414" s="244"/>
      <c r="K414" s="244"/>
      <c r="L414" s="244"/>
      <c r="M414" s="3"/>
      <c r="N414" s="3"/>
      <c r="O414" s="64"/>
      <c r="P414" s="64"/>
      <c r="Q414" s="64"/>
      <c r="R414" s="64"/>
      <c r="S414" s="3"/>
      <c r="T414" s="3"/>
    </row>
    <row r="415" spans="1:20" s="2" customFormat="1">
      <c r="A415" s="529"/>
      <c r="B415" s="165" t="s">
        <v>136</v>
      </c>
      <c r="C415" s="77" t="s">
        <v>68</v>
      </c>
      <c r="D415" s="78"/>
      <c r="E415" s="79">
        <f>SUM(F411:F412)</f>
        <v>1066756.2</v>
      </c>
      <c r="F415" s="79">
        <f>+D415*E415</f>
        <v>0</v>
      </c>
      <c r="J415" s="244"/>
      <c r="K415" s="244"/>
      <c r="L415" s="244"/>
      <c r="M415" s="3"/>
      <c r="N415" s="3"/>
      <c r="O415" s="64"/>
      <c r="P415" s="64"/>
      <c r="Q415" s="64"/>
      <c r="R415" s="64"/>
      <c r="S415" s="3"/>
      <c r="T415" s="3"/>
    </row>
    <row r="416" spans="1:20" s="2" customFormat="1" ht="25.5">
      <c r="A416" s="529"/>
      <c r="B416" s="165" t="s">
        <v>361</v>
      </c>
      <c r="C416" s="77" t="s">
        <v>21</v>
      </c>
      <c r="D416" s="78">
        <v>2</v>
      </c>
      <c r="E416" s="79" t="e">
        <f>+F353</f>
        <v>#REF!</v>
      </c>
      <c r="F416" s="79" t="e">
        <f>+E416*D416</f>
        <v>#REF!</v>
      </c>
      <c r="J416" s="244"/>
      <c r="K416" s="244"/>
      <c r="L416" s="244"/>
      <c r="M416" s="3"/>
      <c r="N416" s="3"/>
      <c r="O416" s="64"/>
      <c r="P416" s="64"/>
      <c r="Q416" s="64"/>
      <c r="R416" s="64"/>
      <c r="S416" s="3"/>
      <c r="T416" s="3"/>
    </row>
    <row r="417" spans="1:20" s="2" customFormat="1">
      <c r="A417" s="529"/>
      <c r="B417" s="165" t="s">
        <v>626</v>
      </c>
      <c r="C417" s="77" t="s">
        <v>26</v>
      </c>
      <c r="D417" s="78">
        <v>1</v>
      </c>
      <c r="E417" s="79">
        <f>+F369</f>
        <v>221861</v>
      </c>
      <c r="F417" s="79">
        <f t="shared" si="19"/>
        <v>221861</v>
      </c>
      <c r="J417" s="244"/>
      <c r="K417" s="244"/>
      <c r="L417" s="244"/>
      <c r="M417" s="3"/>
      <c r="N417" s="3"/>
      <c r="O417" s="64"/>
      <c r="P417" s="64"/>
      <c r="Q417" s="64"/>
      <c r="R417" s="64"/>
      <c r="S417" s="3"/>
      <c r="T417" s="3"/>
    </row>
    <row r="418" spans="1:20" s="2" customFormat="1">
      <c r="A418" s="529"/>
      <c r="B418" s="165" t="s">
        <v>636</v>
      </c>
      <c r="C418" s="77" t="s">
        <v>26</v>
      </c>
      <c r="D418" s="78">
        <v>1</v>
      </c>
      <c r="E418" s="79" t="e">
        <f>+INSUMOS!#REF!</f>
        <v>#REF!</v>
      </c>
      <c r="F418" s="79" t="e">
        <f t="shared" si="19"/>
        <v>#REF!</v>
      </c>
      <c r="J418" s="244"/>
      <c r="K418" s="244"/>
      <c r="L418" s="244"/>
      <c r="M418" s="3"/>
      <c r="N418" s="3"/>
      <c r="O418" s="64"/>
      <c r="P418" s="64"/>
      <c r="Q418" s="64"/>
      <c r="R418" s="64"/>
      <c r="S418" s="3"/>
      <c r="T418" s="3"/>
    </row>
    <row r="419" spans="1:20" s="2" customFormat="1">
      <c r="A419" s="529"/>
      <c r="B419" s="165" t="s">
        <v>11</v>
      </c>
      <c r="C419" s="77" t="s">
        <v>284</v>
      </c>
      <c r="D419" s="78">
        <v>0.03</v>
      </c>
      <c r="E419" s="79">
        <f>+F420</f>
        <v>261342.97994712333</v>
      </c>
      <c r="F419" s="79">
        <f>(D419*E419)</f>
        <v>7840.2893984136999</v>
      </c>
      <c r="J419" s="244"/>
      <c r="K419" s="244"/>
      <c r="L419" s="244"/>
      <c r="M419" s="3"/>
      <c r="N419" s="3"/>
      <c r="O419" s="64"/>
      <c r="P419" s="64"/>
      <c r="Q419" s="64"/>
      <c r="R419" s="64"/>
      <c r="S419" s="3"/>
      <c r="T419" s="3"/>
    </row>
    <row r="420" spans="1:20" s="2" customFormat="1">
      <c r="A420" s="529"/>
      <c r="B420" s="165" t="s">
        <v>9</v>
      </c>
      <c r="C420" s="77" t="s">
        <v>10</v>
      </c>
      <c r="D420" s="78">
        <v>10</v>
      </c>
      <c r="E420" s="79">
        <f>+'VALOR CUADRILLAS MO'!D75</f>
        <v>26134.297994712331</v>
      </c>
      <c r="F420" s="79">
        <f>+D420*E420</f>
        <v>261342.97994712333</v>
      </c>
      <c r="J420" s="244"/>
      <c r="K420" s="244"/>
      <c r="L420" s="244"/>
      <c r="M420" s="3"/>
      <c r="N420" s="3"/>
      <c r="O420" s="64"/>
      <c r="P420" s="64"/>
      <c r="Q420" s="64"/>
      <c r="R420" s="64"/>
      <c r="S420" s="3"/>
      <c r="T420" s="3"/>
    </row>
    <row r="421" spans="1:20" s="2" customFormat="1">
      <c r="A421" s="529"/>
      <c r="B421" s="165"/>
      <c r="C421" s="77"/>
      <c r="D421" s="78"/>
      <c r="E421" s="79"/>
      <c r="F421" s="79"/>
      <c r="J421" s="244"/>
      <c r="K421" s="244"/>
      <c r="L421" s="244"/>
      <c r="M421" s="3"/>
      <c r="N421" s="3"/>
      <c r="O421" s="64"/>
      <c r="P421" s="64"/>
      <c r="Q421" s="64"/>
      <c r="R421" s="64"/>
      <c r="S421" s="3"/>
      <c r="T421" s="3"/>
    </row>
    <row r="422" spans="1:20" s="2" customFormat="1" ht="38.25">
      <c r="A422" s="246">
        <f>+A410+1</f>
        <v>55</v>
      </c>
      <c r="B422" s="83" t="s">
        <v>531</v>
      </c>
      <c r="C422" s="76" t="s">
        <v>26</v>
      </c>
      <c r="D422" s="73"/>
      <c r="E422" s="74"/>
      <c r="F422" s="75" t="e">
        <f>ROUND(SUM(F423:F433),0)</f>
        <v>#REF!</v>
      </c>
      <c r="J422" s="244"/>
      <c r="K422" s="244"/>
      <c r="L422" s="244"/>
      <c r="M422" s="3"/>
      <c r="N422" s="3"/>
      <c r="O422" s="64"/>
      <c r="P422" s="64"/>
      <c r="Q422" s="64"/>
      <c r="R422" s="64"/>
      <c r="S422" s="3"/>
      <c r="T422" s="3"/>
    </row>
    <row r="423" spans="1:20" s="2" customFormat="1">
      <c r="A423" s="529"/>
      <c r="B423" s="165" t="s">
        <v>34</v>
      </c>
      <c r="C423" s="77" t="s">
        <v>26</v>
      </c>
      <c r="D423" s="78">
        <v>780</v>
      </c>
      <c r="E423" s="79">
        <f>+BASICOS!D19</f>
        <v>400</v>
      </c>
      <c r="F423" s="79">
        <f t="shared" ref="F423:F431" si="20">+E423*D423</f>
        <v>312000</v>
      </c>
      <c r="J423" s="244"/>
      <c r="K423" s="244"/>
      <c r="L423" s="244"/>
      <c r="M423" s="3"/>
      <c r="N423" s="3"/>
      <c r="O423" s="64"/>
      <c r="P423" s="64"/>
      <c r="Q423" s="64"/>
      <c r="R423" s="64"/>
      <c r="S423" s="3"/>
      <c r="T423" s="3"/>
    </row>
    <row r="424" spans="1:20" s="2" customFormat="1">
      <c r="A424" s="529"/>
      <c r="B424" s="165" t="s">
        <v>258</v>
      </c>
      <c r="C424" s="77" t="s">
        <v>121</v>
      </c>
      <c r="D424" s="78">
        <v>0.31</v>
      </c>
      <c r="E424" s="79">
        <f>+BASICOS!E80</f>
        <v>318331</v>
      </c>
      <c r="F424" s="79">
        <f t="shared" si="20"/>
        <v>98682.61</v>
      </c>
      <c r="J424" s="244"/>
      <c r="K424" s="244"/>
      <c r="L424" s="244"/>
      <c r="M424" s="3"/>
      <c r="N424" s="3"/>
      <c r="O424" s="64"/>
      <c r="P424" s="64"/>
      <c r="Q424" s="64"/>
      <c r="R424" s="64"/>
      <c r="S424" s="3"/>
      <c r="T424" s="3"/>
    </row>
    <row r="425" spans="1:20" s="2" customFormat="1">
      <c r="A425" s="529"/>
      <c r="B425" s="165" t="s">
        <v>362</v>
      </c>
      <c r="C425" s="77" t="s">
        <v>121</v>
      </c>
      <c r="D425" s="78">
        <v>0.16</v>
      </c>
      <c r="E425" s="79">
        <f>+BASICOS!E105</f>
        <v>463590</v>
      </c>
      <c r="F425" s="79">
        <f t="shared" si="20"/>
        <v>74174.400000000009</v>
      </c>
      <c r="J425" s="244"/>
      <c r="K425" s="244"/>
      <c r="L425" s="244"/>
      <c r="M425" s="3"/>
      <c r="N425" s="3"/>
      <c r="O425" s="64"/>
      <c r="P425" s="64"/>
      <c r="Q425" s="64"/>
      <c r="R425" s="64"/>
      <c r="S425" s="3"/>
      <c r="T425" s="3"/>
    </row>
    <row r="426" spans="1:20" s="2" customFormat="1">
      <c r="A426" s="529"/>
      <c r="B426" s="165" t="s">
        <v>37</v>
      </c>
      <c r="C426" s="77" t="s">
        <v>120</v>
      </c>
      <c r="D426" s="78">
        <v>6.16</v>
      </c>
      <c r="E426" s="79">
        <f>INSUMOS!D46</f>
        <v>5600</v>
      </c>
      <c r="F426" s="79">
        <f t="shared" si="20"/>
        <v>34496</v>
      </c>
      <c r="J426" s="244"/>
      <c r="K426" s="244"/>
      <c r="L426" s="244"/>
      <c r="M426" s="3"/>
      <c r="N426" s="3"/>
      <c r="O426" s="64"/>
      <c r="P426" s="64"/>
      <c r="Q426" s="64"/>
      <c r="R426" s="64"/>
      <c r="S426" s="3"/>
      <c r="T426" s="3"/>
    </row>
    <row r="427" spans="1:20" s="2" customFormat="1">
      <c r="A427" s="529"/>
      <c r="B427" s="165" t="s">
        <v>2878</v>
      </c>
      <c r="C427" s="77" t="s">
        <v>121</v>
      </c>
      <c r="D427" s="78">
        <v>0.13</v>
      </c>
      <c r="E427" s="79">
        <f>+BASICOS!E156</f>
        <v>367144</v>
      </c>
      <c r="F427" s="79">
        <f t="shared" si="20"/>
        <v>47728.72</v>
      </c>
      <c r="J427" s="244"/>
      <c r="K427" s="244"/>
      <c r="L427" s="244"/>
      <c r="M427" s="3"/>
      <c r="N427" s="3"/>
      <c r="O427" s="64"/>
      <c r="P427" s="64"/>
      <c r="Q427" s="64"/>
      <c r="R427" s="64"/>
      <c r="S427" s="3"/>
      <c r="T427" s="3"/>
    </row>
    <row r="428" spans="1:20" s="2" customFormat="1">
      <c r="A428" s="529"/>
      <c r="B428" s="165" t="s">
        <v>229</v>
      </c>
      <c r="C428" s="77" t="s">
        <v>68</v>
      </c>
      <c r="D428" s="78">
        <v>0.05</v>
      </c>
      <c r="E428" s="79">
        <f>SUM(F423:F427)</f>
        <v>567081.73</v>
      </c>
      <c r="F428" s="79">
        <f t="shared" si="20"/>
        <v>28354.086500000001</v>
      </c>
      <c r="J428" s="244"/>
      <c r="K428" s="244"/>
      <c r="L428" s="244"/>
      <c r="M428" s="3"/>
      <c r="N428" s="3"/>
      <c r="O428" s="64"/>
      <c r="P428" s="64"/>
      <c r="Q428" s="64"/>
      <c r="R428" s="64"/>
      <c r="S428" s="3"/>
      <c r="T428" s="3"/>
    </row>
    <row r="429" spans="1:20" s="2" customFormat="1">
      <c r="A429" s="529"/>
      <c r="B429" s="165" t="s">
        <v>136</v>
      </c>
      <c r="C429" s="77" t="s">
        <v>68</v>
      </c>
      <c r="D429" s="78"/>
      <c r="E429" s="79">
        <f>SUM(F423:F427)</f>
        <v>567081.73</v>
      </c>
      <c r="F429" s="79">
        <f>+D429*E429</f>
        <v>0</v>
      </c>
      <c r="J429" s="244"/>
      <c r="K429" s="244"/>
      <c r="L429" s="244"/>
      <c r="M429" s="3"/>
      <c r="N429" s="3"/>
      <c r="O429" s="64"/>
      <c r="P429" s="64"/>
      <c r="Q429" s="64"/>
      <c r="R429" s="64"/>
      <c r="S429" s="3"/>
      <c r="T429" s="3"/>
    </row>
    <row r="430" spans="1:20" s="2" customFormat="1">
      <c r="A430" s="529"/>
      <c r="B430" s="165" t="s">
        <v>626</v>
      </c>
      <c r="C430" s="77" t="s">
        <v>26</v>
      </c>
      <c r="D430" s="78">
        <v>1</v>
      </c>
      <c r="E430" s="79">
        <f>+F369</f>
        <v>221861</v>
      </c>
      <c r="F430" s="79">
        <f t="shared" si="20"/>
        <v>221861</v>
      </c>
      <c r="J430" s="244"/>
      <c r="K430" s="244"/>
      <c r="L430" s="244"/>
      <c r="M430" s="3"/>
      <c r="N430" s="3"/>
      <c r="O430" s="64"/>
      <c r="P430" s="64"/>
      <c r="Q430" s="64"/>
      <c r="R430" s="64"/>
      <c r="S430" s="3"/>
      <c r="T430" s="3"/>
    </row>
    <row r="431" spans="1:20" s="2" customFormat="1">
      <c r="A431" s="529"/>
      <c r="B431" s="165" t="s">
        <v>366</v>
      </c>
      <c r="C431" s="77" t="s">
        <v>26</v>
      </c>
      <c r="D431" s="78">
        <v>1</v>
      </c>
      <c r="E431" s="79" t="e">
        <f>+INSUMOS!#REF!</f>
        <v>#REF!</v>
      </c>
      <c r="F431" s="79" t="e">
        <f t="shared" si="20"/>
        <v>#REF!</v>
      </c>
      <c r="J431" s="244"/>
      <c r="K431" s="244"/>
      <c r="L431" s="244"/>
      <c r="M431" s="3"/>
      <c r="N431" s="3"/>
      <c r="O431" s="64"/>
      <c r="P431" s="64"/>
      <c r="Q431" s="64"/>
      <c r="R431" s="64"/>
      <c r="S431" s="3"/>
      <c r="T431" s="3"/>
    </row>
    <row r="432" spans="1:20" s="2" customFormat="1">
      <c r="A432" s="529"/>
      <c r="B432" s="165" t="s">
        <v>11</v>
      </c>
      <c r="C432" s="77" t="s">
        <v>284</v>
      </c>
      <c r="D432" s="78">
        <v>0.03</v>
      </c>
      <c r="E432" s="79">
        <f>+F433</f>
        <v>418148.7679153973</v>
      </c>
      <c r="F432" s="79">
        <f>(D432*E432)</f>
        <v>12544.463037461919</v>
      </c>
      <c r="J432" s="244"/>
      <c r="K432" s="244"/>
      <c r="L432" s="244"/>
      <c r="M432" s="3"/>
      <c r="N432" s="3"/>
      <c r="O432" s="64"/>
      <c r="P432" s="64"/>
      <c r="Q432" s="64"/>
      <c r="R432" s="64"/>
      <c r="S432" s="3"/>
      <c r="T432" s="3"/>
    </row>
    <row r="433" spans="1:20" s="2" customFormat="1">
      <c r="A433" s="529"/>
      <c r="B433" s="165" t="s">
        <v>9</v>
      </c>
      <c r="C433" s="77" t="s">
        <v>10</v>
      </c>
      <c r="D433" s="78">
        <v>16</v>
      </c>
      <c r="E433" s="79">
        <f>+'VALOR CUADRILLAS MO'!D75</f>
        <v>26134.297994712331</v>
      </c>
      <c r="F433" s="79">
        <f>+D433*E433</f>
        <v>418148.7679153973</v>
      </c>
      <c r="J433" s="244"/>
      <c r="K433" s="244"/>
      <c r="L433" s="244"/>
      <c r="M433" s="3"/>
      <c r="N433" s="3"/>
      <c r="O433" s="64"/>
      <c r="P433" s="64"/>
      <c r="Q433" s="64"/>
      <c r="R433" s="64"/>
      <c r="S433" s="3"/>
      <c r="T433" s="3"/>
    </row>
    <row r="434" spans="1:20" s="2" customFormat="1">
      <c r="A434" s="529"/>
      <c r="B434" s="165"/>
      <c r="C434" s="77"/>
      <c r="D434" s="78"/>
      <c r="E434" s="79"/>
      <c r="F434" s="79"/>
      <c r="J434" s="244"/>
      <c r="K434" s="244"/>
      <c r="L434" s="244"/>
      <c r="M434" s="3"/>
      <c r="N434" s="3"/>
      <c r="O434" s="64"/>
      <c r="P434" s="64"/>
      <c r="Q434" s="64"/>
      <c r="R434" s="64"/>
      <c r="S434" s="3"/>
      <c r="T434" s="3"/>
    </row>
    <row r="435" spans="1:20" s="2" customFormat="1" ht="34.9" customHeight="1">
      <c r="A435" s="246">
        <f>A422+1</f>
        <v>56</v>
      </c>
      <c r="B435" s="532" t="s">
        <v>2821</v>
      </c>
      <c r="C435" s="482" t="s">
        <v>21</v>
      </c>
      <c r="D435" s="483"/>
      <c r="E435" s="483"/>
      <c r="F435" s="479" t="e">
        <f>ROUND(SUM(F436:F444),0)</f>
        <v>#REF!</v>
      </c>
      <c r="J435" s="244"/>
      <c r="K435" s="244"/>
      <c r="L435" s="244"/>
      <c r="M435" s="3"/>
      <c r="N435" s="3"/>
      <c r="O435" s="64"/>
      <c r="P435" s="64"/>
      <c r="Q435" s="64"/>
      <c r="R435" s="64"/>
      <c r="S435" s="3"/>
      <c r="T435" s="3"/>
    </row>
    <row r="436" spans="1:20" s="2" customFormat="1">
      <c r="A436" s="529"/>
      <c r="B436" s="165" t="s">
        <v>2822</v>
      </c>
      <c r="C436" s="77" t="s">
        <v>121</v>
      </c>
      <c r="D436" s="379">
        <v>0.96</v>
      </c>
      <c r="E436" s="416">
        <f>BASICOS!E105</f>
        <v>463590</v>
      </c>
      <c r="F436" s="371">
        <f>+E436*D436</f>
        <v>445046.39999999997</v>
      </c>
      <c r="J436" s="244"/>
      <c r="K436" s="244"/>
      <c r="L436" s="244"/>
      <c r="M436" s="3"/>
      <c r="N436" s="3"/>
      <c r="O436" s="64"/>
      <c r="P436" s="64"/>
      <c r="Q436" s="64"/>
      <c r="R436" s="64"/>
      <c r="S436" s="3"/>
      <c r="T436" s="3"/>
    </row>
    <row r="437" spans="1:20" s="2" customFormat="1">
      <c r="A437" s="529"/>
      <c r="B437" s="165" t="s">
        <v>518</v>
      </c>
      <c r="C437" s="77" t="s">
        <v>120</v>
      </c>
      <c r="D437" s="379">
        <v>12.1</v>
      </c>
      <c r="E437" s="416">
        <f>INSUMOS!D110</f>
        <v>8466.85</v>
      </c>
      <c r="F437" s="371">
        <f>+E437*D437</f>
        <v>102448.88499999999</v>
      </c>
      <c r="J437" s="244"/>
      <c r="K437" s="244"/>
      <c r="L437" s="244"/>
      <c r="M437" s="3"/>
      <c r="N437" s="3"/>
      <c r="O437" s="64"/>
      <c r="P437" s="64"/>
      <c r="Q437" s="64"/>
      <c r="R437" s="64"/>
      <c r="S437" s="3"/>
      <c r="T437" s="3"/>
    </row>
    <row r="438" spans="1:20" s="2" customFormat="1">
      <c r="A438" s="529"/>
      <c r="B438" s="165" t="s">
        <v>270</v>
      </c>
      <c r="C438" s="77" t="s">
        <v>120</v>
      </c>
      <c r="D438" s="379">
        <v>36</v>
      </c>
      <c r="E438" s="416">
        <f>EDIFICACION!F261</f>
        <v>7437</v>
      </c>
      <c r="F438" s="371">
        <f t="shared" ref="F438:F444" si="21">+D438*E438</f>
        <v>267732</v>
      </c>
      <c r="J438" s="244"/>
      <c r="K438" s="244"/>
      <c r="L438" s="244"/>
      <c r="M438" s="3"/>
      <c r="N438" s="3"/>
      <c r="O438" s="64"/>
      <c r="P438" s="64"/>
      <c r="Q438" s="64"/>
      <c r="R438" s="64"/>
      <c r="S438" s="3"/>
      <c r="T438" s="3"/>
    </row>
    <row r="439" spans="1:20" s="2" customFormat="1">
      <c r="A439" s="529"/>
      <c r="B439" s="533" t="s">
        <v>231</v>
      </c>
      <c r="C439" s="451" t="s">
        <v>169</v>
      </c>
      <c r="D439" s="452">
        <v>0.09</v>
      </c>
      <c r="E439" s="417">
        <f>BASICOS!D42</f>
        <v>136480.47829830134</v>
      </c>
      <c r="F439" s="371">
        <f t="shared" si="21"/>
        <v>12283.243046847121</v>
      </c>
      <c r="J439" s="244"/>
      <c r="K439" s="244"/>
      <c r="L439" s="244"/>
      <c r="M439" s="3"/>
      <c r="N439" s="3"/>
      <c r="O439" s="64"/>
      <c r="P439" s="64"/>
      <c r="Q439" s="64"/>
      <c r="R439" s="64"/>
      <c r="S439" s="3"/>
      <c r="T439" s="3"/>
    </row>
    <row r="440" spans="1:20" s="2" customFormat="1">
      <c r="A440" s="529"/>
      <c r="B440" s="533" t="s">
        <v>407</v>
      </c>
      <c r="C440" s="451" t="s">
        <v>26</v>
      </c>
      <c r="D440" s="452">
        <v>0.45183346534653485</v>
      </c>
      <c r="E440" s="417" t="e">
        <f>INSUMOS!#REF!</f>
        <v>#REF!</v>
      </c>
      <c r="F440" s="371" t="e">
        <f t="shared" si="21"/>
        <v>#REF!</v>
      </c>
      <c r="J440" s="244"/>
      <c r="K440" s="244"/>
      <c r="L440" s="244"/>
      <c r="M440" s="3"/>
      <c r="N440" s="3"/>
      <c r="O440" s="64"/>
      <c r="P440" s="64"/>
      <c r="Q440" s="64"/>
      <c r="R440" s="64"/>
      <c r="S440" s="3"/>
      <c r="T440" s="3"/>
    </row>
    <row r="441" spans="1:20" s="2" customFormat="1">
      <c r="A441" s="529"/>
      <c r="B441" s="533" t="s">
        <v>2767</v>
      </c>
      <c r="C441" s="451" t="s">
        <v>68</v>
      </c>
      <c r="D441" s="452">
        <v>0.05</v>
      </c>
      <c r="E441" s="417">
        <f>SUM(F436:F438)</f>
        <v>815227.28499999992</v>
      </c>
      <c r="F441" s="371">
        <f t="shared" si="21"/>
        <v>40761.364249999999</v>
      </c>
      <c r="J441" s="244"/>
      <c r="K441" s="244"/>
      <c r="L441" s="244"/>
      <c r="M441" s="3"/>
      <c r="N441" s="3"/>
      <c r="O441" s="64"/>
      <c r="P441" s="64"/>
      <c r="Q441" s="64"/>
      <c r="R441" s="64"/>
      <c r="S441" s="3"/>
      <c r="T441" s="3"/>
    </row>
    <row r="442" spans="1:20" s="2" customFormat="1">
      <c r="A442" s="529"/>
      <c r="B442" s="533" t="s">
        <v>136</v>
      </c>
      <c r="C442" s="451" t="s">
        <v>68</v>
      </c>
      <c r="D442" s="452"/>
      <c r="E442" s="417" t="e">
        <f>SUM(F436:F441)</f>
        <v>#REF!</v>
      </c>
      <c r="F442" s="371" t="e">
        <f t="shared" si="21"/>
        <v>#REF!</v>
      </c>
      <c r="J442" s="244"/>
      <c r="K442" s="244"/>
      <c r="L442" s="244"/>
      <c r="M442" s="3"/>
      <c r="N442" s="3"/>
      <c r="O442" s="64"/>
      <c r="P442" s="64"/>
      <c r="Q442" s="64"/>
      <c r="R442" s="64"/>
      <c r="S442" s="3"/>
      <c r="T442" s="3"/>
    </row>
    <row r="443" spans="1:20" s="2" customFormat="1">
      <c r="A443" s="529"/>
      <c r="B443" s="533" t="s">
        <v>11</v>
      </c>
      <c r="C443" s="451" t="s">
        <v>284</v>
      </c>
      <c r="D443" s="452">
        <v>0.03</v>
      </c>
      <c r="E443" s="417">
        <f>+F444</f>
        <v>156805.78796827397</v>
      </c>
      <c r="F443" s="371">
        <f t="shared" si="21"/>
        <v>4704.1736390482192</v>
      </c>
      <c r="J443" s="244"/>
      <c r="K443" s="244"/>
      <c r="L443" s="244"/>
      <c r="M443" s="3"/>
      <c r="N443" s="3"/>
      <c r="O443" s="64"/>
      <c r="P443" s="64"/>
      <c r="Q443" s="64"/>
      <c r="R443" s="64"/>
      <c r="S443" s="3"/>
      <c r="T443" s="3"/>
    </row>
    <row r="444" spans="1:20" s="2" customFormat="1">
      <c r="A444" s="529"/>
      <c r="B444" s="533" t="s">
        <v>9</v>
      </c>
      <c r="C444" s="451" t="s">
        <v>182</v>
      </c>
      <c r="D444" s="452">
        <v>6</v>
      </c>
      <c r="E444" s="417">
        <f>+'VALOR CUADRILLAS MO'!D75</f>
        <v>26134.297994712331</v>
      </c>
      <c r="F444" s="371">
        <f t="shared" si="21"/>
        <v>156805.78796827397</v>
      </c>
      <c r="J444" s="244"/>
      <c r="K444" s="244"/>
      <c r="L444" s="244"/>
      <c r="M444" s="3"/>
      <c r="N444" s="3"/>
      <c r="O444" s="64"/>
      <c r="P444" s="64"/>
      <c r="Q444" s="64"/>
      <c r="R444" s="64"/>
      <c r="S444" s="3"/>
      <c r="T444" s="3"/>
    </row>
    <row r="445" spans="1:20" s="2" customFormat="1">
      <c r="A445" s="529"/>
      <c r="B445" s="533"/>
      <c r="C445" s="450"/>
      <c r="D445" s="450"/>
      <c r="E445" s="450"/>
      <c r="F445" s="450"/>
      <c r="J445" s="244"/>
      <c r="K445" s="244"/>
      <c r="L445" s="244"/>
      <c r="M445" s="3"/>
      <c r="N445" s="3"/>
      <c r="O445" s="64"/>
      <c r="P445" s="64"/>
      <c r="Q445" s="64"/>
      <c r="R445" s="64"/>
      <c r="S445" s="3"/>
      <c r="T445" s="3"/>
    </row>
    <row r="446" spans="1:20" s="2" customFormat="1" ht="22.9" customHeight="1">
      <c r="A446" s="246">
        <f>A435+1</f>
        <v>57</v>
      </c>
      <c r="B446" s="532" t="s">
        <v>3117</v>
      </c>
      <c r="C446" s="482" t="s">
        <v>26</v>
      </c>
      <c r="D446" s="483"/>
      <c r="E446" s="483"/>
      <c r="F446" s="479">
        <f>ROUND(SUM(F447:F455),0)</f>
        <v>543814</v>
      </c>
      <c r="J446" s="244"/>
      <c r="K446" s="244"/>
      <c r="L446" s="244"/>
      <c r="M446" s="3"/>
      <c r="N446" s="3"/>
      <c r="O446" s="64"/>
      <c r="P446" s="64"/>
      <c r="Q446" s="64"/>
      <c r="R446" s="64"/>
      <c r="S446" s="3"/>
      <c r="T446" s="3"/>
    </row>
    <row r="447" spans="1:20" s="2" customFormat="1">
      <c r="A447" s="529"/>
      <c r="B447" s="165" t="s">
        <v>2823</v>
      </c>
      <c r="C447" s="77" t="s">
        <v>121</v>
      </c>
      <c r="D447" s="379">
        <v>0.1</v>
      </c>
      <c r="E447" s="371">
        <f>BASICOS!E156</f>
        <v>367144</v>
      </c>
      <c r="F447" s="371">
        <f>+D447*E447</f>
        <v>36714.400000000001</v>
      </c>
      <c r="J447" s="244"/>
      <c r="K447" s="244"/>
      <c r="L447" s="244"/>
      <c r="M447" s="3"/>
      <c r="N447" s="3"/>
      <c r="O447" s="64"/>
      <c r="P447" s="64"/>
      <c r="Q447" s="64"/>
      <c r="R447" s="64"/>
      <c r="S447" s="3"/>
      <c r="T447" s="3"/>
    </row>
    <row r="448" spans="1:20" s="2" customFormat="1">
      <c r="A448" s="529"/>
      <c r="B448" s="165" t="s">
        <v>2822</v>
      </c>
      <c r="C448" s="77" t="s">
        <v>121</v>
      </c>
      <c r="D448" s="379">
        <v>0.4</v>
      </c>
      <c r="E448" s="416">
        <f>BASICOS!E105</f>
        <v>463590</v>
      </c>
      <c r="F448" s="371">
        <f>+E448*D448</f>
        <v>185436</v>
      </c>
      <c r="J448" s="244"/>
      <c r="K448" s="244"/>
      <c r="L448" s="244"/>
      <c r="M448" s="3"/>
      <c r="N448" s="3"/>
      <c r="O448" s="64"/>
      <c r="P448" s="64"/>
      <c r="Q448" s="64"/>
      <c r="R448" s="64"/>
      <c r="S448" s="3"/>
      <c r="T448" s="3"/>
    </row>
    <row r="449" spans="1:20" s="2" customFormat="1">
      <c r="A449" s="529"/>
      <c r="B449" s="165" t="s">
        <v>518</v>
      </c>
      <c r="C449" s="77" t="s">
        <v>120</v>
      </c>
      <c r="D449" s="379">
        <v>7.3</v>
      </c>
      <c r="E449" s="416">
        <f>INSUMOS!D110</f>
        <v>8466.85</v>
      </c>
      <c r="F449" s="371">
        <f>+E449*D449</f>
        <v>61808.005000000005</v>
      </c>
      <c r="J449" s="244"/>
      <c r="K449" s="244"/>
      <c r="L449" s="244"/>
      <c r="M449" s="3"/>
      <c r="N449" s="3"/>
      <c r="O449" s="64"/>
      <c r="P449" s="64"/>
      <c r="Q449" s="64"/>
      <c r="R449" s="64"/>
      <c r="S449" s="3"/>
      <c r="T449" s="3"/>
    </row>
    <row r="450" spans="1:20" s="2" customFormat="1">
      <c r="A450" s="529"/>
      <c r="B450" s="165" t="s">
        <v>270</v>
      </c>
      <c r="C450" s="77" t="s">
        <v>120</v>
      </c>
      <c r="D450" s="379">
        <v>14</v>
      </c>
      <c r="E450" s="416">
        <f>EDIFICACION!F261</f>
        <v>7437</v>
      </c>
      <c r="F450" s="371">
        <f t="shared" ref="F450:F455" si="22">+D450*E450</f>
        <v>104118</v>
      </c>
      <c r="J450" s="244"/>
      <c r="K450" s="244"/>
      <c r="L450" s="244"/>
      <c r="M450" s="3"/>
      <c r="N450" s="3"/>
      <c r="O450" s="64"/>
      <c r="P450" s="64"/>
      <c r="Q450" s="64"/>
      <c r="R450" s="64"/>
      <c r="S450" s="3"/>
      <c r="T450" s="3"/>
    </row>
    <row r="451" spans="1:20" s="2" customFormat="1">
      <c r="A451" s="529"/>
      <c r="B451" s="533" t="s">
        <v>231</v>
      </c>
      <c r="C451" s="451" t="s">
        <v>169</v>
      </c>
      <c r="D451" s="452">
        <v>0.2</v>
      </c>
      <c r="E451" s="417">
        <f>BASICOS!D42</f>
        <v>136480.47829830134</v>
      </c>
      <c r="F451" s="371">
        <f t="shared" si="22"/>
        <v>27296.09565966027</v>
      </c>
      <c r="J451" s="244"/>
      <c r="K451" s="244"/>
      <c r="L451" s="244"/>
      <c r="M451" s="3"/>
      <c r="N451" s="3"/>
      <c r="O451" s="64"/>
      <c r="P451" s="64"/>
      <c r="Q451" s="64"/>
      <c r="R451" s="64"/>
      <c r="S451" s="3"/>
      <c r="T451" s="3"/>
    </row>
    <row r="452" spans="1:20" s="2" customFormat="1">
      <c r="A452" s="529"/>
      <c r="B452" s="533" t="s">
        <v>2767</v>
      </c>
      <c r="C452" s="451" t="s">
        <v>68</v>
      </c>
      <c r="D452" s="452">
        <v>0.05</v>
      </c>
      <c r="E452" s="417">
        <f>SUM(F447:F451)</f>
        <v>415372.50065966032</v>
      </c>
      <c r="F452" s="371">
        <f t="shared" si="22"/>
        <v>20768.625032983018</v>
      </c>
      <c r="J452" s="244"/>
      <c r="K452" s="244"/>
      <c r="L452" s="244"/>
      <c r="M452" s="3"/>
      <c r="N452" s="3"/>
      <c r="O452" s="64"/>
      <c r="P452" s="64"/>
      <c r="Q452" s="64"/>
      <c r="R452" s="64"/>
      <c r="S452" s="3"/>
      <c r="T452" s="3"/>
    </row>
    <row r="453" spans="1:20" s="2" customFormat="1">
      <c r="A453" s="529"/>
      <c r="B453" s="533" t="s">
        <v>136</v>
      </c>
      <c r="C453" s="451" t="s">
        <v>68</v>
      </c>
      <c r="D453" s="452"/>
      <c r="E453" s="417">
        <f>SUM(F447:F452)</f>
        <v>436141.12569264334</v>
      </c>
      <c r="F453" s="371">
        <f t="shared" si="22"/>
        <v>0</v>
      </c>
      <c r="J453" s="244"/>
      <c r="K453" s="244"/>
      <c r="L453" s="244"/>
      <c r="M453" s="3"/>
      <c r="N453" s="3"/>
      <c r="O453" s="64"/>
      <c r="P453" s="64"/>
      <c r="Q453" s="64"/>
      <c r="R453" s="64"/>
      <c r="S453" s="3"/>
      <c r="T453" s="3"/>
    </row>
    <row r="454" spans="1:20" s="2" customFormat="1">
      <c r="A454" s="529"/>
      <c r="B454" s="533" t="s">
        <v>11</v>
      </c>
      <c r="C454" s="451" t="s">
        <v>284</v>
      </c>
      <c r="D454" s="452">
        <v>0.03</v>
      </c>
      <c r="E454" s="417">
        <f>F455</f>
        <v>104537.19197884933</v>
      </c>
      <c r="F454" s="371">
        <f t="shared" si="22"/>
        <v>3136.1157593654798</v>
      </c>
      <c r="J454" s="244"/>
      <c r="K454" s="244"/>
      <c r="L454" s="244"/>
      <c r="M454" s="3"/>
      <c r="N454" s="3"/>
      <c r="O454" s="64"/>
      <c r="P454" s="64"/>
      <c r="Q454" s="64"/>
      <c r="R454" s="64"/>
      <c r="S454" s="3"/>
      <c r="T454" s="3"/>
    </row>
    <row r="455" spans="1:20" s="2" customFormat="1">
      <c r="A455" s="529"/>
      <c r="B455" s="533" t="s">
        <v>9</v>
      </c>
      <c r="C455" s="451" t="s">
        <v>182</v>
      </c>
      <c r="D455" s="452">
        <v>4</v>
      </c>
      <c r="E455" s="417">
        <f>'VALOR CUADRILLAS MO'!D75</f>
        <v>26134.297994712331</v>
      </c>
      <c r="F455" s="371">
        <f t="shared" si="22"/>
        <v>104537.19197884933</v>
      </c>
      <c r="J455" s="244"/>
      <c r="K455" s="244"/>
      <c r="L455" s="244"/>
      <c r="M455" s="3"/>
      <c r="N455" s="3"/>
      <c r="O455" s="64"/>
      <c r="P455" s="64"/>
      <c r="Q455" s="64"/>
      <c r="R455" s="64"/>
      <c r="S455" s="3"/>
      <c r="T455" s="3"/>
    </row>
    <row r="456" spans="1:20" s="2" customFormat="1">
      <c r="A456" s="529"/>
      <c r="B456" s="533"/>
      <c r="C456" s="450"/>
      <c r="D456" s="450"/>
      <c r="E456" s="450"/>
      <c r="F456" s="450"/>
      <c r="J456" s="244"/>
      <c r="K456" s="244"/>
      <c r="L456" s="244"/>
      <c r="M456" s="3"/>
      <c r="N456" s="3"/>
      <c r="O456" s="64"/>
      <c r="P456" s="64"/>
      <c r="Q456" s="64"/>
      <c r="R456" s="64"/>
      <c r="S456" s="3"/>
      <c r="T456" s="3"/>
    </row>
    <row r="457" spans="1:20" s="2" customFormat="1" ht="38.450000000000003" customHeight="1">
      <c r="A457" s="246">
        <f>A446+1</f>
        <v>58</v>
      </c>
      <c r="B457" s="532" t="s">
        <v>3118</v>
      </c>
      <c r="C457" s="482" t="s">
        <v>26</v>
      </c>
      <c r="D457" s="483"/>
      <c r="E457" s="483"/>
      <c r="F457" s="479" t="e">
        <f>ROUND(SUM(F458:F466),0)</f>
        <v>#REF!</v>
      </c>
      <c r="J457" s="244"/>
      <c r="K457" s="244"/>
      <c r="L457" s="244"/>
      <c r="M457" s="3"/>
      <c r="N457" s="3"/>
      <c r="O457" s="64"/>
      <c r="P457" s="64"/>
      <c r="Q457" s="64"/>
      <c r="R457" s="64"/>
      <c r="S457" s="3"/>
      <c r="T457" s="3"/>
    </row>
    <row r="458" spans="1:20" s="2" customFormat="1">
      <c r="A458" s="529"/>
      <c r="B458" s="165" t="s">
        <v>2822</v>
      </c>
      <c r="C458" s="77" t="s">
        <v>121</v>
      </c>
      <c r="D458" s="379">
        <v>0.5</v>
      </c>
      <c r="E458" s="416">
        <f>BASICOS!E105</f>
        <v>463590</v>
      </c>
      <c r="F458" s="371">
        <f>+E458*D458</f>
        <v>231795</v>
      </c>
      <c r="J458" s="244"/>
      <c r="K458" s="244"/>
      <c r="L458" s="244"/>
      <c r="M458" s="3"/>
      <c r="N458" s="3"/>
      <c r="O458" s="64"/>
      <c r="P458" s="64"/>
      <c r="Q458" s="64"/>
      <c r="R458" s="64"/>
      <c r="S458" s="3"/>
      <c r="T458" s="3"/>
    </row>
    <row r="459" spans="1:20" s="2" customFormat="1">
      <c r="A459" s="529"/>
      <c r="B459" s="165" t="s">
        <v>518</v>
      </c>
      <c r="C459" s="77" t="s">
        <v>120</v>
      </c>
      <c r="D459" s="379">
        <v>8.3000000000000007</v>
      </c>
      <c r="E459" s="416">
        <f>INSUMOS!D110</f>
        <v>8466.85</v>
      </c>
      <c r="F459" s="371">
        <f>+E459*D459</f>
        <v>70274.85500000001</v>
      </c>
      <c r="J459" s="244"/>
      <c r="K459" s="244"/>
      <c r="L459" s="244"/>
      <c r="M459" s="3"/>
      <c r="N459" s="3"/>
      <c r="O459" s="64"/>
      <c r="P459" s="64"/>
      <c r="Q459" s="64"/>
      <c r="R459" s="64"/>
      <c r="S459" s="3"/>
      <c r="T459" s="3"/>
    </row>
    <row r="460" spans="1:20" s="2" customFormat="1">
      <c r="A460" s="529"/>
      <c r="B460" s="165" t="s">
        <v>270</v>
      </c>
      <c r="C460" s="77" t="s">
        <v>120</v>
      </c>
      <c r="D460" s="379">
        <v>53</v>
      </c>
      <c r="E460" s="416">
        <f>EDIFICACION!F261</f>
        <v>7437</v>
      </c>
      <c r="F460" s="371">
        <f t="shared" ref="F460:F466" si="23">+D460*E460</f>
        <v>394161</v>
      </c>
      <c r="J460" s="244"/>
      <c r="K460" s="244"/>
      <c r="L460" s="244"/>
      <c r="M460" s="3"/>
      <c r="N460" s="3"/>
      <c r="O460" s="64"/>
      <c r="P460" s="64"/>
      <c r="Q460" s="64"/>
      <c r="R460" s="64"/>
      <c r="S460" s="3"/>
      <c r="T460" s="3"/>
    </row>
    <row r="461" spans="1:20" s="2" customFormat="1">
      <c r="A461" s="529"/>
      <c r="B461" s="165" t="s">
        <v>2824</v>
      </c>
      <c r="C461" s="77" t="s">
        <v>26</v>
      </c>
      <c r="D461" s="379">
        <v>1</v>
      </c>
      <c r="E461" s="416" t="e">
        <f>INSUMOS!#REF!</f>
        <v>#REF!</v>
      </c>
      <c r="F461" s="371" t="e">
        <f t="shared" si="23"/>
        <v>#REF!</v>
      </c>
      <c r="J461" s="244"/>
      <c r="K461" s="244"/>
      <c r="L461" s="244"/>
      <c r="M461" s="3"/>
      <c r="N461" s="3"/>
      <c r="O461" s="64"/>
      <c r="P461" s="64"/>
      <c r="Q461" s="64"/>
      <c r="R461" s="64"/>
      <c r="S461" s="3"/>
      <c r="T461" s="3"/>
    </row>
    <row r="462" spans="1:20" s="2" customFormat="1">
      <c r="A462" s="529"/>
      <c r="B462" s="533" t="s">
        <v>231</v>
      </c>
      <c r="C462" s="451" t="s">
        <v>169</v>
      </c>
      <c r="D462" s="452">
        <v>0.3</v>
      </c>
      <c r="E462" s="417">
        <f>BASICOS!D42</f>
        <v>136480.47829830134</v>
      </c>
      <c r="F462" s="371">
        <f t="shared" si="23"/>
        <v>40944.143489490401</v>
      </c>
      <c r="J462" s="244"/>
      <c r="K462" s="244"/>
      <c r="L462" s="244"/>
      <c r="M462" s="3"/>
      <c r="N462" s="3"/>
      <c r="O462" s="64"/>
      <c r="P462" s="64"/>
      <c r="Q462" s="64"/>
      <c r="R462" s="64"/>
      <c r="S462" s="3"/>
      <c r="T462" s="3"/>
    </row>
    <row r="463" spans="1:20" s="2" customFormat="1">
      <c r="A463" s="529"/>
      <c r="B463" s="533" t="s">
        <v>2767</v>
      </c>
      <c r="C463" s="451" t="s">
        <v>68</v>
      </c>
      <c r="D463" s="452">
        <v>0.05</v>
      </c>
      <c r="E463" s="417" t="e">
        <f>SUM(F458:F462)</f>
        <v>#REF!</v>
      </c>
      <c r="F463" s="371" t="e">
        <f t="shared" si="23"/>
        <v>#REF!</v>
      </c>
      <c r="J463" s="244"/>
      <c r="K463" s="244"/>
      <c r="L463" s="244"/>
      <c r="M463" s="3"/>
      <c r="N463" s="3"/>
      <c r="O463" s="64"/>
      <c r="P463" s="64"/>
      <c r="Q463" s="64"/>
      <c r="R463" s="64"/>
      <c r="S463" s="3"/>
      <c r="T463" s="3"/>
    </row>
    <row r="464" spans="1:20" s="2" customFormat="1">
      <c r="A464" s="529"/>
      <c r="B464" s="533" t="s">
        <v>136</v>
      </c>
      <c r="C464" s="451" t="s">
        <v>68</v>
      </c>
      <c r="D464" s="452"/>
      <c r="E464" s="417" t="e">
        <f>SUM(F458:F463)</f>
        <v>#REF!</v>
      </c>
      <c r="F464" s="371" t="e">
        <f t="shared" si="23"/>
        <v>#REF!</v>
      </c>
      <c r="J464" s="244"/>
      <c r="K464" s="244"/>
      <c r="L464" s="244"/>
      <c r="M464" s="3"/>
      <c r="N464" s="3"/>
      <c r="O464" s="64"/>
      <c r="P464" s="64"/>
      <c r="Q464" s="64"/>
      <c r="R464" s="64"/>
      <c r="S464" s="3"/>
      <c r="T464" s="3"/>
    </row>
    <row r="465" spans="1:20" s="2" customFormat="1">
      <c r="A465" s="529"/>
      <c r="B465" s="533" t="s">
        <v>11</v>
      </c>
      <c r="C465" s="451" t="s">
        <v>284</v>
      </c>
      <c r="D465" s="452">
        <v>0.03</v>
      </c>
      <c r="E465" s="417">
        <f>F466</f>
        <v>130671.48997356166</v>
      </c>
      <c r="F465" s="371">
        <f t="shared" si="23"/>
        <v>3920.14469920685</v>
      </c>
      <c r="J465" s="244"/>
      <c r="K465" s="244"/>
      <c r="L465" s="244"/>
      <c r="M465" s="3"/>
      <c r="N465" s="3"/>
      <c r="O465" s="64"/>
      <c r="P465" s="64"/>
      <c r="Q465" s="64"/>
      <c r="R465" s="64"/>
      <c r="S465" s="3"/>
      <c r="T465" s="3"/>
    </row>
    <row r="466" spans="1:20" s="2" customFormat="1">
      <c r="A466" s="529"/>
      <c r="B466" s="533" t="s">
        <v>9</v>
      </c>
      <c r="C466" s="451" t="s">
        <v>182</v>
      </c>
      <c r="D466" s="452">
        <v>5</v>
      </c>
      <c r="E466" s="417">
        <f>'VALOR CUADRILLAS MO'!D75</f>
        <v>26134.297994712331</v>
      </c>
      <c r="F466" s="371">
        <f t="shared" si="23"/>
        <v>130671.48997356166</v>
      </c>
      <c r="J466" s="244"/>
      <c r="K466" s="244"/>
      <c r="L466" s="244"/>
      <c r="M466" s="3"/>
      <c r="N466" s="3"/>
      <c r="O466" s="64"/>
      <c r="P466" s="64"/>
      <c r="Q466" s="64"/>
      <c r="R466" s="64"/>
      <c r="S466" s="3"/>
      <c r="T466" s="3"/>
    </row>
    <row r="467" spans="1:20" s="2" customFormat="1">
      <c r="A467" s="529"/>
      <c r="B467" s="533"/>
      <c r="C467" s="450"/>
      <c r="D467" s="450"/>
      <c r="E467" s="450"/>
      <c r="F467" s="450"/>
      <c r="J467" s="244"/>
      <c r="K467" s="244"/>
      <c r="L467" s="244"/>
      <c r="M467" s="3"/>
      <c r="N467" s="3"/>
      <c r="O467" s="64"/>
      <c r="P467" s="64"/>
      <c r="Q467" s="64"/>
      <c r="R467" s="64"/>
      <c r="S467" s="3"/>
      <c r="T467" s="3"/>
    </row>
    <row r="468" spans="1:20" s="2" customFormat="1" ht="24.6" customHeight="1">
      <c r="A468" s="246">
        <f>A457+1</f>
        <v>59</v>
      </c>
      <c r="B468" s="532" t="s">
        <v>2825</v>
      </c>
      <c r="C468" s="482" t="s">
        <v>26</v>
      </c>
      <c r="D468" s="483"/>
      <c r="E468" s="483"/>
      <c r="F468" s="479" t="e">
        <f>ROUND(SUM(F469:F476),0)</f>
        <v>#REF!</v>
      </c>
      <c r="J468" s="244"/>
      <c r="K468" s="244"/>
      <c r="L468" s="244"/>
      <c r="M468" s="3"/>
      <c r="N468" s="3"/>
      <c r="O468" s="64"/>
      <c r="P468" s="64"/>
      <c r="Q468" s="64"/>
      <c r="R468" s="64"/>
      <c r="S468" s="3"/>
      <c r="T468" s="3"/>
    </row>
    <row r="469" spans="1:20" s="2" customFormat="1">
      <c r="A469" s="529"/>
      <c r="B469" s="165" t="s">
        <v>2822</v>
      </c>
      <c r="C469" s="77" t="s">
        <v>121</v>
      </c>
      <c r="D469" s="379">
        <v>0.1</v>
      </c>
      <c r="E469" s="416">
        <f>BASICOS!E105</f>
        <v>463590</v>
      </c>
      <c r="F469" s="371">
        <f>+E469*D469</f>
        <v>46359</v>
      </c>
      <c r="J469" s="244"/>
      <c r="K469" s="244"/>
      <c r="L469" s="244"/>
      <c r="M469" s="3"/>
      <c r="N469" s="3"/>
      <c r="O469" s="64"/>
      <c r="P469" s="64"/>
      <c r="Q469" s="64"/>
      <c r="R469" s="64"/>
      <c r="S469" s="3"/>
      <c r="T469" s="3"/>
    </row>
    <row r="470" spans="1:20" s="2" customFormat="1">
      <c r="A470" s="529"/>
      <c r="B470" s="165" t="s">
        <v>518</v>
      </c>
      <c r="C470" s="77" t="s">
        <v>120</v>
      </c>
      <c r="D470" s="379">
        <v>1.66</v>
      </c>
      <c r="E470" s="416">
        <f>INSUMOS!D110</f>
        <v>8466.85</v>
      </c>
      <c r="F470" s="371">
        <f>+E470*D470</f>
        <v>14054.971</v>
      </c>
      <c r="J470" s="244"/>
      <c r="K470" s="244"/>
      <c r="L470" s="244"/>
      <c r="M470" s="3"/>
      <c r="N470" s="3"/>
      <c r="O470" s="64"/>
      <c r="P470" s="64"/>
      <c r="Q470" s="64"/>
      <c r="R470" s="64"/>
      <c r="S470" s="3"/>
      <c r="T470" s="3"/>
    </row>
    <row r="471" spans="1:20" s="2" customFormat="1">
      <c r="A471" s="529"/>
      <c r="B471" s="165" t="s">
        <v>270</v>
      </c>
      <c r="C471" s="77" t="s">
        <v>120</v>
      </c>
      <c r="D471" s="379">
        <v>10</v>
      </c>
      <c r="E471" s="416">
        <f>EDIFICACION!F261</f>
        <v>7437</v>
      </c>
      <c r="F471" s="371">
        <f t="shared" ref="F471:F476" si="24">+D471*E471</f>
        <v>74370</v>
      </c>
      <c r="J471" s="244"/>
      <c r="K471" s="244"/>
      <c r="L471" s="244"/>
      <c r="M471" s="3"/>
      <c r="N471" s="3"/>
      <c r="O471" s="64"/>
      <c r="P471" s="64"/>
      <c r="Q471" s="64"/>
      <c r="R471" s="64"/>
      <c r="S471" s="3"/>
      <c r="T471" s="3"/>
    </row>
    <row r="472" spans="1:20" s="2" customFormat="1">
      <c r="A472" s="529"/>
      <c r="B472" s="165" t="s">
        <v>2826</v>
      </c>
      <c r="C472" s="77" t="s">
        <v>26</v>
      </c>
      <c r="D472" s="379">
        <v>1</v>
      </c>
      <c r="E472" s="416" t="e">
        <f>INSUMOS!#REF!</f>
        <v>#REF!</v>
      </c>
      <c r="F472" s="371" t="e">
        <f t="shared" si="24"/>
        <v>#REF!</v>
      </c>
      <c r="J472" s="244"/>
      <c r="K472" s="244"/>
      <c r="L472" s="244"/>
      <c r="M472" s="3"/>
      <c r="N472" s="3"/>
      <c r="O472" s="64"/>
      <c r="P472" s="64"/>
      <c r="Q472" s="64"/>
      <c r="R472" s="64"/>
      <c r="S472" s="3"/>
      <c r="T472" s="3"/>
    </row>
    <row r="473" spans="1:20" s="2" customFormat="1">
      <c r="A473" s="529"/>
      <c r="B473" s="533" t="s">
        <v>2767</v>
      </c>
      <c r="C473" s="451" t="s">
        <v>68</v>
      </c>
      <c r="D473" s="452">
        <v>0.05</v>
      </c>
      <c r="E473" s="417">
        <f>SUM(F469:F471)</f>
        <v>134783.97099999999</v>
      </c>
      <c r="F473" s="371">
        <f t="shared" si="24"/>
        <v>6739.1985500000001</v>
      </c>
      <c r="J473" s="244"/>
      <c r="K473" s="244"/>
      <c r="L473" s="244"/>
      <c r="M473" s="3"/>
      <c r="N473" s="3"/>
      <c r="O473" s="64"/>
      <c r="P473" s="64"/>
      <c r="Q473" s="64"/>
      <c r="R473" s="64"/>
      <c r="S473" s="3"/>
      <c r="T473" s="3"/>
    </row>
    <row r="474" spans="1:20" s="2" customFormat="1">
      <c r="A474" s="529"/>
      <c r="B474" s="533" t="s">
        <v>136</v>
      </c>
      <c r="C474" s="451" t="s">
        <v>68</v>
      </c>
      <c r="D474" s="452"/>
      <c r="E474" s="417" t="e">
        <f>SUM(F469:F473)</f>
        <v>#REF!</v>
      </c>
      <c r="F474" s="371" t="e">
        <f t="shared" si="24"/>
        <v>#REF!</v>
      </c>
      <c r="J474" s="244"/>
      <c r="K474" s="244"/>
      <c r="L474" s="244"/>
      <c r="M474" s="3"/>
      <c r="N474" s="3"/>
      <c r="O474" s="64"/>
      <c r="P474" s="64"/>
      <c r="Q474" s="64"/>
      <c r="R474" s="64"/>
      <c r="S474" s="3"/>
      <c r="T474" s="3"/>
    </row>
    <row r="475" spans="1:20" s="2" customFormat="1">
      <c r="A475" s="529"/>
      <c r="B475" s="533" t="s">
        <v>11</v>
      </c>
      <c r="C475" s="451" t="s">
        <v>284</v>
      </c>
      <c r="D475" s="452">
        <v>0.03</v>
      </c>
      <c r="E475" s="417">
        <f>F476</f>
        <v>10453.719197884933</v>
      </c>
      <c r="F475" s="371">
        <f t="shared" si="24"/>
        <v>313.61157593654798</v>
      </c>
      <c r="J475" s="244"/>
      <c r="K475" s="244"/>
      <c r="L475" s="244"/>
      <c r="M475" s="3"/>
      <c r="N475" s="3"/>
      <c r="O475" s="64"/>
      <c r="P475" s="64"/>
      <c r="Q475" s="64"/>
      <c r="R475" s="64"/>
      <c r="S475" s="3"/>
      <c r="T475" s="3"/>
    </row>
    <row r="476" spans="1:20" s="2" customFormat="1">
      <c r="A476" s="529"/>
      <c r="B476" s="533" t="s">
        <v>9</v>
      </c>
      <c r="C476" s="451" t="s">
        <v>182</v>
      </c>
      <c r="D476" s="452">
        <v>0.4</v>
      </c>
      <c r="E476" s="417">
        <f>'VALOR CUADRILLAS MO'!D75</f>
        <v>26134.297994712331</v>
      </c>
      <c r="F476" s="371">
        <f t="shared" si="24"/>
        <v>10453.719197884933</v>
      </c>
      <c r="J476" s="244"/>
      <c r="K476" s="244"/>
      <c r="L476" s="244"/>
      <c r="M476" s="3"/>
      <c r="N476" s="3"/>
      <c r="O476" s="64"/>
      <c r="P476" s="64"/>
      <c r="Q476" s="64"/>
      <c r="R476" s="64"/>
      <c r="S476" s="3"/>
      <c r="T476" s="3"/>
    </row>
    <row r="477" spans="1:20" s="2" customFormat="1">
      <c r="A477" s="529"/>
      <c r="B477" s="533"/>
      <c r="C477" s="450"/>
      <c r="D477" s="450"/>
      <c r="E477" s="450"/>
      <c r="F477" s="450"/>
      <c r="J477" s="244"/>
      <c r="K477" s="244"/>
      <c r="L477" s="244"/>
      <c r="M477" s="3"/>
      <c r="N477" s="3"/>
      <c r="O477" s="64"/>
      <c r="P477" s="64"/>
      <c r="Q477" s="64"/>
      <c r="R477" s="64"/>
      <c r="S477" s="3"/>
      <c r="T477" s="3"/>
    </row>
    <row r="478" spans="1:20" s="2" customFormat="1" ht="31.9" customHeight="1">
      <c r="A478" s="246">
        <f>A468+1</f>
        <v>60</v>
      </c>
      <c r="B478" s="83" t="s">
        <v>2827</v>
      </c>
      <c r="C478" s="76" t="s">
        <v>26</v>
      </c>
      <c r="D478" s="73"/>
      <c r="E478" s="377"/>
      <c r="F478" s="479">
        <f>ROUND(SUM(F479:F483),0)</f>
        <v>246609</v>
      </c>
      <c r="J478" s="244"/>
      <c r="K478" s="244"/>
      <c r="L478" s="244"/>
      <c r="M478" s="3"/>
      <c r="N478" s="3"/>
      <c r="O478" s="64"/>
      <c r="P478" s="64"/>
      <c r="Q478" s="64"/>
      <c r="R478" s="64"/>
      <c r="S478" s="3"/>
      <c r="T478" s="3"/>
    </row>
    <row r="479" spans="1:20" s="2" customFormat="1">
      <c r="A479" s="529"/>
      <c r="B479" s="165" t="s">
        <v>2631</v>
      </c>
      <c r="C479" s="77" t="s">
        <v>121</v>
      </c>
      <c r="D479" s="379">
        <v>0.5</v>
      </c>
      <c r="E479" s="371">
        <f>BASICOS!E146</f>
        <v>392821</v>
      </c>
      <c r="F479" s="371">
        <f>+E479*D479</f>
        <v>196410.5</v>
      </c>
      <c r="J479" s="244"/>
      <c r="K479" s="244"/>
      <c r="L479" s="244"/>
      <c r="M479" s="3"/>
      <c r="N479" s="3"/>
      <c r="O479" s="64"/>
      <c r="P479" s="64"/>
      <c r="Q479" s="64"/>
      <c r="R479" s="64"/>
      <c r="S479" s="3"/>
      <c r="T479" s="3"/>
    </row>
    <row r="480" spans="1:20" s="2" customFormat="1">
      <c r="A480" s="529"/>
      <c r="B480" s="165" t="s">
        <v>229</v>
      </c>
      <c r="C480" s="77" t="s">
        <v>68</v>
      </c>
      <c r="D480" s="379">
        <v>0.05</v>
      </c>
      <c r="E480" s="371">
        <f>F479</f>
        <v>196410.5</v>
      </c>
      <c r="F480" s="371">
        <f>+D480*E480</f>
        <v>9820.5249999999996</v>
      </c>
      <c r="J480" s="244"/>
      <c r="K480" s="244"/>
      <c r="L480" s="244"/>
      <c r="M480" s="3"/>
      <c r="N480" s="3"/>
      <c r="O480" s="64"/>
      <c r="P480" s="64"/>
      <c r="Q480" s="64"/>
      <c r="R480" s="64"/>
      <c r="S480" s="3"/>
      <c r="T480" s="3"/>
    </row>
    <row r="481" spans="1:20" s="2" customFormat="1">
      <c r="A481" s="529"/>
      <c r="B481" s="165" t="s">
        <v>136</v>
      </c>
      <c r="C481" s="77" t="s">
        <v>68</v>
      </c>
      <c r="D481" s="379"/>
      <c r="E481" s="371">
        <f>SUM(F479:F480)</f>
        <v>206231.02499999999</v>
      </c>
      <c r="F481" s="371">
        <f>+D481*E481</f>
        <v>0</v>
      </c>
      <c r="J481" s="244"/>
      <c r="K481" s="244"/>
      <c r="L481" s="244"/>
      <c r="M481" s="3"/>
      <c r="N481" s="3"/>
      <c r="O481" s="64"/>
      <c r="P481" s="64"/>
      <c r="Q481" s="64"/>
      <c r="R481" s="64"/>
      <c r="S481" s="3"/>
      <c r="T481" s="3"/>
    </row>
    <row r="482" spans="1:20" s="2" customFormat="1">
      <c r="A482" s="529"/>
      <c r="B482" s="165" t="s">
        <v>11</v>
      </c>
      <c r="C482" s="77" t="s">
        <v>121</v>
      </c>
      <c r="D482" s="379">
        <v>0.03</v>
      </c>
      <c r="E482" s="371">
        <f>F483</f>
        <v>39201.446992068493</v>
      </c>
      <c r="F482" s="371">
        <f>+E482*D482</f>
        <v>1176.0434097620548</v>
      </c>
      <c r="J482" s="244"/>
      <c r="K482" s="244"/>
      <c r="L482" s="244"/>
      <c r="M482" s="3"/>
      <c r="N482" s="3"/>
      <c r="O482" s="64"/>
      <c r="P482" s="64"/>
      <c r="Q482" s="64"/>
      <c r="R482" s="64"/>
      <c r="S482" s="3"/>
      <c r="T482" s="3"/>
    </row>
    <row r="483" spans="1:20" s="2" customFormat="1">
      <c r="A483" s="529"/>
      <c r="B483" s="165" t="s">
        <v>9</v>
      </c>
      <c r="C483" s="77" t="s">
        <v>204</v>
      </c>
      <c r="D483" s="379">
        <v>1.5</v>
      </c>
      <c r="E483" s="371">
        <f>'VALOR CUADRILLAS MO'!D75</f>
        <v>26134.297994712331</v>
      </c>
      <c r="F483" s="371">
        <f>+E483*D483</f>
        <v>39201.446992068493</v>
      </c>
      <c r="J483" s="244"/>
      <c r="K483" s="244"/>
      <c r="L483" s="244"/>
      <c r="M483" s="3"/>
      <c r="N483" s="3"/>
      <c r="O483" s="64"/>
      <c r="P483" s="64"/>
      <c r="Q483" s="64"/>
      <c r="R483" s="64"/>
      <c r="S483" s="3"/>
      <c r="T483" s="3"/>
    </row>
    <row r="484" spans="1:20" s="2" customFormat="1">
      <c r="A484" s="529"/>
      <c r="B484" s="165"/>
      <c r="C484" s="77"/>
      <c r="D484" s="379"/>
      <c r="E484" s="371"/>
      <c r="F484" s="371"/>
      <c r="J484" s="244"/>
      <c r="K484" s="244"/>
      <c r="L484" s="244"/>
      <c r="M484" s="3"/>
      <c r="N484" s="3"/>
      <c r="O484" s="64"/>
      <c r="P484" s="64"/>
      <c r="Q484" s="64"/>
      <c r="R484" s="64"/>
      <c r="S484" s="3"/>
      <c r="T484" s="3"/>
    </row>
    <row r="485" spans="1:20" s="2" customFormat="1" ht="36.6" customHeight="1">
      <c r="A485" s="246">
        <f>A478+1</f>
        <v>61</v>
      </c>
      <c r="B485" s="83" t="s">
        <v>2708</v>
      </c>
      <c r="C485" s="76" t="s">
        <v>119</v>
      </c>
      <c r="D485" s="73"/>
      <c r="E485" s="74"/>
      <c r="F485" s="75">
        <f>ROUND(SUM(F486:F491),0)</f>
        <v>55191</v>
      </c>
      <c r="J485" s="244"/>
      <c r="K485" s="244"/>
      <c r="L485" s="244"/>
      <c r="M485" s="3"/>
      <c r="N485" s="3"/>
      <c r="O485" s="64"/>
      <c r="P485" s="64"/>
      <c r="Q485" s="64"/>
      <c r="R485" s="64"/>
      <c r="S485" s="3"/>
      <c r="T485" s="3"/>
    </row>
    <row r="486" spans="1:20" s="2" customFormat="1">
      <c r="A486" s="529"/>
      <c r="B486" s="165" t="s">
        <v>501</v>
      </c>
      <c r="C486" s="77" t="s">
        <v>75</v>
      </c>
      <c r="D486" s="78">
        <f>0.15*40%</f>
        <v>0.06</v>
      </c>
      <c r="E486" s="79">
        <f>+BASICOS!D8</f>
        <v>73185</v>
      </c>
      <c r="F486" s="79">
        <f>+D486*E486</f>
        <v>4391.0999999999995</v>
      </c>
      <c r="J486" s="244"/>
      <c r="K486" s="244"/>
      <c r="L486" s="244"/>
      <c r="M486" s="3"/>
      <c r="N486" s="3"/>
      <c r="O486" s="64"/>
      <c r="P486" s="64"/>
      <c r="Q486" s="64"/>
      <c r="R486" s="64"/>
      <c r="S486" s="3"/>
      <c r="T486" s="3"/>
    </row>
    <row r="487" spans="1:20" s="244" customFormat="1">
      <c r="A487" s="529"/>
      <c r="B487" s="165" t="s">
        <v>234</v>
      </c>
      <c r="C487" s="77" t="s">
        <v>121</v>
      </c>
      <c r="D487" s="78">
        <f>0.15*60%</f>
        <v>0.09</v>
      </c>
      <c r="E487" s="79">
        <f>+BASICOS!E146</f>
        <v>392821</v>
      </c>
      <c r="F487" s="79">
        <f>+E487*D487</f>
        <v>35353.89</v>
      </c>
      <c r="G487" s="2"/>
      <c r="H487" s="2"/>
      <c r="I487" s="2"/>
      <c r="M487" s="3"/>
      <c r="N487" s="3"/>
      <c r="O487" s="64"/>
      <c r="P487" s="64"/>
      <c r="Q487" s="64"/>
      <c r="R487" s="64"/>
      <c r="S487" s="3"/>
      <c r="T487" s="3"/>
    </row>
    <row r="488" spans="1:20" s="244" customFormat="1">
      <c r="A488" s="529"/>
      <c r="B488" s="165" t="s">
        <v>229</v>
      </c>
      <c r="C488" s="77" t="s">
        <v>68</v>
      </c>
      <c r="D488" s="78">
        <v>0.05</v>
      </c>
      <c r="E488" s="79">
        <f>SUM(F486:F487)</f>
        <v>39744.99</v>
      </c>
      <c r="F488" s="79">
        <f>+D488*E488</f>
        <v>1987.2494999999999</v>
      </c>
      <c r="G488" s="2"/>
      <c r="H488" s="2"/>
      <c r="I488" s="2"/>
      <c r="M488" s="3"/>
      <c r="N488" s="3"/>
      <c r="O488" s="64"/>
      <c r="P488" s="64"/>
      <c r="Q488" s="64"/>
      <c r="R488" s="64"/>
      <c r="S488" s="3"/>
      <c r="T488" s="3"/>
    </row>
    <row r="489" spans="1:20" s="244" customFormat="1">
      <c r="A489" s="529"/>
      <c r="B489" s="165" t="s">
        <v>136</v>
      </c>
      <c r="C489" s="77" t="s">
        <v>68</v>
      </c>
      <c r="D489" s="78"/>
      <c r="E489" s="79">
        <f>SUM(F486:F488)</f>
        <v>41732.239499999996</v>
      </c>
      <c r="F489" s="79">
        <f>+D489*E489</f>
        <v>0</v>
      </c>
      <c r="G489" s="2"/>
      <c r="H489" s="2"/>
      <c r="I489" s="2"/>
      <c r="M489" s="3"/>
      <c r="N489" s="3"/>
      <c r="O489" s="64"/>
      <c r="P489" s="64"/>
      <c r="Q489" s="64"/>
      <c r="R489" s="64"/>
      <c r="S489" s="3"/>
      <c r="T489" s="3"/>
    </row>
    <row r="490" spans="1:20" s="244" customFormat="1">
      <c r="A490" s="529"/>
      <c r="B490" s="165" t="s">
        <v>11</v>
      </c>
      <c r="C490" s="77" t="s">
        <v>284</v>
      </c>
      <c r="D490" s="78">
        <v>0.03</v>
      </c>
      <c r="E490" s="79">
        <f>+F491</f>
        <v>13067.148997356166</v>
      </c>
      <c r="F490" s="79">
        <f>(D490*E490)</f>
        <v>392.01446992068497</v>
      </c>
      <c r="G490" s="2"/>
      <c r="H490" s="2"/>
      <c r="I490" s="2"/>
      <c r="M490" s="3"/>
      <c r="N490" s="3"/>
      <c r="O490" s="64"/>
      <c r="P490" s="64"/>
      <c r="Q490" s="64"/>
      <c r="R490" s="64"/>
      <c r="S490" s="3"/>
      <c r="T490" s="3"/>
    </row>
    <row r="491" spans="1:20" s="244" customFormat="1">
      <c r="A491" s="529"/>
      <c r="B491" s="165" t="s">
        <v>9</v>
      </c>
      <c r="C491" s="77" t="s">
        <v>10</v>
      </c>
      <c r="D491" s="78">
        <v>0.5</v>
      </c>
      <c r="E491" s="79">
        <f>+'VALOR CUADRILLAS MO'!D75</f>
        <v>26134.297994712331</v>
      </c>
      <c r="F491" s="79">
        <f>+D491*E491</f>
        <v>13067.148997356166</v>
      </c>
      <c r="G491" s="2"/>
      <c r="H491" s="2"/>
      <c r="I491" s="2"/>
      <c r="M491" s="3"/>
      <c r="N491" s="3"/>
      <c r="O491" s="64"/>
      <c r="P491" s="64"/>
      <c r="Q491" s="64"/>
      <c r="R491" s="64"/>
      <c r="S491" s="3"/>
      <c r="T491" s="3"/>
    </row>
    <row r="492" spans="1:20" s="244" customFormat="1">
      <c r="A492" s="529"/>
      <c r="B492" s="165"/>
      <c r="C492" s="77"/>
      <c r="D492" s="78"/>
      <c r="E492" s="79"/>
      <c r="F492" s="79"/>
      <c r="G492" s="2"/>
      <c r="H492" s="2"/>
      <c r="I492" s="2"/>
      <c r="M492" s="3"/>
      <c r="N492" s="3"/>
      <c r="O492" s="64"/>
      <c r="P492" s="64"/>
      <c r="Q492" s="64"/>
      <c r="R492" s="64"/>
      <c r="S492" s="3"/>
      <c r="T492" s="3"/>
    </row>
    <row r="493" spans="1:20" ht="37.15" customHeight="1">
      <c r="A493" s="246">
        <f>A485+1</f>
        <v>62</v>
      </c>
      <c r="B493" s="83" t="s">
        <v>510</v>
      </c>
      <c r="C493" s="76" t="s">
        <v>26</v>
      </c>
      <c r="D493" s="73"/>
      <c r="E493" s="74"/>
      <c r="F493" s="75" t="e">
        <f>ROUND(SUM(F494:F496),0)</f>
        <v>#REF!</v>
      </c>
      <c r="G493" s="245"/>
    </row>
    <row r="494" spans="1:20" ht="25.5">
      <c r="A494" s="534"/>
      <c r="B494" s="165" t="s">
        <v>511</v>
      </c>
      <c r="C494" s="77" t="s">
        <v>26</v>
      </c>
      <c r="D494" s="78">
        <v>1</v>
      </c>
      <c r="E494" s="79" t="e">
        <f>+INSUMOS!#REF!</f>
        <v>#REF!</v>
      </c>
      <c r="F494" s="79" t="e">
        <f>+D494*E494</f>
        <v>#REF!</v>
      </c>
      <c r="G494" s="245"/>
    </row>
    <row r="495" spans="1:20">
      <c r="A495" s="534"/>
      <c r="B495" s="165" t="s">
        <v>136</v>
      </c>
      <c r="C495" s="77" t="s">
        <v>68</v>
      </c>
      <c r="D495" s="78"/>
      <c r="E495" s="79" t="e">
        <f>SUM(F494)</f>
        <v>#REF!</v>
      </c>
      <c r="F495" s="79" t="e">
        <f>+D495*E495</f>
        <v>#REF!</v>
      </c>
      <c r="G495" s="245"/>
    </row>
    <row r="496" spans="1:20">
      <c r="A496" s="534"/>
      <c r="B496" s="165" t="s">
        <v>9</v>
      </c>
      <c r="C496" s="77" t="s">
        <v>10</v>
      </c>
      <c r="D496" s="78">
        <v>3.5</v>
      </c>
      <c r="E496" s="79">
        <f>+'VALOR CUADRILLAS MO'!D75</f>
        <v>26134.297994712331</v>
      </c>
      <c r="F496" s="79">
        <f>+D496*E496</f>
        <v>91470.042981493156</v>
      </c>
      <c r="G496" s="245"/>
    </row>
    <row r="497" spans="1:19">
      <c r="A497" s="534"/>
      <c r="B497" s="165"/>
      <c r="C497" s="77"/>
      <c r="D497" s="78"/>
      <c r="E497" s="79"/>
      <c r="F497" s="79"/>
      <c r="G497" s="245"/>
    </row>
    <row r="498" spans="1:19" ht="33.6" customHeight="1">
      <c r="A498" s="246">
        <f>+A493+1</f>
        <v>63</v>
      </c>
      <c r="B498" s="83" t="s">
        <v>683</v>
      </c>
      <c r="C498" s="76" t="s">
        <v>26</v>
      </c>
      <c r="D498" s="73"/>
      <c r="E498" s="74"/>
      <c r="F498" s="75" t="e">
        <f>ROUND(SUM(F499:F501),0)</f>
        <v>#REF!</v>
      </c>
      <c r="G498" s="245"/>
    </row>
    <row r="499" spans="1:19" ht="25.5">
      <c r="A499" s="534"/>
      <c r="B499" s="165" t="s">
        <v>512</v>
      </c>
      <c r="C499" s="77" t="s">
        <v>26</v>
      </c>
      <c r="D499" s="78">
        <v>1</v>
      </c>
      <c r="E499" s="79" t="e">
        <f>+INSUMOS!#REF!</f>
        <v>#REF!</v>
      </c>
      <c r="F499" s="79" t="e">
        <f>+D499*E499</f>
        <v>#REF!</v>
      </c>
      <c r="G499" s="245"/>
      <c r="H499" s="2" t="e">
        <f>+F499/0.76</f>
        <v>#REF!</v>
      </c>
    </row>
    <row r="500" spans="1:19">
      <c r="A500" s="534"/>
      <c r="B500" s="165" t="s">
        <v>136</v>
      </c>
      <c r="C500" s="77" t="s">
        <v>68</v>
      </c>
      <c r="D500" s="78"/>
      <c r="E500" s="79" t="e">
        <f>SUM(F499)</f>
        <v>#REF!</v>
      </c>
      <c r="F500" s="79" t="e">
        <f>+D500*E500</f>
        <v>#REF!</v>
      </c>
      <c r="G500" s="245"/>
    </row>
    <row r="501" spans="1:19">
      <c r="A501" s="534"/>
      <c r="B501" s="165" t="s">
        <v>9</v>
      </c>
      <c r="C501" s="77" t="s">
        <v>10</v>
      </c>
      <c r="D501" s="78">
        <v>3.5</v>
      </c>
      <c r="E501" s="79">
        <f>+'VALOR CUADRILLAS MO'!D75</f>
        <v>26134.297994712331</v>
      </c>
      <c r="F501" s="79">
        <f>+D501*E501</f>
        <v>91470.042981493156</v>
      </c>
      <c r="G501" s="245"/>
    </row>
    <row r="502" spans="1:19">
      <c r="A502" s="534"/>
      <c r="B502" s="165"/>
      <c r="C502" s="77"/>
      <c r="D502" s="78"/>
      <c r="E502" s="79"/>
      <c r="F502" s="79"/>
      <c r="G502" s="245"/>
    </row>
    <row r="503" spans="1:19" ht="48.75" customHeight="1">
      <c r="A503" s="246">
        <f>+A498+1</f>
        <v>64</v>
      </c>
      <c r="B503" s="83" t="s">
        <v>2716</v>
      </c>
      <c r="C503" s="76" t="s">
        <v>121</v>
      </c>
      <c r="D503" s="73"/>
      <c r="E503" s="74"/>
      <c r="F503" s="75" t="e">
        <f>ROUND(SUM(F504:F514),0)</f>
        <v>#REF!</v>
      </c>
      <c r="O503" s="83"/>
      <c r="P503" s="76"/>
      <c r="Q503" s="73"/>
      <c r="R503" s="377"/>
      <c r="S503" s="378"/>
    </row>
    <row r="504" spans="1:19" ht="17.25" customHeight="1">
      <c r="A504" s="529"/>
      <c r="B504" s="165" t="s">
        <v>3231</v>
      </c>
      <c r="C504" s="77" t="s">
        <v>121</v>
      </c>
      <c r="D504" s="78">
        <v>1</v>
      </c>
      <c r="E504" s="79">
        <f>'CONCRETO PREMEZCLADO'!D21</f>
        <v>385636.16000000003</v>
      </c>
      <c r="F504" s="79">
        <f>+E504*D504</f>
        <v>385636.16000000003</v>
      </c>
      <c r="O504" s="165"/>
      <c r="P504" s="77"/>
      <c r="Q504" s="379"/>
      <c r="R504" s="371"/>
      <c r="S504" s="371"/>
    </row>
    <row r="505" spans="1:19">
      <c r="A505" s="529"/>
      <c r="B505" s="165" t="s">
        <v>230</v>
      </c>
      <c r="C505" s="77" t="s">
        <v>26</v>
      </c>
      <c r="D505" s="78">
        <v>0.3</v>
      </c>
      <c r="E505" s="79" t="e">
        <f>INSUMOS!#REF!</f>
        <v>#REF!</v>
      </c>
      <c r="F505" s="79" t="e">
        <f>+E505*D505</f>
        <v>#REF!</v>
      </c>
      <c r="O505" s="36"/>
      <c r="P505" s="77"/>
      <c r="Q505" s="379"/>
      <c r="R505" s="371"/>
      <c r="S505" s="371"/>
    </row>
    <row r="506" spans="1:19">
      <c r="A506" s="529"/>
      <c r="B506" s="165" t="s">
        <v>517</v>
      </c>
      <c r="C506" s="77" t="s">
        <v>120</v>
      </c>
      <c r="D506" s="78">
        <f>+D504*420*0.5%</f>
        <v>2.1</v>
      </c>
      <c r="E506" s="79">
        <f>INSUMOS!D109</f>
        <v>19756</v>
      </c>
      <c r="F506" s="79">
        <f>+E506*D506</f>
        <v>41487.599999999999</v>
      </c>
      <c r="O506" s="36"/>
      <c r="P506" s="77"/>
      <c r="Q506" s="379"/>
      <c r="R506" s="371"/>
      <c r="S506" s="371"/>
    </row>
    <row r="507" spans="1:19">
      <c r="A507" s="529"/>
      <c r="B507" s="165" t="s">
        <v>518</v>
      </c>
      <c r="C507" s="77" t="s">
        <v>120</v>
      </c>
      <c r="D507" s="78">
        <v>4</v>
      </c>
      <c r="E507" s="79">
        <f>+INSUMOS!D110</f>
        <v>8466.85</v>
      </c>
      <c r="F507" s="79">
        <f>+E507*D507</f>
        <v>33867.4</v>
      </c>
      <c r="O507" s="36"/>
      <c r="P507" s="77"/>
      <c r="Q507" s="379"/>
      <c r="R507" s="371"/>
      <c r="S507" s="371"/>
    </row>
    <row r="508" spans="1:19">
      <c r="A508" s="529"/>
      <c r="B508" s="165" t="s">
        <v>229</v>
      </c>
      <c r="C508" s="77" t="s">
        <v>68</v>
      </c>
      <c r="D508" s="78">
        <v>0.05</v>
      </c>
      <c r="E508" s="79" t="e">
        <f>SUM(F504:F507)</f>
        <v>#REF!</v>
      </c>
      <c r="F508" s="79" t="e">
        <f>+D508*E508</f>
        <v>#REF!</v>
      </c>
      <c r="O508" s="36"/>
      <c r="P508" s="77"/>
      <c r="Q508" s="379"/>
      <c r="R508" s="371"/>
      <c r="S508" s="371"/>
    </row>
    <row r="509" spans="1:19">
      <c r="A509" s="529"/>
      <c r="B509" s="165" t="s">
        <v>136</v>
      </c>
      <c r="C509" s="77" t="s">
        <v>68</v>
      </c>
      <c r="D509" s="78"/>
      <c r="E509" s="79" t="e">
        <f>SUM(F504:F508)</f>
        <v>#REF!</v>
      </c>
      <c r="F509" s="79" t="e">
        <f>+D509*E509</f>
        <v>#REF!</v>
      </c>
      <c r="O509" s="36"/>
      <c r="P509" s="77"/>
      <c r="Q509" s="379"/>
      <c r="R509" s="371"/>
      <c r="S509" s="371"/>
    </row>
    <row r="510" spans="1:19">
      <c r="A510" s="529"/>
      <c r="B510" s="165" t="s">
        <v>231</v>
      </c>
      <c r="C510" s="77" t="s">
        <v>142</v>
      </c>
      <c r="D510" s="78">
        <v>0.1</v>
      </c>
      <c r="E510" s="79">
        <f>+BASICOS!D42</f>
        <v>136480.47829830134</v>
      </c>
      <c r="F510" s="79">
        <f>+E510*D510</f>
        <v>13648.047829830135</v>
      </c>
      <c r="O510" s="36"/>
      <c r="P510" s="77"/>
      <c r="Q510" s="379"/>
      <c r="R510" s="371"/>
      <c r="S510" s="371"/>
    </row>
    <row r="511" spans="1:19">
      <c r="A511" s="529"/>
      <c r="B511" s="165" t="s">
        <v>232</v>
      </c>
      <c r="C511" s="77" t="s">
        <v>146</v>
      </c>
      <c r="D511" s="78">
        <v>1</v>
      </c>
      <c r="E511" s="79">
        <f>+(BASICOS!E201*4)+(BASICOS!E196*1)</f>
        <v>172698.75</v>
      </c>
      <c r="F511" s="79">
        <f>+E511*D511</f>
        <v>172698.75</v>
      </c>
      <c r="O511" s="36"/>
      <c r="P511" s="77"/>
      <c r="Q511" s="379"/>
      <c r="R511" s="371"/>
      <c r="S511" s="371"/>
    </row>
    <row r="512" spans="1:19">
      <c r="A512" s="529"/>
      <c r="B512" s="165" t="s">
        <v>530</v>
      </c>
      <c r="C512" s="77" t="s">
        <v>142</v>
      </c>
      <c r="D512" s="78">
        <v>0.15</v>
      </c>
      <c r="E512" s="79">
        <f>+BASICOS!D42</f>
        <v>136480.47829830134</v>
      </c>
      <c r="F512" s="79">
        <f>+E512*D512</f>
        <v>20472.071744745201</v>
      </c>
      <c r="O512" s="36"/>
      <c r="P512" s="77"/>
      <c r="Q512" s="379"/>
      <c r="R512" s="371"/>
      <c r="S512" s="371"/>
    </row>
    <row r="513" spans="1:19">
      <c r="A513" s="529"/>
      <c r="B513" s="165" t="s">
        <v>11</v>
      </c>
      <c r="C513" s="77" t="s">
        <v>284</v>
      </c>
      <c r="D513" s="78">
        <v>0.03</v>
      </c>
      <c r="E513" s="79">
        <f>+F514</f>
        <v>261342.97994712333</v>
      </c>
      <c r="F513" s="79">
        <f>(D513*E513)</f>
        <v>7840.2893984136999</v>
      </c>
      <c r="O513" s="36"/>
      <c r="P513" s="77"/>
      <c r="Q513" s="379"/>
      <c r="R513" s="371"/>
      <c r="S513" s="371"/>
    </row>
    <row r="514" spans="1:19">
      <c r="A514" s="529"/>
      <c r="B514" s="165" t="s">
        <v>9</v>
      </c>
      <c r="C514" s="77" t="s">
        <v>10</v>
      </c>
      <c r="D514" s="78">
        <v>10</v>
      </c>
      <c r="E514" s="79">
        <f>+'VALOR CUADRILLAS MO'!D75</f>
        <v>26134.297994712331</v>
      </c>
      <c r="F514" s="79">
        <f>+E514*D514</f>
        <v>261342.97994712333</v>
      </c>
    </row>
    <row r="515" spans="1:19">
      <c r="A515" s="529"/>
      <c r="B515" s="165"/>
      <c r="C515" s="77"/>
      <c r="D515" s="78"/>
      <c r="E515" s="79"/>
      <c r="F515" s="79"/>
    </row>
    <row r="516" spans="1:19" ht="30" customHeight="1">
      <c r="A516" s="246">
        <f>A503+1</f>
        <v>65</v>
      </c>
      <c r="B516" s="83" t="s">
        <v>3230</v>
      </c>
      <c r="C516" s="76" t="s">
        <v>121</v>
      </c>
      <c r="D516" s="73"/>
      <c r="E516" s="377"/>
      <c r="F516" s="378" t="e">
        <f>ROUND(SUM(F517:F526),0)</f>
        <v>#REF!</v>
      </c>
    </row>
    <row r="517" spans="1:19">
      <c r="A517" s="529"/>
      <c r="B517" s="165" t="s">
        <v>2668</v>
      </c>
      <c r="C517" s="77" t="s">
        <v>121</v>
      </c>
      <c r="D517" s="379">
        <v>1</v>
      </c>
      <c r="E517" s="371">
        <f>'CONCRETO PREMEZCLADO'!D19</f>
        <v>372511.65</v>
      </c>
      <c r="F517" s="371">
        <f>+E517*D517</f>
        <v>372511.65</v>
      </c>
    </row>
    <row r="518" spans="1:19">
      <c r="A518" s="529"/>
      <c r="B518" s="165" t="s">
        <v>230</v>
      </c>
      <c r="C518" s="77" t="s">
        <v>26</v>
      </c>
      <c r="D518" s="379">
        <v>0.3</v>
      </c>
      <c r="E518" s="79" t="e">
        <f>INSUMOS!#REF!</f>
        <v>#REF!</v>
      </c>
      <c r="F518" s="371" t="e">
        <f>+E518*D518</f>
        <v>#REF!</v>
      </c>
    </row>
    <row r="519" spans="1:19">
      <c r="A519" s="529"/>
      <c r="B519" s="165" t="s">
        <v>517</v>
      </c>
      <c r="C519" s="77" t="s">
        <v>120</v>
      </c>
      <c r="D519" s="379">
        <v>2.1</v>
      </c>
      <c r="E519" s="371">
        <f>INSUMOS!D109</f>
        <v>19756</v>
      </c>
      <c r="F519" s="371">
        <f>+E519*D519</f>
        <v>41487.599999999999</v>
      </c>
    </row>
    <row r="520" spans="1:19">
      <c r="A520" s="529"/>
      <c r="B520" s="165" t="s">
        <v>518</v>
      </c>
      <c r="C520" s="77" t="s">
        <v>120</v>
      </c>
      <c r="D520" s="379">
        <v>4</v>
      </c>
      <c r="E520" s="371">
        <f>INSUMOS!D110</f>
        <v>8466.85</v>
      </c>
      <c r="F520" s="371">
        <f>+E520*D520</f>
        <v>33867.4</v>
      </c>
    </row>
    <row r="521" spans="1:19">
      <c r="A521" s="529"/>
      <c r="B521" s="165" t="s">
        <v>229</v>
      </c>
      <c r="C521" s="77" t="s">
        <v>68</v>
      </c>
      <c r="D521" s="379">
        <v>0.05</v>
      </c>
      <c r="E521" s="371" t="e">
        <f>SUM(F517:F520)</f>
        <v>#REF!</v>
      </c>
      <c r="F521" s="371" t="e">
        <f>+D521*E521</f>
        <v>#REF!</v>
      </c>
    </row>
    <row r="522" spans="1:19">
      <c r="A522" s="529"/>
      <c r="B522" s="165" t="s">
        <v>136</v>
      </c>
      <c r="C522" s="77" t="s">
        <v>68</v>
      </c>
      <c r="D522" s="379"/>
      <c r="E522" s="371" t="e">
        <f>SUM(F517:F521)</f>
        <v>#REF!</v>
      </c>
      <c r="F522" s="371" t="e">
        <f>+D522*E522</f>
        <v>#REF!</v>
      </c>
    </row>
    <row r="523" spans="1:19">
      <c r="A523" s="529"/>
      <c r="B523" s="165" t="s">
        <v>231</v>
      </c>
      <c r="C523" s="77" t="s">
        <v>142</v>
      </c>
      <c r="D523" s="379">
        <v>0.1</v>
      </c>
      <c r="E523" s="371">
        <f>BASICOS!D42</f>
        <v>136480.47829830134</v>
      </c>
      <c r="F523" s="371">
        <f>+E523*D523</f>
        <v>13648.047829830135</v>
      </c>
    </row>
    <row r="524" spans="1:19">
      <c r="A524" s="529"/>
      <c r="B524" s="165" t="s">
        <v>232</v>
      </c>
      <c r="C524" s="77" t="s">
        <v>26</v>
      </c>
      <c r="D524" s="379">
        <v>1</v>
      </c>
      <c r="E524" s="371">
        <f>+(BASICOS!E201*4)+(BASICOS!E196*1)</f>
        <v>172698.75</v>
      </c>
      <c r="F524" s="371">
        <f>+E524*D524</f>
        <v>172698.75</v>
      </c>
    </row>
    <row r="525" spans="1:19">
      <c r="A525" s="529"/>
      <c r="B525" s="165" t="s">
        <v>11</v>
      </c>
      <c r="C525" s="77" t="s">
        <v>284</v>
      </c>
      <c r="D525" s="379">
        <v>0.03</v>
      </c>
      <c r="E525" s="371">
        <f>F526</f>
        <v>261342.97994712333</v>
      </c>
      <c r="F525" s="371">
        <f>(D525*E525)</f>
        <v>7840.2893984136999</v>
      </c>
    </row>
    <row r="526" spans="1:19">
      <c r="A526" s="529"/>
      <c r="B526" s="165" t="s">
        <v>9</v>
      </c>
      <c r="C526" s="77" t="s">
        <v>10</v>
      </c>
      <c r="D526" s="379">
        <v>10</v>
      </c>
      <c r="E526" s="371">
        <f>'VALOR CUADRILLAS MO'!D75</f>
        <v>26134.297994712331</v>
      </c>
      <c r="F526" s="371">
        <f>+E526*D526</f>
        <v>261342.97994712333</v>
      </c>
    </row>
    <row r="527" spans="1:19">
      <c r="A527" s="529"/>
      <c r="B527" s="358"/>
      <c r="C527" s="77"/>
      <c r="D527" s="77"/>
      <c r="E527" s="77"/>
      <c r="F527" s="272"/>
    </row>
    <row r="528" spans="1:19" ht="24.6" customHeight="1">
      <c r="A528" s="530" t="s">
        <v>401</v>
      </c>
      <c r="B528" s="454" t="s">
        <v>2812</v>
      </c>
      <c r="C528" s="455"/>
      <c r="D528" s="456"/>
      <c r="E528" s="457"/>
      <c r="F528" s="457"/>
    </row>
    <row r="529" spans="1:6" ht="29.45" customHeight="1">
      <c r="A529" s="246">
        <f>A516+1</f>
        <v>66</v>
      </c>
      <c r="B529" s="83" t="s">
        <v>2813</v>
      </c>
      <c r="C529" s="76" t="s">
        <v>26</v>
      </c>
      <c r="D529" s="480"/>
      <c r="E529" s="430"/>
      <c r="F529" s="481" t="e">
        <f>ROUND(SUM(F530:F536),0)</f>
        <v>#REF!</v>
      </c>
    </row>
    <row r="530" spans="1:6">
      <c r="A530" s="529"/>
      <c r="B530" s="165" t="s">
        <v>2814</v>
      </c>
      <c r="C530" s="77" t="s">
        <v>26</v>
      </c>
      <c r="D530" s="447">
        <v>1</v>
      </c>
      <c r="E530" s="396" t="e">
        <f>INSUMOS!#REF!</f>
        <v>#REF!</v>
      </c>
      <c r="F530" s="396" t="e">
        <f>D530*E530</f>
        <v>#REF!</v>
      </c>
    </row>
    <row r="531" spans="1:6">
      <c r="A531" s="529"/>
      <c r="B531" s="165" t="s">
        <v>39</v>
      </c>
      <c r="C531" s="77" t="s">
        <v>26</v>
      </c>
      <c r="D531" s="447">
        <v>0.08</v>
      </c>
      <c r="E531" s="396">
        <f>INSUMOS!D73</f>
        <v>94253.95</v>
      </c>
      <c r="F531" s="396">
        <f t="shared" ref="F531:F536" si="25">D531*E531</f>
        <v>7540.3159999999998</v>
      </c>
    </row>
    <row r="532" spans="1:6">
      <c r="A532" s="529"/>
      <c r="B532" s="165" t="s">
        <v>0</v>
      </c>
      <c r="C532" s="77" t="s">
        <v>26</v>
      </c>
      <c r="D532" s="447">
        <v>0.08</v>
      </c>
      <c r="E532" s="396">
        <f>INSUMOS!D74</f>
        <v>45447.29</v>
      </c>
      <c r="F532" s="396">
        <f t="shared" si="25"/>
        <v>3635.7832000000003</v>
      </c>
    </row>
    <row r="533" spans="1:6">
      <c r="A533" s="529"/>
      <c r="B533" s="165" t="s">
        <v>229</v>
      </c>
      <c r="C533" s="77" t="s">
        <v>68</v>
      </c>
      <c r="D533" s="447">
        <v>0.05</v>
      </c>
      <c r="E533" s="396">
        <f>SUM(F531:F532)</f>
        <v>11176.099200000001</v>
      </c>
      <c r="F533" s="396">
        <f t="shared" si="25"/>
        <v>558.80496000000005</v>
      </c>
    </row>
    <row r="534" spans="1:6">
      <c r="A534" s="529"/>
      <c r="B534" s="165" t="s">
        <v>136</v>
      </c>
      <c r="C534" s="77" t="s">
        <v>68</v>
      </c>
      <c r="D534" s="447"/>
      <c r="E534" s="396" t="e">
        <f>SUM(F530:F533)</f>
        <v>#REF!</v>
      </c>
      <c r="F534" s="396" t="e">
        <f t="shared" si="25"/>
        <v>#REF!</v>
      </c>
    </row>
    <row r="535" spans="1:6">
      <c r="A535" s="529"/>
      <c r="B535" s="165" t="s">
        <v>11</v>
      </c>
      <c r="C535" s="77" t="s">
        <v>284</v>
      </c>
      <c r="D535" s="447">
        <v>0.03</v>
      </c>
      <c r="E535" s="396">
        <f>F536</f>
        <v>71869.319485458909</v>
      </c>
      <c r="F535" s="396">
        <f t="shared" si="25"/>
        <v>2156.0795845637672</v>
      </c>
    </row>
    <row r="536" spans="1:6">
      <c r="A536" s="529"/>
      <c r="B536" s="165" t="s">
        <v>38</v>
      </c>
      <c r="C536" s="77" t="s">
        <v>10</v>
      </c>
      <c r="D536" s="447">
        <v>2.5</v>
      </c>
      <c r="E536" s="396">
        <f>'VALOR CUADRILLAS MO'!D89</f>
        <v>28747.727794183564</v>
      </c>
      <c r="F536" s="396">
        <f t="shared" si="25"/>
        <v>71869.319485458909</v>
      </c>
    </row>
    <row r="537" spans="1:6">
      <c r="A537" s="529"/>
      <c r="B537" s="358"/>
      <c r="C537" s="77"/>
      <c r="D537" s="448"/>
      <c r="E537" s="449"/>
      <c r="F537" s="416"/>
    </row>
    <row r="538" spans="1:6" ht="34.15" customHeight="1">
      <c r="A538" s="246">
        <f>A529+1</f>
        <v>67</v>
      </c>
      <c r="B538" s="83" t="s">
        <v>2815</v>
      </c>
      <c r="C538" s="76" t="s">
        <v>26</v>
      </c>
      <c r="D538" s="480"/>
      <c r="E538" s="430"/>
      <c r="F538" s="481" t="e">
        <f>ROUND(SUM(F539:F545),0)</f>
        <v>#REF!</v>
      </c>
    </row>
    <row r="539" spans="1:6">
      <c r="A539" s="529"/>
      <c r="B539" s="165" t="s">
        <v>2816</v>
      </c>
      <c r="C539" s="77" t="s">
        <v>26</v>
      </c>
      <c r="D539" s="447">
        <v>1</v>
      </c>
      <c r="E539" s="396" t="e">
        <f>INSUMOS!#REF!</f>
        <v>#REF!</v>
      </c>
      <c r="F539" s="396" t="e">
        <f>D539*E539</f>
        <v>#REF!</v>
      </c>
    </row>
    <row r="540" spans="1:6">
      <c r="A540" s="529"/>
      <c r="B540" s="165" t="s">
        <v>39</v>
      </c>
      <c r="C540" s="77" t="s">
        <v>26</v>
      </c>
      <c r="D540" s="447">
        <v>8.5000000000000006E-2</v>
      </c>
      <c r="E540" s="396">
        <f>INSUMOS!D73</f>
        <v>94253.95</v>
      </c>
      <c r="F540" s="396">
        <f t="shared" ref="F540:F545" si="26">D540*E540</f>
        <v>8011.5857500000002</v>
      </c>
    </row>
    <row r="541" spans="1:6">
      <c r="A541" s="529"/>
      <c r="B541" s="165" t="s">
        <v>0</v>
      </c>
      <c r="C541" s="77" t="s">
        <v>26</v>
      </c>
      <c r="D541" s="447">
        <v>8.5000000000000006E-2</v>
      </c>
      <c r="E541" s="396">
        <f>INSUMOS!D74</f>
        <v>45447.29</v>
      </c>
      <c r="F541" s="396">
        <f t="shared" si="26"/>
        <v>3863.0196500000002</v>
      </c>
    </row>
    <row r="542" spans="1:6">
      <c r="A542" s="529"/>
      <c r="B542" s="165" t="s">
        <v>229</v>
      </c>
      <c r="C542" s="77" t="s">
        <v>68</v>
      </c>
      <c r="D542" s="447">
        <v>0.05</v>
      </c>
      <c r="E542" s="396">
        <f>SUM(F540:F541)</f>
        <v>11874.6054</v>
      </c>
      <c r="F542" s="396">
        <f t="shared" si="26"/>
        <v>593.73027000000002</v>
      </c>
    </row>
    <row r="543" spans="1:6">
      <c r="A543" s="529"/>
      <c r="B543" s="165" t="s">
        <v>136</v>
      </c>
      <c r="C543" s="77" t="s">
        <v>68</v>
      </c>
      <c r="D543" s="447"/>
      <c r="E543" s="396" t="e">
        <f>SUM(F539:F542)</f>
        <v>#REF!</v>
      </c>
      <c r="F543" s="396" t="e">
        <f t="shared" si="26"/>
        <v>#REF!</v>
      </c>
    </row>
    <row r="544" spans="1:6">
      <c r="A544" s="529"/>
      <c r="B544" s="165" t="s">
        <v>11</v>
      </c>
      <c r="C544" s="77" t="s">
        <v>284</v>
      </c>
      <c r="D544" s="447">
        <v>0.03</v>
      </c>
      <c r="E544" s="396">
        <f>F545</f>
        <v>73306.705875168089</v>
      </c>
      <c r="F544" s="396">
        <f t="shared" si="26"/>
        <v>2199.2011762550428</v>
      </c>
    </row>
    <row r="545" spans="1:6">
      <c r="A545" s="529"/>
      <c r="B545" s="165" t="s">
        <v>38</v>
      </c>
      <c r="C545" s="77" t="s">
        <v>10</v>
      </c>
      <c r="D545" s="447">
        <v>2.5499999999999998</v>
      </c>
      <c r="E545" s="396">
        <f>'VALOR CUADRILLAS MO'!D89</f>
        <v>28747.727794183564</v>
      </c>
      <c r="F545" s="396">
        <f t="shared" si="26"/>
        <v>73306.705875168089</v>
      </c>
    </row>
    <row r="546" spans="1:6">
      <c r="A546" s="529"/>
      <c r="B546" s="533"/>
      <c r="C546" s="450"/>
      <c r="D546" s="450"/>
      <c r="E546" s="450"/>
      <c r="F546" s="450"/>
    </row>
    <row r="547" spans="1:6" ht="34.15" customHeight="1">
      <c r="A547" s="246">
        <f>A538+1</f>
        <v>68</v>
      </c>
      <c r="B547" s="83" t="s">
        <v>2817</v>
      </c>
      <c r="C547" s="76" t="s">
        <v>26</v>
      </c>
      <c r="D547" s="480"/>
      <c r="E547" s="430"/>
      <c r="F547" s="481" t="e">
        <f>ROUND(SUM(F548:F554),0)</f>
        <v>#REF!</v>
      </c>
    </row>
    <row r="548" spans="1:6">
      <c r="A548" s="529"/>
      <c r="B548" s="165" t="s">
        <v>2818</v>
      </c>
      <c r="C548" s="77" t="s">
        <v>26</v>
      </c>
      <c r="D548" s="447">
        <v>1</v>
      </c>
      <c r="E548" s="396" t="e">
        <f>INSUMOS!#REF!</f>
        <v>#REF!</v>
      </c>
      <c r="F548" s="396" t="e">
        <f>D548*E548</f>
        <v>#REF!</v>
      </c>
    </row>
    <row r="549" spans="1:6">
      <c r="A549" s="529"/>
      <c r="B549" s="165" t="s">
        <v>39</v>
      </c>
      <c r="C549" s="77" t="s">
        <v>26</v>
      </c>
      <c r="D549" s="447">
        <v>0.09</v>
      </c>
      <c r="E549" s="396">
        <f>INSUMOS!D73</f>
        <v>94253.95</v>
      </c>
      <c r="F549" s="396">
        <f t="shared" ref="F549:F554" si="27">D549*E549</f>
        <v>8482.8554999999997</v>
      </c>
    </row>
    <row r="550" spans="1:6">
      <c r="A550" s="529"/>
      <c r="B550" s="165" t="s">
        <v>0</v>
      </c>
      <c r="C550" s="77" t="s">
        <v>26</v>
      </c>
      <c r="D550" s="447">
        <v>0.09</v>
      </c>
      <c r="E550" s="396">
        <f>INSUMOS!D74</f>
        <v>45447.29</v>
      </c>
      <c r="F550" s="396">
        <f t="shared" si="27"/>
        <v>4090.2561000000001</v>
      </c>
    </row>
    <row r="551" spans="1:6">
      <c r="A551" s="529"/>
      <c r="B551" s="165" t="s">
        <v>229</v>
      </c>
      <c r="C551" s="77" t="s">
        <v>68</v>
      </c>
      <c r="D551" s="447">
        <v>0.05</v>
      </c>
      <c r="E551" s="396">
        <f>SUM(F549:F550)</f>
        <v>12573.1116</v>
      </c>
      <c r="F551" s="396">
        <f t="shared" si="27"/>
        <v>628.6555800000001</v>
      </c>
    </row>
    <row r="552" spans="1:6">
      <c r="A552" s="529"/>
      <c r="B552" s="165" t="s">
        <v>136</v>
      </c>
      <c r="C552" s="77" t="s">
        <v>68</v>
      </c>
      <c r="D552" s="447"/>
      <c r="E552" s="396" t="e">
        <f>SUM(F548:F551)</f>
        <v>#REF!</v>
      </c>
      <c r="F552" s="396" t="e">
        <f t="shared" si="27"/>
        <v>#REF!</v>
      </c>
    </row>
    <row r="553" spans="1:6">
      <c r="A553" s="529"/>
      <c r="B553" s="165" t="s">
        <v>11</v>
      </c>
      <c r="C553" s="77" t="s">
        <v>284</v>
      </c>
      <c r="D553" s="447">
        <v>0.03</v>
      </c>
      <c r="E553" s="396">
        <f>F554</f>
        <v>74744.092264877268</v>
      </c>
      <c r="F553" s="396">
        <f t="shared" si="27"/>
        <v>2242.322767946318</v>
      </c>
    </row>
    <row r="554" spans="1:6">
      <c r="A554" s="529"/>
      <c r="B554" s="165" t="s">
        <v>38</v>
      </c>
      <c r="C554" s="77" t="s">
        <v>10</v>
      </c>
      <c r="D554" s="447">
        <v>2.6</v>
      </c>
      <c r="E554" s="396">
        <f>'VALOR CUADRILLAS MO'!D89</f>
        <v>28747.727794183564</v>
      </c>
      <c r="F554" s="396">
        <f t="shared" si="27"/>
        <v>74744.092264877268</v>
      </c>
    </row>
    <row r="555" spans="1:6">
      <c r="A555" s="529"/>
      <c r="B555" s="533"/>
      <c r="C555" s="450"/>
      <c r="D555" s="450"/>
      <c r="E555" s="450"/>
      <c r="F555" s="450"/>
    </row>
    <row r="556" spans="1:6" ht="34.9" customHeight="1">
      <c r="A556" s="246">
        <f>A547+1</f>
        <v>69</v>
      </c>
      <c r="B556" s="83" t="s">
        <v>2819</v>
      </c>
      <c r="C556" s="76" t="s">
        <v>26</v>
      </c>
      <c r="D556" s="480"/>
      <c r="E556" s="430"/>
      <c r="F556" s="481" t="e">
        <f>ROUND(SUM(F557:F563),0)</f>
        <v>#REF!</v>
      </c>
    </row>
    <row r="557" spans="1:6">
      <c r="A557" s="529"/>
      <c r="B557" s="165" t="s">
        <v>2820</v>
      </c>
      <c r="C557" s="77" t="s">
        <v>26</v>
      </c>
      <c r="D557" s="447">
        <v>1</v>
      </c>
      <c r="E557" s="396" t="e">
        <f>INSUMOS!#REF!</f>
        <v>#REF!</v>
      </c>
      <c r="F557" s="396" t="e">
        <f>D557*E557</f>
        <v>#REF!</v>
      </c>
    </row>
    <row r="558" spans="1:6">
      <c r="A558" s="529"/>
      <c r="B558" s="165" t="s">
        <v>39</v>
      </c>
      <c r="C558" s="77" t="s">
        <v>26</v>
      </c>
      <c r="D558" s="447">
        <v>0.08</v>
      </c>
      <c r="E558" s="396">
        <f>INSUMOS!D73</f>
        <v>94253.95</v>
      </c>
      <c r="F558" s="396">
        <f t="shared" ref="F558:F563" si="28">D558*E558</f>
        <v>7540.3159999999998</v>
      </c>
    </row>
    <row r="559" spans="1:6">
      <c r="A559" s="529"/>
      <c r="B559" s="165" t="s">
        <v>0</v>
      </c>
      <c r="C559" s="77" t="s">
        <v>26</v>
      </c>
      <c r="D559" s="447">
        <v>0.08</v>
      </c>
      <c r="E559" s="396">
        <f>INSUMOS!D74</f>
        <v>45447.29</v>
      </c>
      <c r="F559" s="396">
        <f t="shared" si="28"/>
        <v>3635.7832000000003</v>
      </c>
    </row>
    <row r="560" spans="1:6">
      <c r="A560" s="529"/>
      <c r="B560" s="165" t="s">
        <v>229</v>
      </c>
      <c r="C560" s="77" t="s">
        <v>68</v>
      </c>
      <c r="D560" s="447">
        <v>0.05</v>
      </c>
      <c r="E560" s="396">
        <f>SUM(F558:F559)</f>
        <v>11176.099200000001</v>
      </c>
      <c r="F560" s="396">
        <f t="shared" si="28"/>
        <v>558.80496000000005</v>
      </c>
    </row>
    <row r="561" spans="1:6">
      <c r="A561" s="529"/>
      <c r="B561" s="165" t="s">
        <v>136</v>
      </c>
      <c r="C561" s="77" t="s">
        <v>68</v>
      </c>
      <c r="D561" s="447"/>
      <c r="E561" s="396" t="e">
        <f>SUM(F557:F560)</f>
        <v>#REF!</v>
      </c>
      <c r="F561" s="396" t="e">
        <f t="shared" si="28"/>
        <v>#REF!</v>
      </c>
    </row>
    <row r="562" spans="1:6">
      <c r="A562" s="529"/>
      <c r="B562" s="165" t="s">
        <v>11</v>
      </c>
      <c r="C562" s="77" t="s">
        <v>284</v>
      </c>
      <c r="D562" s="447">
        <v>0.03</v>
      </c>
      <c r="E562" s="396">
        <f>F563</f>
        <v>24435.568625056028</v>
      </c>
      <c r="F562" s="396">
        <f t="shared" si="28"/>
        <v>733.06705875168086</v>
      </c>
    </row>
    <row r="563" spans="1:6">
      <c r="A563" s="529"/>
      <c r="B563" s="165" t="s">
        <v>38</v>
      </c>
      <c r="C563" s="77" t="s">
        <v>10</v>
      </c>
      <c r="D563" s="447">
        <v>0.85</v>
      </c>
      <c r="E563" s="396">
        <f>'VALOR CUADRILLAS MO'!D89</f>
        <v>28747.727794183564</v>
      </c>
      <c r="F563" s="396">
        <f t="shared" si="28"/>
        <v>24435.568625056028</v>
      </c>
    </row>
    <row r="564" spans="1:6">
      <c r="A564" s="529"/>
      <c r="B564" s="533"/>
      <c r="C564" s="450"/>
      <c r="D564" s="450"/>
      <c r="E564" s="450"/>
      <c r="F564" s="450"/>
    </row>
    <row r="565" spans="1:6" ht="18.600000000000001" customHeight="1">
      <c r="A565" s="530" t="s">
        <v>402</v>
      </c>
      <c r="B565" s="454" t="s">
        <v>2828</v>
      </c>
      <c r="C565" s="455"/>
      <c r="D565" s="456"/>
      <c r="E565" s="457"/>
      <c r="F565" s="457"/>
    </row>
    <row r="566" spans="1:6" ht="34.9" customHeight="1">
      <c r="A566" s="246">
        <f>A556+1</f>
        <v>70</v>
      </c>
      <c r="B566" s="83" t="s">
        <v>2829</v>
      </c>
      <c r="C566" s="76" t="s">
        <v>21</v>
      </c>
      <c r="D566" s="73"/>
      <c r="E566" s="377"/>
      <c r="F566" s="479" t="e">
        <f>ROUND(SUM(F567:F572),0)</f>
        <v>#REF!</v>
      </c>
    </row>
    <row r="567" spans="1:6">
      <c r="A567" s="529"/>
      <c r="B567" s="165" t="s">
        <v>2830</v>
      </c>
      <c r="C567" s="77" t="s">
        <v>21</v>
      </c>
      <c r="D567" s="379">
        <v>1</v>
      </c>
      <c r="E567" s="371" t="e">
        <f>INSUMOS!#REF!</f>
        <v>#REF!</v>
      </c>
      <c r="F567" s="371" t="e">
        <f>+D567*E567</f>
        <v>#REF!</v>
      </c>
    </row>
    <row r="568" spans="1:6">
      <c r="A568" s="529"/>
      <c r="B568" s="165" t="s">
        <v>229</v>
      </c>
      <c r="C568" s="77" t="s">
        <v>68</v>
      </c>
      <c r="D568" s="379">
        <v>0.05</v>
      </c>
      <c r="E568" s="371" t="e">
        <f>F567</f>
        <v>#REF!</v>
      </c>
      <c r="F568" s="371" t="e">
        <f>+D568*E568</f>
        <v>#REF!</v>
      </c>
    </row>
    <row r="569" spans="1:6">
      <c r="A569" s="529"/>
      <c r="B569" s="165" t="s">
        <v>136</v>
      </c>
      <c r="C569" s="77" t="s">
        <v>68</v>
      </c>
      <c r="D569" s="379"/>
      <c r="E569" s="371" t="e">
        <f>SUM(F567:F568)</f>
        <v>#REF!</v>
      </c>
      <c r="F569" s="371" t="e">
        <f>+D569*E569</f>
        <v>#REF!</v>
      </c>
    </row>
    <row r="570" spans="1:6" ht="25.5">
      <c r="A570" s="529"/>
      <c r="B570" s="165" t="s">
        <v>2873</v>
      </c>
      <c r="C570" s="77" t="s">
        <v>8</v>
      </c>
      <c r="D570" s="379">
        <v>0.2</v>
      </c>
      <c r="E570" s="396">
        <f>INSUMOS!D34</f>
        <v>193073</v>
      </c>
      <c r="F570" s="396">
        <f>+D570*E570</f>
        <v>38614.6</v>
      </c>
    </row>
    <row r="571" spans="1:6">
      <c r="A571" s="529"/>
      <c r="B571" s="165" t="s">
        <v>11</v>
      </c>
      <c r="C571" s="77" t="s">
        <v>284</v>
      </c>
      <c r="D571" s="379">
        <v>0.03</v>
      </c>
      <c r="E571" s="371">
        <f>F572</f>
        <v>35934.659742729455</v>
      </c>
      <c r="F571" s="371">
        <f>(D571*E571)</f>
        <v>1078.0397922818836</v>
      </c>
    </row>
    <row r="572" spans="1:6">
      <c r="A572" s="529"/>
      <c r="B572" s="165" t="s">
        <v>2831</v>
      </c>
      <c r="C572" s="77" t="s">
        <v>10</v>
      </c>
      <c r="D572" s="379">
        <v>1.25</v>
      </c>
      <c r="E572" s="371">
        <f>'VALOR CUADRILLAS MO'!D89</f>
        <v>28747.727794183564</v>
      </c>
      <c r="F572" s="371">
        <f>+D572*E572</f>
        <v>35934.659742729455</v>
      </c>
    </row>
    <row r="573" spans="1:6">
      <c r="A573" s="529"/>
      <c r="B573" s="165"/>
      <c r="C573" s="77"/>
      <c r="D573" s="379"/>
      <c r="E573" s="371"/>
      <c r="F573" s="371"/>
    </row>
    <row r="574" spans="1:6" ht="37.9" customHeight="1">
      <c r="A574" s="246">
        <f>A566+1</f>
        <v>71</v>
      </c>
      <c r="B574" s="83" t="s">
        <v>2832</v>
      </c>
      <c r="C574" s="76" t="s">
        <v>21</v>
      </c>
      <c r="D574" s="73"/>
      <c r="E574" s="430"/>
      <c r="F574" s="378" t="e">
        <f>ROUND(SUM(F575:F580),0)</f>
        <v>#REF!</v>
      </c>
    </row>
    <row r="575" spans="1:6">
      <c r="A575" s="529"/>
      <c r="B575" s="165" t="s">
        <v>2833</v>
      </c>
      <c r="C575" s="77" t="s">
        <v>21</v>
      </c>
      <c r="D575" s="379">
        <v>1</v>
      </c>
      <c r="E575" s="396" t="e">
        <f>INSUMOS!#REF!</f>
        <v>#REF!</v>
      </c>
      <c r="F575" s="396" t="e">
        <f>+D575*E575</f>
        <v>#REF!</v>
      </c>
    </row>
    <row r="576" spans="1:6">
      <c r="A576" s="529"/>
      <c r="B576" s="165" t="s">
        <v>229</v>
      </c>
      <c r="C576" s="77" t="s">
        <v>68</v>
      </c>
      <c r="D576" s="379">
        <v>0.05</v>
      </c>
      <c r="E576" s="396" t="e">
        <f>F575</f>
        <v>#REF!</v>
      </c>
      <c r="F576" s="396" t="e">
        <f>+D576*E576</f>
        <v>#REF!</v>
      </c>
    </row>
    <row r="577" spans="1:6">
      <c r="A577" s="529"/>
      <c r="B577" s="165" t="s">
        <v>136</v>
      </c>
      <c r="C577" s="77" t="s">
        <v>68</v>
      </c>
      <c r="D577" s="379"/>
      <c r="E577" s="396" t="e">
        <f>SUM(F575:F576)</f>
        <v>#REF!</v>
      </c>
      <c r="F577" s="396" t="e">
        <f>+D577*E577</f>
        <v>#REF!</v>
      </c>
    </row>
    <row r="578" spans="1:6" ht="25.5">
      <c r="A578" s="529"/>
      <c r="B578" s="165" t="s">
        <v>2873</v>
      </c>
      <c r="C578" s="77" t="s">
        <v>8</v>
      </c>
      <c r="D578" s="379">
        <v>0.2</v>
      </c>
      <c r="E578" s="396">
        <f>INSUMOS!D34</f>
        <v>193073</v>
      </c>
      <c r="F578" s="396">
        <f>+D578*E578</f>
        <v>38614.6</v>
      </c>
    </row>
    <row r="579" spans="1:6">
      <c r="A579" s="529"/>
      <c r="B579" s="165" t="s">
        <v>11</v>
      </c>
      <c r="C579" s="77" t="s">
        <v>284</v>
      </c>
      <c r="D579" s="379">
        <v>0.03</v>
      </c>
      <c r="E579" s="396">
        <f>F580</f>
        <v>35934.659742729455</v>
      </c>
      <c r="F579" s="396">
        <f>(D579*E579)</f>
        <v>1078.0397922818836</v>
      </c>
    </row>
    <row r="580" spans="1:6">
      <c r="A580" s="529"/>
      <c r="B580" s="165" t="s">
        <v>2831</v>
      </c>
      <c r="C580" s="77" t="s">
        <v>10</v>
      </c>
      <c r="D580" s="379">
        <v>1.25</v>
      </c>
      <c r="E580" s="396">
        <f>'VALOR CUADRILLAS MO'!D89</f>
        <v>28747.727794183564</v>
      </c>
      <c r="F580" s="396">
        <f>+D580*E580</f>
        <v>35934.659742729455</v>
      </c>
    </row>
    <row r="581" spans="1:6">
      <c r="A581" s="529"/>
      <c r="B581" s="165"/>
      <c r="C581" s="77"/>
      <c r="D581" s="379"/>
      <c r="E581" s="396"/>
      <c r="F581" s="396"/>
    </row>
    <row r="582" spans="1:6" ht="31.9" customHeight="1">
      <c r="A582" s="246">
        <f>A574+1</f>
        <v>72</v>
      </c>
      <c r="B582" s="83" t="s">
        <v>2834</v>
      </c>
      <c r="C582" s="76" t="s">
        <v>21</v>
      </c>
      <c r="D582" s="73"/>
      <c r="E582" s="430"/>
      <c r="F582" s="378" t="e">
        <f>ROUND(SUM(F583:F588),0)</f>
        <v>#REF!</v>
      </c>
    </row>
    <row r="583" spans="1:6">
      <c r="A583" s="529"/>
      <c r="B583" s="165" t="s">
        <v>2835</v>
      </c>
      <c r="C583" s="77" t="s">
        <v>21</v>
      </c>
      <c r="D583" s="379">
        <v>1</v>
      </c>
      <c r="E583" s="396" t="e">
        <f>INSUMOS!#REF!</f>
        <v>#REF!</v>
      </c>
      <c r="F583" s="396" t="e">
        <f>+D583*E583</f>
        <v>#REF!</v>
      </c>
    </row>
    <row r="584" spans="1:6">
      <c r="A584" s="529"/>
      <c r="B584" s="165" t="s">
        <v>229</v>
      </c>
      <c r="C584" s="77" t="s">
        <v>68</v>
      </c>
      <c r="D584" s="379">
        <v>0.05</v>
      </c>
      <c r="E584" s="396" t="e">
        <f>F583</f>
        <v>#REF!</v>
      </c>
      <c r="F584" s="396" t="e">
        <f>+D584*E584</f>
        <v>#REF!</v>
      </c>
    </row>
    <row r="585" spans="1:6">
      <c r="A585" s="529"/>
      <c r="B585" s="165" t="s">
        <v>136</v>
      </c>
      <c r="C585" s="77" t="s">
        <v>68</v>
      </c>
      <c r="D585" s="379"/>
      <c r="E585" s="396" t="e">
        <f>SUM(F583:F584)</f>
        <v>#REF!</v>
      </c>
      <c r="F585" s="396" t="e">
        <f>+D585*E585</f>
        <v>#REF!</v>
      </c>
    </row>
    <row r="586" spans="1:6" ht="25.5">
      <c r="A586" s="529"/>
      <c r="B586" s="165" t="s">
        <v>2873</v>
      </c>
      <c r="C586" s="77" t="s">
        <v>8</v>
      </c>
      <c r="D586" s="379">
        <v>0.25</v>
      </c>
      <c r="E586" s="396">
        <f>INSUMOS!D34</f>
        <v>193073</v>
      </c>
      <c r="F586" s="396">
        <f>+D586*E586</f>
        <v>48268.25</v>
      </c>
    </row>
    <row r="587" spans="1:6">
      <c r="A587" s="529"/>
      <c r="B587" s="165" t="s">
        <v>11</v>
      </c>
      <c r="C587" s="77" t="s">
        <v>284</v>
      </c>
      <c r="D587" s="379">
        <v>0.03</v>
      </c>
      <c r="E587" s="396">
        <f>F588</f>
        <v>38809.432522147814</v>
      </c>
      <c r="F587" s="396">
        <f>(D587*E587)</f>
        <v>1164.2829756644344</v>
      </c>
    </row>
    <row r="588" spans="1:6">
      <c r="A588" s="529"/>
      <c r="B588" s="165" t="s">
        <v>612</v>
      </c>
      <c r="C588" s="77" t="s">
        <v>10</v>
      </c>
      <c r="D588" s="379">
        <v>1.35</v>
      </c>
      <c r="E588" s="396">
        <f>'VALOR CUADRILLAS MO'!D89</f>
        <v>28747.727794183564</v>
      </c>
      <c r="F588" s="396">
        <f>+D588*E588</f>
        <v>38809.432522147814</v>
      </c>
    </row>
    <row r="589" spans="1:6">
      <c r="A589" s="529"/>
      <c r="B589" s="165"/>
      <c r="C589" s="77"/>
      <c r="D589" s="379"/>
      <c r="E589" s="396"/>
      <c r="F589" s="396"/>
    </row>
    <row r="590" spans="1:6" ht="37.9" customHeight="1">
      <c r="A590" s="246">
        <f>A582+1</f>
        <v>73</v>
      </c>
      <c r="B590" s="83" t="s">
        <v>2836</v>
      </c>
      <c r="C590" s="76" t="s">
        <v>21</v>
      </c>
      <c r="D590" s="73"/>
      <c r="E590" s="430"/>
      <c r="F590" s="378" t="e">
        <f>ROUND(SUM(F591:F596),0)</f>
        <v>#REF!</v>
      </c>
    </row>
    <row r="591" spans="1:6">
      <c r="A591" s="529"/>
      <c r="B591" s="165" t="s">
        <v>2837</v>
      </c>
      <c r="C591" s="77" t="s">
        <v>21</v>
      </c>
      <c r="D591" s="379">
        <v>1</v>
      </c>
      <c r="E591" s="396" t="e">
        <f>INSUMOS!#REF!</f>
        <v>#REF!</v>
      </c>
      <c r="F591" s="396" t="e">
        <f>+D591*E591</f>
        <v>#REF!</v>
      </c>
    </row>
    <row r="592" spans="1:6">
      <c r="A592" s="529"/>
      <c r="B592" s="165" t="s">
        <v>229</v>
      </c>
      <c r="C592" s="77" t="s">
        <v>68</v>
      </c>
      <c r="D592" s="379">
        <v>0.02</v>
      </c>
      <c r="E592" s="396" t="e">
        <f>F591</f>
        <v>#REF!</v>
      </c>
      <c r="F592" s="396" t="e">
        <f>+D592*E592</f>
        <v>#REF!</v>
      </c>
    </row>
    <row r="593" spans="1:17">
      <c r="A593" s="529"/>
      <c r="B593" s="165" t="s">
        <v>136</v>
      </c>
      <c r="C593" s="77" t="s">
        <v>68</v>
      </c>
      <c r="D593" s="379"/>
      <c r="E593" s="396" t="e">
        <f>SUM(F591:F592)</f>
        <v>#REF!</v>
      </c>
      <c r="F593" s="396" t="e">
        <f>+D593*E593</f>
        <v>#REF!</v>
      </c>
    </row>
    <row r="594" spans="1:17" ht="25.5">
      <c r="A594" s="529"/>
      <c r="B594" s="165" t="s">
        <v>2873</v>
      </c>
      <c r="C594" s="77" t="s">
        <v>8</v>
      </c>
      <c r="D594" s="379">
        <v>0.25</v>
      </c>
      <c r="E594" s="396">
        <f>INSUMOS!D34</f>
        <v>193073</v>
      </c>
      <c r="F594" s="396">
        <f>+D594*E594</f>
        <v>48268.25</v>
      </c>
    </row>
    <row r="595" spans="1:17">
      <c r="A595" s="529"/>
      <c r="B595" s="165" t="s">
        <v>11</v>
      </c>
      <c r="C595" s="77" t="s">
        <v>284</v>
      </c>
      <c r="D595" s="379">
        <v>0.03</v>
      </c>
      <c r="E595" s="396">
        <f>F596</f>
        <v>38809.432522147814</v>
      </c>
      <c r="F595" s="396">
        <f>(D595*E595)</f>
        <v>1164.2829756644344</v>
      </c>
    </row>
    <row r="596" spans="1:17">
      <c r="A596" s="529"/>
      <c r="B596" s="165" t="s">
        <v>2831</v>
      </c>
      <c r="C596" s="77" t="s">
        <v>10</v>
      </c>
      <c r="D596" s="379">
        <v>1.35</v>
      </c>
      <c r="E596" s="396">
        <f>'VALOR CUADRILLAS MO'!D89</f>
        <v>28747.727794183564</v>
      </c>
      <c r="F596" s="396">
        <f>+D596*E596</f>
        <v>38809.432522147814</v>
      </c>
      <c r="N596" s="36"/>
      <c r="O596" s="77"/>
      <c r="P596" s="379"/>
      <c r="Q596" s="371"/>
    </row>
    <row r="597" spans="1:17">
      <c r="A597" s="529"/>
      <c r="B597" s="165"/>
      <c r="C597" s="77"/>
      <c r="D597" s="379"/>
      <c r="E597" s="396"/>
      <c r="F597" s="396"/>
      <c r="N597" s="36"/>
      <c r="O597" s="77"/>
      <c r="P597" s="379"/>
      <c r="Q597" s="396"/>
    </row>
    <row r="598" spans="1:17" ht="30" customHeight="1">
      <c r="A598" s="246">
        <f>A590+1</f>
        <v>74</v>
      </c>
      <c r="B598" s="83" t="s">
        <v>2838</v>
      </c>
      <c r="C598" s="76" t="s">
        <v>21</v>
      </c>
      <c r="D598" s="73"/>
      <c r="E598" s="430"/>
      <c r="F598" s="378" t="e">
        <f>ROUND(SUM(F599:F604),0)</f>
        <v>#REF!</v>
      </c>
      <c r="N598" s="36"/>
      <c r="O598" s="77"/>
      <c r="P598" s="379"/>
      <c r="Q598" s="396"/>
    </row>
    <row r="599" spans="1:17">
      <c r="A599" s="529"/>
      <c r="B599" s="165" t="s">
        <v>2839</v>
      </c>
      <c r="C599" s="77" t="s">
        <v>21</v>
      </c>
      <c r="D599" s="379">
        <v>1</v>
      </c>
      <c r="E599" s="396" t="e">
        <f>INSUMOS!#REF!</f>
        <v>#REF!</v>
      </c>
      <c r="F599" s="396" t="e">
        <f>+D599*E599</f>
        <v>#REF!</v>
      </c>
      <c r="N599" s="36"/>
      <c r="O599" s="77"/>
      <c r="P599" s="379"/>
      <c r="Q599" s="396"/>
    </row>
    <row r="600" spans="1:17">
      <c r="A600" s="529"/>
      <c r="B600" s="165" t="s">
        <v>229</v>
      </c>
      <c r="C600" s="77" t="s">
        <v>68</v>
      </c>
      <c r="D600" s="379">
        <v>0.02</v>
      </c>
      <c r="E600" s="396" t="e">
        <f>F599</f>
        <v>#REF!</v>
      </c>
      <c r="F600" s="396" t="e">
        <f>+D600*E600</f>
        <v>#REF!</v>
      </c>
    </row>
    <row r="601" spans="1:17">
      <c r="A601" s="529"/>
      <c r="B601" s="165" t="s">
        <v>136</v>
      </c>
      <c r="C601" s="77" t="s">
        <v>68</v>
      </c>
      <c r="D601" s="379"/>
      <c r="E601" s="396" t="e">
        <f>SUM(F599:F600)</f>
        <v>#REF!</v>
      </c>
      <c r="F601" s="396" t="e">
        <f>+D601*E601</f>
        <v>#REF!</v>
      </c>
      <c r="N601" s="36"/>
      <c r="O601" s="77"/>
      <c r="P601" s="379"/>
      <c r="Q601" s="396"/>
    </row>
    <row r="602" spans="1:17" ht="25.5">
      <c r="A602" s="529"/>
      <c r="B602" s="165" t="s">
        <v>2873</v>
      </c>
      <c r="C602" s="77" t="s">
        <v>8</v>
      </c>
      <c r="D602" s="379">
        <v>0.3</v>
      </c>
      <c r="E602" s="396">
        <f>INSUMOS!D34</f>
        <v>193073</v>
      </c>
      <c r="F602" s="396">
        <f>+D602*E602</f>
        <v>57921.9</v>
      </c>
    </row>
    <row r="603" spans="1:17">
      <c r="A603" s="529"/>
      <c r="B603" s="165" t="s">
        <v>11</v>
      </c>
      <c r="C603" s="77" t="s">
        <v>284</v>
      </c>
      <c r="D603" s="379">
        <v>0.03</v>
      </c>
      <c r="E603" s="396">
        <f>F604</f>
        <v>41684.205301566166</v>
      </c>
      <c r="F603" s="396">
        <f>(D603*E603)</f>
        <v>1250.526159046985</v>
      </c>
    </row>
    <row r="604" spans="1:17">
      <c r="A604" s="529"/>
      <c r="B604" s="165" t="s">
        <v>2831</v>
      </c>
      <c r="C604" s="77" t="s">
        <v>10</v>
      </c>
      <c r="D604" s="379">
        <v>1.45</v>
      </c>
      <c r="E604" s="396">
        <f>'VALOR CUADRILLAS MO'!D89</f>
        <v>28747.727794183564</v>
      </c>
      <c r="F604" s="396">
        <f>+D604*E604</f>
        <v>41684.205301566166</v>
      </c>
    </row>
    <row r="605" spans="1:17">
      <c r="A605" s="529"/>
      <c r="B605" s="165"/>
      <c r="C605" s="77"/>
      <c r="D605" s="379"/>
      <c r="E605" s="396"/>
      <c r="F605" s="396"/>
    </row>
    <row r="606" spans="1:17">
      <c r="A606" s="529"/>
      <c r="B606" s="165"/>
      <c r="C606" s="77"/>
      <c r="D606" s="379"/>
      <c r="E606" s="371"/>
      <c r="F606" s="371"/>
    </row>
    <row r="607" spans="1:17" ht="36" customHeight="1">
      <c r="A607" s="246">
        <f>A598+1</f>
        <v>75</v>
      </c>
      <c r="B607" s="83" t="s">
        <v>2840</v>
      </c>
      <c r="C607" s="76" t="s">
        <v>21</v>
      </c>
      <c r="D607" s="73"/>
      <c r="E607" s="430"/>
      <c r="F607" s="378" t="e">
        <f>ROUND(SUM(F608:F613),0)</f>
        <v>#REF!</v>
      </c>
    </row>
    <row r="608" spans="1:17">
      <c r="A608" s="529"/>
      <c r="B608" s="165" t="s">
        <v>2841</v>
      </c>
      <c r="C608" s="77" t="s">
        <v>21</v>
      </c>
      <c r="D608" s="379">
        <v>1</v>
      </c>
      <c r="E608" s="396" t="e">
        <f>INSUMOS!#REF!</f>
        <v>#REF!</v>
      </c>
      <c r="F608" s="396" t="e">
        <f>+D608*E608</f>
        <v>#REF!</v>
      </c>
    </row>
    <row r="609" spans="1:17">
      <c r="A609" s="529"/>
      <c r="B609" s="165" t="s">
        <v>229</v>
      </c>
      <c r="C609" s="77" t="s">
        <v>68</v>
      </c>
      <c r="D609" s="379">
        <v>0.02</v>
      </c>
      <c r="E609" s="396" t="e">
        <f>F608</f>
        <v>#REF!</v>
      </c>
      <c r="F609" s="396" t="e">
        <f>+D609*E609</f>
        <v>#REF!</v>
      </c>
    </row>
    <row r="610" spans="1:17">
      <c r="A610" s="529"/>
      <c r="B610" s="165" t="s">
        <v>136</v>
      </c>
      <c r="C610" s="77" t="s">
        <v>68</v>
      </c>
      <c r="D610" s="379"/>
      <c r="E610" s="396" t="e">
        <f>SUM(F608:F609)</f>
        <v>#REF!</v>
      </c>
      <c r="F610" s="396" t="e">
        <f>+D610*E610</f>
        <v>#REF!</v>
      </c>
    </row>
    <row r="611" spans="1:17" ht="25.5">
      <c r="A611" s="529"/>
      <c r="B611" s="165" t="s">
        <v>2873</v>
      </c>
      <c r="C611" s="77" t="s">
        <v>8</v>
      </c>
      <c r="D611" s="379">
        <v>0.3</v>
      </c>
      <c r="E611" s="396">
        <f>INSUMOS!D34</f>
        <v>193073</v>
      </c>
      <c r="F611" s="396">
        <f>+D611*E611</f>
        <v>57921.9</v>
      </c>
    </row>
    <row r="612" spans="1:17">
      <c r="A612" s="529"/>
      <c r="B612" s="165" t="s">
        <v>11</v>
      </c>
      <c r="C612" s="77" t="s">
        <v>284</v>
      </c>
      <c r="D612" s="379">
        <v>0.03</v>
      </c>
      <c r="E612" s="396">
        <f>F613</f>
        <v>41684.205301566166</v>
      </c>
      <c r="F612" s="396">
        <f>(D612*E612)</f>
        <v>1250.526159046985</v>
      </c>
    </row>
    <row r="613" spans="1:17">
      <c r="A613" s="529"/>
      <c r="B613" s="165" t="s">
        <v>2831</v>
      </c>
      <c r="C613" s="77" t="s">
        <v>10</v>
      </c>
      <c r="D613" s="379">
        <v>1.45</v>
      </c>
      <c r="E613" s="396">
        <f>'VALOR CUADRILLAS MO'!D89</f>
        <v>28747.727794183564</v>
      </c>
      <c r="F613" s="396">
        <f>+D613*E613</f>
        <v>41684.205301566166</v>
      </c>
    </row>
    <row r="614" spans="1:17">
      <c r="A614" s="529"/>
      <c r="B614" s="165"/>
      <c r="C614" s="77"/>
      <c r="D614" s="379"/>
      <c r="E614" s="396"/>
      <c r="F614" s="396"/>
    </row>
    <row r="615" spans="1:17" ht="31.15" customHeight="1">
      <c r="A615" s="246">
        <f>A607+1</f>
        <v>76</v>
      </c>
      <c r="B615" s="83" t="s">
        <v>2842</v>
      </c>
      <c r="C615" s="76" t="s">
        <v>21</v>
      </c>
      <c r="D615" s="73"/>
      <c r="E615" s="430"/>
      <c r="F615" s="378" t="e">
        <f>ROUND(SUM(F616:F621),0)</f>
        <v>#REF!</v>
      </c>
    </row>
    <row r="616" spans="1:17">
      <c r="A616" s="529"/>
      <c r="B616" s="165" t="s">
        <v>2841</v>
      </c>
      <c r="C616" s="77" t="s">
        <v>21</v>
      </c>
      <c r="D616" s="379">
        <v>1</v>
      </c>
      <c r="E616" s="396" t="e">
        <f>INSUMOS!#REF!</f>
        <v>#REF!</v>
      </c>
      <c r="F616" s="396" t="e">
        <f>+D616*E616</f>
        <v>#REF!</v>
      </c>
    </row>
    <row r="617" spans="1:17">
      <c r="A617" s="529"/>
      <c r="B617" s="165" t="s">
        <v>229</v>
      </c>
      <c r="C617" s="77" t="s">
        <v>68</v>
      </c>
      <c r="D617" s="379">
        <v>0.02</v>
      </c>
      <c r="E617" s="396" t="e">
        <f>F616</f>
        <v>#REF!</v>
      </c>
      <c r="F617" s="396" t="e">
        <f>+D617*E617</f>
        <v>#REF!</v>
      </c>
    </row>
    <row r="618" spans="1:17">
      <c r="A618" s="529"/>
      <c r="B618" s="165" t="s">
        <v>136</v>
      </c>
      <c r="C618" s="77" t="s">
        <v>68</v>
      </c>
      <c r="D618" s="379"/>
      <c r="E618" s="396" t="e">
        <f>SUM(F616:F617)</f>
        <v>#REF!</v>
      </c>
      <c r="F618" s="396" t="e">
        <f>+D618*E618</f>
        <v>#REF!</v>
      </c>
      <c r="N618" s="36"/>
      <c r="O618" s="77"/>
      <c r="P618" s="379"/>
      <c r="Q618" s="396"/>
    </row>
    <row r="619" spans="1:17" ht="25.5">
      <c r="A619" s="529"/>
      <c r="B619" s="165" t="s">
        <v>2873</v>
      </c>
      <c r="C619" s="77" t="s">
        <v>8</v>
      </c>
      <c r="D619" s="379">
        <v>0.3</v>
      </c>
      <c r="E619" s="396">
        <f>INSUMOS!D34</f>
        <v>193073</v>
      </c>
      <c r="F619" s="396">
        <f>+D619*E619</f>
        <v>57921.9</v>
      </c>
      <c r="N619" s="36"/>
      <c r="O619" s="77"/>
      <c r="P619" s="379"/>
      <c r="Q619" s="396"/>
    </row>
    <row r="620" spans="1:17">
      <c r="A620" s="529"/>
      <c r="B620" s="165" t="s">
        <v>11</v>
      </c>
      <c r="C620" s="77" t="s">
        <v>284</v>
      </c>
      <c r="D620" s="379">
        <v>0.03</v>
      </c>
      <c r="E620" s="396">
        <f>F621</f>
        <v>43121.591691275346</v>
      </c>
      <c r="F620" s="396">
        <f>(D620*E620)</f>
        <v>1293.6477507382604</v>
      </c>
      <c r="N620" s="36"/>
      <c r="O620" s="77"/>
      <c r="P620" s="379"/>
      <c r="Q620" s="396"/>
    </row>
    <row r="621" spans="1:17">
      <c r="A621" s="529"/>
      <c r="B621" s="165" t="s">
        <v>612</v>
      </c>
      <c r="C621" s="77" t="s">
        <v>10</v>
      </c>
      <c r="D621" s="379">
        <v>1.5</v>
      </c>
      <c r="E621" s="396">
        <f>'VALOR CUADRILLAS MO'!D89</f>
        <v>28747.727794183564</v>
      </c>
      <c r="F621" s="396">
        <f>+D621*E621</f>
        <v>43121.591691275346</v>
      </c>
      <c r="N621" s="36"/>
      <c r="O621" s="77"/>
      <c r="P621" s="379"/>
      <c r="Q621" s="396"/>
    </row>
    <row r="622" spans="1:17">
      <c r="A622" s="529"/>
      <c r="B622" s="165"/>
      <c r="C622" s="77"/>
      <c r="D622" s="379"/>
      <c r="E622" s="371"/>
      <c r="F622" s="371"/>
    </row>
    <row r="623" spans="1:17" ht="24.6" customHeight="1">
      <c r="A623" s="246">
        <f>A615+1</f>
        <v>77</v>
      </c>
      <c r="B623" s="83" t="s">
        <v>2843</v>
      </c>
      <c r="C623" s="76" t="s">
        <v>26</v>
      </c>
      <c r="D623" s="73"/>
      <c r="E623" s="430"/>
      <c r="F623" s="378" t="e">
        <f>ROUND(SUM(F624:F628),0)</f>
        <v>#REF!</v>
      </c>
    </row>
    <row r="624" spans="1:17">
      <c r="A624" s="529"/>
      <c r="B624" s="165" t="s">
        <v>2844</v>
      </c>
      <c r="C624" s="77" t="s">
        <v>26</v>
      </c>
      <c r="D624" s="379">
        <v>1</v>
      </c>
      <c r="E624" s="396" t="e">
        <f>INSUMOS!#REF!</f>
        <v>#REF!</v>
      </c>
      <c r="F624" s="396" t="e">
        <f>+D624*E624</f>
        <v>#REF!</v>
      </c>
    </row>
    <row r="625" spans="1:6">
      <c r="A625" s="529"/>
      <c r="B625" s="165" t="s">
        <v>136</v>
      </c>
      <c r="C625" s="77" t="s">
        <v>68</v>
      </c>
      <c r="D625" s="379"/>
      <c r="E625" s="396" t="e">
        <f>F624</f>
        <v>#REF!</v>
      </c>
      <c r="F625" s="396" t="e">
        <f>+D625*E625</f>
        <v>#REF!</v>
      </c>
    </row>
    <row r="626" spans="1:6" ht="25.5">
      <c r="A626" s="529"/>
      <c r="B626" s="165" t="s">
        <v>2873</v>
      </c>
      <c r="C626" s="77" t="s">
        <v>8</v>
      </c>
      <c r="D626" s="379">
        <v>0.3</v>
      </c>
      <c r="E626" s="396">
        <f>INSUMOS!D34</f>
        <v>193073</v>
      </c>
      <c r="F626" s="396">
        <f>+D626*E626</f>
        <v>57921.9</v>
      </c>
    </row>
    <row r="627" spans="1:6">
      <c r="A627" s="529"/>
      <c r="B627" s="165" t="s">
        <v>11</v>
      </c>
      <c r="C627" s="77" t="s">
        <v>284</v>
      </c>
      <c r="D627" s="379">
        <v>0.03</v>
      </c>
      <c r="E627" s="396">
        <f>F628</f>
        <v>43121.591691275346</v>
      </c>
      <c r="F627" s="396">
        <f>(D627*E627)</f>
        <v>1293.6477507382604</v>
      </c>
    </row>
    <row r="628" spans="1:6">
      <c r="A628" s="529"/>
      <c r="B628" s="165" t="s">
        <v>2831</v>
      </c>
      <c r="C628" s="77" t="s">
        <v>10</v>
      </c>
      <c r="D628" s="379">
        <v>1.5</v>
      </c>
      <c r="E628" s="396">
        <f>'VALOR CUADRILLAS MO'!D89</f>
        <v>28747.727794183564</v>
      </c>
      <c r="F628" s="396">
        <f>+D628*E628</f>
        <v>43121.591691275346</v>
      </c>
    </row>
    <row r="629" spans="1:6">
      <c r="A629" s="427"/>
      <c r="B629" s="165"/>
      <c r="C629" s="77"/>
      <c r="D629" s="379"/>
      <c r="E629" s="371"/>
      <c r="F629" s="371"/>
    </row>
    <row r="630" spans="1:6" ht="23.45" customHeight="1">
      <c r="A630" s="246">
        <f>A623+1</f>
        <v>78</v>
      </c>
      <c r="B630" s="83" t="s">
        <v>2845</v>
      </c>
      <c r="C630" s="76" t="s">
        <v>26</v>
      </c>
      <c r="D630" s="73"/>
      <c r="E630" s="430"/>
      <c r="F630" s="378" t="e">
        <f>ROUND(SUM(F631:F635),0)</f>
        <v>#REF!</v>
      </c>
    </row>
    <row r="631" spans="1:6" ht="17.25" customHeight="1">
      <c r="A631" s="529"/>
      <c r="B631" s="165" t="s">
        <v>2846</v>
      </c>
      <c r="C631" s="77" t="s">
        <v>26</v>
      </c>
      <c r="D631" s="379">
        <v>1</v>
      </c>
      <c r="E631" s="396" t="e">
        <f>INSUMOS!#REF!</f>
        <v>#REF!</v>
      </c>
      <c r="F631" s="396" t="e">
        <f>+D631*E631</f>
        <v>#REF!</v>
      </c>
    </row>
    <row r="632" spans="1:6">
      <c r="A632" s="529"/>
      <c r="B632" s="165" t="s">
        <v>136</v>
      </c>
      <c r="C632" s="77" t="s">
        <v>68</v>
      </c>
      <c r="D632" s="379"/>
      <c r="E632" s="396" t="e">
        <f>F631</f>
        <v>#REF!</v>
      </c>
      <c r="F632" s="396" t="e">
        <f>+D632*E632</f>
        <v>#REF!</v>
      </c>
    </row>
    <row r="633" spans="1:6" ht="25.5">
      <c r="A633" s="529"/>
      <c r="B633" s="165" t="s">
        <v>2873</v>
      </c>
      <c r="C633" s="77" t="s">
        <v>8</v>
      </c>
      <c r="D633" s="379">
        <v>0.3</v>
      </c>
      <c r="E633" s="396">
        <f>INSUMOS!D34</f>
        <v>193073</v>
      </c>
      <c r="F633" s="396">
        <f>+D633*E633</f>
        <v>57921.9</v>
      </c>
    </row>
    <row r="634" spans="1:6">
      <c r="A634" s="529"/>
      <c r="B634" s="165" t="s">
        <v>11</v>
      </c>
      <c r="C634" s="77" t="s">
        <v>284</v>
      </c>
      <c r="D634" s="379">
        <v>0.03</v>
      </c>
      <c r="E634" s="396">
        <f>F635</f>
        <v>43121.591691275346</v>
      </c>
      <c r="F634" s="396">
        <f>(D634*E634)</f>
        <v>1293.6477507382604</v>
      </c>
    </row>
    <row r="635" spans="1:6">
      <c r="A635" s="529"/>
      <c r="B635" s="165" t="s">
        <v>612</v>
      </c>
      <c r="C635" s="77" t="s">
        <v>10</v>
      </c>
      <c r="D635" s="379">
        <v>1.5</v>
      </c>
      <c r="E635" s="396">
        <f>'VALOR CUADRILLAS MO'!D89</f>
        <v>28747.727794183564</v>
      </c>
      <c r="F635" s="396">
        <f>+D635*E635</f>
        <v>43121.591691275346</v>
      </c>
    </row>
    <row r="636" spans="1:6">
      <c r="A636" s="529"/>
      <c r="B636" s="165"/>
      <c r="C636" s="77"/>
      <c r="D636" s="379"/>
      <c r="E636" s="371"/>
      <c r="F636" s="371"/>
    </row>
    <row r="637" spans="1:6" ht="21" customHeight="1">
      <c r="A637" s="246">
        <f>A630+1</f>
        <v>79</v>
      </c>
      <c r="B637" s="83" t="s">
        <v>2847</v>
      </c>
      <c r="C637" s="76" t="s">
        <v>26</v>
      </c>
      <c r="D637" s="73"/>
      <c r="E637" s="430"/>
      <c r="F637" s="378" t="e">
        <f>ROUND(SUM(F638:F642),0)</f>
        <v>#REF!</v>
      </c>
    </row>
    <row r="638" spans="1:6">
      <c r="A638" s="529"/>
      <c r="B638" s="165" t="s">
        <v>2848</v>
      </c>
      <c r="C638" s="77" t="s">
        <v>26</v>
      </c>
      <c r="D638" s="379">
        <v>1</v>
      </c>
      <c r="E638" s="396" t="e">
        <f>INSUMOS!#REF!</f>
        <v>#REF!</v>
      </c>
      <c r="F638" s="396" t="e">
        <f>+D638*E638</f>
        <v>#REF!</v>
      </c>
    </row>
    <row r="639" spans="1:6">
      <c r="A639" s="529"/>
      <c r="B639" s="165" t="s">
        <v>136</v>
      </c>
      <c r="C639" s="77" t="s">
        <v>68</v>
      </c>
      <c r="D639" s="379"/>
      <c r="E639" s="396" t="e">
        <f>SUM(F638:F638)</f>
        <v>#REF!</v>
      </c>
      <c r="F639" s="396" t="e">
        <f>+D639*E639</f>
        <v>#REF!</v>
      </c>
    </row>
    <row r="640" spans="1:6" ht="25.5">
      <c r="A640" s="529"/>
      <c r="B640" s="165" t="s">
        <v>2873</v>
      </c>
      <c r="C640" s="77" t="s">
        <v>8</v>
      </c>
      <c r="D640" s="379">
        <v>0.3</v>
      </c>
      <c r="E640" s="396">
        <f>INSUMOS!D34</f>
        <v>193073</v>
      </c>
      <c r="F640" s="396">
        <f>+D640*E640</f>
        <v>57921.9</v>
      </c>
    </row>
    <row r="641" spans="1:17">
      <c r="A641" s="529"/>
      <c r="B641" s="165" t="s">
        <v>11</v>
      </c>
      <c r="C641" s="77" t="s">
        <v>284</v>
      </c>
      <c r="D641" s="379">
        <v>0.03</v>
      </c>
      <c r="E641" s="396">
        <f>F642</f>
        <v>43121.591691275346</v>
      </c>
      <c r="F641" s="396">
        <f>(D641*E641)</f>
        <v>1293.6477507382604</v>
      </c>
    </row>
    <row r="642" spans="1:17">
      <c r="A642" s="529"/>
      <c r="B642" s="165" t="s">
        <v>2831</v>
      </c>
      <c r="C642" s="77" t="s">
        <v>10</v>
      </c>
      <c r="D642" s="379">
        <v>1.5</v>
      </c>
      <c r="E642" s="396">
        <f>'VALOR CUADRILLAS MO'!D89</f>
        <v>28747.727794183564</v>
      </c>
      <c r="F642" s="396">
        <f>+D642*E642</f>
        <v>43121.591691275346</v>
      </c>
    </row>
    <row r="643" spans="1:17">
      <c r="A643" s="529"/>
      <c r="B643" s="165"/>
      <c r="C643" s="77"/>
      <c r="D643" s="379"/>
      <c r="E643" s="371"/>
      <c r="F643" s="371"/>
    </row>
    <row r="644" spans="1:17" ht="23.45" customHeight="1">
      <c r="A644" s="246">
        <f>A637+1</f>
        <v>80</v>
      </c>
      <c r="B644" s="83" t="s">
        <v>2849</v>
      </c>
      <c r="C644" s="76" t="s">
        <v>26</v>
      </c>
      <c r="D644" s="73"/>
      <c r="E644" s="430"/>
      <c r="F644" s="378" t="e">
        <f>ROUND(SUM(F645:F649),0)</f>
        <v>#REF!</v>
      </c>
    </row>
    <row r="645" spans="1:17">
      <c r="A645" s="529"/>
      <c r="B645" s="165" t="s">
        <v>2850</v>
      </c>
      <c r="C645" s="77" t="s">
        <v>26</v>
      </c>
      <c r="D645" s="379">
        <v>1</v>
      </c>
      <c r="E645" s="396" t="e">
        <f>INSUMOS!#REF!</f>
        <v>#REF!</v>
      </c>
      <c r="F645" s="396" t="e">
        <f>+D645*E645</f>
        <v>#REF!</v>
      </c>
    </row>
    <row r="646" spans="1:17">
      <c r="A646" s="529"/>
      <c r="B646" s="165" t="s">
        <v>136</v>
      </c>
      <c r="C646" s="77" t="s">
        <v>68</v>
      </c>
      <c r="D646" s="379"/>
      <c r="E646" s="396" t="e">
        <f>SUM(F645:F645)</f>
        <v>#REF!</v>
      </c>
      <c r="F646" s="396" t="e">
        <f>+D646*E646</f>
        <v>#REF!</v>
      </c>
    </row>
    <row r="647" spans="1:17" ht="25.5">
      <c r="A647" s="529"/>
      <c r="B647" s="165" t="s">
        <v>2873</v>
      </c>
      <c r="C647" s="77" t="s">
        <v>8</v>
      </c>
      <c r="D647" s="379">
        <v>0.3</v>
      </c>
      <c r="E647" s="396">
        <f>INSUMOS!D34</f>
        <v>193073</v>
      </c>
      <c r="F647" s="396">
        <f>+D647*E647</f>
        <v>57921.9</v>
      </c>
    </row>
    <row r="648" spans="1:17">
      <c r="A648" s="529"/>
      <c r="B648" s="165" t="s">
        <v>11</v>
      </c>
      <c r="C648" s="77" t="s">
        <v>284</v>
      </c>
      <c r="D648" s="379">
        <v>0.03</v>
      </c>
      <c r="E648" s="396">
        <f>F649</f>
        <v>43121.591691275346</v>
      </c>
      <c r="F648" s="396">
        <f>(D648*E648)</f>
        <v>1293.6477507382604</v>
      </c>
    </row>
    <row r="649" spans="1:17">
      <c r="A649" s="529"/>
      <c r="B649" s="165" t="s">
        <v>2831</v>
      </c>
      <c r="C649" s="77" t="s">
        <v>10</v>
      </c>
      <c r="D649" s="379">
        <v>1.5</v>
      </c>
      <c r="E649" s="396">
        <f>'VALOR CUADRILLAS MO'!D89</f>
        <v>28747.727794183564</v>
      </c>
      <c r="F649" s="396">
        <f>+D649*E649</f>
        <v>43121.591691275346</v>
      </c>
    </row>
    <row r="650" spans="1:17">
      <c r="A650" s="529"/>
      <c r="B650" s="165"/>
      <c r="C650" s="77"/>
      <c r="D650" s="379"/>
      <c r="E650" s="371"/>
      <c r="F650" s="371"/>
    </row>
    <row r="651" spans="1:17" ht="18" customHeight="1">
      <c r="A651" s="246">
        <f>A644+1</f>
        <v>81</v>
      </c>
      <c r="B651" s="83" t="s">
        <v>2851</v>
      </c>
      <c r="C651" s="76" t="s">
        <v>26</v>
      </c>
      <c r="D651" s="73"/>
      <c r="E651" s="430"/>
      <c r="F651" s="378" t="e">
        <f>ROUND(SUM(F652:F656),0)</f>
        <v>#REF!</v>
      </c>
    </row>
    <row r="652" spans="1:17">
      <c r="A652" s="529"/>
      <c r="B652" s="165" t="s">
        <v>2852</v>
      </c>
      <c r="C652" s="77" t="s">
        <v>26</v>
      </c>
      <c r="D652" s="379">
        <v>1</v>
      </c>
      <c r="E652" s="396" t="e">
        <f>INSUMOS!#REF!</f>
        <v>#REF!</v>
      </c>
      <c r="F652" s="396" t="e">
        <f>+D652*E652</f>
        <v>#REF!</v>
      </c>
    </row>
    <row r="653" spans="1:17">
      <c r="A653" s="529"/>
      <c r="B653" s="165" t="s">
        <v>136</v>
      </c>
      <c r="C653" s="77" t="s">
        <v>68</v>
      </c>
      <c r="D653" s="379"/>
      <c r="E653" s="396" t="e">
        <f>SUM(F652:F652)</f>
        <v>#REF!</v>
      </c>
      <c r="F653" s="396" t="e">
        <f>+D653*E653</f>
        <v>#REF!</v>
      </c>
      <c r="N653" s="36"/>
      <c r="O653" s="77"/>
      <c r="P653" s="379"/>
      <c r="Q653" s="396"/>
    </row>
    <row r="654" spans="1:17" ht="25.5">
      <c r="A654" s="529"/>
      <c r="B654" s="165" t="s">
        <v>2873</v>
      </c>
      <c r="C654" s="77" t="s">
        <v>8</v>
      </c>
      <c r="D654" s="379">
        <v>0.3</v>
      </c>
      <c r="E654" s="396">
        <f>INSUMOS!D34</f>
        <v>193073</v>
      </c>
      <c r="F654" s="396">
        <f>+D654*E654</f>
        <v>57921.9</v>
      </c>
      <c r="N654" s="36"/>
      <c r="O654" s="77"/>
      <c r="P654" s="379"/>
      <c r="Q654" s="396"/>
    </row>
    <row r="655" spans="1:17">
      <c r="A655" s="529"/>
      <c r="B655" s="165" t="s">
        <v>11</v>
      </c>
      <c r="C655" s="77" t="s">
        <v>284</v>
      </c>
      <c r="D655" s="379">
        <v>0.03</v>
      </c>
      <c r="E655" s="396">
        <f>F656</f>
        <v>43121.591691275346</v>
      </c>
      <c r="F655" s="396">
        <f>(D655*E655)</f>
        <v>1293.6477507382604</v>
      </c>
      <c r="N655" s="36"/>
      <c r="O655" s="77"/>
      <c r="P655" s="379"/>
      <c r="Q655" s="396"/>
    </row>
    <row r="656" spans="1:17">
      <c r="A656" s="529"/>
      <c r="B656" s="165" t="s">
        <v>2831</v>
      </c>
      <c r="C656" s="77" t="s">
        <v>10</v>
      </c>
      <c r="D656" s="379">
        <v>1.5</v>
      </c>
      <c r="E656" s="396">
        <f>'VALOR CUADRILLAS MO'!D89</f>
        <v>28747.727794183564</v>
      </c>
      <c r="F656" s="396">
        <f>+D656*E656</f>
        <v>43121.591691275346</v>
      </c>
      <c r="N656" s="36"/>
      <c r="O656" s="77"/>
      <c r="P656" s="379"/>
      <c r="Q656" s="396"/>
    </row>
    <row r="657" spans="1:17">
      <c r="A657" s="529"/>
      <c r="B657" s="165"/>
      <c r="C657" s="77"/>
      <c r="D657" s="379"/>
      <c r="E657" s="371"/>
      <c r="F657" s="371"/>
      <c r="N657" s="36"/>
      <c r="O657" s="77"/>
      <c r="P657" s="379"/>
      <c r="Q657" s="396"/>
    </row>
    <row r="658" spans="1:17" ht="27" customHeight="1">
      <c r="A658" s="246">
        <f>A651+1</f>
        <v>82</v>
      </c>
      <c r="B658" s="83" t="s">
        <v>2853</v>
      </c>
      <c r="C658" s="76" t="s">
        <v>26</v>
      </c>
      <c r="D658" s="73"/>
      <c r="E658" s="430"/>
      <c r="F658" s="378" t="e">
        <f>ROUND(SUM(F659:F663),0)</f>
        <v>#REF!</v>
      </c>
    </row>
    <row r="659" spans="1:17">
      <c r="A659" s="529"/>
      <c r="B659" s="165" t="s">
        <v>2854</v>
      </c>
      <c r="C659" s="77" t="s">
        <v>26</v>
      </c>
      <c r="D659" s="379">
        <v>1</v>
      </c>
      <c r="E659" s="396" t="e">
        <f>INSUMOS!#REF!</f>
        <v>#REF!</v>
      </c>
      <c r="F659" s="396" t="e">
        <f>+D659*E659</f>
        <v>#REF!</v>
      </c>
    </row>
    <row r="660" spans="1:17">
      <c r="A660" s="529"/>
      <c r="B660" s="165" t="s">
        <v>136</v>
      </c>
      <c r="C660" s="77" t="s">
        <v>68</v>
      </c>
      <c r="D660" s="379"/>
      <c r="E660" s="396" t="e">
        <f>SUM(F659:F659)</f>
        <v>#REF!</v>
      </c>
      <c r="F660" s="396" t="e">
        <f>+D660*E660</f>
        <v>#REF!</v>
      </c>
    </row>
    <row r="661" spans="1:17" ht="25.5">
      <c r="A661" s="529"/>
      <c r="B661" s="165" t="s">
        <v>2873</v>
      </c>
      <c r="C661" s="77" t="s">
        <v>8</v>
      </c>
      <c r="D661" s="379">
        <v>0.3</v>
      </c>
      <c r="E661" s="396">
        <f>INSUMOS!D34</f>
        <v>193073</v>
      </c>
      <c r="F661" s="396">
        <f>+D661*E661</f>
        <v>57921.9</v>
      </c>
    </row>
    <row r="662" spans="1:17">
      <c r="A662" s="529"/>
      <c r="B662" s="165" t="s">
        <v>11</v>
      </c>
      <c r="C662" s="77" t="s">
        <v>284</v>
      </c>
      <c r="D662" s="379">
        <v>0.03</v>
      </c>
      <c r="E662" s="396">
        <f>F663</f>
        <v>43121.591691275346</v>
      </c>
      <c r="F662" s="396">
        <f>(D662*E662)</f>
        <v>1293.6477507382604</v>
      </c>
    </row>
    <row r="663" spans="1:17">
      <c r="A663" s="529"/>
      <c r="B663" s="165" t="s">
        <v>612</v>
      </c>
      <c r="C663" s="77" t="s">
        <v>10</v>
      </c>
      <c r="D663" s="379">
        <v>1.5</v>
      </c>
      <c r="E663" s="396">
        <f>'VALOR CUADRILLAS MO'!D89</f>
        <v>28747.727794183564</v>
      </c>
      <c r="F663" s="396">
        <f>+D663*E663</f>
        <v>43121.591691275346</v>
      </c>
    </row>
    <row r="664" spans="1:17">
      <c r="B664" s="165"/>
      <c r="C664" s="77"/>
      <c r="D664" s="379"/>
      <c r="E664" s="371"/>
      <c r="F664" s="371"/>
    </row>
    <row r="665" spans="1:17" ht="26.45" customHeight="1">
      <c r="A665" s="246">
        <f>A658+1</f>
        <v>83</v>
      </c>
      <c r="B665" s="83" t="s">
        <v>2855</v>
      </c>
      <c r="C665" s="76" t="s">
        <v>26</v>
      </c>
      <c r="D665" s="73"/>
      <c r="E665" s="430"/>
      <c r="F665" s="378" t="e">
        <f>ROUND(SUM(F666:F670),0)</f>
        <v>#REF!</v>
      </c>
    </row>
    <row r="666" spans="1:17">
      <c r="A666" s="529"/>
      <c r="B666" s="165" t="s">
        <v>2856</v>
      </c>
      <c r="C666" s="77" t="s">
        <v>26</v>
      </c>
      <c r="D666" s="379">
        <v>1</v>
      </c>
      <c r="E666" s="396" t="e">
        <f>INSUMOS!#REF!</f>
        <v>#REF!</v>
      </c>
      <c r="F666" s="396" t="e">
        <f>+D666*E666</f>
        <v>#REF!</v>
      </c>
    </row>
    <row r="667" spans="1:17">
      <c r="A667" s="529"/>
      <c r="B667" s="165" t="s">
        <v>136</v>
      </c>
      <c r="C667" s="77" t="s">
        <v>68</v>
      </c>
      <c r="D667" s="379"/>
      <c r="E667" s="396" t="e">
        <f>SUM(F666:F666)</f>
        <v>#REF!</v>
      </c>
      <c r="F667" s="396" t="e">
        <f>+D667*E667</f>
        <v>#REF!</v>
      </c>
    </row>
    <row r="668" spans="1:17" ht="25.5">
      <c r="A668" s="529"/>
      <c r="B668" s="165" t="s">
        <v>2873</v>
      </c>
      <c r="C668" s="77" t="s">
        <v>8</v>
      </c>
      <c r="D668" s="379">
        <v>0.3</v>
      </c>
      <c r="E668" s="396">
        <f>INSUMOS!D34</f>
        <v>193073</v>
      </c>
      <c r="F668" s="396">
        <f>+D668*E668</f>
        <v>57921.9</v>
      </c>
    </row>
    <row r="669" spans="1:17">
      <c r="A669" s="529"/>
      <c r="B669" s="165" t="s">
        <v>11</v>
      </c>
      <c r="C669" s="77" t="s">
        <v>284</v>
      </c>
      <c r="D669" s="379">
        <v>0.03</v>
      </c>
      <c r="E669" s="396">
        <f>F670</f>
        <v>43121.591691275346</v>
      </c>
      <c r="F669" s="396">
        <f>(D669*E669)</f>
        <v>1293.6477507382604</v>
      </c>
    </row>
    <row r="670" spans="1:17">
      <c r="A670" s="529"/>
      <c r="B670" s="165" t="s">
        <v>612</v>
      </c>
      <c r="C670" s="77" t="s">
        <v>10</v>
      </c>
      <c r="D670" s="379">
        <v>1.5</v>
      </c>
      <c r="E670" s="396">
        <f>'VALOR CUADRILLAS MO'!D89</f>
        <v>28747.727794183564</v>
      </c>
      <c r="F670" s="396">
        <f>+D670*E670</f>
        <v>43121.591691275346</v>
      </c>
    </row>
    <row r="671" spans="1:17">
      <c r="A671" s="529"/>
      <c r="B671" s="165"/>
      <c r="C671" s="77"/>
      <c r="D671" s="379"/>
      <c r="E671" s="371"/>
      <c r="F671" s="371"/>
    </row>
    <row r="672" spans="1:17" ht="21" customHeight="1">
      <c r="A672" s="246">
        <f>A665+1</f>
        <v>84</v>
      </c>
      <c r="B672" s="83" t="s">
        <v>2857</v>
      </c>
      <c r="C672" s="76" t="s">
        <v>26</v>
      </c>
      <c r="D672" s="73"/>
      <c r="E672" s="430"/>
      <c r="F672" s="378" t="e">
        <f>ROUND(SUM(F673:F677),0)</f>
        <v>#REF!</v>
      </c>
    </row>
    <row r="673" spans="1:6">
      <c r="A673" s="529"/>
      <c r="B673" s="165" t="s">
        <v>2858</v>
      </c>
      <c r="C673" s="77" t="s">
        <v>26</v>
      </c>
      <c r="D673" s="379">
        <v>1</v>
      </c>
      <c r="E673" s="396" t="e">
        <f>INSUMOS!#REF!</f>
        <v>#REF!</v>
      </c>
      <c r="F673" s="396" t="e">
        <f>+D673*E673</f>
        <v>#REF!</v>
      </c>
    </row>
    <row r="674" spans="1:6">
      <c r="A674" s="529"/>
      <c r="B674" s="165" t="s">
        <v>136</v>
      </c>
      <c r="C674" s="77" t="s">
        <v>68</v>
      </c>
      <c r="D674" s="379"/>
      <c r="E674" s="396" t="e">
        <f>SUM(F673:F673)</f>
        <v>#REF!</v>
      </c>
      <c r="F674" s="396" t="e">
        <f>+D674*E674</f>
        <v>#REF!</v>
      </c>
    </row>
    <row r="675" spans="1:6" ht="25.5">
      <c r="A675" s="529"/>
      <c r="B675" s="165" t="s">
        <v>2873</v>
      </c>
      <c r="C675" s="77" t="s">
        <v>8</v>
      </c>
      <c r="D675" s="379">
        <v>0.45</v>
      </c>
      <c r="E675" s="396">
        <f>INSUMOS!D34</f>
        <v>193073</v>
      </c>
      <c r="F675" s="396">
        <f>+D675*E675</f>
        <v>86882.85</v>
      </c>
    </row>
    <row r="676" spans="1:6">
      <c r="A676" s="529"/>
      <c r="B676" s="165" t="s">
        <v>11</v>
      </c>
      <c r="C676" s="77" t="s">
        <v>284</v>
      </c>
      <c r="D676" s="379">
        <v>0.03</v>
      </c>
      <c r="E676" s="396">
        <f>F677</f>
        <v>201234.09455928495</v>
      </c>
      <c r="F676" s="396">
        <f>(D676*E676)</f>
        <v>6037.0228367785485</v>
      </c>
    </row>
    <row r="677" spans="1:6">
      <c r="A677" s="529"/>
      <c r="B677" s="165" t="s">
        <v>612</v>
      </c>
      <c r="C677" s="77" t="s">
        <v>10</v>
      </c>
      <c r="D677" s="379">
        <v>7</v>
      </c>
      <c r="E677" s="396">
        <f>'VALOR CUADRILLAS MO'!D89</f>
        <v>28747.727794183564</v>
      </c>
      <c r="F677" s="396">
        <f>+D677*E677</f>
        <v>201234.09455928495</v>
      </c>
    </row>
    <row r="678" spans="1:6">
      <c r="A678" s="529"/>
      <c r="B678" s="165"/>
      <c r="C678" s="77"/>
      <c r="D678" s="379"/>
      <c r="E678" s="371"/>
      <c r="F678" s="371"/>
    </row>
    <row r="679" spans="1:6" ht="25.9" customHeight="1">
      <c r="A679" s="246">
        <f>A672+1</f>
        <v>85</v>
      </c>
      <c r="B679" s="83" t="s">
        <v>2859</v>
      </c>
      <c r="C679" s="76" t="s">
        <v>26</v>
      </c>
      <c r="D679" s="73"/>
      <c r="E679" s="430"/>
      <c r="F679" s="378" t="e">
        <f>ROUND(SUM(F680:F684),0)</f>
        <v>#REF!</v>
      </c>
    </row>
    <row r="680" spans="1:6">
      <c r="A680" s="529"/>
      <c r="B680" s="165" t="s">
        <v>2860</v>
      </c>
      <c r="C680" s="77" t="s">
        <v>26</v>
      </c>
      <c r="D680" s="379">
        <v>1</v>
      </c>
      <c r="E680" s="396" t="e">
        <f>INSUMOS!#REF!</f>
        <v>#REF!</v>
      </c>
      <c r="F680" s="396" t="e">
        <f>+D680*E680</f>
        <v>#REF!</v>
      </c>
    </row>
    <row r="681" spans="1:6">
      <c r="A681" s="529"/>
      <c r="B681" s="165" t="s">
        <v>136</v>
      </c>
      <c r="C681" s="77" t="s">
        <v>68</v>
      </c>
      <c r="D681" s="379"/>
      <c r="E681" s="396" t="e">
        <f>SUM(F680:F680)</f>
        <v>#REF!</v>
      </c>
      <c r="F681" s="396" t="e">
        <f>+D681*E681</f>
        <v>#REF!</v>
      </c>
    </row>
    <row r="682" spans="1:6" ht="25.5">
      <c r="A682" s="529"/>
      <c r="B682" s="165" t="s">
        <v>2873</v>
      </c>
      <c r="C682" s="77" t="s">
        <v>8</v>
      </c>
      <c r="D682" s="379">
        <v>0.45</v>
      </c>
      <c r="E682" s="396">
        <f>INSUMOS!D34</f>
        <v>193073</v>
      </c>
      <c r="F682" s="396">
        <f>+D682*E682</f>
        <v>86882.85</v>
      </c>
    </row>
    <row r="683" spans="1:6">
      <c r="A683" s="529"/>
      <c r="B683" s="165" t="s">
        <v>11</v>
      </c>
      <c r="C683" s="77" t="s">
        <v>284</v>
      </c>
      <c r="D683" s="379">
        <v>0.03</v>
      </c>
      <c r="E683" s="396">
        <f>F684</f>
        <v>229981.82235346851</v>
      </c>
      <c r="F683" s="396">
        <f>(D683*E683)</f>
        <v>6899.4546706040546</v>
      </c>
    </row>
    <row r="684" spans="1:6">
      <c r="A684" s="529"/>
      <c r="B684" s="165" t="s">
        <v>612</v>
      </c>
      <c r="C684" s="77" t="s">
        <v>10</v>
      </c>
      <c r="D684" s="379">
        <v>8</v>
      </c>
      <c r="E684" s="396">
        <f>'VALOR CUADRILLAS MO'!D89</f>
        <v>28747.727794183564</v>
      </c>
      <c r="F684" s="396">
        <f>+D684*E684</f>
        <v>229981.82235346851</v>
      </c>
    </row>
    <row r="685" spans="1:6">
      <c r="A685" s="529"/>
      <c r="B685" s="165"/>
      <c r="C685" s="77"/>
      <c r="D685" s="379"/>
      <c r="E685" s="371"/>
      <c r="F685" s="371"/>
    </row>
    <row r="686" spans="1:6" ht="24" customHeight="1">
      <c r="A686" s="246">
        <f>A679+1</f>
        <v>86</v>
      </c>
      <c r="B686" s="83" t="s">
        <v>2861</v>
      </c>
      <c r="C686" s="76" t="s">
        <v>26</v>
      </c>
      <c r="D686" s="73"/>
      <c r="E686" s="430"/>
      <c r="F686" s="378" t="e">
        <f>ROUND(SUM(F687:F691),0)</f>
        <v>#REF!</v>
      </c>
    </row>
    <row r="687" spans="1:6">
      <c r="A687" s="529"/>
      <c r="B687" s="165" t="s">
        <v>2862</v>
      </c>
      <c r="C687" s="77" t="s">
        <v>26</v>
      </c>
      <c r="D687" s="379">
        <v>1</v>
      </c>
      <c r="E687" s="396" t="e">
        <f>INSUMOS!#REF!</f>
        <v>#REF!</v>
      </c>
      <c r="F687" s="396" t="e">
        <f>+D687*E687</f>
        <v>#REF!</v>
      </c>
    </row>
    <row r="688" spans="1:6">
      <c r="A688" s="529"/>
      <c r="B688" s="165" t="s">
        <v>136</v>
      </c>
      <c r="C688" s="77" t="s">
        <v>68</v>
      </c>
      <c r="D688" s="379"/>
      <c r="E688" s="396" t="e">
        <f>SUM(F687:F687)</f>
        <v>#REF!</v>
      </c>
      <c r="F688" s="396" t="e">
        <f>+D688*E688</f>
        <v>#REF!</v>
      </c>
    </row>
    <row r="689" spans="1:17" ht="25.5">
      <c r="A689" s="529"/>
      <c r="B689" s="165" t="s">
        <v>2873</v>
      </c>
      <c r="C689" s="77" t="s">
        <v>8</v>
      </c>
      <c r="D689" s="379">
        <v>0.45</v>
      </c>
      <c r="E689" s="396">
        <f>INSUMOS!D34</f>
        <v>193073</v>
      </c>
      <c r="F689" s="396">
        <f>+D689*E689</f>
        <v>86882.85</v>
      </c>
      <c r="N689" s="36"/>
      <c r="O689" s="77"/>
      <c r="P689" s="379"/>
      <c r="Q689" s="396"/>
    </row>
    <row r="690" spans="1:17">
      <c r="A690" s="529"/>
      <c r="B690" s="165" t="s">
        <v>11</v>
      </c>
      <c r="C690" s="77" t="s">
        <v>284</v>
      </c>
      <c r="D690" s="379">
        <v>0.03</v>
      </c>
      <c r="E690" s="396">
        <f>F691</f>
        <v>258729.55014765207</v>
      </c>
      <c r="F690" s="396">
        <f>(D690*E690)</f>
        <v>7761.8865044295617</v>
      </c>
      <c r="N690" s="36"/>
      <c r="O690" s="77"/>
      <c r="P690" s="379"/>
      <c r="Q690" s="396"/>
    </row>
    <row r="691" spans="1:17">
      <c r="A691" s="529"/>
      <c r="B691" s="165" t="s">
        <v>612</v>
      </c>
      <c r="C691" s="77" t="s">
        <v>10</v>
      </c>
      <c r="D691" s="379">
        <v>9</v>
      </c>
      <c r="E691" s="396">
        <f>'VALOR CUADRILLAS MO'!D89</f>
        <v>28747.727794183564</v>
      </c>
      <c r="F691" s="396">
        <f>+D691*E691</f>
        <v>258729.55014765207</v>
      </c>
      <c r="N691" s="36"/>
      <c r="O691" s="77"/>
      <c r="P691" s="379"/>
      <c r="Q691" s="396"/>
    </row>
    <row r="692" spans="1:17">
      <c r="A692" s="529"/>
      <c r="B692" s="165"/>
      <c r="C692" s="77"/>
      <c r="D692" s="379"/>
      <c r="E692" s="371"/>
      <c r="F692" s="371"/>
      <c r="N692" s="36"/>
      <c r="O692" s="77"/>
      <c r="P692" s="379"/>
      <c r="Q692" s="396"/>
    </row>
    <row r="693" spans="1:17" ht="22.9" customHeight="1">
      <c r="A693" s="246">
        <f>A686+1</f>
        <v>87</v>
      </c>
      <c r="B693" s="83" t="s">
        <v>2863</v>
      </c>
      <c r="C693" s="76" t="s">
        <v>26</v>
      </c>
      <c r="D693" s="73"/>
      <c r="E693" s="430"/>
      <c r="F693" s="378" t="e">
        <f>ROUND(SUM(F694:F698),0)</f>
        <v>#REF!</v>
      </c>
      <c r="N693" s="36"/>
      <c r="O693" s="77"/>
      <c r="P693" s="379"/>
      <c r="Q693" s="396"/>
    </row>
    <row r="694" spans="1:17">
      <c r="A694" s="529"/>
      <c r="B694" s="165" t="s">
        <v>2864</v>
      </c>
      <c r="C694" s="77" t="s">
        <v>26</v>
      </c>
      <c r="D694" s="379">
        <v>1</v>
      </c>
      <c r="E694" s="396" t="e">
        <f>INSUMOS!#REF!</f>
        <v>#REF!</v>
      </c>
      <c r="F694" s="396" t="e">
        <f>+D694*E694</f>
        <v>#REF!</v>
      </c>
    </row>
    <row r="695" spans="1:17">
      <c r="A695" s="529"/>
      <c r="B695" s="165" t="s">
        <v>136</v>
      </c>
      <c r="C695" s="77" t="s">
        <v>68</v>
      </c>
      <c r="D695" s="379"/>
      <c r="E695" s="396" t="e">
        <f>SUM(F694:F694)</f>
        <v>#REF!</v>
      </c>
      <c r="F695" s="396" t="e">
        <f>+D695*E695</f>
        <v>#REF!</v>
      </c>
    </row>
    <row r="696" spans="1:17" ht="25.5">
      <c r="A696" s="529"/>
      <c r="B696" s="165" t="s">
        <v>2873</v>
      </c>
      <c r="C696" s="77" t="s">
        <v>8</v>
      </c>
      <c r="D696" s="379">
        <v>0.45</v>
      </c>
      <c r="E696" s="396">
        <f>INSUMOS!D34</f>
        <v>193073</v>
      </c>
      <c r="F696" s="396">
        <f>+D696*E696</f>
        <v>86882.85</v>
      </c>
    </row>
    <row r="697" spans="1:17">
      <c r="A697" s="529"/>
      <c r="B697" s="165" t="s">
        <v>11</v>
      </c>
      <c r="C697" s="77" t="s">
        <v>284</v>
      </c>
      <c r="D697" s="379">
        <v>0.03</v>
      </c>
      <c r="E697" s="396">
        <f>F698</f>
        <v>287477.27794183564</v>
      </c>
      <c r="F697" s="396">
        <f>(D697*E697)</f>
        <v>8624.3183382550687</v>
      </c>
    </row>
    <row r="698" spans="1:17">
      <c r="A698" s="529"/>
      <c r="B698" s="165" t="s">
        <v>612</v>
      </c>
      <c r="C698" s="77" t="s">
        <v>10</v>
      </c>
      <c r="D698" s="379">
        <v>10</v>
      </c>
      <c r="E698" s="396">
        <f>'VALOR CUADRILLAS MO'!D89</f>
        <v>28747.727794183564</v>
      </c>
      <c r="F698" s="396">
        <f>+D698*E698</f>
        <v>287477.27794183564</v>
      </c>
    </row>
    <row r="699" spans="1:17">
      <c r="A699" s="529"/>
      <c r="B699" s="165"/>
      <c r="C699" s="77"/>
      <c r="D699" s="379"/>
      <c r="E699" s="371"/>
      <c r="F699" s="371"/>
    </row>
    <row r="700" spans="1:17" ht="27" customHeight="1">
      <c r="A700" s="246">
        <f>A693+1</f>
        <v>88</v>
      </c>
      <c r="B700" s="83" t="s">
        <v>2865</v>
      </c>
      <c r="C700" s="76" t="s">
        <v>26</v>
      </c>
      <c r="D700" s="73"/>
      <c r="E700" s="430"/>
      <c r="F700" s="378" t="e">
        <f>ROUND(SUM(F701:F705),0)</f>
        <v>#REF!</v>
      </c>
    </row>
    <row r="701" spans="1:17">
      <c r="A701" s="529"/>
      <c r="B701" s="165" t="s">
        <v>2866</v>
      </c>
      <c r="C701" s="77" t="s">
        <v>26</v>
      </c>
      <c r="D701" s="379">
        <v>1</v>
      </c>
      <c r="E701" s="396" t="e">
        <f>INSUMOS!#REF!</f>
        <v>#REF!</v>
      </c>
      <c r="F701" s="396" t="e">
        <f>+D701*E701</f>
        <v>#REF!</v>
      </c>
    </row>
    <row r="702" spans="1:17">
      <c r="A702" s="529"/>
      <c r="B702" s="165" t="s">
        <v>136</v>
      </c>
      <c r="C702" s="77" t="s">
        <v>68</v>
      </c>
      <c r="D702" s="379"/>
      <c r="E702" s="396" t="e">
        <f>SUM(F701:F701)</f>
        <v>#REF!</v>
      </c>
      <c r="F702" s="396" t="e">
        <f>+D702*E702</f>
        <v>#REF!</v>
      </c>
    </row>
    <row r="703" spans="1:17" ht="25.5">
      <c r="A703" s="529"/>
      <c r="B703" s="165" t="s">
        <v>2873</v>
      </c>
      <c r="C703" s="77" t="s">
        <v>8</v>
      </c>
      <c r="D703" s="379">
        <v>0.45</v>
      </c>
      <c r="E703" s="396">
        <f>INSUMOS!D34</f>
        <v>193073</v>
      </c>
      <c r="F703" s="396">
        <f>+D703*E703</f>
        <v>86882.85</v>
      </c>
    </row>
    <row r="704" spans="1:17">
      <c r="A704" s="529"/>
      <c r="B704" s="165" t="s">
        <v>11</v>
      </c>
      <c r="C704" s="77" t="s">
        <v>284</v>
      </c>
      <c r="D704" s="379">
        <v>0.03</v>
      </c>
      <c r="E704" s="396">
        <f>F705</f>
        <v>287477.27794183564</v>
      </c>
      <c r="F704" s="396">
        <f>(D704*E704)</f>
        <v>8624.3183382550687</v>
      </c>
    </row>
    <row r="705" spans="1:6">
      <c r="A705" s="529"/>
      <c r="B705" s="165" t="s">
        <v>612</v>
      </c>
      <c r="C705" s="77" t="s">
        <v>10</v>
      </c>
      <c r="D705" s="379">
        <v>10</v>
      </c>
      <c r="E705" s="396">
        <f>'VALOR CUADRILLAS MO'!D89</f>
        <v>28747.727794183564</v>
      </c>
      <c r="F705" s="396">
        <f>+D705*E705</f>
        <v>287477.27794183564</v>
      </c>
    </row>
    <row r="706" spans="1:6">
      <c r="A706" s="529"/>
      <c r="B706" s="165"/>
      <c r="C706" s="77"/>
      <c r="D706" s="379"/>
      <c r="E706" s="371"/>
      <c r="F706" s="371"/>
    </row>
    <row r="707" spans="1:6" ht="24.6" customHeight="1">
      <c r="A707" s="246">
        <f>A700+1</f>
        <v>89</v>
      </c>
      <c r="B707" s="83" t="s">
        <v>2867</v>
      </c>
      <c r="C707" s="76" t="s">
        <v>26</v>
      </c>
      <c r="D707" s="73"/>
      <c r="E707" s="430"/>
      <c r="F707" s="378" t="e">
        <f>ROUND(SUM(F708:F712),0)</f>
        <v>#REF!</v>
      </c>
    </row>
    <row r="708" spans="1:6">
      <c r="A708" s="529"/>
      <c r="B708" s="165" t="s">
        <v>2868</v>
      </c>
      <c r="C708" s="77" t="s">
        <v>26</v>
      </c>
      <c r="D708" s="379">
        <v>1</v>
      </c>
      <c r="E708" s="396" t="e">
        <f>INSUMOS!#REF!</f>
        <v>#REF!</v>
      </c>
      <c r="F708" s="396" t="e">
        <f>+D708*E708</f>
        <v>#REF!</v>
      </c>
    </row>
    <row r="709" spans="1:6">
      <c r="A709" s="529"/>
      <c r="B709" s="165" t="s">
        <v>136</v>
      </c>
      <c r="C709" s="77" t="s">
        <v>68</v>
      </c>
      <c r="D709" s="379"/>
      <c r="E709" s="396" t="e">
        <f>SUM(F708:F708)</f>
        <v>#REF!</v>
      </c>
      <c r="F709" s="396" t="e">
        <f>+D709*E709</f>
        <v>#REF!</v>
      </c>
    </row>
    <row r="710" spans="1:6" ht="25.5">
      <c r="A710" s="529"/>
      <c r="B710" s="165" t="s">
        <v>2873</v>
      </c>
      <c r="C710" s="77" t="s">
        <v>8</v>
      </c>
      <c r="D710" s="379">
        <v>0.45</v>
      </c>
      <c r="E710" s="396">
        <f>INSUMOS!D34</f>
        <v>193073</v>
      </c>
      <c r="F710" s="396">
        <f>+D710*E710</f>
        <v>86882.85</v>
      </c>
    </row>
    <row r="711" spans="1:6">
      <c r="A711" s="529"/>
      <c r="B711" s="165" t="s">
        <v>11</v>
      </c>
      <c r="C711" s="77" t="s">
        <v>284</v>
      </c>
      <c r="D711" s="379">
        <v>0.03</v>
      </c>
      <c r="E711" s="396">
        <f>F712</f>
        <v>316225.00573601923</v>
      </c>
      <c r="F711" s="396">
        <f>(D711*E711)</f>
        <v>9486.7501720805758</v>
      </c>
    </row>
    <row r="712" spans="1:6">
      <c r="A712" s="529"/>
      <c r="B712" s="165" t="s">
        <v>612</v>
      </c>
      <c r="C712" s="77" t="s">
        <v>10</v>
      </c>
      <c r="D712" s="379">
        <v>11</v>
      </c>
      <c r="E712" s="396">
        <f>'VALOR CUADRILLAS MO'!D89</f>
        <v>28747.727794183564</v>
      </c>
      <c r="F712" s="396">
        <f>+D712*E712</f>
        <v>316225.00573601923</v>
      </c>
    </row>
    <row r="713" spans="1:6">
      <c r="A713" s="529"/>
      <c r="B713" s="165"/>
      <c r="C713" s="77"/>
      <c r="D713" s="379"/>
      <c r="E713" s="371"/>
      <c r="F713" s="371"/>
    </row>
  </sheetData>
  <sheetProtection formatCells="0" formatColumns="0" formatRows="0" insertColumns="0" insertRows="0" insertHyperlinks="0" deleteColumns="0" deleteRows="0" sort="0" autoFilter="0" pivotTables="0"/>
  <mergeCells count="4">
    <mergeCell ref="A2:F2"/>
    <mergeCell ref="A3:F3"/>
    <mergeCell ref="H6:J6"/>
    <mergeCell ref="B1:E1"/>
  </mergeCells>
  <pageMargins left="0.78740157480314965" right="0.39370078740157483" top="1.1811023622047245" bottom="0.78740157480314965" header="0" footer="0"/>
  <pageSetup scale="70" orientation="portrait" errors="NA" r:id="rId1"/>
  <headerFooter alignWithMargins="0">
    <oddFooter>&amp;R&amp;P/&amp;N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rgb="FFFFFF99"/>
  </sheetPr>
  <dimension ref="A1:T389"/>
  <sheetViews>
    <sheetView view="pageBreakPreview" zoomScale="90" zoomScaleNormal="90" zoomScaleSheetLayoutView="90" workbookViewId="0">
      <selection activeCell="H25" sqref="H25"/>
    </sheetView>
  </sheetViews>
  <sheetFormatPr baseColWidth="10" defaultColWidth="11.42578125" defaultRowHeight="12.75"/>
  <cols>
    <col min="1" max="1" width="8.7109375" style="531" customWidth="1"/>
    <col min="2" max="2" width="69.7109375" style="385" customWidth="1"/>
    <col min="3" max="3" width="9.7109375" style="18" customWidth="1"/>
    <col min="4" max="4" width="13.140625" style="3" customWidth="1"/>
    <col min="5" max="5" width="15.7109375" style="259" customWidth="1"/>
    <col min="6" max="6" width="18.140625" style="259" bestFit="1" customWidth="1"/>
    <col min="7" max="7" width="14.7109375" style="2" customWidth="1"/>
    <col min="8" max="8" width="11" style="2" customWidth="1"/>
    <col min="9" max="9" width="12.28515625" style="2" customWidth="1"/>
    <col min="10" max="10" width="13.5703125" style="244" customWidth="1"/>
    <col min="11" max="11" width="17.42578125" style="244" customWidth="1"/>
    <col min="12" max="12" width="14.5703125" style="244" customWidth="1"/>
    <col min="13" max="13" width="13.28515625" style="3" bestFit="1" customWidth="1"/>
    <col min="14" max="14" width="15.7109375" style="3" customWidth="1"/>
    <col min="15" max="15" width="66.42578125" style="64" customWidth="1"/>
    <col min="16" max="16" width="17.28515625" style="64" customWidth="1"/>
    <col min="17" max="17" width="19.42578125" style="64" customWidth="1"/>
    <col min="18" max="18" width="16.42578125" style="64" bestFit="1" customWidth="1"/>
    <col min="19" max="19" width="16.7109375" style="3" bestFit="1" customWidth="1"/>
    <col min="20" max="20" width="16.28515625" style="3" bestFit="1" customWidth="1"/>
    <col min="21" max="16384" width="11.42578125" style="3"/>
  </cols>
  <sheetData>
    <row r="1" spans="1:18" s="242" customFormat="1" ht="42" customHeight="1">
      <c r="A1" s="707"/>
      <c r="B1" s="1184" t="s">
        <v>3239</v>
      </c>
      <c r="C1" s="1184"/>
      <c r="D1" s="1184"/>
      <c r="E1" s="1184"/>
      <c r="F1" s="708"/>
      <c r="O1" s="243"/>
      <c r="P1" s="243"/>
      <c r="Q1" s="243"/>
      <c r="R1" s="243"/>
    </row>
    <row r="2" spans="1:18" s="242" customFormat="1" ht="19.899999999999999" customHeight="1">
      <c r="A2" s="1180" t="s">
        <v>2964</v>
      </c>
      <c r="B2" s="1181"/>
      <c r="C2" s="1181"/>
      <c r="D2" s="1181"/>
      <c r="E2" s="1181"/>
      <c r="F2" s="1182"/>
      <c r="O2" s="243"/>
      <c r="P2" s="243"/>
      <c r="Q2" s="243"/>
      <c r="R2" s="243"/>
    </row>
    <row r="3" spans="1:18" ht="24" customHeight="1">
      <c r="A3" s="1153" t="s">
        <v>3236</v>
      </c>
      <c r="B3" s="1154"/>
      <c r="C3" s="1154"/>
      <c r="D3" s="1154"/>
      <c r="E3" s="1154"/>
      <c r="F3" s="1155"/>
      <c r="G3" s="3"/>
      <c r="H3" s="3"/>
      <c r="I3" s="3"/>
      <c r="J3" s="3"/>
      <c r="K3" s="3"/>
      <c r="L3" s="3"/>
    </row>
    <row r="4" spans="1:18" ht="19.899999999999999" customHeight="1">
      <c r="A4" s="84" t="s">
        <v>201</v>
      </c>
      <c r="B4" s="87" t="s">
        <v>205</v>
      </c>
      <c r="C4" s="85" t="s">
        <v>3084</v>
      </c>
      <c r="D4" s="88" t="s">
        <v>2965</v>
      </c>
      <c r="E4" s="89" t="s">
        <v>532</v>
      </c>
      <c r="F4" s="86" t="s">
        <v>291</v>
      </c>
    </row>
    <row r="5" spans="1:18" ht="19.899999999999999" customHeight="1">
      <c r="A5" s="453" t="s">
        <v>395</v>
      </c>
      <c r="B5" s="454" t="s">
        <v>2710</v>
      </c>
      <c r="C5" s="455"/>
      <c r="D5" s="456"/>
      <c r="E5" s="457"/>
      <c r="F5" s="457"/>
      <c r="G5" s="245"/>
    </row>
    <row r="6" spans="1:18" ht="19.899999999999999" customHeight="1">
      <c r="A6" s="246">
        <v>1</v>
      </c>
      <c r="B6" s="83" t="s">
        <v>3105</v>
      </c>
      <c r="C6" s="76" t="s">
        <v>119</v>
      </c>
      <c r="D6" s="73"/>
      <c r="E6" s="74"/>
      <c r="F6" s="75">
        <f>ROUND(SUM(F7:F8),0)</f>
        <v>3499</v>
      </c>
      <c r="H6" s="1183"/>
    </row>
    <row r="7" spans="1:18">
      <c r="A7" s="529"/>
      <c r="B7" s="165" t="s">
        <v>11</v>
      </c>
      <c r="C7" s="77" t="s">
        <v>284</v>
      </c>
      <c r="D7" s="78">
        <v>0.03</v>
      </c>
      <c r="E7" s="79">
        <f>+F8</f>
        <v>3397.458739312603</v>
      </c>
      <c r="F7" s="79">
        <f>+F8*3%</f>
        <v>101.92376217937809</v>
      </c>
      <c r="H7" s="1183"/>
    </row>
    <row r="8" spans="1:18">
      <c r="A8" s="529"/>
      <c r="B8" s="165" t="s">
        <v>9</v>
      </c>
      <c r="C8" s="77" t="s">
        <v>10</v>
      </c>
      <c r="D8" s="78">
        <f>0.13</f>
        <v>0.13</v>
      </c>
      <c r="E8" s="79">
        <f>+'VALOR CUADRILLAS MO'!D75</f>
        <v>26134.297994712331</v>
      </c>
      <c r="F8" s="79">
        <f>+D8*E8</f>
        <v>3397.458739312603</v>
      </c>
      <c r="H8" s="1183"/>
    </row>
    <row r="9" spans="1:18">
      <c r="A9" s="529"/>
      <c r="B9" s="165"/>
      <c r="C9" s="77"/>
      <c r="D9" s="78"/>
      <c r="E9" s="79"/>
      <c r="F9" s="79"/>
      <c r="H9" s="31"/>
    </row>
    <row r="10" spans="1:18" ht="19.899999999999999" customHeight="1">
      <c r="A10" s="246">
        <f>+A6+1</f>
        <v>2</v>
      </c>
      <c r="B10" s="83" t="s">
        <v>285</v>
      </c>
      <c r="C10" s="76" t="s">
        <v>119</v>
      </c>
      <c r="D10" s="73"/>
      <c r="E10" s="74"/>
      <c r="F10" s="75" t="e">
        <f>ROUND(SUM(F11:F17),0)</f>
        <v>#REF!</v>
      </c>
      <c r="H10" s="1185"/>
      <c r="I10" s="1185"/>
      <c r="J10" s="1185"/>
    </row>
    <row r="11" spans="1:18">
      <c r="A11" s="529"/>
      <c r="B11" s="165" t="s">
        <v>13</v>
      </c>
      <c r="C11" s="77" t="s">
        <v>26</v>
      </c>
      <c r="D11" s="78">
        <v>0.25</v>
      </c>
      <c r="E11" s="79">
        <f>+INSUMOS!D5</f>
        <v>2067.0300000000002</v>
      </c>
      <c r="F11" s="79">
        <f t="shared" ref="F11:F17" si="0">+D11*E11</f>
        <v>516.75750000000005</v>
      </c>
    </row>
    <row r="12" spans="1:18">
      <c r="A12" s="529"/>
      <c r="B12" s="165" t="s">
        <v>770</v>
      </c>
      <c r="C12" s="77" t="s">
        <v>771</v>
      </c>
      <c r="D12" s="80">
        <v>0.01</v>
      </c>
      <c r="E12" s="79" t="e">
        <f>INSUMOS!#REF!</f>
        <v>#REF!</v>
      </c>
      <c r="F12" s="79" t="e">
        <f t="shared" si="0"/>
        <v>#REF!</v>
      </c>
    </row>
    <row r="13" spans="1:18">
      <c r="A13" s="529"/>
      <c r="B13" s="165" t="s">
        <v>16</v>
      </c>
      <c r="C13" s="77" t="s">
        <v>17</v>
      </c>
      <c r="D13" s="78">
        <v>2.7000000000000001E-3</v>
      </c>
      <c r="E13" s="79">
        <f>+INSUMOS!D41</f>
        <v>3464.09</v>
      </c>
      <c r="F13" s="79">
        <f t="shared" si="0"/>
        <v>9.3530430000000013</v>
      </c>
      <c r="H13" s="31"/>
    </row>
    <row r="14" spans="1:18">
      <c r="A14" s="529"/>
      <c r="B14" s="165" t="s">
        <v>286</v>
      </c>
      <c r="C14" s="77" t="s">
        <v>129</v>
      </c>
      <c r="D14" s="81">
        <v>2.0000000000000001E-4</v>
      </c>
      <c r="E14" s="79">
        <f>+INSUMOS!D19</f>
        <v>3267000</v>
      </c>
      <c r="F14" s="79">
        <f t="shared" si="0"/>
        <v>653.4</v>
      </c>
      <c r="H14" s="31"/>
    </row>
    <row r="15" spans="1:18">
      <c r="A15" s="529"/>
      <c r="B15" s="165" t="s">
        <v>287</v>
      </c>
      <c r="C15" s="77" t="s">
        <v>129</v>
      </c>
      <c r="D15" s="81">
        <v>1E-4</v>
      </c>
      <c r="E15" s="79">
        <f>+INSUMOS!D20</f>
        <v>1526000</v>
      </c>
      <c r="F15" s="79">
        <f t="shared" si="0"/>
        <v>152.6</v>
      </c>
      <c r="H15" s="31"/>
    </row>
    <row r="16" spans="1:18">
      <c r="A16" s="529"/>
      <c r="B16" s="165" t="s">
        <v>288</v>
      </c>
      <c r="C16" s="77" t="s">
        <v>129</v>
      </c>
      <c r="D16" s="81">
        <v>1E-4</v>
      </c>
      <c r="E16" s="79">
        <f>+INSUMOS!D21</f>
        <v>1329000</v>
      </c>
      <c r="F16" s="79">
        <f t="shared" si="0"/>
        <v>132.9</v>
      </c>
      <c r="H16" s="31"/>
    </row>
    <row r="17" spans="1:20">
      <c r="A17" s="529"/>
      <c r="B17" s="165" t="s">
        <v>289</v>
      </c>
      <c r="C17" s="77" t="s">
        <v>129</v>
      </c>
      <c r="D17" s="81">
        <v>1E-4</v>
      </c>
      <c r="E17" s="79" t="e">
        <f>+INSUMOS!#REF!</f>
        <v>#REF!</v>
      </c>
      <c r="F17" s="79" t="e">
        <f t="shared" si="0"/>
        <v>#REF!</v>
      </c>
      <c r="H17" s="31"/>
    </row>
    <row r="18" spans="1:20">
      <c r="A18" s="529"/>
      <c r="B18" s="165"/>
      <c r="C18" s="77"/>
      <c r="D18" s="78"/>
      <c r="E18" s="79"/>
      <c r="F18" s="79"/>
      <c r="H18" s="31"/>
    </row>
    <row r="19" spans="1:20" ht="19.899999999999999" customHeight="1">
      <c r="A19" s="246">
        <f>+A10+1</f>
        <v>3</v>
      </c>
      <c r="B19" s="83" t="s">
        <v>641</v>
      </c>
      <c r="C19" s="76" t="s">
        <v>119</v>
      </c>
      <c r="D19" s="73"/>
      <c r="E19" s="74"/>
      <c r="F19" s="75" t="e">
        <f>ROUND(SUM(F20:F25),0)</f>
        <v>#REF!</v>
      </c>
      <c r="H19" s="31"/>
    </row>
    <row r="20" spans="1:20">
      <c r="A20" s="529"/>
      <c r="B20" s="165" t="s">
        <v>13</v>
      </c>
      <c r="C20" s="77" t="s">
        <v>26</v>
      </c>
      <c r="D20" s="78">
        <v>0.15</v>
      </c>
      <c r="E20" s="79">
        <f>+INSUMOS!D5</f>
        <v>2067.0300000000002</v>
      </c>
      <c r="F20" s="79">
        <f t="shared" ref="F20:F25" si="1">+D20*E20</f>
        <v>310.05450000000002</v>
      </c>
      <c r="H20" s="31"/>
    </row>
    <row r="21" spans="1:20">
      <c r="A21" s="529"/>
      <c r="B21" s="165" t="s">
        <v>16</v>
      </c>
      <c r="C21" s="77" t="s">
        <v>17</v>
      </c>
      <c r="D21" s="80">
        <v>1.5E-3</v>
      </c>
      <c r="E21" s="79">
        <f>+INSUMOS!D41</f>
        <v>3464.09</v>
      </c>
      <c r="F21" s="79">
        <f t="shared" si="1"/>
        <v>5.1961349999999999</v>
      </c>
      <c r="H21" s="31"/>
    </row>
    <row r="22" spans="1:20">
      <c r="A22" s="529"/>
      <c r="B22" s="165" t="s">
        <v>286</v>
      </c>
      <c r="C22" s="77" t="s">
        <v>129</v>
      </c>
      <c r="D22" s="82">
        <v>8.0000000000000007E-5</v>
      </c>
      <c r="E22" s="79">
        <f>+INSUMOS!D19</f>
        <v>3267000</v>
      </c>
      <c r="F22" s="79">
        <f t="shared" si="1"/>
        <v>261.36</v>
      </c>
      <c r="H22" s="31"/>
    </row>
    <row r="23" spans="1:20">
      <c r="A23" s="529"/>
      <c r="B23" s="165" t="s">
        <v>287</v>
      </c>
      <c r="C23" s="77" t="s">
        <v>129</v>
      </c>
      <c r="D23" s="82">
        <v>9.0000000000000006E-5</v>
      </c>
      <c r="E23" s="79">
        <f>+INSUMOS!D20</f>
        <v>1526000</v>
      </c>
      <c r="F23" s="79">
        <f t="shared" si="1"/>
        <v>137.34</v>
      </c>
      <c r="H23" s="31"/>
    </row>
    <row r="24" spans="1:20">
      <c r="A24" s="529"/>
      <c r="B24" s="165" t="s">
        <v>288</v>
      </c>
      <c r="C24" s="77" t="s">
        <v>129</v>
      </c>
      <c r="D24" s="82">
        <v>9.0000000000000006E-5</v>
      </c>
      <c r="E24" s="79">
        <f>+INSUMOS!D21</f>
        <v>1329000</v>
      </c>
      <c r="F24" s="79">
        <f t="shared" si="1"/>
        <v>119.61000000000001</v>
      </c>
      <c r="H24" s="31"/>
    </row>
    <row r="25" spans="1:20">
      <c r="A25" s="529"/>
      <c r="B25" s="165" t="s">
        <v>289</v>
      </c>
      <c r="C25" s="77" t="s">
        <v>129</v>
      </c>
      <c r="D25" s="82">
        <v>8.0000000000000007E-5</v>
      </c>
      <c r="E25" s="79" t="e">
        <f>+INSUMOS!#REF!</f>
        <v>#REF!</v>
      </c>
      <c r="F25" s="79" t="e">
        <f t="shared" si="1"/>
        <v>#REF!</v>
      </c>
      <c r="H25" s="31"/>
    </row>
    <row r="26" spans="1:20" s="2" customFormat="1">
      <c r="A26" s="529"/>
      <c r="B26" s="165"/>
      <c r="C26" s="77"/>
      <c r="D26" s="78"/>
      <c r="E26" s="79"/>
      <c r="F26" s="79"/>
      <c r="H26" s="247"/>
      <c r="J26" s="244"/>
      <c r="K26" s="244"/>
      <c r="L26" s="244"/>
      <c r="M26" s="3"/>
      <c r="N26" s="3"/>
      <c r="O26" s="64"/>
      <c r="P26" s="64"/>
      <c r="Q26" s="64"/>
      <c r="R26" s="64"/>
      <c r="S26" s="3"/>
      <c r="T26" s="3"/>
    </row>
    <row r="27" spans="1:20" s="2" customFormat="1" ht="19.899999999999999" customHeight="1">
      <c r="A27" s="530" t="s">
        <v>396</v>
      </c>
      <c r="B27" s="454" t="s">
        <v>2735</v>
      </c>
      <c r="C27" s="459"/>
      <c r="D27" s="460"/>
      <c r="E27" s="461"/>
      <c r="F27" s="461"/>
      <c r="H27" s="247"/>
      <c r="J27" s="244"/>
      <c r="K27" s="244"/>
      <c r="L27" s="244"/>
      <c r="M27" s="3"/>
      <c r="N27" s="3"/>
      <c r="O27" s="64"/>
      <c r="P27" s="64"/>
      <c r="Q27" s="64"/>
      <c r="R27" s="64"/>
      <c r="S27" s="3"/>
      <c r="T27" s="3"/>
    </row>
    <row r="28" spans="1:20" s="2" customFormat="1" ht="28.9" customHeight="1">
      <c r="A28" s="246">
        <f>+A19+1</f>
        <v>4</v>
      </c>
      <c r="B28" s="83" t="s">
        <v>3175</v>
      </c>
      <c r="C28" s="76" t="s">
        <v>119</v>
      </c>
      <c r="D28" s="73"/>
      <c r="E28" s="74"/>
      <c r="F28" s="75">
        <f>ROUND(SUM(F29:F30),0)</f>
        <v>4307</v>
      </c>
      <c r="J28" s="244"/>
      <c r="K28" s="244"/>
      <c r="L28" s="244"/>
      <c r="M28" s="3"/>
      <c r="N28" s="3"/>
      <c r="O28" s="64"/>
      <c r="P28" s="64"/>
      <c r="Q28" s="64"/>
      <c r="R28" s="64"/>
      <c r="S28" s="3"/>
      <c r="T28" s="3"/>
    </row>
    <row r="29" spans="1:20" s="2" customFormat="1">
      <c r="A29" s="529"/>
      <c r="B29" s="165" t="s">
        <v>11</v>
      </c>
      <c r="C29" s="77" t="s">
        <v>284</v>
      </c>
      <c r="D29" s="78">
        <v>0.03</v>
      </c>
      <c r="E29" s="79">
        <f>+F30</f>
        <v>4181.4876791539727</v>
      </c>
      <c r="F29" s="79">
        <f>+D29*E29</f>
        <v>125.44463037461918</v>
      </c>
      <c r="J29" s="244"/>
      <c r="K29" s="244"/>
      <c r="L29" s="244"/>
      <c r="M29" s="3"/>
      <c r="N29" s="3"/>
      <c r="O29" s="64"/>
      <c r="P29" s="64"/>
      <c r="Q29" s="64"/>
      <c r="R29" s="64"/>
      <c r="S29" s="3"/>
      <c r="T29" s="3"/>
    </row>
    <row r="30" spans="1:20" s="2" customFormat="1">
      <c r="A30" s="529"/>
      <c r="B30" s="165" t="s">
        <v>9</v>
      </c>
      <c r="C30" s="77" t="s">
        <v>10</v>
      </c>
      <c r="D30" s="78">
        <f>0.16</f>
        <v>0.16</v>
      </c>
      <c r="E30" s="79">
        <f>+'VALOR CUADRILLAS MO'!D75</f>
        <v>26134.297994712331</v>
      </c>
      <c r="F30" s="79">
        <f>+D30*E30</f>
        <v>4181.4876791539727</v>
      </c>
      <c r="J30" s="244"/>
      <c r="K30" s="244"/>
      <c r="L30" s="244"/>
      <c r="M30" s="3"/>
      <c r="N30" s="3"/>
      <c r="O30" s="64"/>
      <c r="P30" s="64"/>
      <c r="Q30" s="64"/>
      <c r="R30" s="64"/>
      <c r="S30" s="3"/>
      <c r="T30" s="3"/>
    </row>
    <row r="31" spans="1:20" s="2" customFormat="1">
      <c r="A31" s="529"/>
      <c r="B31" s="165"/>
      <c r="C31" s="77"/>
      <c r="D31" s="78"/>
      <c r="E31" s="79"/>
      <c r="F31" s="79"/>
      <c r="J31" s="244"/>
      <c r="K31" s="244"/>
      <c r="L31" s="244"/>
      <c r="M31" s="3"/>
      <c r="N31" s="3"/>
      <c r="O31" s="64"/>
      <c r="P31" s="64"/>
      <c r="Q31" s="64"/>
      <c r="R31" s="64"/>
      <c r="S31" s="3"/>
      <c r="T31" s="3"/>
    </row>
    <row r="32" spans="1:20" s="2" customFormat="1" ht="48.75" customHeight="1">
      <c r="A32" s="246">
        <f>+A28+1</f>
        <v>5</v>
      </c>
      <c r="B32" s="83" t="s">
        <v>3176</v>
      </c>
      <c r="C32" s="76" t="s">
        <v>119</v>
      </c>
      <c r="D32" s="73"/>
      <c r="E32" s="74"/>
      <c r="F32" s="75">
        <f>ROUND(SUM(F33:F35),0)</f>
        <v>3388</v>
      </c>
      <c r="J32" s="244"/>
      <c r="K32" s="244"/>
      <c r="L32" s="244"/>
      <c r="M32" s="3"/>
      <c r="N32" s="3"/>
      <c r="O32" s="64"/>
      <c r="P32" s="64"/>
      <c r="Q32" s="64"/>
      <c r="R32" s="64"/>
      <c r="S32" s="3"/>
      <c r="T32" s="3"/>
    </row>
    <row r="33" spans="1:20" ht="25.5">
      <c r="A33" s="529"/>
      <c r="B33" s="165" t="str">
        <f>+INSUMOS!B29</f>
        <v>MOTONIVELADORA  POTENCIA 215 HP, ANCHO DE CUCHILLA 4,27 M, PESO 18 TON.</v>
      </c>
      <c r="C33" s="77" t="s">
        <v>8</v>
      </c>
      <c r="D33" s="80">
        <v>1.2999999999999999E-3</v>
      </c>
      <c r="E33" s="79">
        <f>+INSUMOS!D29</f>
        <v>182992.44</v>
      </c>
      <c r="F33" s="79">
        <f>+D33*E33</f>
        <v>237.89017199999998</v>
      </c>
    </row>
    <row r="34" spans="1:20">
      <c r="A34" s="529"/>
      <c r="B34" s="165" t="s">
        <v>27</v>
      </c>
      <c r="C34" s="77" t="s">
        <v>20</v>
      </c>
      <c r="D34" s="80">
        <v>2.5999999999999999E-2</v>
      </c>
      <c r="E34" s="79">
        <f>+INSUMOS!D31</f>
        <v>120000</v>
      </c>
      <c r="F34" s="79">
        <f>+D34*E34</f>
        <v>3120</v>
      </c>
    </row>
    <row r="35" spans="1:20" ht="25.5">
      <c r="A35" s="529"/>
      <c r="B35" s="165" t="str">
        <f>+INSUMOS!B32</f>
        <v>CARGADOR : POTENCIA EN EL VOLANTE 110 HP, CLASIFICACIÓN DE RPM DEL MOTOR 2300.</v>
      </c>
      <c r="C35" s="77" t="s">
        <v>8</v>
      </c>
      <c r="D35" s="81">
        <v>2.0000000000000001E-4</v>
      </c>
      <c r="E35" s="79">
        <f>+INSUMOS!D32</f>
        <v>151027.54</v>
      </c>
      <c r="F35" s="79">
        <f>+D35*E35</f>
        <v>30.205508000000002</v>
      </c>
    </row>
    <row r="36" spans="1:20">
      <c r="A36" s="529"/>
      <c r="B36" s="165"/>
      <c r="C36" s="77"/>
      <c r="D36" s="80"/>
      <c r="E36" s="79"/>
      <c r="F36" s="79"/>
    </row>
    <row r="37" spans="1:20" s="244" customFormat="1" ht="19.899999999999999" customHeight="1">
      <c r="A37" s="246">
        <f>A32+1</f>
        <v>6</v>
      </c>
      <c r="B37" s="83" t="s">
        <v>140</v>
      </c>
      <c r="C37" s="76" t="s">
        <v>121</v>
      </c>
      <c r="D37" s="73"/>
      <c r="E37" s="74"/>
      <c r="F37" s="75">
        <f>ROUND(SUM(F38:F39),0)</f>
        <v>34994</v>
      </c>
      <c r="G37" s="2"/>
      <c r="H37" s="2"/>
      <c r="I37" s="2"/>
      <c r="M37" s="3"/>
      <c r="N37" s="3"/>
      <c r="O37" s="64"/>
      <c r="P37" s="64"/>
      <c r="Q37" s="64"/>
      <c r="R37" s="64"/>
      <c r="S37" s="3"/>
      <c r="T37" s="3"/>
    </row>
    <row r="38" spans="1:20" s="244" customFormat="1">
      <c r="A38" s="529"/>
      <c r="B38" s="165" t="s">
        <v>11</v>
      </c>
      <c r="C38" s="77" t="s">
        <v>284</v>
      </c>
      <c r="D38" s="78">
        <v>0.03</v>
      </c>
      <c r="E38" s="79">
        <f>+F39</f>
        <v>33974.587393126028</v>
      </c>
      <c r="F38" s="79">
        <f>(D38*E38)</f>
        <v>1019.2376217937808</v>
      </c>
      <c r="G38" s="2"/>
      <c r="H38" s="2"/>
      <c r="I38" s="2"/>
      <c r="M38" s="3"/>
      <c r="N38" s="3"/>
      <c r="O38" s="64"/>
      <c r="P38" s="64"/>
      <c r="Q38" s="64"/>
      <c r="R38" s="64"/>
      <c r="S38" s="3"/>
      <c r="T38" s="3"/>
    </row>
    <row r="39" spans="1:20" s="244" customFormat="1">
      <c r="A39" s="529"/>
      <c r="B39" s="165" t="s">
        <v>9</v>
      </c>
      <c r="C39" s="77" t="s">
        <v>10</v>
      </c>
      <c r="D39" s="78">
        <v>1.3</v>
      </c>
      <c r="E39" s="79">
        <f>+'VALOR CUADRILLAS MO'!D75</f>
        <v>26134.297994712331</v>
      </c>
      <c r="F39" s="79">
        <f>+D39*E39</f>
        <v>33974.587393126028</v>
      </c>
      <c r="G39" s="2"/>
      <c r="H39" s="2"/>
      <c r="I39" s="2"/>
      <c r="M39" s="3"/>
      <c r="N39" s="3"/>
      <c r="O39" s="64"/>
      <c r="P39" s="64"/>
      <c r="Q39" s="64"/>
      <c r="R39" s="64"/>
      <c r="S39" s="3"/>
      <c r="T39" s="3"/>
    </row>
    <row r="40" spans="1:20" s="244" customFormat="1">
      <c r="A40" s="529"/>
      <c r="B40" s="165"/>
      <c r="C40" s="77"/>
      <c r="D40" s="78"/>
      <c r="E40" s="79"/>
      <c r="F40" s="79"/>
      <c r="G40" s="2"/>
      <c r="H40" s="2"/>
      <c r="I40" s="2"/>
      <c r="M40" s="3"/>
      <c r="N40" s="3"/>
      <c r="O40" s="64"/>
      <c r="P40" s="64"/>
      <c r="Q40" s="64"/>
      <c r="R40" s="64"/>
      <c r="S40" s="3"/>
      <c r="T40" s="3"/>
    </row>
    <row r="41" spans="1:20" s="244" customFormat="1" ht="19.899999999999999" customHeight="1">
      <c r="A41" s="246">
        <f>A37+1</f>
        <v>7</v>
      </c>
      <c r="B41" s="83" t="s">
        <v>763</v>
      </c>
      <c r="C41" s="76" t="s">
        <v>121</v>
      </c>
      <c r="D41" s="73"/>
      <c r="E41" s="74"/>
      <c r="F41" s="75">
        <f>ROUND(SUM(F42:F43),0)</f>
        <v>11744</v>
      </c>
      <c r="G41" s="2"/>
      <c r="H41" s="2"/>
      <c r="I41" s="2"/>
      <c r="M41" s="3"/>
      <c r="N41" s="3"/>
      <c r="O41" s="64"/>
      <c r="P41" s="64"/>
      <c r="Q41" s="64"/>
      <c r="R41" s="64"/>
      <c r="S41" s="3"/>
      <c r="T41" s="3"/>
    </row>
    <row r="42" spans="1:20" s="244" customFormat="1" ht="25.5">
      <c r="A42" s="529"/>
      <c r="B42" s="165" t="str">
        <f>INSUMOS!B34</f>
        <v>RETROEXCAVADORA SOBRE LLANTAS, MOTOR 62HP, PROFUNDIDAD DE EXCAVACIÓN DE 5.41 METROS.</v>
      </c>
      <c r="C42" s="77" t="s">
        <v>8</v>
      </c>
      <c r="D42" s="78">
        <v>0.05</v>
      </c>
      <c r="E42" s="79">
        <f>INSUMOS!D34</f>
        <v>193073</v>
      </c>
      <c r="F42" s="79">
        <f>+D42*E42</f>
        <v>9653.65</v>
      </c>
      <c r="G42" s="2"/>
      <c r="H42" s="2"/>
      <c r="I42" s="2"/>
      <c r="M42" s="3"/>
      <c r="N42" s="3"/>
      <c r="O42" s="64"/>
      <c r="P42" s="64"/>
      <c r="Q42" s="64"/>
      <c r="R42" s="64"/>
      <c r="S42" s="3"/>
      <c r="T42" s="3"/>
    </row>
    <row r="43" spans="1:20" s="244" customFormat="1">
      <c r="A43" s="529"/>
      <c r="B43" s="165" t="s">
        <v>764</v>
      </c>
      <c r="C43" s="77" t="s">
        <v>10</v>
      </c>
      <c r="D43" s="80">
        <f>0.08</f>
        <v>0.08</v>
      </c>
      <c r="E43" s="79">
        <f>+'VALOR CUADRILLAS MO'!D75</f>
        <v>26134.297994712331</v>
      </c>
      <c r="F43" s="79">
        <f>+D43*E43</f>
        <v>2090.7438395769864</v>
      </c>
      <c r="G43" s="2"/>
      <c r="H43" s="2"/>
      <c r="I43" s="2"/>
      <c r="M43" s="3"/>
      <c r="N43" s="3"/>
      <c r="O43" s="64"/>
      <c r="P43" s="64"/>
      <c r="Q43" s="64"/>
      <c r="R43" s="64"/>
      <c r="S43" s="3"/>
      <c r="T43" s="3"/>
    </row>
    <row r="44" spans="1:20" s="244" customFormat="1">
      <c r="A44" s="529"/>
      <c r="B44" s="165"/>
      <c r="C44" s="77"/>
      <c r="D44" s="78"/>
      <c r="E44" s="79"/>
      <c r="F44" s="79"/>
      <c r="G44" s="2"/>
      <c r="H44" s="2"/>
      <c r="I44" s="2"/>
      <c r="M44" s="3"/>
      <c r="N44" s="3"/>
      <c r="O44" s="64"/>
      <c r="P44" s="64"/>
      <c r="Q44" s="64"/>
      <c r="R44" s="64"/>
      <c r="S44" s="3"/>
      <c r="T44" s="3"/>
    </row>
    <row r="45" spans="1:20" s="244" customFormat="1" ht="19.899999999999999" customHeight="1">
      <c r="A45" s="246">
        <f>+A41+1</f>
        <v>8</v>
      </c>
      <c r="B45" s="83" t="s">
        <v>58</v>
      </c>
      <c r="C45" s="76" t="s">
        <v>121</v>
      </c>
      <c r="D45" s="73"/>
      <c r="E45" s="74"/>
      <c r="F45" s="75">
        <f>ROUND(SUM(F46:F49),0)</f>
        <v>117068</v>
      </c>
      <c r="G45" s="2"/>
      <c r="H45" s="2"/>
      <c r="I45" s="2"/>
      <c r="M45" s="3"/>
      <c r="N45" s="3"/>
      <c r="O45" s="64"/>
      <c r="P45" s="64"/>
      <c r="Q45" s="64"/>
      <c r="R45" s="64"/>
      <c r="S45" s="3"/>
      <c r="T45" s="3"/>
    </row>
    <row r="46" spans="1:20" s="244" customFormat="1">
      <c r="A46" s="529"/>
      <c r="B46" s="165" t="s">
        <v>23</v>
      </c>
      <c r="C46" s="77" t="s">
        <v>8</v>
      </c>
      <c r="D46" s="78">
        <v>1.2</v>
      </c>
      <c r="E46" s="79">
        <f>+INSUMOS!D35</f>
        <v>82148.320000000007</v>
      </c>
      <c r="F46" s="79">
        <f>+D46*E46</f>
        <v>98577.984000000011</v>
      </c>
      <c r="G46" s="2"/>
      <c r="H46" s="2"/>
      <c r="I46" s="2"/>
      <c r="M46" s="3"/>
      <c r="N46" s="3"/>
      <c r="O46" s="64"/>
      <c r="P46" s="64"/>
      <c r="Q46" s="64"/>
      <c r="R46" s="64"/>
      <c r="S46" s="3"/>
      <c r="T46" s="3"/>
    </row>
    <row r="47" spans="1:20" s="244" customFormat="1" ht="25.5">
      <c r="A47" s="529"/>
      <c r="B47" s="165" t="str">
        <f>+INSUMOS!B34</f>
        <v>RETROEXCAVADORA SOBRE LLANTAS, MOTOR 62HP, PROFUNDIDAD DE EXCAVACIÓN DE 5.41 METROS.</v>
      </c>
      <c r="C47" s="77" t="s">
        <v>8</v>
      </c>
      <c r="D47" s="78">
        <v>0.04</v>
      </c>
      <c r="E47" s="79">
        <f>+INSUMOS!D34</f>
        <v>193073</v>
      </c>
      <c r="F47" s="79">
        <f>+D47*E47</f>
        <v>7722.92</v>
      </c>
      <c r="G47" s="2"/>
      <c r="H47" s="2"/>
      <c r="I47" s="2"/>
      <c r="M47" s="3"/>
      <c r="N47" s="3"/>
      <c r="O47" s="64"/>
      <c r="P47" s="64"/>
      <c r="Q47" s="64"/>
      <c r="R47" s="64"/>
      <c r="S47" s="3"/>
      <c r="T47" s="3"/>
    </row>
    <row r="48" spans="1:20" s="244" customFormat="1">
      <c r="A48" s="529"/>
      <c r="B48" s="165" t="s">
        <v>11</v>
      </c>
      <c r="C48" s="77" t="s">
        <v>284</v>
      </c>
      <c r="D48" s="78">
        <v>0.03</v>
      </c>
      <c r="E48" s="79">
        <f>+F49</f>
        <v>10453.719197884933</v>
      </c>
      <c r="F48" s="79">
        <f>(D48*E48)</f>
        <v>313.61157593654798</v>
      </c>
      <c r="G48" s="2"/>
      <c r="H48" s="2"/>
      <c r="I48" s="2"/>
      <c r="M48" s="3"/>
      <c r="N48" s="3"/>
      <c r="O48" s="64"/>
      <c r="P48" s="64"/>
      <c r="Q48" s="64"/>
      <c r="R48" s="64"/>
      <c r="S48" s="3"/>
      <c r="T48" s="3"/>
    </row>
    <row r="49" spans="1:20" s="244" customFormat="1">
      <c r="A49" s="529"/>
      <c r="B49" s="165" t="s">
        <v>9</v>
      </c>
      <c r="C49" s="77" t="s">
        <v>10</v>
      </c>
      <c r="D49" s="78">
        <f>0.4</f>
        <v>0.4</v>
      </c>
      <c r="E49" s="79">
        <f>+'VALOR CUADRILLAS MO'!D75</f>
        <v>26134.297994712331</v>
      </c>
      <c r="F49" s="79">
        <f>+D49*E49</f>
        <v>10453.719197884933</v>
      </c>
      <c r="G49" s="2"/>
      <c r="H49" s="2"/>
      <c r="I49" s="2"/>
      <c r="M49" s="3"/>
      <c r="N49" s="3"/>
      <c r="O49" s="64"/>
      <c r="P49" s="64"/>
      <c r="Q49" s="64"/>
      <c r="R49" s="64"/>
      <c r="S49" s="3"/>
      <c r="T49" s="3"/>
    </row>
    <row r="50" spans="1:20" s="244" customFormat="1">
      <c r="A50" s="529"/>
      <c r="B50" s="165"/>
      <c r="C50" s="77"/>
      <c r="D50" s="78"/>
      <c r="E50" s="79"/>
      <c r="F50" s="79"/>
      <c r="G50" s="2"/>
      <c r="H50" s="2"/>
      <c r="I50" s="2"/>
      <c r="M50" s="3"/>
      <c r="N50" s="3"/>
      <c r="O50" s="64"/>
      <c r="P50" s="64"/>
      <c r="Q50" s="64"/>
      <c r="R50" s="64"/>
      <c r="S50" s="3"/>
      <c r="T50" s="3"/>
    </row>
    <row r="51" spans="1:20" ht="40.9" customHeight="1">
      <c r="A51" s="246">
        <f>A45+1</f>
        <v>9</v>
      </c>
      <c r="B51" s="83" t="s">
        <v>642</v>
      </c>
      <c r="C51" s="76" t="s">
        <v>119</v>
      </c>
      <c r="D51" s="73"/>
      <c r="E51" s="74"/>
      <c r="F51" s="75" t="e">
        <f>ROUND(SUM(F52:F57),0)</f>
        <v>#REF!</v>
      </c>
    </row>
    <row r="52" spans="1:20">
      <c r="A52" s="529"/>
      <c r="B52" s="260" t="e">
        <f>INSUMOS!#REF!</f>
        <v>#REF!</v>
      </c>
      <c r="C52" s="261" t="s">
        <v>25</v>
      </c>
      <c r="D52" s="262">
        <v>3</v>
      </c>
      <c r="E52" s="263" t="e">
        <f>INSUMOS!#REF!</f>
        <v>#REF!</v>
      </c>
      <c r="F52" s="264" t="e">
        <f>+D52*E52</f>
        <v>#REF!</v>
      </c>
    </row>
    <row r="53" spans="1:20">
      <c r="A53" s="529"/>
      <c r="B53" s="165" t="str">
        <f>+INSUMOS!B38</f>
        <v xml:space="preserve">Carrotanque de agua(1000 Galones) </v>
      </c>
      <c r="C53" s="77" t="s">
        <v>8</v>
      </c>
      <c r="D53" s="78">
        <v>600</v>
      </c>
      <c r="E53" s="79">
        <f>+INSUMOS!D38</f>
        <v>71700</v>
      </c>
      <c r="F53" s="79">
        <f>+E53/D53</f>
        <v>119.5</v>
      </c>
    </row>
    <row r="54" spans="1:20" ht="25.5">
      <c r="A54" s="529"/>
      <c r="B54" s="165" t="str">
        <f>+INSUMOS!B29</f>
        <v>MOTONIVELADORA  POTENCIA 215 HP, ANCHO DE CUCHILLA 4,27 M, PESO 18 TON.</v>
      </c>
      <c r="C54" s="77" t="s">
        <v>8</v>
      </c>
      <c r="D54" s="78">
        <v>600</v>
      </c>
      <c r="E54" s="79">
        <f>+INSUMOS!D29</f>
        <v>182992.44</v>
      </c>
      <c r="F54" s="79">
        <f>+E54/D54</f>
        <v>304.98739999999998</v>
      </c>
    </row>
    <row r="55" spans="1:20">
      <c r="A55" s="529"/>
      <c r="B55" s="165" t="str">
        <f>INSUMOS!B37</f>
        <v xml:space="preserve">Vibrocompatador, potencia 153 HP, peso 10 Ton. </v>
      </c>
      <c r="C55" s="77" t="s">
        <v>8</v>
      </c>
      <c r="D55" s="78">
        <v>600</v>
      </c>
      <c r="E55" s="79">
        <f>+INSUMOS!D37</f>
        <v>116620</v>
      </c>
      <c r="F55" s="79">
        <f>+E55/D55</f>
        <v>194.36666666666667</v>
      </c>
    </row>
    <row r="56" spans="1:20">
      <c r="A56" s="529"/>
      <c r="B56" s="165" t="s">
        <v>11</v>
      </c>
      <c r="C56" s="77" t="s">
        <v>284</v>
      </c>
      <c r="D56" s="78">
        <v>0.03</v>
      </c>
      <c r="E56" s="79">
        <f>+F57</f>
        <v>104.53719197884932</v>
      </c>
      <c r="F56" s="79">
        <f>(D56*E56)</f>
        <v>3.1361157593654796</v>
      </c>
    </row>
    <row r="57" spans="1:20">
      <c r="A57" s="529"/>
      <c r="B57" s="165" t="s">
        <v>9</v>
      </c>
      <c r="C57" s="77" t="s">
        <v>10</v>
      </c>
      <c r="D57" s="80">
        <f>0.004</f>
        <v>4.0000000000000001E-3</v>
      </c>
      <c r="E57" s="79">
        <f>+'VALOR CUADRILLAS MO'!D75</f>
        <v>26134.297994712331</v>
      </c>
      <c r="F57" s="79">
        <f>+D57*E57</f>
        <v>104.53719197884932</v>
      </c>
    </row>
    <row r="58" spans="1:20">
      <c r="A58" s="529"/>
      <c r="B58" s="165"/>
      <c r="C58" s="77"/>
      <c r="D58" s="80"/>
      <c r="E58" s="79"/>
      <c r="F58" s="79"/>
    </row>
    <row r="59" spans="1:20" ht="19.899999999999999" customHeight="1">
      <c r="A59" s="246">
        <f>+A51+1</f>
        <v>10</v>
      </c>
      <c r="B59" s="83" t="s">
        <v>61</v>
      </c>
      <c r="C59" s="76" t="s">
        <v>121</v>
      </c>
      <c r="D59" s="73"/>
      <c r="E59" s="74"/>
      <c r="F59" s="75">
        <f>ROUND(SUM(F60:F62),0)</f>
        <v>27210</v>
      </c>
      <c r="H59" s="59"/>
      <c r="J59" s="248"/>
    </row>
    <row r="60" spans="1:20">
      <c r="A60" s="529"/>
      <c r="B60" s="165" t="s">
        <v>18</v>
      </c>
      <c r="C60" s="77" t="s">
        <v>12</v>
      </c>
      <c r="D60" s="80">
        <v>1.2E-2</v>
      </c>
      <c r="E60" s="79">
        <f>+BASICOS!D42</f>
        <v>136480.47829830134</v>
      </c>
      <c r="F60" s="79">
        <f>+D60*E60</f>
        <v>1637.7657395796161</v>
      </c>
      <c r="H60" s="59"/>
      <c r="I60" s="59"/>
      <c r="J60" s="59"/>
    </row>
    <row r="61" spans="1:20">
      <c r="A61" s="529"/>
      <c r="B61" s="165" t="s">
        <v>11</v>
      </c>
      <c r="C61" s="77" t="s">
        <v>284</v>
      </c>
      <c r="D61" s="78">
        <v>0.03</v>
      </c>
      <c r="E61" s="79">
        <f>+F62</f>
        <v>24827.583094976715</v>
      </c>
      <c r="F61" s="79">
        <f>(D61*E61)</f>
        <v>744.82749284930139</v>
      </c>
      <c r="H61" s="59"/>
      <c r="I61" s="59"/>
      <c r="J61" s="59"/>
    </row>
    <row r="62" spans="1:20">
      <c r="A62" s="529"/>
      <c r="B62" s="165" t="s">
        <v>9</v>
      </c>
      <c r="C62" s="77" t="s">
        <v>10</v>
      </c>
      <c r="D62" s="78">
        <v>0.95</v>
      </c>
      <c r="E62" s="79">
        <f>+'VALOR CUADRILLAS MO'!D75</f>
        <v>26134.297994712331</v>
      </c>
      <c r="F62" s="79">
        <f>+D62*E62</f>
        <v>24827.583094976715</v>
      </c>
      <c r="H62" s="59"/>
      <c r="I62" s="59"/>
      <c r="J62" s="59"/>
    </row>
    <row r="63" spans="1:20">
      <c r="A63" s="529"/>
      <c r="B63" s="165"/>
      <c r="C63" s="77"/>
      <c r="D63" s="78"/>
      <c r="E63" s="79"/>
      <c r="F63" s="79"/>
      <c r="H63" s="59"/>
      <c r="I63" s="59"/>
      <c r="J63" s="59"/>
    </row>
    <row r="64" spans="1:20" ht="19.899999999999999" customHeight="1">
      <c r="A64" s="246">
        <f>+A59+1</f>
        <v>11</v>
      </c>
      <c r="B64" s="83" t="s">
        <v>603</v>
      </c>
      <c r="C64" s="76" t="s">
        <v>121</v>
      </c>
      <c r="D64" s="73"/>
      <c r="E64" s="74"/>
      <c r="F64" s="75" t="e">
        <f>ROUND(SUM(F65:F72),0)</f>
        <v>#REF!</v>
      </c>
      <c r="H64" s="59"/>
      <c r="I64" s="59"/>
      <c r="J64" s="59"/>
      <c r="O64" s="163"/>
      <c r="P64" s="164"/>
      <c r="Q64" s="299"/>
      <c r="R64" s="305"/>
      <c r="S64" s="306"/>
    </row>
    <row r="65" spans="1:19">
      <c r="A65" s="529"/>
      <c r="B65" s="165" t="s">
        <v>604</v>
      </c>
      <c r="C65" s="77" t="s">
        <v>121</v>
      </c>
      <c r="D65" s="78">
        <v>1.3</v>
      </c>
      <c r="E65" s="343">
        <f>BASICOS!D16</f>
        <v>36890</v>
      </c>
      <c r="F65" s="79">
        <f>+D65*E65</f>
        <v>47957</v>
      </c>
      <c r="H65" s="59"/>
      <c r="I65" s="59"/>
      <c r="J65" s="59"/>
      <c r="O65" s="36"/>
      <c r="P65" s="77"/>
      <c r="Q65" s="78"/>
      <c r="R65" s="79"/>
      <c r="S65" s="307"/>
    </row>
    <row r="66" spans="1:19">
      <c r="A66" s="529"/>
      <c r="B66" s="165" t="s">
        <v>136</v>
      </c>
      <c r="C66" s="77" t="s">
        <v>2431</v>
      </c>
      <c r="D66" s="78">
        <f>10*D65</f>
        <v>13</v>
      </c>
      <c r="E66" s="79">
        <f>+INSUMOS!D23</f>
        <v>1094.8912</v>
      </c>
      <c r="F66" s="79">
        <f>+D66*E66</f>
        <v>14233.5856</v>
      </c>
      <c r="H66" s="59"/>
      <c r="I66" s="59"/>
      <c r="J66" s="59"/>
      <c r="O66" s="36"/>
      <c r="P66" s="77"/>
      <c r="Q66" s="78"/>
      <c r="R66" s="79"/>
      <c r="S66" s="307"/>
    </row>
    <row r="67" spans="1:19" ht="25.5">
      <c r="A67" s="529"/>
      <c r="B67" s="165" t="s">
        <v>2435</v>
      </c>
      <c r="C67" s="77" t="s">
        <v>8</v>
      </c>
      <c r="D67" s="78">
        <v>45</v>
      </c>
      <c r="E67" s="79" t="e">
        <f>INSUMOS!#REF!</f>
        <v>#REF!</v>
      </c>
      <c r="F67" s="79" t="e">
        <f>+E67/D67</f>
        <v>#REF!</v>
      </c>
      <c r="H67" s="59"/>
      <c r="I67" s="59"/>
      <c r="J67" s="59"/>
      <c r="O67" s="36"/>
      <c r="P67" s="77"/>
      <c r="Q67" s="78"/>
      <c r="R67" s="79"/>
      <c r="S67" s="307"/>
    </row>
    <row r="68" spans="1:19" ht="25.5">
      <c r="A68" s="529"/>
      <c r="B68" s="165" t="str">
        <f>+INSUMOS!B29</f>
        <v>MOTONIVELADORA  POTENCIA 215 HP, ANCHO DE CUCHILLA 4,27 M, PESO 18 TON.</v>
      </c>
      <c r="C68" s="77" t="s">
        <v>8</v>
      </c>
      <c r="D68" s="78">
        <v>45</v>
      </c>
      <c r="E68" s="79">
        <f>+INSUMOS!D29</f>
        <v>182992.44</v>
      </c>
      <c r="F68" s="79">
        <f>+E68/D68</f>
        <v>4066.4986666666668</v>
      </c>
      <c r="H68" s="59"/>
      <c r="I68" s="59"/>
      <c r="J68" s="59"/>
      <c r="O68" s="36"/>
      <c r="P68" s="77"/>
      <c r="Q68" s="80"/>
      <c r="R68" s="79"/>
      <c r="S68" s="307"/>
    </row>
    <row r="69" spans="1:19">
      <c r="A69" s="529"/>
      <c r="B69" s="165" t="str">
        <f>+INSUMOS!B38</f>
        <v xml:space="preserve">Carrotanque de agua(1000 Galones) </v>
      </c>
      <c r="C69" s="77" t="s">
        <v>8</v>
      </c>
      <c r="D69" s="78">
        <v>45</v>
      </c>
      <c r="E69" s="79">
        <f>+INSUMOS!D38</f>
        <v>71700</v>
      </c>
      <c r="F69" s="79">
        <f>+E69/D69</f>
        <v>1593.3333333333333</v>
      </c>
      <c r="H69" s="59"/>
      <c r="I69" s="59"/>
      <c r="J69" s="59"/>
      <c r="O69" s="36"/>
      <c r="P69" s="77"/>
      <c r="Q69" s="78"/>
      <c r="R69" s="79"/>
      <c r="S69" s="307"/>
    </row>
    <row r="70" spans="1:19">
      <c r="A70" s="529"/>
      <c r="B70" s="165" t="str">
        <f>+INSUMOS!B25</f>
        <v>VIBROCOMPACTADOR TIPO DINAPAC CA 15</v>
      </c>
      <c r="C70" s="77" t="s">
        <v>8</v>
      </c>
      <c r="D70" s="78">
        <v>45</v>
      </c>
      <c r="E70" s="79">
        <f>+INSUMOS!D25</f>
        <v>136408.60999999999</v>
      </c>
      <c r="F70" s="79">
        <f>+E70/D70</f>
        <v>3031.3024444444441</v>
      </c>
      <c r="H70" s="59"/>
      <c r="I70" s="59"/>
      <c r="J70" s="59"/>
      <c r="O70" s="36"/>
      <c r="P70" s="77"/>
      <c r="Q70" s="78"/>
      <c r="R70" s="79"/>
      <c r="S70" s="307"/>
    </row>
    <row r="71" spans="1:19">
      <c r="A71" s="529"/>
      <c r="B71" s="165" t="s">
        <v>11</v>
      </c>
      <c r="C71" s="77" t="s">
        <v>284</v>
      </c>
      <c r="D71" s="78">
        <v>0.03</v>
      </c>
      <c r="E71" s="79">
        <f>+F72</f>
        <v>13067.148997356166</v>
      </c>
      <c r="F71" s="79">
        <f>(D71*E71)</f>
        <v>392.01446992068497</v>
      </c>
      <c r="H71" s="59"/>
      <c r="I71" s="59"/>
      <c r="J71" s="59"/>
    </row>
    <row r="72" spans="1:19">
      <c r="A72" s="529"/>
      <c r="B72" s="165" t="s">
        <v>9</v>
      </c>
      <c r="C72" s="77" t="s">
        <v>10</v>
      </c>
      <c r="D72" s="78">
        <v>0.5</v>
      </c>
      <c r="E72" s="79">
        <f>+'VALOR CUADRILLAS MO'!D75</f>
        <v>26134.297994712331</v>
      </c>
      <c r="F72" s="79">
        <f>+D72*E72</f>
        <v>13067.148997356166</v>
      </c>
      <c r="H72" s="59"/>
      <c r="I72" s="59"/>
      <c r="J72" s="59"/>
    </row>
    <row r="73" spans="1:19">
      <c r="A73" s="529"/>
      <c r="B73" s="165"/>
      <c r="C73" s="77"/>
      <c r="D73" s="78"/>
      <c r="E73" s="79"/>
      <c r="F73" s="79"/>
      <c r="H73" s="59"/>
      <c r="I73" s="59"/>
      <c r="J73" s="59"/>
    </row>
    <row r="74" spans="1:19" ht="19.899999999999999" customHeight="1">
      <c r="A74" s="246">
        <f>+A64+1</f>
        <v>12</v>
      </c>
      <c r="B74" s="83" t="s">
        <v>202</v>
      </c>
      <c r="C74" s="76" t="s">
        <v>121</v>
      </c>
      <c r="D74" s="73"/>
      <c r="E74" s="74"/>
      <c r="F74" s="75" t="e">
        <f>ROUND(SUM(F75:F82),0)</f>
        <v>#REF!</v>
      </c>
      <c r="O74" s="158"/>
      <c r="P74" s="159"/>
      <c r="Q74" s="172"/>
      <c r="R74" s="173"/>
      <c r="S74" s="168"/>
    </row>
    <row r="75" spans="1:19">
      <c r="A75" s="529"/>
      <c r="B75" s="165" t="s">
        <v>605</v>
      </c>
      <c r="C75" s="77" t="s">
        <v>121</v>
      </c>
      <c r="D75" s="78">
        <v>1.3</v>
      </c>
      <c r="E75" s="343">
        <f>BASICOS!D17</f>
        <v>58310</v>
      </c>
      <c r="F75" s="79">
        <f>+D75*E75</f>
        <v>75803</v>
      </c>
      <c r="O75" s="36"/>
      <c r="P75" s="77"/>
      <c r="Q75" s="169"/>
      <c r="R75" s="170"/>
      <c r="S75" s="170"/>
    </row>
    <row r="76" spans="1:19">
      <c r="A76" s="529"/>
      <c r="B76" s="165" t="s">
        <v>136</v>
      </c>
      <c r="C76" s="77" t="s">
        <v>2431</v>
      </c>
      <c r="D76" s="78">
        <f>10*D75</f>
        <v>13</v>
      </c>
      <c r="E76" s="79">
        <f>+INSUMOS!D23</f>
        <v>1094.8912</v>
      </c>
      <c r="F76" s="79">
        <f>+D76*E76</f>
        <v>14233.5856</v>
      </c>
      <c r="O76" s="36"/>
      <c r="P76" s="77"/>
      <c r="Q76" s="169"/>
      <c r="R76" s="170"/>
      <c r="S76" s="170"/>
    </row>
    <row r="77" spans="1:19" ht="25.5">
      <c r="A77" s="529"/>
      <c r="B77" s="165" t="s">
        <v>2435</v>
      </c>
      <c r="C77" s="77" t="s">
        <v>8</v>
      </c>
      <c r="D77" s="78">
        <v>45</v>
      </c>
      <c r="E77" s="79" t="e">
        <f>INSUMOS!#REF!</f>
        <v>#REF!</v>
      </c>
      <c r="F77" s="79" t="e">
        <f>+E77/D77</f>
        <v>#REF!</v>
      </c>
      <c r="O77" s="36"/>
      <c r="P77" s="77"/>
      <c r="Q77" s="169"/>
      <c r="R77" s="170"/>
      <c r="S77" s="170"/>
    </row>
    <row r="78" spans="1:19" ht="25.5">
      <c r="A78" s="529"/>
      <c r="B78" s="165" t="str">
        <f>+INSUMOS!B29</f>
        <v>MOTONIVELADORA  POTENCIA 215 HP, ANCHO DE CUCHILLA 4,27 M, PESO 18 TON.</v>
      </c>
      <c r="C78" s="77" t="s">
        <v>8</v>
      </c>
      <c r="D78" s="78">
        <v>45</v>
      </c>
      <c r="E78" s="79">
        <f>+INSUMOS!D29</f>
        <v>182992.44</v>
      </c>
      <c r="F78" s="79">
        <f>+E78/D78</f>
        <v>4066.4986666666668</v>
      </c>
      <c r="J78" s="3"/>
      <c r="O78" s="36"/>
      <c r="P78" s="77"/>
      <c r="Q78" s="169"/>
      <c r="R78" s="170"/>
      <c r="S78" s="170"/>
    </row>
    <row r="79" spans="1:19">
      <c r="A79" s="529"/>
      <c r="B79" s="165" t="str">
        <f>+INSUMOS!B38</f>
        <v xml:space="preserve">Carrotanque de agua(1000 Galones) </v>
      </c>
      <c r="C79" s="77" t="s">
        <v>8</v>
      </c>
      <c r="D79" s="78">
        <v>45</v>
      </c>
      <c r="E79" s="79">
        <f>+INSUMOS!D38</f>
        <v>71700</v>
      </c>
      <c r="F79" s="79">
        <f>+E79/D79</f>
        <v>1593.3333333333333</v>
      </c>
      <c r="J79" s="3"/>
      <c r="O79" s="36"/>
      <c r="P79" s="77"/>
      <c r="Q79" s="169"/>
      <c r="R79" s="170"/>
      <c r="S79" s="170"/>
    </row>
    <row r="80" spans="1:19">
      <c r="A80" s="529"/>
      <c r="B80" s="165" t="str">
        <f>+INSUMOS!B25</f>
        <v>VIBROCOMPACTADOR TIPO DINAPAC CA 15</v>
      </c>
      <c r="C80" s="77" t="s">
        <v>8</v>
      </c>
      <c r="D80" s="78">
        <v>45</v>
      </c>
      <c r="E80" s="79">
        <f>+INSUMOS!D25</f>
        <v>136408.60999999999</v>
      </c>
      <c r="F80" s="79">
        <f>+E80/D80</f>
        <v>3031.3024444444441</v>
      </c>
      <c r="J80" s="3"/>
      <c r="O80" s="36"/>
      <c r="P80" s="77"/>
      <c r="Q80" s="169"/>
      <c r="R80" s="170"/>
      <c r="S80" s="170"/>
    </row>
    <row r="81" spans="1:19">
      <c r="A81" s="529"/>
      <c r="B81" s="165" t="s">
        <v>11</v>
      </c>
      <c r="C81" s="77" t="s">
        <v>284</v>
      </c>
      <c r="D81" s="78">
        <v>0.03</v>
      </c>
      <c r="E81" s="79">
        <f>+F82</f>
        <v>13067.148997356166</v>
      </c>
      <c r="F81" s="79">
        <f>(D81*E81)</f>
        <v>392.01446992068497</v>
      </c>
      <c r="J81" s="3"/>
      <c r="O81" s="36"/>
      <c r="P81" s="77"/>
      <c r="Q81" s="169"/>
      <c r="R81" s="170"/>
      <c r="S81" s="170"/>
    </row>
    <row r="82" spans="1:19">
      <c r="A82" s="529"/>
      <c r="B82" s="165" t="s">
        <v>9</v>
      </c>
      <c r="C82" s="77" t="s">
        <v>10</v>
      </c>
      <c r="D82" s="78">
        <v>0.5</v>
      </c>
      <c r="E82" s="79">
        <f>+'VALOR CUADRILLAS MO'!D75</f>
        <v>26134.297994712331</v>
      </c>
      <c r="F82" s="79">
        <f>+D82*E82</f>
        <v>13067.148997356166</v>
      </c>
      <c r="J82" s="3"/>
      <c r="O82" s="36"/>
      <c r="P82" s="77"/>
      <c r="Q82" s="169"/>
      <c r="R82" s="170"/>
      <c r="S82" s="170"/>
    </row>
    <row r="83" spans="1:19">
      <c r="A83" s="529"/>
      <c r="B83" s="165"/>
      <c r="C83" s="77"/>
      <c r="D83" s="78"/>
      <c r="E83" s="79"/>
      <c r="F83" s="79"/>
      <c r="J83" s="3"/>
    </row>
    <row r="84" spans="1:19" ht="33.6" customHeight="1">
      <c r="A84" s="246">
        <f>A74+1</f>
        <v>13</v>
      </c>
      <c r="B84" s="83" t="s">
        <v>2438</v>
      </c>
      <c r="C84" s="76" t="s">
        <v>121</v>
      </c>
      <c r="D84" s="469"/>
      <c r="E84" s="470"/>
      <c r="F84" s="471">
        <f>ROUND(SUM(F85:F92),0)</f>
        <v>153887</v>
      </c>
      <c r="J84" s="3"/>
    </row>
    <row r="85" spans="1:19">
      <c r="A85" s="529"/>
      <c r="B85" s="36" t="s">
        <v>605</v>
      </c>
      <c r="C85" s="77" t="s">
        <v>121</v>
      </c>
      <c r="D85" s="169">
        <v>1.3</v>
      </c>
      <c r="E85" s="170">
        <f>BASICOS!D17</f>
        <v>58310</v>
      </c>
      <c r="F85" s="170">
        <f>+D85*E85</f>
        <v>75803</v>
      </c>
      <c r="J85" s="3"/>
    </row>
    <row r="86" spans="1:19">
      <c r="A86" s="529"/>
      <c r="B86" s="36" t="s">
        <v>136</v>
      </c>
      <c r="C86" s="77" t="s">
        <v>2431</v>
      </c>
      <c r="D86" s="169">
        <v>13</v>
      </c>
      <c r="E86" s="170">
        <f>INSUMOS!D23</f>
        <v>1094.8912</v>
      </c>
      <c r="F86" s="170">
        <f>+D86*E86</f>
        <v>14233.5856</v>
      </c>
      <c r="J86" s="3"/>
    </row>
    <row r="87" spans="1:19">
      <c r="A87" s="529"/>
      <c r="B87" s="36" t="s">
        <v>31</v>
      </c>
      <c r="C87" s="77" t="s">
        <v>120</v>
      </c>
      <c r="D87" s="169">
        <v>90</v>
      </c>
      <c r="E87" s="170">
        <f>BASICOS!D7</f>
        <v>606.9</v>
      </c>
      <c r="F87" s="170">
        <f>+D87*E87</f>
        <v>54621</v>
      </c>
      <c r="J87" s="3"/>
    </row>
    <row r="88" spans="1:19">
      <c r="A88" s="529"/>
      <c r="B88" s="36" t="s">
        <v>2439</v>
      </c>
      <c r="C88" s="77" t="s">
        <v>8</v>
      </c>
      <c r="D88" s="169">
        <v>45</v>
      </c>
      <c r="E88" s="170">
        <f>+INSUMOS!D29</f>
        <v>182992.44</v>
      </c>
      <c r="F88" s="170">
        <f>E88/D88</f>
        <v>4066.4986666666668</v>
      </c>
      <c r="J88" s="3"/>
    </row>
    <row r="89" spans="1:19">
      <c r="A89" s="529"/>
      <c r="B89" s="36" t="s">
        <v>692</v>
      </c>
      <c r="C89" s="77" t="s">
        <v>8</v>
      </c>
      <c r="D89" s="169">
        <v>45</v>
      </c>
      <c r="E89" s="170">
        <f>+INSUMOS!D38</f>
        <v>71700</v>
      </c>
      <c r="F89" s="170">
        <f>E89/D89</f>
        <v>1593.3333333333333</v>
      </c>
      <c r="J89" s="3"/>
    </row>
    <row r="90" spans="1:19">
      <c r="A90" s="529"/>
      <c r="B90" s="36" t="s">
        <v>151</v>
      </c>
      <c r="C90" s="77" t="s">
        <v>8</v>
      </c>
      <c r="D90" s="169">
        <v>45</v>
      </c>
      <c r="E90" s="170">
        <f>+INSUMOS!D25</f>
        <v>136408.60999999999</v>
      </c>
      <c r="F90" s="170">
        <f>E90/D90</f>
        <v>3031.3024444444441</v>
      </c>
      <c r="J90" s="3"/>
    </row>
    <row r="91" spans="1:19">
      <c r="A91" s="529"/>
      <c r="B91" s="36" t="s">
        <v>11</v>
      </c>
      <c r="C91" s="77" t="s">
        <v>284</v>
      </c>
      <c r="D91" s="169">
        <v>0.03</v>
      </c>
      <c r="E91" s="170">
        <f>F92</f>
        <v>522.68595989424659</v>
      </c>
      <c r="F91" s="170">
        <f>+D91*E91</f>
        <v>15.680578796827398</v>
      </c>
      <c r="J91" s="3"/>
    </row>
    <row r="92" spans="1:19">
      <c r="A92" s="529"/>
      <c r="B92" s="36" t="s">
        <v>9</v>
      </c>
      <c r="C92" s="77" t="s">
        <v>10</v>
      </c>
      <c r="D92" s="169">
        <v>0.02</v>
      </c>
      <c r="E92" s="170">
        <f>'VALOR CUADRILLAS MO'!D75</f>
        <v>26134.297994712331</v>
      </c>
      <c r="F92" s="170">
        <f>+D92*E92</f>
        <v>522.68595989424659</v>
      </c>
      <c r="J92" s="3"/>
    </row>
    <row r="93" spans="1:19">
      <c r="A93" s="529"/>
      <c r="B93" s="165"/>
      <c r="C93" s="77"/>
      <c r="D93" s="78"/>
      <c r="E93" s="79"/>
      <c r="F93" s="79"/>
      <c r="J93" s="3"/>
    </row>
    <row r="94" spans="1:19" ht="40.15" customHeight="1">
      <c r="A94" s="246">
        <f>A84+1</f>
        <v>14</v>
      </c>
      <c r="B94" s="83" t="s">
        <v>139</v>
      </c>
      <c r="C94" s="76" t="s">
        <v>121</v>
      </c>
      <c r="D94" s="73"/>
      <c r="E94" s="74"/>
      <c r="F94" s="75">
        <f>ROUND(SUM(F95:F100),0)</f>
        <v>52398</v>
      </c>
    </row>
    <row r="95" spans="1:19">
      <c r="A95" s="529"/>
      <c r="B95" s="165" t="s">
        <v>3116</v>
      </c>
      <c r="C95" s="77" t="s">
        <v>121</v>
      </c>
      <c r="D95" s="78">
        <v>1</v>
      </c>
      <c r="E95" s="343">
        <f>BASICOS!D18</f>
        <v>14280</v>
      </c>
      <c r="F95" s="79">
        <f>+D95*E95</f>
        <v>14280</v>
      </c>
      <c r="H95" s="59"/>
      <c r="I95" s="59"/>
      <c r="J95" s="59"/>
    </row>
    <row r="96" spans="1:19">
      <c r="A96" s="529"/>
      <c r="B96" s="165" t="s">
        <v>228</v>
      </c>
      <c r="C96" s="77" t="s">
        <v>121</v>
      </c>
      <c r="D96" s="78">
        <v>0.3</v>
      </c>
      <c r="E96" s="79">
        <f>E95</f>
        <v>14280</v>
      </c>
      <c r="F96" s="79">
        <f>+D96*E96</f>
        <v>4284</v>
      </c>
      <c r="H96" s="59"/>
      <c r="I96" s="59"/>
      <c r="J96" s="59"/>
    </row>
    <row r="97" spans="1:20">
      <c r="A97" s="529"/>
      <c r="B97" s="165" t="s">
        <v>136</v>
      </c>
      <c r="C97" s="77" t="s">
        <v>2431</v>
      </c>
      <c r="D97" s="78">
        <f>1.3*10</f>
        <v>13</v>
      </c>
      <c r="E97" s="79">
        <f>+INSUMOS!D23</f>
        <v>1094.8912</v>
      </c>
      <c r="F97" s="79">
        <f>+D97*E97</f>
        <v>14233.5856</v>
      </c>
      <c r="H97" s="59"/>
      <c r="I97" s="59"/>
      <c r="J97" s="59"/>
    </row>
    <row r="98" spans="1:20">
      <c r="A98" s="529"/>
      <c r="B98" s="165" t="s">
        <v>18</v>
      </c>
      <c r="C98" s="77" t="s">
        <v>12</v>
      </c>
      <c r="D98" s="80">
        <v>4.4999999999999998E-2</v>
      </c>
      <c r="E98" s="79">
        <f>+BASICOS!D42</f>
        <v>136480.47829830134</v>
      </c>
      <c r="F98" s="79">
        <f>+D98*E98</f>
        <v>6141.6215234235606</v>
      </c>
      <c r="H98" s="59"/>
      <c r="I98" s="59"/>
      <c r="J98" s="59"/>
    </row>
    <row r="99" spans="1:20">
      <c r="A99" s="529"/>
      <c r="B99" s="165" t="s">
        <v>11</v>
      </c>
      <c r="C99" s="77" t="s">
        <v>284</v>
      </c>
      <c r="D99" s="78">
        <v>0.03</v>
      </c>
      <c r="E99" s="79">
        <f>+F100</f>
        <v>13067.148997356166</v>
      </c>
      <c r="F99" s="79">
        <f>(D99*E99)</f>
        <v>392.01446992068497</v>
      </c>
      <c r="H99" s="59"/>
      <c r="I99" s="59"/>
      <c r="J99" s="59"/>
    </row>
    <row r="100" spans="1:20">
      <c r="A100" s="529"/>
      <c r="B100" s="165" t="s">
        <v>9</v>
      </c>
      <c r="C100" s="77" t="s">
        <v>10</v>
      </c>
      <c r="D100" s="78">
        <v>0.5</v>
      </c>
      <c r="E100" s="79">
        <f>+'VALOR CUADRILLAS MO'!D75</f>
        <v>26134.297994712331</v>
      </c>
      <c r="F100" s="79">
        <f>+D100*E100</f>
        <v>13067.148997356166</v>
      </c>
      <c r="H100" s="59"/>
      <c r="I100" s="59"/>
      <c r="J100" s="59"/>
      <c r="M100" s="249"/>
    </row>
    <row r="101" spans="1:20" s="64" customFormat="1">
      <c r="A101" s="529"/>
      <c r="B101" s="165"/>
      <c r="C101" s="77"/>
      <c r="D101" s="78"/>
      <c r="E101" s="79"/>
      <c r="F101" s="79"/>
      <c r="G101" s="2"/>
      <c r="H101" s="59"/>
      <c r="I101" s="59"/>
      <c r="J101" s="59"/>
      <c r="K101" s="244"/>
      <c r="L101" s="244"/>
      <c r="M101" s="3"/>
      <c r="N101" s="3"/>
      <c r="S101" s="3"/>
      <c r="T101" s="3"/>
    </row>
    <row r="102" spans="1:20" s="64" customFormat="1" ht="31.15" customHeight="1">
      <c r="A102" s="246">
        <f>+A94+1</f>
        <v>15</v>
      </c>
      <c r="B102" s="83" t="s">
        <v>2432</v>
      </c>
      <c r="C102" s="76" t="s">
        <v>121</v>
      </c>
      <c r="D102" s="73"/>
      <c r="E102" s="74"/>
      <c r="F102" s="75">
        <f>ROUND(SUM(F103:F108),0)</f>
        <v>81791</v>
      </c>
      <c r="G102" s="2"/>
      <c r="H102" s="2"/>
      <c r="I102" s="2"/>
      <c r="J102" s="244"/>
      <c r="K102" s="244"/>
      <c r="L102" s="244"/>
      <c r="M102" s="3"/>
      <c r="N102" s="3"/>
      <c r="S102" s="3"/>
      <c r="T102" s="3"/>
    </row>
    <row r="103" spans="1:20" s="64" customFormat="1">
      <c r="A103" s="529"/>
      <c r="B103" s="165" t="s">
        <v>543</v>
      </c>
      <c r="C103" s="77" t="s">
        <v>121</v>
      </c>
      <c r="D103" s="78">
        <v>1</v>
      </c>
      <c r="E103" s="343">
        <f>BASICOS!D16</f>
        <v>36890</v>
      </c>
      <c r="F103" s="79">
        <f>+D103*E103</f>
        <v>36890</v>
      </c>
      <c r="G103" s="2"/>
      <c r="H103" s="59"/>
      <c r="I103" s="2"/>
      <c r="J103" s="244"/>
      <c r="K103" s="244"/>
      <c r="L103" s="244"/>
      <c r="M103" s="3"/>
      <c r="N103" s="3"/>
      <c r="S103" s="3"/>
      <c r="T103" s="3"/>
    </row>
    <row r="104" spans="1:20" s="64" customFormat="1">
      <c r="A104" s="529"/>
      <c r="B104" s="165" t="s">
        <v>228</v>
      </c>
      <c r="C104" s="77" t="s">
        <v>121</v>
      </c>
      <c r="D104" s="78">
        <v>0.3</v>
      </c>
      <c r="E104" s="79">
        <f>E103</f>
        <v>36890</v>
      </c>
      <c r="F104" s="79">
        <f>+D104*E104</f>
        <v>11067</v>
      </c>
      <c r="G104" s="2"/>
      <c r="H104" s="59"/>
      <c r="I104" s="2"/>
      <c r="J104" s="244"/>
      <c r="K104" s="244"/>
      <c r="L104" s="244"/>
      <c r="M104" s="3"/>
      <c r="N104" s="3"/>
      <c r="S104" s="3"/>
      <c r="T104" s="3"/>
    </row>
    <row r="105" spans="1:20" s="64" customFormat="1">
      <c r="A105" s="529"/>
      <c r="B105" s="165" t="s">
        <v>136</v>
      </c>
      <c r="C105" s="77" t="s">
        <v>2431</v>
      </c>
      <c r="D105" s="78">
        <f>1.3*10</f>
        <v>13</v>
      </c>
      <c r="E105" s="79">
        <f>+INSUMOS!D23</f>
        <v>1094.8912</v>
      </c>
      <c r="F105" s="79">
        <f>+D105*E105</f>
        <v>14233.5856</v>
      </c>
      <c r="G105" s="2"/>
      <c r="H105" s="59"/>
      <c r="I105" s="2"/>
      <c r="J105" s="244"/>
      <c r="K105" s="244"/>
      <c r="L105" s="244"/>
      <c r="M105" s="3"/>
      <c r="N105" s="3"/>
      <c r="S105" s="3"/>
      <c r="T105" s="3"/>
    </row>
    <row r="106" spans="1:20" s="64" customFormat="1">
      <c r="A106" s="529"/>
      <c r="B106" s="165" t="s">
        <v>2437</v>
      </c>
      <c r="C106" s="77" t="s">
        <v>12</v>
      </c>
      <c r="D106" s="80">
        <v>4.4999999999999998E-2</v>
      </c>
      <c r="E106" s="79">
        <f>+BASICOS!D42</f>
        <v>136480.47829830134</v>
      </c>
      <c r="F106" s="79">
        <f>+D106*E106</f>
        <v>6141.6215234235606</v>
      </c>
      <c r="G106" s="2"/>
      <c r="H106" s="2"/>
      <c r="I106" s="2"/>
      <c r="J106" s="244"/>
      <c r="K106" s="244"/>
      <c r="L106" s="244"/>
      <c r="M106" s="249"/>
      <c r="N106" s="3"/>
      <c r="S106" s="3"/>
      <c r="T106" s="3"/>
    </row>
    <row r="107" spans="1:20" s="64" customFormat="1">
      <c r="A107" s="529"/>
      <c r="B107" s="165" t="s">
        <v>11</v>
      </c>
      <c r="C107" s="77" t="s">
        <v>284</v>
      </c>
      <c r="D107" s="78">
        <v>0.03</v>
      </c>
      <c r="E107" s="79">
        <f>+F108</f>
        <v>13067.148997356166</v>
      </c>
      <c r="F107" s="79">
        <f>(D107*E107)</f>
        <v>392.01446992068497</v>
      </c>
      <c r="G107" s="2"/>
      <c r="H107" s="2"/>
      <c r="I107" s="2"/>
      <c r="J107" s="244"/>
      <c r="K107" s="244"/>
      <c r="L107" s="244"/>
      <c r="M107" s="3"/>
      <c r="N107" s="3"/>
      <c r="S107" s="3"/>
      <c r="T107" s="3"/>
    </row>
    <row r="108" spans="1:20" s="64" customFormat="1">
      <c r="A108" s="529"/>
      <c r="B108" s="165" t="s">
        <v>9</v>
      </c>
      <c r="C108" s="77" t="s">
        <v>10</v>
      </c>
      <c r="D108" s="78">
        <v>0.5</v>
      </c>
      <c r="E108" s="79">
        <f>+'VALOR CUADRILLAS MO'!D75</f>
        <v>26134.297994712331</v>
      </c>
      <c r="F108" s="79">
        <f>+D108*E108</f>
        <v>13067.148997356166</v>
      </c>
      <c r="G108" s="2"/>
      <c r="H108" s="2"/>
      <c r="I108" s="2"/>
      <c r="J108" s="244"/>
      <c r="K108" s="244"/>
      <c r="L108" s="244"/>
      <c r="M108" s="3"/>
      <c r="N108" s="3"/>
      <c r="S108" s="3"/>
      <c r="T108" s="3"/>
    </row>
    <row r="109" spans="1:20" s="64" customFormat="1">
      <c r="A109" s="531"/>
      <c r="B109" s="165"/>
      <c r="C109" s="77"/>
      <c r="D109" s="78"/>
      <c r="E109" s="79"/>
      <c r="F109" s="79"/>
      <c r="G109" s="2"/>
      <c r="H109" s="2"/>
      <c r="I109" s="2"/>
      <c r="J109" s="244"/>
      <c r="K109" s="244"/>
      <c r="L109" s="244"/>
      <c r="M109" s="3"/>
      <c r="N109" s="3"/>
      <c r="S109" s="3"/>
      <c r="T109" s="3"/>
    </row>
    <row r="110" spans="1:20" s="64" customFormat="1" ht="19.899999999999999" customHeight="1">
      <c r="A110" s="246">
        <f>A102+1</f>
        <v>16</v>
      </c>
      <c r="B110" s="83" t="s">
        <v>3100</v>
      </c>
      <c r="C110" s="76" t="s">
        <v>121</v>
      </c>
      <c r="D110" s="73"/>
      <c r="E110" s="74"/>
      <c r="F110" s="75">
        <f>ROUND(SUM(F111:F117),0)</f>
        <v>90988</v>
      </c>
      <c r="G110" s="2"/>
      <c r="H110" s="2"/>
      <c r="I110" s="2"/>
      <c r="J110" s="244"/>
      <c r="K110" s="244"/>
      <c r="L110" s="244"/>
      <c r="M110" s="3"/>
      <c r="N110" s="3"/>
      <c r="S110" s="3"/>
      <c r="T110" s="3"/>
    </row>
    <row r="111" spans="1:20" s="64" customFormat="1">
      <c r="A111" s="529"/>
      <c r="B111" s="165" t="s">
        <v>543</v>
      </c>
      <c r="C111" s="77" t="s">
        <v>121</v>
      </c>
      <c r="D111" s="78">
        <v>1.3</v>
      </c>
      <c r="E111" s="343">
        <f>BASICOS!D16</f>
        <v>36890</v>
      </c>
      <c r="F111" s="79">
        <f t="shared" ref="F111:F117" si="2">+D111*E111</f>
        <v>47957</v>
      </c>
      <c r="G111" s="2"/>
      <c r="H111" s="2"/>
      <c r="I111" s="2"/>
      <c r="J111" s="244"/>
      <c r="K111" s="244"/>
      <c r="L111" s="244"/>
      <c r="M111" s="3"/>
      <c r="N111" s="3"/>
      <c r="S111" s="3"/>
      <c r="T111" s="3"/>
    </row>
    <row r="112" spans="1:20" s="64" customFormat="1">
      <c r="A112" s="529"/>
      <c r="B112" s="165" t="s">
        <v>136</v>
      </c>
      <c r="C112" s="77" t="s">
        <v>2431</v>
      </c>
      <c r="D112" s="78">
        <v>20</v>
      </c>
      <c r="E112" s="79">
        <f>+INSUMOS!D23</f>
        <v>1094.8912</v>
      </c>
      <c r="F112" s="79">
        <f t="shared" si="2"/>
        <v>21897.824000000001</v>
      </c>
      <c r="G112" s="2"/>
      <c r="H112" s="2"/>
      <c r="I112" s="2"/>
      <c r="J112" s="244"/>
      <c r="K112" s="244"/>
      <c r="L112" s="244"/>
      <c r="M112" s="3"/>
      <c r="N112" s="3"/>
      <c r="S112" s="3"/>
      <c r="T112" s="3"/>
    </row>
    <row r="113" spans="1:20" s="64" customFormat="1" ht="25.5">
      <c r="A113" s="529"/>
      <c r="B113" s="165" t="s">
        <v>3101</v>
      </c>
      <c r="C113" s="77" t="s">
        <v>8</v>
      </c>
      <c r="D113" s="78">
        <v>60</v>
      </c>
      <c r="E113" s="79">
        <f>+INSUMOS!D29</f>
        <v>182992.44</v>
      </c>
      <c r="F113" s="79">
        <f>E113/D113</f>
        <v>3049.8740000000003</v>
      </c>
      <c r="G113" s="2"/>
      <c r="H113" s="2"/>
      <c r="I113" s="2"/>
      <c r="J113" s="244"/>
      <c r="K113" s="244"/>
      <c r="L113" s="244"/>
      <c r="M113" s="3"/>
      <c r="N113" s="3"/>
      <c r="S113" s="3"/>
      <c r="T113" s="3"/>
    </row>
    <row r="114" spans="1:20" s="64" customFormat="1">
      <c r="A114" s="529"/>
      <c r="B114" s="165" t="s">
        <v>692</v>
      </c>
      <c r="C114" s="77" t="s">
        <v>8</v>
      </c>
      <c r="D114" s="78">
        <v>45</v>
      </c>
      <c r="E114" s="79">
        <f>+INSUMOS!D38</f>
        <v>71700</v>
      </c>
      <c r="F114" s="79">
        <f>E114/D114</f>
        <v>1593.3333333333333</v>
      </c>
      <c r="G114" s="2"/>
      <c r="H114" s="2"/>
      <c r="I114" s="2"/>
      <c r="J114" s="244"/>
      <c r="K114" s="244"/>
      <c r="L114" s="244"/>
      <c r="M114" s="3"/>
      <c r="N114" s="3"/>
      <c r="S114" s="3"/>
      <c r="T114" s="3"/>
    </row>
    <row r="115" spans="1:20" s="64" customFormat="1">
      <c r="A115" s="529"/>
      <c r="B115" s="165" t="s">
        <v>151</v>
      </c>
      <c r="C115" s="77" t="s">
        <v>8</v>
      </c>
      <c r="D115" s="78">
        <v>45</v>
      </c>
      <c r="E115" s="79">
        <f>+INSUMOS!D25</f>
        <v>136408.60999999999</v>
      </c>
      <c r="F115" s="79">
        <f>E115/D115</f>
        <v>3031.3024444444441</v>
      </c>
      <c r="G115" s="2"/>
      <c r="H115" s="2"/>
      <c r="I115" s="2"/>
      <c r="J115" s="244"/>
      <c r="K115" s="244"/>
      <c r="L115" s="244"/>
      <c r="M115" s="3"/>
      <c r="N115" s="3"/>
      <c r="S115" s="3"/>
      <c r="T115" s="3"/>
    </row>
    <row r="116" spans="1:20" s="64" customFormat="1">
      <c r="A116" s="529"/>
      <c r="B116" s="165" t="s">
        <v>11</v>
      </c>
      <c r="C116" s="77" t="s">
        <v>284</v>
      </c>
      <c r="D116" s="78">
        <v>0.03</v>
      </c>
      <c r="E116" s="79">
        <f>F117</f>
        <v>13067.148997356166</v>
      </c>
      <c r="F116" s="79">
        <f t="shared" si="2"/>
        <v>392.01446992068497</v>
      </c>
      <c r="G116" s="2"/>
      <c r="H116" s="2"/>
      <c r="I116" s="2"/>
      <c r="J116" s="244"/>
      <c r="K116" s="244"/>
      <c r="L116" s="244"/>
      <c r="M116" s="3"/>
      <c r="N116" s="3"/>
      <c r="S116" s="3"/>
      <c r="T116" s="3"/>
    </row>
    <row r="117" spans="1:20" s="64" customFormat="1">
      <c r="A117" s="529"/>
      <c r="B117" s="165" t="s">
        <v>9</v>
      </c>
      <c r="C117" s="77" t="s">
        <v>10</v>
      </c>
      <c r="D117" s="78">
        <v>0.5</v>
      </c>
      <c r="E117" s="79">
        <f>+'VALOR CUADRILLAS MO'!D75</f>
        <v>26134.297994712331</v>
      </c>
      <c r="F117" s="79">
        <f t="shared" si="2"/>
        <v>13067.148997356166</v>
      </c>
      <c r="G117" s="2"/>
      <c r="H117" s="2"/>
      <c r="I117" s="2"/>
      <c r="J117" s="244"/>
      <c r="K117" s="244"/>
      <c r="L117" s="244"/>
      <c r="M117" s="3"/>
      <c r="N117" s="3"/>
      <c r="S117" s="3"/>
      <c r="T117" s="3"/>
    </row>
    <row r="118" spans="1:20" s="64" customFormat="1">
      <c r="A118" s="531"/>
      <c r="B118" s="165"/>
      <c r="C118" s="77"/>
      <c r="D118" s="78"/>
      <c r="E118" s="79"/>
      <c r="F118" s="79"/>
      <c r="G118" s="2"/>
      <c r="H118" s="2"/>
      <c r="I118" s="2"/>
      <c r="J118" s="244"/>
      <c r="K118" s="244"/>
      <c r="L118" s="244"/>
      <c r="M118" s="3"/>
      <c r="N118" s="3"/>
      <c r="S118" s="3"/>
      <c r="T118" s="3"/>
    </row>
    <row r="119" spans="1:20" s="244" customFormat="1" ht="19.899999999999999" customHeight="1">
      <c r="A119" s="453" t="s">
        <v>397</v>
      </c>
      <c r="B119" s="454" t="s">
        <v>2736</v>
      </c>
      <c r="C119" s="455"/>
      <c r="D119" s="456"/>
      <c r="E119" s="457"/>
      <c r="F119" s="457"/>
      <c r="G119" s="245"/>
      <c r="H119" s="2"/>
      <c r="I119" s="2"/>
      <c r="M119" s="3"/>
      <c r="N119" s="3"/>
      <c r="O119" s="64"/>
      <c r="P119" s="64"/>
      <c r="Q119" s="64"/>
      <c r="R119" s="64"/>
      <c r="S119" s="3"/>
      <c r="T119" s="3"/>
    </row>
    <row r="120" spans="1:20" s="244" customFormat="1" ht="19.899999999999999" customHeight="1">
      <c r="A120" s="246">
        <f>A110+1</f>
        <v>17</v>
      </c>
      <c r="B120" s="83" t="s">
        <v>62</v>
      </c>
      <c r="C120" s="76" t="s">
        <v>121</v>
      </c>
      <c r="D120" s="73"/>
      <c r="E120" s="74"/>
      <c r="F120" s="75">
        <f>ROUND(SUM(F121:F122),0)</f>
        <v>20551</v>
      </c>
      <c r="G120" s="2"/>
      <c r="H120" s="2"/>
      <c r="I120" s="59"/>
      <c r="M120" s="3"/>
      <c r="N120" s="3"/>
      <c r="O120" s="64"/>
      <c r="P120" s="64"/>
      <c r="Q120" s="64"/>
      <c r="R120" s="64"/>
      <c r="S120" s="3"/>
      <c r="T120" s="3"/>
    </row>
    <row r="121" spans="1:20" s="244" customFormat="1">
      <c r="A121" s="531"/>
      <c r="B121" s="165" t="s">
        <v>27</v>
      </c>
      <c r="C121" s="77" t="s">
        <v>20</v>
      </c>
      <c r="D121" s="78">
        <v>0.17</v>
      </c>
      <c r="E121" s="79">
        <f>+INSUMOS!D31</f>
        <v>120000</v>
      </c>
      <c r="F121" s="79">
        <f>+D121*E121</f>
        <v>20400</v>
      </c>
      <c r="G121" s="2"/>
      <c r="H121" s="2"/>
      <c r="I121" s="2"/>
      <c r="M121" s="3"/>
      <c r="N121" s="3"/>
      <c r="O121" s="64"/>
      <c r="P121" s="64"/>
      <c r="Q121" s="64"/>
      <c r="R121" s="64"/>
      <c r="S121" s="3"/>
      <c r="T121" s="3"/>
    </row>
    <row r="122" spans="1:20" s="244" customFormat="1" ht="25.5">
      <c r="A122" s="529"/>
      <c r="B122" s="165" t="str">
        <f>+INSUMOS!B32</f>
        <v>CARGADOR : POTENCIA EN EL VOLANTE 110 HP, CLASIFICACIÓN DE RPM DEL MOTOR 2300.</v>
      </c>
      <c r="C122" s="77" t="s">
        <v>8</v>
      </c>
      <c r="D122" s="81">
        <v>1.0000000000000002E-3</v>
      </c>
      <c r="E122" s="79">
        <f>+INSUMOS!D32</f>
        <v>151027.54</v>
      </c>
      <c r="F122" s="79">
        <f>+D122*E122</f>
        <v>151.02754000000004</v>
      </c>
      <c r="G122" s="2"/>
      <c r="H122" s="2"/>
      <c r="I122" s="2"/>
      <c r="M122" s="3"/>
      <c r="N122" s="3"/>
      <c r="O122" s="64"/>
      <c r="P122" s="64"/>
      <c r="Q122" s="64"/>
      <c r="R122" s="64"/>
      <c r="S122" s="3"/>
      <c r="T122" s="3"/>
    </row>
    <row r="123" spans="1:20" s="244" customFormat="1">
      <c r="A123" s="531"/>
      <c r="B123" s="165"/>
      <c r="C123" s="77"/>
      <c r="D123" s="78"/>
      <c r="E123" s="79"/>
      <c r="F123" s="79"/>
      <c r="G123" s="2"/>
      <c r="H123" s="2"/>
      <c r="I123" s="2"/>
      <c r="M123" s="3"/>
      <c r="N123" s="3"/>
      <c r="O123" s="64"/>
      <c r="P123" s="64"/>
      <c r="Q123" s="64"/>
      <c r="R123" s="64"/>
      <c r="S123" s="3"/>
      <c r="T123" s="3"/>
    </row>
    <row r="124" spans="1:20" s="244" customFormat="1" ht="21.75" customHeight="1">
      <c r="A124" s="246">
        <f>A120+1</f>
        <v>18</v>
      </c>
      <c r="B124" s="83" t="s">
        <v>628</v>
      </c>
      <c r="C124" s="76" t="s">
        <v>121</v>
      </c>
      <c r="D124" s="73"/>
      <c r="E124" s="74"/>
      <c r="F124" s="75">
        <f>ROUND(SUM(F125:F126),0)</f>
        <v>53837</v>
      </c>
      <c r="G124" s="2"/>
      <c r="H124" s="247"/>
      <c r="I124" s="2"/>
      <c r="M124" s="3"/>
      <c r="N124" s="3"/>
      <c r="O124" s="64"/>
      <c r="P124" s="64"/>
      <c r="Q124" s="64"/>
      <c r="R124" s="64"/>
      <c r="S124" s="3"/>
      <c r="T124" s="3"/>
    </row>
    <row r="125" spans="1:20" s="244" customFormat="1">
      <c r="A125" s="531"/>
      <c r="B125" s="165" t="s">
        <v>11</v>
      </c>
      <c r="C125" s="77" t="s">
        <v>284</v>
      </c>
      <c r="D125" s="78">
        <v>0.03</v>
      </c>
      <c r="E125" s="79">
        <f>+F126</f>
        <v>52268.595989424663</v>
      </c>
      <c r="F125" s="79">
        <f>(D125*E125)</f>
        <v>1568.0578796827399</v>
      </c>
      <c r="G125" s="2"/>
      <c r="H125" s="247"/>
      <c r="I125" s="2"/>
      <c r="M125" s="3"/>
      <c r="N125" s="3"/>
      <c r="O125" s="64"/>
      <c r="P125" s="64"/>
      <c r="Q125" s="64"/>
      <c r="R125" s="64"/>
      <c r="S125" s="3"/>
      <c r="T125" s="3"/>
    </row>
    <row r="126" spans="1:20" s="244" customFormat="1">
      <c r="A126" s="529"/>
      <c r="B126" s="165" t="s">
        <v>9</v>
      </c>
      <c r="C126" s="77" t="s">
        <v>10</v>
      </c>
      <c r="D126" s="78">
        <v>2</v>
      </c>
      <c r="E126" s="79">
        <f>+'VALOR CUADRILLAS MO'!D75</f>
        <v>26134.297994712331</v>
      </c>
      <c r="F126" s="79">
        <f>+D126*E126</f>
        <v>52268.595989424663</v>
      </c>
      <c r="G126" s="2"/>
      <c r="H126" s="247"/>
      <c r="I126" s="2"/>
      <c r="M126" s="3"/>
      <c r="N126" s="3"/>
      <c r="O126" s="64"/>
      <c r="P126" s="64"/>
      <c r="Q126" s="64"/>
      <c r="R126" s="64"/>
      <c r="S126" s="3"/>
      <c r="T126" s="3"/>
    </row>
    <row r="127" spans="1:20" s="244" customFormat="1">
      <c r="A127" s="531"/>
      <c r="B127" s="165"/>
      <c r="C127" s="77"/>
      <c r="D127" s="78"/>
      <c r="E127" s="79"/>
      <c r="F127" s="79"/>
      <c r="G127" s="2"/>
      <c r="H127" s="247"/>
      <c r="I127" s="2"/>
      <c r="M127" s="3"/>
      <c r="N127" s="3"/>
      <c r="O127" s="64"/>
      <c r="P127" s="64"/>
      <c r="Q127" s="64"/>
      <c r="R127" s="64"/>
      <c r="S127" s="3"/>
      <c r="T127" s="3"/>
    </row>
    <row r="128" spans="1:20" s="2" customFormat="1" ht="30" customHeight="1">
      <c r="A128" s="246">
        <f>A124+1</f>
        <v>19</v>
      </c>
      <c r="B128" s="83" t="s">
        <v>59</v>
      </c>
      <c r="C128" s="76" t="s">
        <v>713</v>
      </c>
      <c r="D128" s="73"/>
      <c r="E128" s="74"/>
      <c r="F128" s="75">
        <f>ROUND(SUM(F129),0)</f>
        <v>1100</v>
      </c>
      <c r="J128" s="244"/>
      <c r="K128" s="244"/>
      <c r="L128" s="244"/>
      <c r="M128" s="3"/>
      <c r="N128" s="3"/>
      <c r="O128" s="64"/>
      <c r="P128" s="64"/>
      <c r="Q128" s="64"/>
      <c r="R128" s="64"/>
      <c r="S128" s="3"/>
      <c r="T128" s="3"/>
    </row>
    <row r="129" spans="1:20" s="2" customFormat="1">
      <c r="A129" s="529"/>
      <c r="B129" s="165" t="s">
        <v>27</v>
      </c>
      <c r="C129" s="77" t="s">
        <v>20</v>
      </c>
      <c r="D129" s="80">
        <v>9.1633333333333341E-3</v>
      </c>
      <c r="E129" s="79">
        <f>+INSUMOS!D31</f>
        <v>120000</v>
      </c>
      <c r="F129" s="79">
        <f>+D129*E129</f>
        <v>1099.6000000000001</v>
      </c>
      <c r="J129" s="244"/>
      <c r="K129" s="244"/>
      <c r="L129" s="244"/>
      <c r="M129" s="3"/>
      <c r="N129" s="3"/>
      <c r="O129" s="64"/>
      <c r="P129" s="64"/>
      <c r="Q129" s="64"/>
      <c r="R129" s="64"/>
      <c r="S129" s="3"/>
      <c r="T129" s="3"/>
    </row>
    <row r="130" spans="1:20" s="2" customFormat="1">
      <c r="A130" s="529"/>
      <c r="B130" s="165"/>
      <c r="C130" s="77"/>
      <c r="D130" s="80"/>
      <c r="E130" s="79"/>
      <c r="F130" s="79"/>
      <c r="J130" s="244"/>
      <c r="K130" s="244"/>
      <c r="L130" s="244"/>
      <c r="M130" s="3"/>
      <c r="N130" s="3"/>
      <c r="O130" s="64"/>
      <c r="P130" s="64"/>
      <c r="Q130" s="64"/>
      <c r="R130" s="64"/>
      <c r="S130" s="3"/>
      <c r="T130" s="3"/>
    </row>
    <row r="131" spans="1:20" s="2" customFormat="1" ht="31.9" customHeight="1">
      <c r="A131" s="246">
        <f>+A128+1</f>
        <v>20</v>
      </c>
      <c r="B131" s="83" t="s">
        <v>682</v>
      </c>
      <c r="C131" s="76" t="s">
        <v>121</v>
      </c>
      <c r="D131" s="73"/>
      <c r="E131" s="74"/>
      <c r="F131" s="75">
        <f>ROUND(SUM(F132:F133),0)</f>
        <v>12348</v>
      </c>
      <c r="J131" s="244"/>
      <c r="K131" s="244"/>
      <c r="L131" s="244"/>
      <c r="M131" s="3"/>
      <c r="N131" s="3"/>
      <c r="O131" s="64"/>
      <c r="P131" s="64"/>
      <c r="Q131" s="64"/>
      <c r="R131" s="64"/>
      <c r="S131" s="3"/>
      <c r="T131" s="3"/>
    </row>
    <row r="132" spans="1:20" s="2" customFormat="1">
      <c r="A132" s="531"/>
      <c r="B132" s="165" t="s">
        <v>11</v>
      </c>
      <c r="C132" s="77" t="s">
        <v>284</v>
      </c>
      <c r="D132" s="78">
        <v>0.05</v>
      </c>
      <c r="E132" s="79">
        <f>+F133</f>
        <v>11760.434097620549</v>
      </c>
      <c r="F132" s="79">
        <f>(D132*E132)</f>
        <v>588.02170488102752</v>
      </c>
      <c r="J132" s="244"/>
      <c r="K132" s="244"/>
      <c r="L132" s="244"/>
      <c r="M132" s="3"/>
      <c r="N132" s="3"/>
      <c r="O132" s="64"/>
      <c r="P132" s="64"/>
      <c r="Q132" s="64"/>
      <c r="R132" s="64"/>
      <c r="S132" s="3"/>
      <c r="T132" s="3"/>
    </row>
    <row r="133" spans="1:20" s="2" customFormat="1">
      <c r="A133" s="529"/>
      <c r="B133" s="165" t="s">
        <v>9</v>
      </c>
      <c r="C133" s="77" t="s">
        <v>10</v>
      </c>
      <c r="D133" s="78">
        <f>0.45</f>
        <v>0.45</v>
      </c>
      <c r="E133" s="79">
        <f>+'VALOR CUADRILLAS MO'!D75</f>
        <v>26134.297994712331</v>
      </c>
      <c r="F133" s="79">
        <f>+D133*E133</f>
        <v>11760.434097620549</v>
      </c>
      <c r="J133" s="244"/>
      <c r="K133" s="244"/>
      <c r="L133" s="244"/>
      <c r="M133" s="3"/>
      <c r="N133" s="3"/>
      <c r="O133" s="64"/>
      <c r="P133" s="64"/>
      <c r="Q133" s="64"/>
      <c r="R133" s="64"/>
      <c r="S133" s="3"/>
      <c r="T133" s="3"/>
    </row>
    <row r="134" spans="1:20" s="2" customFormat="1">
      <c r="A134" s="531"/>
      <c r="B134" s="165"/>
      <c r="C134" s="77"/>
      <c r="D134" s="80"/>
      <c r="E134" s="79"/>
      <c r="F134" s="79"/>
      <c r="J134" s="244"/>
      <c r="K134" s="244"/>
      <c r="L134" s="244"/>
      <c r="M134" s="3"/>
      <c r="N134" s="3"/>
      <c r="O134" s="64"/>
      <c r="P134" s="64"/>
      <c r="Q134" s="64"/>
      <c r="R134" s="64"/>
      <c r="S134" s="3"/>
      <c r="T134" s="3"/>
    </row>
    <row r="135" spans="1:20" s="2" customFormat="1" ht="36.6" customHeight="1">
      <c r="A135" s="246">
        <f>A131+1</f>
        <v>21</v>
      </c>
      <c r="B135" s="83" t="s">
        <v>514</v>
      </c>
      <c r="C135" s="76" t="s">
        <v>21</v>
      </c>
      <c r="D135" s="73"/>
      <c r="E135" s="74"/>
      <c r="F135" s="75" t="e">
        <f>ROUND(SUM(F136:F141),0)</f>
        <v>#REF!</v>
      </c>
      <c r="J135" s="244"/>
      <c r="K135" s="244"/>
      <c r="L135" s="244"/>
      <c r="M135" s="3"/>
      <c r="N135" s="3"/>
      <c r="O135" s="64"/>
      <c r="P135" s="64"/>
      <c r="Q135" s="64"/>
      <c r="R135" s="64"/>
      <c r="S135" s="3"/>
      <c r="T135" s="3"/>
    </row>
    <row r="136" spans="1:20" s="2" customFormat="1">
      <c r="A136" s="529"/>
      <c r="B136" s="165" t="s">
        <v>515</v>
      </c>
      <c r="C136" s="77" t="s">
        <v>21</v>
      </c>
      <c r="D136" s="78">
        <v>3</v>
      </c>
      <c r="E136" s="79">
        <f>INSUMOS!D26</f>
        <v>112.76</v>
      </c>
      <c r="F136" s="79">
        <f>+D136*E136</f>
        <v>338.28000000000003</v>
      </c>
      <c r="J136" s="244"/>
      <c r="K136" s="244"/>
      <c r="L136" s="244"/>
      <c r="M136" s="3"/>
      <c r="N136" s="3"/>
      <c r="O136" s="64"/>
      <c r="P136" s="64"/>
      <c r="Q136" s="64"/>
      <c r="R136" s="64"/>
      <c r="S136" s="3"/>
      <c r="T136" s="3"/>
    </row>
    <row r="137" spans="1:20" s="2" customFormat="1">
      <c r="A137" s="529"/>
      <c r="B137" s="165" t="s">
        <v>229</v>
      </c>
      <c r="C137" s="77" t="s">
        <v>68</v>
      </c>
      <c r="D137" s="78">
        <v>0.05</v>
      </c>
      <c r="E137" s="79">
        <f>F136</f>
        <v>338.28000000000003</v>
      </c>
      <c r="F137" s="79">
        <f>+D137*E137</f>
        <v>16.914000000000001</v>
      </c>
      <c r="J137" s="244"/>
      <c r="K137" s="244"/>
      <c r="L137" s="244"/>
      <c r="M137" s="3"/>
      <c r="N137" s="3"/>
      <c r="O137" s="64"/>
      <c r="P137" s="64"/>
      <c r="Q137" s="64"/>
      <c r="R137" s="64"/>
      <c r="S137" s="3"/>
      <c r="T137" s="3"/>
    </row>
    <row r="138" spans="1:20" s="2" customFormat="1">
      <c r="A138" s="529"/>
      <c r="B138" s="165" t="s">
        <v>516</v>
      </c>
      <c r="C138" s="77" t="s">
        <v>26</v>
      </c>
      <c r="D138" s="78">
        <v>0.12</v>
      </c>
      <c r="E138" s="79" t="e">
        <f>INSUMOS!#REF!</f>
        <v>#REF!</v>
      </c>
      <c r="F138" s="79" t="e">
        <f>+D138*E138</f>
        <v>#REF!</v>
      </c>
      <c r="J138" s="244"/>
      <c r="K138" s="244"/>
      <c r="L138" s="244"/>
      <c r="M138" s="3"/>
      <c r="N138" s="3"/>
      <c r="O138" s="64"/>
      <c r="P138" s="64"/>
      <c r="Q138" s="64"/>
      <c r="R138" s="64"/>
      <c r="S138" s="3"/>
      <c r="T138" s="3"/>
    </row>
    <row r="139" spans="1:20" s="2" customFormat="1">
      <c r="A139" s="529"/>
      <c r="B139" s="165" t="s">
        <v>136</v>
      </c>
      <c r="C139" s="77" t="s">
        <v>68</v>
      </c>
      <c r="D139" s="78"/>
      <c r="E139" s="79" t="e">
        <f>SUM(F136:F138)</f>
        <v>#REF!</v>
      </c>
      <c r="F139" s="79" t="e">
        <f>+D139*E139</f>
        <v>#REF!</v>
      </c>
      <c r="J139" s="244"/>
      <c r="K139" s="244"/>
      <c r="L139" s="244"/>
      <c r="M139" s="3"/>
      <c r="N139" s="3"/>
      <c r="O139" s="64"/>
      <c r="P139" s="64"/>
      <c r="Q139" s="64"/>
      <c r="R139" s="64"/>
      <c r="S139" s="3"/>
      <c r="T139" s="3"/>
    </row>
    <row r="140" spans="1:20" s="2" customFormat="1">
      <c r="A140" s="529"/>
      <c r="B140" s="165" t="s">
        <v>11</v>
      </c>
      <c r="C140" s="77" t="s">
        <v>284</v>
      </c>
      <c r="D140" s="78">
        <v>0.03</v>
      </c>
      <c r="E140" s="79">
        <f>+F141</f>
        <v>261.3429799471233</v>
      </c>
      <c r="F140" s="79">
        <f>(D140*E140)</f>
        <v>7.8402893984136988</v>
      </c>
      <c r="J140" s="244"/>
      <c r="K140" s="244"/>
      <c r="L140" s="244"/>
      <c r="M140" s="3"/>
      <c r="N140" s="3"/>
      <c r="O140" s="64"/>
      <c r="P140" s="64"/>
      <c r="Q140" s="64"/>
      <c r="R140" s="64"/>
      <c r="S140" s="3"/>
      <c r="T140" s="3"/>
    </row>
    <row r="141" spans="1:20" s="2" customFormat="1">
      <c r="A141" s="529"/>
      <c r="B141" s="165" t="s">
        <v>9</v>
      </c>
      <c r="C141" s="77" t="s">
        <v>10</v>
      </c>
      <c r="D141" s="78">
        <v>0.01</v>
      </c>
      <c r="E141" s="79">
        <f>+'VALOR CUADRILLAS MO'!D75</f>
        <v>26134.297994712331</v>
      </c>
      <c r="F141" s="79">
        <f>+D141*E141</f>
        <v>261.3429799471233</v>
      </c>
      <c r="J141" s="244"/>
      <c r="K141" s="244"/>
      <c r="L141" s="244"/>
      <c r="M141" s="3"/>
      <c r="N141" s="3"/>
      <c r="O141" s="64"/>
      <c r="P141" s="64"/>
      <c r="Q141" s="64"/>
      <c r="R141" s="64"/>
      <c r="S141" s="3"/>
      <c r="T141" s="3"/>
    </row>
    <row r="142" spans="1:20" s="2" customFormat="1">
      <c r="A142" s="529"/>
      <c r="B142" s="165"/>
      <c r="C142" s="77"/>
      <c r="D142" s="78"/>
      <c r="E142" s="79"/>
      <c r="F142" s="79"/>
      <c r="J142" s="244"/>
      <c r="K142" s="244"/>
      <c r="L142" s="244"/>
      <c r="M142" s="3"/>
      <c r="N142" s="3"/>
      <c r="O142" s="64"/>
      <c r="P142" s="64"/>
      <c r="Q142" s="64"/>
      <c r="R142" s="64"/>
      <c r="S142" s="3"/>
      <c r="T142" s="3"/>
    </row>
    <row r="143" spans="1:20" s="2" customFormat="1" ht="23.45" customHeight="1">
      <c r="A143" s="246">
        <f>+A135+1</f>
        <v>22</v>
      </c>
      <c r="B143" s="83" t="s">
        <v>440</v>
      </c>
      <c r="C143" s="76" t="s">
        <v>21</v>
      </c>
      <c r="D143" s="73"/>
      <c r="E143" s="74"/>
      <c r="F143" s="75" t="e">
        <f>ROUND(SUM(F144:F149),0)</f>
        <v>#REF!</v>
      </c>
      <c r="J143" s="244"/>
      <c r="K143" s="244"/>
      <c r="L143" s="244"/>
      <c r="M143" s="3"/>
      <c r="N143" s="3"/>
      <c r="O143" s="64"/>
      <c r="P143" s="64"/>
      <c r="Q143" s="64"/>
      <c r="R143" s="64"/>
      <c r="S143" s="3"/>
      <c r="T143" s="3"/>
    </row>
    <row r="144" spans="1:20" s="2" customFormat="1">
      <c r="A144" s="529"/>
      <c r="B144" s="384" t="s">
        <v>522</v>
      </c>
      <c r="C144" s="77" t="s">
        <v>26</v>
      </c>
      <c r="D144" s="78">
        <v>1.1075158363293956E-2</v>
      </c>
      <c r="E144" s="79" t="e">
        <f>+INSUMOS!#REF!</f>
        <v>#REF!</v>
      </c>
      <c r="F144" s="79" t="e">
        <f>+D144*E144</f>
        <v>#REF!</v>
      </c>
      <c r="J144" s="244"/>
      <c r="K144" s="244"/>
      <c r="L144" s="244"/>
      <c r="M144" s="3"/>
      <c r="N144" s="3"/>
      <c r="O144" s="64"/>
      <c r="P144" s="64"/>
      <c r="Q144" s="64"/>
      <c r="R144" s="64"/>
      <c r="S144" s="3"/>
      <c r="T144" s="3"/>
    </row>
    <row r="145" spans="1:20" s="2" customFormat="1">
      <c r="A145" s="529"/>
      <c r="B145" s="165" t="s">
        <v>515</v>
      </c>
      <c r="C145" s="77" t="s">
        <v>21</v>
      </c>
      <c r="D145" s="78">
        <v>3</v>
      </c>
      <c r="E145" s="79">
        <f>INSUMOS!D26</f>
        <v>112.76</v>
      </c>
      <c r="F145" s="79">
        <f>+D145*E145</f>
        <v>338.28000000000003</v>
      </c>
      <c r="J145" s="244"/>
      <c r="K145" s="244"/>
      <c r="L145" s="244"/>
      <c r="M145" s="3"/>
      <c r="N145" s="3"/>
      <c r="O145" s="64"/>
      <c r="P145" s="64"/>
      <c r="Q145" s="64"/>
      <c r="R145" s="64"/>
      <c r="S145" s="3"/>
      <c r="T145" s="3"/>
    </row>
    <row r="146" spans="1:20" s="2" customFormat="1">
      <c r="A146" s="529"/>
      <c r="B146" s="165" t="s">
        <v>229</v>
      </c>
      <c r="C146" s="77" t="s">
        <v>68</v>
      </c>
      <c r="D146" s="78">
        <v>0.05</v>
      </c>
      <c r="E146" s="79">
        <f>F145</f>
        <v>338.28000000000003</v>
      </c>
      <c r="F146" s="79">
        <f>+D146*E146</f>
        <v>16.914000000000001</v>
      </c>
      <c r="J146" s="244"/>
      <c r="K146" s="244"/>
      <c r="L146" s="244"/>
      <c r="M146" s="3"/>
      <c r="N146" s="3"/>
      <c r="O146" s="64"/>
      <c r="P146" s="64"/>
      <c r="Q146" s="64"/>
      <c r="R146" s="64"/>
      <c r="S146" s="3"/>
      <c r="T146" s="3"/>
    </row>
    <row r="147" spans="1:20">
      <c r="A147" s="529"/>
      <c r="B147" s="165" t="s">
        <v>136</v>
      </c>
      <c r="C147" s="77" t="s">
        <v>68</v>
      </c>
      <c r="D147" s="78"/>
      <c r="E147" s="79" t="e">
        <f>SUM(F144:F145)</f>
        <v>#REF!</v>
      </c>
      <c r="F147" s="79" t="e">
        <f>+D147*E147</f>
        <v>#REF!</v>
      </c>
    </row>
    <row r="148" spans="1:20">
      <c r="A148" s="529"/>
      <c r="B148" s="165" t="s">
        <v>11</v>
      </c>
      <c r="C148" s="77" t="s">
        <v>284</v>
      </c>
      <c r="D148" s="78">
        <v>0.03</v>
      </c>
      <c r="E148" s="79">
        <f>+F149</f>
        <v>182.94008596298633</v>
      </c>
      <c r="F148" s="79">
        <f>(D148*E148)</f>
        <v>5.4882025788895898</v>
      </c>
    </row>
    <row r="149" spans="1:20">
      <c r="A149" s="529"/>
      <c r="B149" s="165" t="s">
        <v>9</v>
      </c>
      <c r="C149" s="77" t="s">
        <v>10</v>
      </c>
      <c r="D149" s="80">
        <v>7.0000000000000001E-3</v>
      </c>
      <c r="E149" s="79">
        <f>+'VALOR CUADRILLAS MO'!D75</f>
        <v>26134.297994712331</v>
      </c>
      <c r="F149" s="79">
        <f>+D149*E149</f>
        <v>182.94008596298633</v>
      </c>
    </row>
    <row r="150" spans="1:20">
      <c r="A150" s="529"/>
      <c r="B150" s="165"/>
      <c r="C150" s="77"/>
      <c r="D150" s="80"/>
      <c r="E150" s="79"/>
      <c r="F150" s="79"/>
    </row>
    <row r="151" spans="1:20" ht="19.899999999999999" customHeight="1">
      <c r="A151" s="453" t="s">
        <v>398</v>
      </c>
      <c r="B151" s="454" t="s">
        <v>280</v>
      </c>
      <c r="C151" s="455"/>
      <c r="D151" s="456"/>
      <c r="E151" s="457"/>
      <c r="F151" s="457"/>
      <c r="G151" s="245"/>
    </row>
    <row r="152" spans="1:20" s="64" customFormat="1" ht="19.899999999999999" customHeight="1">
      <c r="A152" s="246">
        <f>A143+1</f>
        <v>23</v>
      </c>
      <c r="B152" s="83" t="s">
        <v>2874</v>
      </c>
      <c r="C152" s="76" t="s">
        <v>121</v>
      </c>
      <c r="D152" s="73"/>
      <c r="E152" s="74"/>
      <c r="F152" s="75">
        <f>ROUND(SUM(F153:F157),0)</f>
        <v>509326</v>
      </c>
      <c r="G152" s="2"/>
      <c r="H152" s="2"/>
      <c r="I152" s="2"/>
      <c r="J152" s="244"/>
      <c r="K152" s="244"/>
      <c r="L152" s="244"/>
      <c r="N152" s="428"/>
      <c r="S152" s="3"/>
      <c r="T152" s="3"/>
    </row>
    <row r="153" spans="1:20" s="64" customFormat="1">
      <c r="A153" s="529"/>
      <c r="B153" s="165" t="s">
        <v>2637</v>
      </c>
      <c r="C153" s="77" t="s">
        <v>121</v>
      </c>
      <c r="D153" s="78">
        <v>1</v>
      </c>
      <c r="E153" s="79">
        <f>+BASICOS!E156</f>
        <v>367144</v>
      </c>
      <c r="F153" s="79">
        <f>+D153*E153</f>
        <v>367144</v>
      </c>
      <c r="G153" s="2"/>
      <c r="H153" s="2"/>
      <c r="I153" s="2"/>
      <c r="J153" s="244"/>
      <c r="K153" s="244"/>
      <c r="L153" s="244"/>
      <c r="M153" s="3"/>
      <c r="N153" s="3"/>
      <c r="S153" s="3"/>
      <c r="T153" s="3"/>
    </row>
    <row r="154" spans="1:20" s="64" customFormat="1">
      <c r="A154" s="529"/>
      <c r="B154" s="165" t="s">
        <v>229</v>
      </c>
      <c r="C154" s="77" t="s">
        <v>68</v>
      </c>
      <c r="D154" s="78">
        <v>0.05</v>
      </c>
      <c r="E154" s="79">
        <f>SUM(F153)</f>
        <v>367144</v>
      </c>
      <c r="F154" s="79">
        <f>+D154*E154</f>
        <v>18357.2</v>
      </c>
      <c r="G154" s="2"/>
      <c r="H154" s="2"/>
      <c r="I154" s="2"/>
      <c r="J154" s="244"/>
      <c r="K154" s="244"/>
      <c r="L154" s="244"/>
      <c r="M154" s="3"/>
      <c r="N154" s="3"/>
      <c r="S154" s="3"/>
      <c r="T154" s="3"/>
    </row>
    <row r="155" spans="1:20" s="64" customFormat="1">
      <c r="A155" s="529"/>
      <c r="B155" s="165" t="s">
        <v>136</v>
      </c>
      <c r="C155" s="77" t="s">
        <v>68</v>
      </c>
      <c r="D155" s="78"/>
      <c r="E155" s="79">
        <f>SUM(F153:F154)</f>
        <v>385501.2</v>
      </c>
      <c r="F155" s="79">
        <f>+D155*E155</f>
        <v>0</v>
      </c>
      <c r="G155" s="2"/>
      <c r="H155" s="2"/>
      <c r="I155" s="2"/>
      <c r="J155" s="244"/>
      <c r="K155" s="244"/>
      <c r="L155" s="244"/>
      <c r="M155" s="3"/>
      <c r="N155" s="3"/>
      <c r="S155" s="3"/>
      <c r="T155" s="3"/>
    </row>
    <row r="156" spans="1:20" s="64" customFormat="1">
      <c r="A156" s="529"/>
      <c r="B156" s="165" t="s">
        <v>11</v>
      </c>
      <c r="C156" s="77" t="s">
        <v>284</v>
      </c>
      <c r="D156" s="78">
        <v>0.03</v>
      </c>
      <c r="E156" s="79">
        <f>+F157</f>
        <v>120217.77077567672</v>
      </c>
      <c r="F156" s="79">
        <f>(D156*E156)</f>
        <v>3606.5331232703015</v>
      </c>
      <c r="G156" s="2"/>
      <c r="H156" s="2"/>
      <c r="I156" s="2"/>
      <c r="J156" s="244"/>
      <c r="K156" s="244"/>
      <c r="L156" s="244"/>
      <c r="M156" s="3"/>
      <c r="N156" s="3"/>
      <c r="S156" s="3"/>
      <c r="T156" s="3"/>
    </row>
    <row r="157" spans="1:20" s="64" customFormat="1">
      <c r="A157" s="529"/>
      <c r="B157" s="165" t="s">
        <v>9</v>
      </c>
      <c r="C157" s="77" t="s">
        <v>10</v>
      </c>
      <c r="D157" s="78">
        <v>4.5999999999999996</v>
      </c>
      <c r="E157" s="79">
        <f>+'VALOR CUADRILLAS MO'!D75</f>
        <v>26134.297994712331</v>
      </c>
      <c r="F157" s="79">
        <f>+D157*E157</f>
        <v>120217.77077567672</v>
      </c>
      <c r="G157" s="2"/>
      <c r="H157" s="2"/>
      <c r="I157" s="2"/>
      <c r="J157" s="244"/>
      <c r="K157" s="244"/>
      <c r="L157" s="244"/>
      <c r="M157" s="3"/>
      <c r="N157" s="3"/>
      <c r="S157" s="3"/>
      <c r="T157" s="3"/>
    </row>
    <row r="158" spans="1:20" s="64" customFormat="1">
      <c r="A158" s="531"/>
      <c r="B158" s="165"/>
      <c r="C158" s="77"/>
      <c r="D158" s="78"/>
      <c r="E158" s="79"/>
      <c r="F158" s="79"/>
      <c r="G158" s="2"/>
      <c r="H158" s="2"/>
      <c r="I158" s="2"/>
      <c r="J158" s="244"/>
      <c r="K158" s="244"/>
      <c r="L158" s="244"/>
      <c r="M158" s="3"/>
      <c r="N158" s="3"/>
      <c r="S158" s="3"/>
      <c r="T158" s="3"/>
    </row>
    <row r="159" spans="1:20" s="2" customFormat="1" ht="19.899999999999999" customHeight="1">
      <c r="A159" s="530" t="s">
        <v>399</v>
      </c>
      <c r="B159" s="454" t="s">
        <v>2737</v>
      </c>
      <c r="C159" s="459"/>
      <c r="D159" s="460"/>
      <c r="E159" s="461"/>
      <c r="F159" s="461"/>
      <c r="J159" s="244"/>
      <c r="K159" s="244"/>
      <c r="L159" s="244"/>
      <c r="M159" s="3"/>
      <c r="N159" s="3"/>
      <c r="O159" s="64"/>
      <c r="P159" s="64"/>
      <c r="Q159" s="64"/>
      <c r="R159" s="64"/>
      <c r="S159" s="3"/>
      <c r="T159" s="3"/>
    </row>
    <row r="160" spans="1:20" s="2" customFormat="1" ht="32.450000000000003" customHeight="1">
      <c r="A160" s="246">
        <f>A152+1</f>
        <v>24</v>
      </c>
      <c r="B160" s="83" t="s">
        <v>3177</v>
      </c>
      <c r="C160" s="76" t="s">
        <v>119</v>
      </c>
      <c r="D160" s="73"/>
      <c r="E160" s="74"/>
      <c r="F160" s="75">
        <f>ROUND(SUM(F161:F166),0)</f>
        <v>40818</v>
      </c>
      <c r="J160" s="244"/>
      <c r="K160" s="244"/>
      <c r="L160" s="244"/>
      <c r="M160" s="3"/>
      <c r="N160" s="3"/>
      <c r="O160" s="64"/>
      <c r="P160" s="64"/>
      <c r="Q160" s="64"/>
      <c r="R160" s="64"/>
      <c r="S160" s="3"/>
      <c r="T160" s="3"/>
    </row>
    <row r="161" spans="1:20" s="2" customFormat="1">
      <c r="A161" s="529"/>
      <c r="B161" s="165" t="s">
        <v>2636</v>
      </c>
      <c r="C161" s="77" t="s">
        <v>121</v>
      </c>
      <c r="D161" s="78">
        <v>7.0000000000000007E-2</v>
      </c>
      <c r="E161" s="79">
        <f>+BASICOS!E146</f>
        <v>392821</v>
      </c>
      <c r="F161" s="79">
        <f>+D161*E161</f>
        <v>27497.47</v>
      </c>
      <c r="J161" s="244"/>
      <c r="K161" s="244"/>
      <c r="L161" s="244"/>
      <c r="M161" s="3"/>
      <c r="N161" s="3"/>
      <c r="O161" s="64"/>
      <c r="P161" s="64"/>
      <c r="Q161" s="64"/>
      <c r="R161" s="64"/>
      <c r="S161" s="3"/>
      <c r="T161" s="3"/>
    </row>
    <row r="162" spans="1:20" s="2" customFormat="1">
      <c r="A162" s="529"/>
      <c r="B162" s="165" t="s">
        <v>229</v>
      </c>
      <c r="C162" s="77" t="s">
        <v>68</v>
      </c>
      <c r="D162" s="78">
        <v>0.05</v>
      </c>
      <c r="E162" s="79">
        <f>SUM(F161:F161)</f>
        <v>27497.47</v>
      </c>
      <c r="F162" s="79">
        <f>+D162*E162</f>
        <v>1374.8735000000001</v>
      </c>
      <c r="J162" s="244"/>
      <c r="K162" s="244"/>
      <c r="L162" s="244"/>
      <c r="M162" s="3"/>
      <c r="N162" s="3"/>
      <c r="O162" s="64"/>
      <c r="P162" s="64"/>
      <c r="Q162" s="64"/>
      <c r="R162" s="64"/>
      <c r="S162" s="3"/>
      <c r="T162" s="3"/>
    </row>
    <row r="163" spans="1:20" s="2" customFormat="1">
      <c r="A163" s="529"/>
      <c r="B163" s="165" t="s">
        <v>136</v>
      </c>
      <c r="C163" s="77" t="s">
        <v>68</v>
      </c>
      <c r="D163" s="78"/>
      <c r="E163" s="79">
        <f>SUM(F161:F162)</f>
        <v>28872.343500000003</v>
      </c>
      <c r="F163" s="79">
        <f>+D163*E163</f>
        <v>0</v>
      </c>
      <c r="J163" s="244"/>
      <c r="K163" s="244"/>
      <c r="L163" s="244"/>
      <c r="M163" s="3"/>
      <c r="N163" s="3"/>
      <c r="O163" s="64"/>
      <c r="P163" s="64"/>
      <c r="Q163" s="64"/>
      <c r="R163" s="64"/>
      <c r="S163" s="3"/>
      <c r="T163" s="3"/>
    </row>
    <row r="164" spans="1:20" s="2" customFormat="1">
      <c r="A164" s="529"/>
      <c r="B164" s="165" t="s">
        <v>263</v>
      </c>
      <c r="C164" s="77" t="s">
        <v>12</v>
      </c>
      <c r="D164" s="78">
        <v>0.66</v>
      </c>
      <c r="E164" s="79">
        <f>+BASICOS!D48</f>
        <v>1785</v>
      </c>
      <c r="F164" s="79">
        <f>+D164*E164</f>
        <v>1178.1000000000001</v>
      </c>
      <c r="J164" s="244"/>
      <c r="K164" s="244"/>
      <c r="L164" s="244"/>
      <c r="M164" s="3"/>
      <c r="N164" s="3"/>
      <c r="O164" s="64"/>
      <c r="P164" s="64"/>
      <c r="Q164" s="64"/>
      <c r="R164" s="64"/>
      <c r="S164" s="3"/>
      <c r="T164" s="3"/>
    </row>
    <row r="165" spans="1:20">
      <c r="A165" s="529"/>
      <c r="B165" s="165" t="s">
        <v>11</v>
      </c>
      <c r="C165" s="77" t="s">
        <v>284</v>
      </c>
      <c r="D165" s="78">
        <v>0.03</v>
      </c>
      <c r="E165" s="79">
        <f>+F166</f>
        <v>10453.719197884933</v>
      </c>
      <c r="F165" s="79">
        <f>(D165*E165)</f>
        <v>313.61157593654798</v>
      </c>
    </row>
    <row r="166" spans="1:20">
      <c r="A166" s="529"/>
      <c r="B166" s="165" t="s">
        <v>9</v>
      </c>
      <c r="C166" s="77" t="s">
        <v>10</v>
      </c>
      <c r="D166" s="78">
        <v>0.4</v>
      </c>
      <c r="E166" s="79">
        <f>+'VALOR CUADRILLAS MO'!D75</f>
        <v>26134.297994712331</v>
      </c>
      <c r="F166" s="79">
        <f>+D166*E166</f>
        <v>10453.719197884933</v>
      </c>
    </row>
    <row r="167" spans="1:20">
      <c r="A167" s="529"/>
      <c r="B167" s="165"/>
      <c r="C167" s="77"/>
      <c r="D167" s="78"/>
      <c r="E167" s="79"/>
      <c r="F167" s="79"/>
    </row>
    <row r="168" spans="1:20" ht="32.450000000000003" customHeight="1">
      <c r="A168" s="246">
        <f>A160+1</f>
        <v>25</v>
      </c>
      <c r="B168" s="83" t="s">
        <v>496</v>
      </c>
      <c r="C168" s="76" t="s">
        <v>21</v>
      </c>
      <c r="D168" s="73"/>
      <c r="E168" s="74"/>
      <c r="F168" s="75">
        <f>ROUND(SUM(F169:F176),0)</f>
        <v>65146</v>
      </c>
      <c r="O168" s="161"/>
      <c r="P168" s="162"/>
      <c r="Q168" s="364"/>
      <c r="R168" s="365"/>
      <c r="S168" s="366"/>
    </row>
    <row r="169" spans="1:20">
      <c r="A169" s="529"/>
      <c r="B169" s="165" t="s">
        <v>2636</v>
      </c>
      <c r="C169" s="77" t="s">
        <v>121</v>
      </c>
      <c r="D169" s="80">
        <f>0.15*0.6</f>
        <v>0.09</v>
      </c>
      <c r="E169" s="79">
        <f>+BASICOS!E146</f>
        <v>392821</v>
      </c>
      <c r="F169" s="79">
        <f t="shared" ref="F169:F174" si="3">+D169*E169</f>
        <v>35353.89</v>
      </c>
      <c r="O169" s="36"/>
      <c r="P169" s="77"/>
      <c r="Q169" s="367"/>
      <c r="R169" s="303"/>
      <c r="S169" s="303"/>
    </row>
    <row r="170" spans="1:20">
      <c r="A170" s="529"/>
      <c r="B170" s="165" t="s">
        <v>37</v>
      </c>
      <c r="C170" s="77" t="s">
        <v>158</v>
      </c>
      <c r="D170" s="80">
        <v>0.875</v>
      </c>
      <c r="E170" s="79">
        <f>INSUMOS!D46</f>
        <v>5600</v>
      </c>
      <c r="F170" s="79">
        <f t="shared" si="3"/>
        <v>4900</v>
      </c>
      <c r="O170" s="36"/>
      <c r="P170" s="77"/>
      <c r="Q170" s="368"/>
      <c r="R170" s="303"/>
      <c r="S170" s="303"/>
    </row>
    <row r="171" spans="1:20">
      <c r="A171" s="529"/>
      <c r="B171" s="165" t="s">
        <v>229</v>
      </c>
      <c r="C171" s="77" t="s">
        <v>68</v>
      </c>
      <c r="D171" s="78">
        <v>0.05</v>
      </c>
      <c r="E171" s="79">
        <f>SUM(F169:F170)</f>
        <v>40253.89</v>
      </c>
      <c r="F171" s="79">
        <f t="shared" si="3"/>
        <v>2012.6945000000001</v>
      </c>
      <c r="O171" s="36"/>
      <c r="P171" s="77"/>
      <c r="Q171" s="368"/>
      <c r="R171" s="303"/>
      <c r="S171" s="303"/>
    </row>
    <row r="172" spans="1:20">
      <c r="A172" s="529"/>
      <c r="B172" s="165" t="s">
        <v>136</v>
      </c>
      <c r="C172" s="77" t="s">
        <v>68</v>
      </c>
      <c r="D172" s="78"/>
      <c r="E172" s="79">
        <f>SUM(F169:F171)</f>
        <v>42266.584499999997</v>
      </c>
      <c r="F172" s="79">
        <f t="shared" si="3"/>
        <v>0</v>
      </c>
      <c r="O172" s="36"/>
      <c r="P172" s="77"/>
      <c r="Q172" s="368"/>
      <c r="R172" s="303"/>
      <c r="S172" s="303"/>
    </row>
    <row r="173" spans="1:20">
      <c r="A173" s="529"/>
      <c r="B173" s="165" t="s">
        <v>263</v>
      </c>
      <c r="C173" s="77" t="s">
        <v>12</v>
      </c>
      <c r="D173" s="78">
        <v>0.66</v>
      </c>
      <c r="E173" s="79">
        <f>+BASICOS!D48</f>
        <v>1785</v>
      </c>
      <c r="F173" s="79">
        <f t="shared" si="3"/>
        <v>1178.1000000000001</v>
      </c>
      <c r="O173" s="36"/>
      <c r="P173" s="77"/>
      <c r="Q173" s="368"/>
      <c r="R173" s="303"/>
      <c r="S173" s="303"/>
    </row>
    <row r="174" spans="1:20">
      <c r="A174" s="529"/>
      <c r="B174" s="271" t="s">
        <v>172</v>
      </c>
      <c r="C174" s="77" t="s">
        <v>12</v>
      </c>
      <c r="D174" s="78">
        <v>0.7</v>
      </c>
      <c r="E174" s="79">
        <f>+BASICOS!D38</f>
        <v>238</v>
      </c>
      <c r="F174" s="79">
        <f t="shared" si="3"/>
        <v>166.6</v>
      </c>
      <c r="O174" s="36"/>
      <c r="P174" s="77"/>
      <c r="Q174" s="368"/>
      <c r="R174" s="303"/>
      <c r="S174" s="303"/>
    </row>
    <row r="175" spans="1:20">
      <c r="A175" s="529"/>
      <c r="B175" s="165" t="s">
        <v>11</v>
      </c>
      <c r="C175" s="77" t="s">
        <v>284</v>
      </c>
      <c r="D175" s="78">
        <v>0.03</v>
      </c>
      <c r="E175" s="79">
        <f>+F176</f>
        <v>20907.438395769866</v>
      </c>
      <c r="F175" s="79">
        <f>(D175*E175)</f>
        <v>627.22315187309596</v>
      </c>
    </row>
    <row r="176" spans="1:20">
      <c r="A176" s="529"/>
      <c r="B176" s="165" t="s">
        <v>9</v>
      </c>
      <c r="C176" s="77" t="s">
        <v>10</v>
      </c>
      <c r="D176" s="78">
        <v>0.8</v>
      </c>
      <c r="E176" s="79">
        <f>+'VALOR CUADRILLAS MO'!D75</f>
        <v>26134.297994712331</v>
      </c>
      <c r="F176" s="79">
        <f>+D176*E176</f>
        <v>20907.438395769866</v>
      </c>
    </row>
    <row r="177" spans="1:20">
      <c r="A177" s="529"/>
      <c r="B177" s="165"/>
      <c r="C177" s="77"/>
      <c r="D177" s="78"/>
      <c r="E177" s="79"/>
      <c r="F177" s="79"/>
    </row>
    <row r="178" spans="1:20" ht="45" customHeight="1">
      <c r="A178" s="246">
        <f>A168+1</f>
        <v>26</v>
      </c>
      <c r="B178" s="83" t="s">
        <v>497</v>
      </c>
      <c r="C178" s="76" t="s">
        <v>21</v>
      </c>
      <c r="D178" s="73"/>
      <c r="E178" s="74"/>
      <c r="F178" s="75">
        <f>ROUND(SUM(F179:F185),0)</f>
        <v>45096</v>
      </c>
    </row>
    <row r="179" spans="1:20">
      <c r="A179" s="529"/>
      <c r="B179" s="165" t="s">
        <v>2636</v>
      </c>
      <c r="C179" s="77" t="s">
        <v>121</v>
      </c>
      <c r="D179" s="80">
        <f>0.15*0.3</f>
        <v>4.4999999999999998E-2</v>
      </c>
      <c r="E179" s="79">
        <f>BASICOS!E146</f>
        <v>392821</v>
      </c>
      <c r="F179" s="79">
        <f>+D179*E179</f>
        <v>17676.945</v>
      </c>
    </row>
    <row r="180" spans="1:20" s="2" customFormat="1">
      <c r="A180" s="529"/>
      <c r="B180" s="165" t="s">
        <v>37</v>
      </c>
      <c r="C180" s="77" t="s">
        <v>158</v>
      </c>
      <c r="D180" s="78">
        <v>0.65</v>
      </c>
      <c r="E180" s="79">
        <f>INSUMOS!D46</f>
        <v>5600</v>
      </c>
      <c r="F180" s="79">
        <f>+D180*E180</f>
        <v>3640</v>
      </c>
      <c r="J180" s="244"/>
      <c r="K180" s="244"/>
      <c r="L180" s="244"/>
      <c r="M180" s="3"/>
      <c r="N180" s="3"/>
      <c r="O180" s="64"/>
      <c r="P180" s="64"/>
      <c r="Q180" s="64"/>
      <c r="R180" s="64"/>
      <c r="S180" s="3"/>
      <c r="T180" s="3"/>
    </row>
    <row r="181" spans="1:20" s="2" customFormat="1">
      <c r="A181" s="529"/>
      <c r="B181" s="165" t="s">
        <v>229</v>
      </c>
      <c r="C181" s="77" t="s">
        <v>68</v>
      </c>
      <c r="D181" s="78">
        <v>0.05</v>
      </c>
      <c r="E181" s="79">
        <f>SUM(F179:F180)</f>
        <v>21316.945</v>
      </c>
      <c r="F181" s="79">
        <f>+D181*E181</f>
        <v>1065.84725</v>
      </c>
      <c r="J181" s="244"/>
      <c r="K181" s="244"/>
      <c r="L181" s="244"/>
      <c r="M181" s="3"/>
      <c r="N181" s="3"/>
      <c r="O181" s="64"/>
      <c r="P181" s="64"/>
      <c r="Q181" s="64"/>
      <c r="R181" s="64"/>
      <c r="S181" s="3"/>
      <c r="T181" s="3"/>
    </row>
    <row r="182" spans="1:20" s="2" customFormat="1">
      <c r="A182" s="529"/>
      <c r="B182" s="165" t="s">
        <v>136</v>
      </c>
      <c r="C182" s="77" t="s">
        <v>68</v>
      </c>
      <c r="D182" s="78"/>
      <c r="E182" s="79">
        <f>SUM(F179:F181)</f>
        <v>22382.792249999999</v>
      </c>
      <c r="F182" s="79">
        <f>+D182*E182</f>
        <v>0</v>
      </c>
      <c r="J182" s="244"/>
      <c r="K182" s="244"/>
      <c r="L182" s="244"/>
      <c r="M182" s="3"/>
      <c r="N182" s="3"/>
      <c r="O182" s="64"/>
      <c r="P182" s="64"/>
      <c r="Q182" s="64"/>
      <c r="R182" s="64"/>
      <c r="S182" s="3"/>
      <c r="T182" s="3"/>
    </row>
    <row r="183" spans="1:20" s="2" customFormat="1">
      <c r="A183" s="529"/>
      <c r="B183" s="165" t="s">
        <v>263</v>
      </c>
      <c r="C183" s="77" t="s">
        <v>12</v>
      </c>
      <c r="D183" s="78">
        <v>0.66</v>
      </c>
      <c r="E183" s="79">
        <f>+BASICOS!D48</f>
        <v>1785</v>
      </c>
      <c r="F183" s="79">
        <f>+D183*E183</f>
        <v>1178.1000000000001</v>
      </c>
      <c r="J183" s="244"/>
      <c r="K183" s="244"/>
      <c r="L183" s="244"/>
      <c r="M183" s="3"/>
      <c r="N183" s="3"/>
      <c r="O183" s="64"/>
      <c r="P183" s="64"/>
      <c r="Q183" s="64"/>
      <c r="R183" s="64"/>
      <c r="S183" s="3"/>
      <c r="T183" s="3"/>
    </row>
    <row r="184" spans="1:20" s="2" customFormat="1">
      <c r="A184" s="529"/>
      <c r="B184" s="165" t="s">
        <v>11</v>
      </c>
      <c r="C184" s="77" t="s">
        <v>284</v>
      </c>
      <c r="D184" s="78">
        <v>0.03</v>
      </c>
      <c r="E184" s="79">
        <f>F185</f>
        <v>20907.438395769866</v>
      </c>
      <c r="F184" s="79">
        <f>(D184*E184)</f>
        <v>627.22315187309596</v>
      </c>
      <c r="J184" s="244"/>
      <c r="K184" s="244"/>
      <c r="L184" s="244"/>
      <c r="M184" s="3"/>
      <c r="N184" s="3"/>
      <c r="O184" s="64"/>
      <c r="P184" s="64"/>
      <c r="Q184" s="64"/>
      <c r="R184" s="64"/>
      <c r="S184" s="3"/>
      <c r="T184" s="3"/>
    </row>
    <row r="185" spans="1:20" s="2" customFormat="1">
      <c r="A185" s="529"/>
      <c r="B185" s="165" t="s">
        <v>9</v>
      </c>
      <c r="C185" s="77" t="s">
        <v>10</v>
      </c>
      <c r="D185" s="78">
        <v>0.8</v>
      </c>
      <c r="E185" s="79">
        <f>+'VALOR CUADRILLAS MO'!D75</f>
        <v>26134.297994712331</v>
      </c>
      <c r="F185" s="79">
        <f>+D185*E185</f>
        <v>20907.438395769866</v>
      </c>
      <c r="J185" s="244"/>
      <c r="K185" s="244"/>
      <c r="L185" s="244"/>
      <c r="M185" s="3"/>
      <c r="N185" s="3"/>
      <c r="O185" s="64"/>
      <c r="P185" s="64"/>
      <c r="Q185" s="64"/>
      <c r="R185" s="64"/>
      <c r="S185" s="3"/>
      <c r="T185" s="3"/>
    </row>
    <row r="186" spans="1:20" s="2" customFormat="1">
      <c r="A186" s="529"/>
      <c r="B186" s="165"/>
      <c r="C186" s="77"/>
      <c r="D186" s="78"/>
      <c r="E186" s="79"/>
      <c r="F186" s="79"/>
      <c r="J186" s="244"/>
      <c r="K186" s="244"/>
      <c r="L186" s="244"/>
      <c r="M186" s="3"/>
      <c r="N186" s="3"/>
      <c r="O186" s="64"/>
      <c r="P186" s="64"/>
      <c r="Q186" s="64"/>
      <c r="R186" s="64"/>
      <c r="S186" s="3"/>
      <c r="T186" s="3"/>
    </row>
    <row r="187" spans="1:20" s="2" customFormat="1" ht="34.15" customHeight="1">
      <c r="A187" s="246">
        <f>A178+1</f>
        <v>27</v>
      </c>
      <c r="B187" s="83" t="s">
        <v>498</v>
      </c>
      <c r="C187" s="76" t="s">
        <v>21</v>
      </c>
      <c r="D187" s="73"/>
      <c r="E187" s="74"/>
      <c r="F187" s="75">
        <f>ROUND(SUM(F188:F194),0)</f>
        <v>63147</v>
      </c>
      <c r="J187" s="244"/>
      <c r="K187" s="244"/>
      <c r="L187" s="244"/>
      <c r="M187" s="3"/>
      <c r="N187" s="3"/>
      <c r="O187" s="64"/>
      <c r="P187" s="64"/>
      <c r="Q187" s="64"/>
      <c r="R187" s="64"/>
      <c r="S187" s="3"/>
      <c r="T187" s="3"/>
    </row>
    <row r="188" spans="1:20" s="2" customFormat="1">
      <c r="A188" s="529"/>
      <c r="B188" s="165" t="s">
        <v>2636</v>
      </c>
      <c r="C188" s="77" t="s">
        <v>121</v>
      </c>
      <c r="D188" s="80">
        <f>0.15*0.3</f>
        <v>4.4999999999999998E-2</v>
      </c>
      <c r="E188" s="79">
        <f>+BASICOS!E146</f>
        <v>392821</v>
      </c>
      <c r="F188" s="79">
        <f>+D188*E188</f>
        <v>17676.945</v>
      </c>
      <c r="J188" s="244"/>
      <c r="K188" s="244"/>
      <c r="L188" s="244"/>
      <c r="M188" s="3"/>
      <c r="N188" s="3"/>
      <c r="O188" s="64"/>
      <c r="P188" s="64"/>
      <c r="Q188" s="64"/>
      <c r="R188" s="64"/>
      <c r="S188" s="3"/>
      <c r="T188" s="3"/>
    </row>
    <row r="189" spans="1:20" s="2" customFormat="1">
      <c r="A189" s="529"/>
      <c r="B189" s="165" t="s">
        <v>37</v>
      </c>
      <c r="C189" s="77" t="s">
        <v>158</v>
      </c>
      <c r="D189" s="80">
        <v>3.72</v>
      </c>
      <c r="E189" s="79">
        <f>+INSUMOS!D46</f>
        <v>5600</v>
      </c>
      <c r="F189" s="79">
        <f>+D189*E189</f>
        <v>20832</v>
      </c>
      <c r="J189" s="244"/>
      <c r="K189" s="244"/>
      <c r="L189" s="244"/>
      <c r="M189" s="3"/>
      <c r="N189" s="3"/>
      <c r="O189" s="64"/>
      <c r="P189" s="64"/>
      <c r="Q189" s="64"/>
      <c r="R189" s="64"/>
      <c r="S189" s="3"/>
      <c r="T189" s="3"/>
    </row>
    <row r="190" spans="1:20" s="2" customFormat="1">
      <c r="A190" s="529"/>
      <c r="B190" s="165" t="s">
        <v>229</v>
      </c>
      <c r="C190" s="77" t="s">
        <v>68</v>
      </c>
      <c r="D190" s="78">
        <v>0.05</v>
      </c>
      <c r="E190" s="79">
        <f>SUM(F188:F189)</f>
        <v>38508.945</v>
      </c>
      <c r="F190" s="79">
        <f>+D190*E190</f>
        <v>1925.4472500000002</v>
      </c>
      <c r="J190" s="244"/>
      <c r="K190" s="244"/>
      <c r="L190" s="244"/>
      <c r="M190" s="3"/>
      <c r="N190" s="3"/>
      <c r="O190" s="64"/>
      <c r="P190" s="64"/>
      <c r="Q190" s="64"/>
      <c r="R190" s="64"/>
      <c r="S190" s="3"/>
      <c r="T190" s="3"/>
    </row>
    <row r="191" spans="1:20" s="2" customFormat="1">
      <c r="A191" s="529"/>
      <c r="B191" s="165" t="s">
        <v>136</v>
      </c>
      <c r="C191" s="77" t="s">
        <v>68</v>
      </c>
      <c r="D191" s="78"/>
      <c r="E191" s="79">
        <f>SUM(F188:F190)</f>
        <v>40434.392249999997</v>
      </c>
      <c r="F191" s="79">
        <f>+D191*E191</f>
        <v>0</v>
      </c>
      <c r="J191" s="244"/>
      <c r="K191" s="244"/>
      <c r="L191" s="244"/>
      <c r="M191" s="3"/>
      <c r="N191" s="3"/>
      <c r="O191" s="64"/>
      <c r="P191" s="64"/>
      <c r="Q191" s="64"/>
      <c r="R191" s="64"/>
      <c r="S191" s="3"/>
      <c r="T191" s="3"/>
    </row>
    <row r="192" spans="1:20" s="2" customFormat="1">
      <c r="A192" s="529"/>
      <c r="B192" s="165" t="s">
        <v>263</v>
      </c>
      <c r="C192" s="77" t="s">
        <v>12</v>
      </c>
      <c r="D192" s="78">
        <v>0.66</v>
      </c>
      <c r="E192" s="79">
        <f>+BASICOS!D48</f>
        <v>1785</v>
      </c>
      <c r="F192" s="79">
        <f>+D192*E192</f>
        <v>1178.1000000000001</v>
      </c>
      <c r="J192" s="244"/>
      <c r="K192" s="244"/>
      <c r="L192" s="244"/>
      <c r="M192" s="3"/>
      <c r="N192" s="3"/>
      <c r="O192" s="64"/>
      <c r="P192" s="64"/>
      <c r="Q192" s="64"/>
      <c r="R192" s="64"/>
      <c r="S192" s="3"/>
      <c r="T192" s="3"/>
    </row>
    <row r="193" spans="1:20" s="2" customFormat="1">
      <c r="A193" s="529"/>
      <c r="B193" s="165" t="s">
        <v>11</v>
      </c>
      <c r="C193" s="77" t="s">
        <v>284</v>
      </c>
      <c r="D193" s="78">
        <v>0.03</v>
      </c>
      <c r="E193" s="79">
        <f>+F194</f>
        <v>20907.438395769866</v>
      </c>
      <c r="F193" s="79">
        <f>(D193*E193)</f>
        <v>627.22315187309596</v>
      </c>
      <c r="J193" s="244"/>
      <c r="K193" s="244"/>
      <c r="L193" s="244"/>
      <c r="M193" s="3"/>
      <c r="N193" s="3"/>
      <c r="O193" s="64"/>
      <c r="P193" s="64"/>
      <c r="Q193" s="64"/>
      <c r="R193" s="64"/>
      <c r="S193" s="3"/>
      <c r="T193" s="3"/>
    </row>
    <row r="194" spans="1:20" s="244" customFormat="1">
      <c r="A194" s="529"/>
      <c r="B194" s="165" t="s">
        <v>9</v>
      </c>
      <c r="C194" s="77" t="s">
        <v>10</v>
      </c>
      <c r="D194" s="78">
        <v>0.8</v>
      </c>
      <c r="E194" s="79">
        <f>+'VALOR CUADRILLAS MO'!D75</f>
        <v>26134.297994712331</v>
      </c>
      <c r="F194" s="79">
        <f>+D194*E194</f>
        <v>20907.438395769866</v>
      </c>
      <c r="G194" s="2"/>
      <c r="H194" s="2"/>
      <c r="I194" s="2"/>
      <c r="M194" s="3"/>
      <c r="N194" s="3"/>
      <c r="O194" s="64"/>
      <c r="P194" s="64"/>
      <c r="Q194" s="64"/>
      <c r="R194" s="64"/>
      <c r="S194" s="3"/>
      <c r="T194" s="3"/>
    </row>
    <row r="195" spans="1:20" s="244" customFormat="1">
      <c r="A195" s="529"/>
      <c r="B195" s="165"/>
      <c r="C195" s="77"/>
      <c r="D195" s="78"/>
      <c r="E195" s="79"/>
      <c r="F195" s="79"/>
      <c r="G195" s="2"/>
      <c r="H195" s="2"/>
      <c r="I195" s="2"/>
      <c r="M195" s="3"/>
      <c r="N195" s="3"/>
      <c r="O195" s="64"/>
      <c r="P195" s="64"/>
      <c r="Q195" s="64"/>
      <c r="R195" s="64"/>
      <c r="S195" s="3"/>
      <c r="T195" s="3"/>
    </row>
    <row r="196" spans="1:20" s="244" customFormat="1" ht="28.15" customHeight="1">
      <c r="A196" s="246">
        <f>A187+1</f>
        <v>28</v>
      </c>
      <c r="B196" s="161" t="s">
        <v>2646</v>
      </c>
      <c r="C196" s="162" t="s">
        <v>21</v>
      </c>
      <c r="D196" s="364"/>
      <c r="E196" s="365"/>
      <c r="F196" s="366">
        <f>ROUND(SUM(F197:F203),0)</f>
        <v>45576</v>
      </c>
      <c r="G196" s="2"/>
      <c r="H196" s="2"/>
      <c r="I196" s="2"/>
      <c r="M196" s="3"/>
      <c r="N196" s="3"/>
      <c r="O196" s="64"/>
      <c r="P196" s="64"/>
      <c r="Q196" s="64"/>
      <c r="R196" s="64"/>
      <c r="S196" s="3"/>
      <c r="T196" s="3"/>
    </row>
    <row r="197" spans="1:20" s="244" customFormat="1">
      <c r="A197" s="529"/>
      <c r="B197" s="36" t="s">
        <v>2636</v>
      </c>
      <c r="C197" s="77" t="s">
        <v>75</v>
      </c>
      <c r="D197" s="367">
        <f>0.15*0.15</f>
        <v>2.2499999999999999E-2</v>
      </c>
      <c r="E197" s="303">
        <f>+BASICOS!E146</f>
        <v>392821</v>
      </c>
      <c r="F197" s="303">
        <f>+D197*E197</f>
        <v>8838.4724999999999</v>
      </c>
      <c r="G197" s="2"/>
      <c r="H197" s="2"/>
      <c r="I197" s="2"/>
      <c r="M197" s="3"/>
      <c r="N197" s="3"/>
      <c r="O197" s="64"/>
      <c r="P197" s="64"/>
      <c r="Q197" s="64"/>
      <c r="R197" s="64"/>
      <c r="S197" s="3"/>
      <c r="T197" s="3"/>
    </row>
    <row r="198" spans="1:20" s="244" customFormat="1">
      <c r="A198" s="529"/>
      <c r="B198" s="36" t="s">
        <v>80</v>
      </c>
      <c r="C198" s="77" t="s">
        <v>32</v>
      </c>
      <c r="D198" s="368">
        <v>2.31</v>
      </c>
      <c r="E198" s="303">
        <f>INSUMOS!D46</f>
        <v>5600</v>
      </c>
      <c r="F198" s="303">
        <f>+D198*E198</f>
        <v>12936</v>
      </c>
      <c r="G198" s="2"/>
      <c r="H198" s="2"/>
      <c r="I198" s="2"/>
      <c r="M198" s="3"/>
      <c r="N198" s="3"/>
      <c r="O198" s="64"/>
      <c r="P198" s="64"/>
      <c r="Q198" s="64"/>
      <c r="R198" s="64"/>
      <c r="S198" s="3"/>
      <c r="T198" s="3"/>
    </row>
    <row r="199" spans="1:20" s="244" customFormat="1">
      <c r="A199" s="529"/>
      <c r="B199" s="36" t="s">
        <v>229</v>
      </c>
      <c r="C199" s="77" t="s">
        <v>68</v>
      </c>
      <c r="D199" s="368">
        <v>0.05</v>
      </c>
      <c r="E199" s="303">
        <f>SUM(F197:F198)</f>
        <v>21774.4725</v>
      </c>
      <c r="F199" s="303">
        <f>+D199*E199</f>
        <v>1088.7236250000001</v>
      </c>
      <c r="G199" s="2"/>
      <c r="H199" s="2"/>
      <c r="I199" s="2"/>
      <c r="M199" s="3"/>
      <c r="N199" s="3"/>
      <c r="O199" s="64"/>
      <c r="P199" s="64"/>
      <c r="Q199" s="64"/>
      <c r="R199" s="64"/>
      <c r="S199" s="3"/>
      <c r="T199" s="3"/>
    </row>
    <row r="200" spans="1:20" s="244" customFormat="1">
      <c r="A200" s="529"/>
      <c r="B200" s="36" t="s">
        <v>136</v>
      </c>
      <c r="C200" s="77" t="s">
        <v>68</v>
      </c>
      <c r="D200" s="368"/>
      <c r="E200" s="303">
        <f>SUM(F197:F199)</f>
        <v>22863.196124999999</v>
      </c>
      <c r="F200" s="303">
        <f>+D200*E200</f>
        <v>0</v>
      </c>
      <c r="G200" s="2"/>
      <c r="H200" s="2"/>
      <c r="I200" s="2"/>
      <c r="M200" s="3"/>
      <c r="N200" s="3"/>
      <c r="O200" s="64"/>
      <c r="P200" s="64"/>
      <c r="Q200" s="64"/>
      <c r="R200" s="64"/>
      <c r="S200" s="3"/>
      <c r="T200" s="3"/>
    </row>
    <row r="201" spans="1:20" s="244" customFormat="1">
      <c r="A201" s="529"/>
      <c r="B201" s="165" t="s">
        <v>263</v>
      </c>
      <c r="C201" s="77" t="s">
        <v>12</v>
      </c>
      <c r="D201" s="368">
        <v>0.66</v>
      </c>
      <c r="E201" s="303">
        <f>+BASICOS!D48</f>
        <v>1785</v>
      </c>
      <c r="F201" s="303">
        <f>+D201*E201</f>
        <v>1178.1000000000001</v>
      </c>
      <c r="G201" s="2"/>
      <c r="H201" s="2"/>
      <c r="I201" s="2"/>
      <c r="M201" s="3"/>
      <c r="N201" s="3"/>
      <c r="O201" s="64"/>
      <c r="P201" s="64"/>
      <c r="Q201" s="64"/>
      <c r="R201" s="64"/>
      <c r="S201" s="3"/>
      <c r="T201" s="3"/>
    </row>
    <row r="202" spans="1:20" s="244" customFormat="1">
      <c r="A202" s="529"/>
      <c r="B202" s="36" t="s">
        <v>11</v>
      </c>
      <c r="C202" s="77" t="s">
        <v>284</v>
      </c>
      <c r="D202" s="368">
        <v>0.03</v>
      </c>
      <c r="E202" s="303">
        <f>F203</f>
        <v>20907.438395769866</v>
      </c>
      <c r="F202" s="303">
        <f>(D202*E202)</f>
        <v>627.22315187309596</v>
      </c>
      <c r="G202" s="2"/>
      <c r="H202" s="2"/>
      <c r="I202" s="2"/>
      <c r="M202" s="3"/>
      <c r="N202" s="3"/>
      <c r="O202" s="64"/>
      <c r="P202" s="64"/>
      <c r="Q202" s="64"/>
      <c r="R202" s="64"/>
      <c r="S202" s="3"/>
      <c r="T202" s="3"/>
    </row>
    <row r="203" spans="1:20" s="244" customFormat="1">
      <c r="A203" s="529"/>
      <c r="B203" s="36" t="s">
        <v>9</v>
      </c>
      <c r="C203" s="77" t="s">
        <v>10</v>
      </c>
      <c r="D203" s="368">
        <v>0.8</v>
      </c>
      <c r="E203" s="303">
        <f>'VALOR CUADRILLAS MO'!D75</f>
        <v>26134.297994712331</v>
      </c>
      <c r="F203" s="303">
        <f>+D203*E203</f>
        <v>20907.438395769866</v>
      </c>
      <c r="G203" s="2"/>
      <c r="H203" s="2"/>
      <c r="I203" s="2"/>
      <c r="M203" s="3"/>
      <c r="N203" s="3"/>
      <c r="O203" s="64"/>
      <c r="P203" s="64"/>
      <c r="Q203" s="64"/>
      <c r="R203" s="64"/>
      <c r="S203" s="3"/>
      <c r="T203" s="3"/>
    </row>
    <row r="204" spans="1:20" s="244" customFormat="1">
      <c r="A204" s="529"/>
      <c r="B204" s="165"/>
      <c r="C204" s="77"/>
      <c r="D204" s="78"/>
      <c r="E204" s="79"/>
      <c r="F204" s="79"/>
      <c r="G204" s="2"/>
      <c r="H204" s="2"/>
      <c r="I204" s="2"/>
      <c r="M204" s="3"/>
      <c r="N204" s="3"/>
      <c r="O204" s="64"/>
      <c r="P204" s="64"/>
      <c r="Q204" s="64"/>
      <c r="R204" s="64"/>
      <c r="S204" s="3"/>
      <c r="T204" s="3"/>
    </row>
    <row r="205" spans="1:20" s="244" customFormat="1">
      <c r="A205" s="529"/>
      <c r="B205" s="165"/>
      <c r="C205" s="77"/>
      <c r="D205" s="78"/>
      <c r="E205" s="79"/>
      <c r="F205" s="79"/>
      <c r="G205" s="2"/>
      <c r="H205" s="2"/>
      <c r="I205" s="2"/>
      <c r="M205" s="3"/>
      <c r="N205" s="3"/>
      <c r="O205" s="64"/>
      <c r="P205" s="64"/>
      <c r="Q205" s="64"/>
      <c r="R205" s="64"/>
      <c r="S205" s="3"/>
      <c r="T205" s="3"/>
    </row>
    <row r="206" spans="1:20" s="244" customFormat="1" ht="21" customHeight="1">
      <c r="A206" s="246">
        <f>A196+1</f>
        <v>29</v>
      </c>
      <c r="B206" s="83" t="s">
        <v>1</v>
      </c>
      <c r="C206" s="76" t="s">
        <v>21</v>
      </c>
      <c r="D206" s="73"/>
      <c r="E206" s="74"/>
      <c r="F206" s="75">
        <f>ROUND(SUM(F207:F212),0)</f>
        <v>35347</v>
      </c>
      <c r="G206" s="2"/>
      <c r="H206" s="2"/>
      <c r="I206" s="2"/>
      <c r="M206" s="3"/>
      <c r="N206" s="3"/>
      <c r="O206" s="64"/>
      <c r="P206" s="64"/>
      <c r="Q206" s="64"/>
      <c r="R206" s="64"/>
      <c r="S206" s="3"/>
      <c r="T206" s="3"/>
    </row>
    <row r="207" spans="1:20" s="244" customFormat="1">
      <c r="A207" s="529"/>
      <c r="B207" s="36" t="s">
        <v>2636</v>
      </c>
      <c r="C207" s="77" t="s">
        <v>121</v>
      </c>
      <c r="D207" s="78">
        <v>0.06</v>
      </c>
      <c r="E207" s="79">
        <f>+BASICOS!E146</f>
        <v>392821</v>
      </c>
      <c r="F207" s="79">
        <f>+D207*E207</f>
        <v>23569.26</v>
      </c>
      <c r="G207" s="2"/>
      <c r="H207" s="2"/>
      <c r="I207" s="2"/>
      <c r="M207" s="3"/>
      <c r="N207" s="3"/>
      <c r="O207" s="64"/>
      <c r="P207" s="64"/>
      <c r="Q207" s="64"/>
      <c r="R207" s="64"/>
      <c r="S207" s="3"/>
      <c r="T207" s="3"/>
    </row>
    <row r="208" spans="1:20" s="244" customFormat="1">
      <c r="A208" s="529"/>
      <c r="B208" s="165" t="s">
        <v>229</v>
      </c>
      <c r="C208" s="77" t="s">
        <v>68</v>
      </c>
      <c r="D208" s="78">
        <v>0.05</v>
      </c>
      <c r="E208" s="79">
        <f>SUM(F207:F207)</f>
        <v>23569.26</v>
      </c>
      <c r="F208" s="79">
        <f>+D208*E208</f>
        <v>1178.463</v>
      </c>
      <c r="G208" s="2"/>
      <c r="H208" s="2"/>
      <c r="I208" s="2"/>
      <c r="M208" s="3"/>
      <c r="N208" s="3"/>
      <c r="O208" s="64"/>
      <c r="P208" s="64"/>
      <c r="Q208" s="64"/>
      <c r="R208" s="64"/>
      <c r="S208" s="3"/>
      <c r="T208" s="3"/>
    </row>
    <row r="209" spans="1:20" s="244" customFormat="1">
      <c r="A209" s="529"/>
      <c r="B209" s="165" t="s">
        <v>136</v>
      </c>
      <c r="C209" s="77" t="s">
        <v>68</v>
      </c>
      <c r="D209" s="78"/>
      <c r="E209" s="79">
        <f>SUM(F207:F208)</f>
        <v>24747.722999999998</v>
      </c>
      <c r="F209" s="79">
        <f>+D209*E209</f>
        <v>0</v>
      </c>
      <c r="G209" s="2"/>
      <c r="H209" s="2"/>
      <c r="I209" s="2"/>
      <c r="M209" s="3"/>
      <c r="N209" s="3"/>
      <c r="O209" s="64"/>
      <c r="P209" s="64"/>
      <c r="Q209" s="64"/>
      <c r="R209" s="64"/>
      <c r="S209" s="3"/>
      <c r="T209" s="3"/>
    </row>
    <row r="210" spans="1:20" s="244" customFormat="1">
      <c r="A210" s="529"/>
      <c r="B210" s="165" t="s">
        <v>263</v>
      </c>
      <c r="C210" s="77" t="s">
        <v>12</v>
      </c>
      <c r="D210" s="78">
        <v>0.66</v>
      </c>
      <c r="E210" s="79">
        <f>+BASICOS!D48</f>
        <v>1785</v>
      </c>
      <c r="F210" s="79">
        <f>+D210*E210</f>
        <v>1178.1000000000001</v>
      </c>
      <c r="G210" s="2"/>
      <c r="H210" s="2"/>
      <c r="I210" s="2"/>
      <c r="M210" s="3"/>
      <c r="N210" s="3"/>
      <c r="O210" s="64"/>
      <c r="P210" s="64"/>
      <c r="Q210" s="64"/>
      <c r="R210" s="64"/>
      <c r="S210" s="3"/>
      <c r="T210" s="3"/>
    </row>
    <row r="211" spans="1:20" s="244" customFormat="1">
      <c r="A211" s="529"/>
      <c r="B211" s="165" t="s">
        <v>11</v>
      </c>
      <c r="C211" s="77" t="s">
        <v>284</v>
      </c>
      <c r="D211" s="78">
        <v>0.03</v>
      </c>
      <c r="E211" s="79">
        <f>+F212</f>
        <v>9147.0042981493152</v>
      </c>
      <c r="F211" s="79">
        <f>(D211*E211)</f>
        <v>274.41012894447942</v>
      </c>
      <c r="G211" s="2"/>
      <c r="H211" s="2"/>
      <c r="I211" s="2"/>
      <c r="M211" s="3"/>
      <c r="N211" s="3"/>
      <c r="O211" s="64"/>
      <c r="P211" s="64"/>
      <c r="Q211" s="64"/>
      <c r="R211" s="64"/>
      <c r="S211" s="3"/>
      <c r="T211" s="3"/>
    </row>
    <row r="212" spans="1:20" s="244" customFormat="1">
      <c r="A212" s="529"/>
      <c r="B212" s="165" t="s">
        <v>9</v>
      </c>
      <c r="C212" s="77" t="s">
        <v>10</v>
      </c>
      <c r="D212" s="78">
        <v>0.35</v>
      </c>
      <c r="E212" s="79">
        <f>+'VALOR CUADRILLAS MO'!D75</f>
        <v>26134.297994712331</v>
      </c>
      <c r="F212" s="79">
        <f>+D212*E212</f>
        <v>9147.0042981493152</v>
      </c>
      <c r="G212" s="2"/>
      <c r="H212" s="2"/>
      <c r="I212" s="2"/>
      <c r="M212" s="3"/>
      <c r="N212" s="3"/>
      <c r="O212" s="64"/>
      <c r="P212" s="64"/>
      <c r="Q212" s="64"/>
      <c r="R212" s="64"/>
      <c r="S212" s="3"/>
      <c r="T212" s="3"/>
    </row>
    <row r="213" spans="1:20" s="244" customFormat="1">
      <c r="A213" s="529"/>
      <c r="B213" s="165"/>
      <c r="C213" s="77"/>
      <c r="D213" s="78"/>
      <c r="E213" s="79"/>
      <c r="F213" s="79"/>
      <c r="G213" s="2"/>
      <c r="H213" s="2"/>
      <c r="I213" s="2"/>
      <c r="M213" s="3"/>
      <c r="N213" s="3"/>
      <c r="O213" s="64"/>
      <c r="P213" s="64"/>
      <c r="Q213" s="64"/>
      <c r="R213" s="64"/>
      <c r="S213" s="3"/>
      <c r="T213" s="3"/>
    </row>
    <row r="214" spans="1:20" s="244" customFormat="1" ht="63" customHeight="1">
      <c r="A214" s="246">
        <f>A206+1</f>
        <v>30</v>
      </c>
      <c r="B214" s="83" t="s">
        <v>222</v>
      </c>
      <c r="C214" s="76" t="s">
        <v>21</v>
      </c>
      <c r="D214" s="73"/>
      <c r="E214" s="74"/>
      <c r="F214" s="75" t="e">
        <f>ROUND(SUM(F215:F220),0)</f>
        <v>#REF!</v>
      </c>
      <c r="G214" s="2"/>
      <c r="H214" s="66"/>
      <c r="I214" s="2"/>
      <c r="M214" s="3"/>
      <c r="N214" s="3"/>
      <c r="O214" s="64"/>
      <c r="P214" s="64"/>
      <c r="Q214" s="64"/>
      <c r="R214" s="64"/>
      <c r="S214" s="3"/>
      <c r="T214" s="3"/>
    </row>
    <row r="215" spans="1:20" s="244" customFormat="1">
      <c r="A215" s="529"/>
      <c r="B215" s="165" t="s">
        <v>221</v>
      </c>
      <c r="C215" s="77" t="s">
        <v>26</v>
      </c>
      <c r="D215" s="78">
        <v>1.2</v>
      </c>
      <c r="E215" s="79" t="e">
        <f>INSUMOS!#REF!</f>
        <v>#REF!</v>
      </c>
      <c r="F215" s="79" t="e">
        <f>+D215*E215</f>
        <v>#REF!</v>
      </c>
      <c r="G215" s="2"/>
      <c r="H215" s="2"/>
      <c r="I215" s="2"/>
      <c r="M215" s="3"/>
      <c r="N215" s="3"/>
      <c r="O215" s="64"/>
      <c r="P215" s="64"/>
      <c r="Q215" s="64"/>
      <c r="R215" s="64"/>
      <c r="S215" s="3"/>
      <c r="T215" s="3"/>
    </row>
    <row r="216" spans="1:20" s="244" customFormat="1">
      <c r="A216" s="529"/>
      <c r="B216" s="165" t="s">
        <v>47</v>
      </c>
      <c r="C216" s="77" t="s">
        <v>121</v>
      </c>
      <c r="D216" s="80">
        <v>0.01</v>
      </c>
      <c r="E216" s="79">
        <f>+BASICOS!E80</f>
        <v>318331</v>
      </c>
      <c r="F216" s="79">
        <f>+D216*E216</f>
        <v>3183.31</v>
      </c>
      <c r="G216" s="2"/>
      <c r="H216" s="2"/>
      <c r="I216" s="2"/>
      <c r="M216" s="3"/>
      <c r="N216" s="3"/>
      <c r="O216" s="64"/>
      <c r="P216" s="64"/>
      <c r="Q216" s="64"/>
      <c r="R216" s="64"/>
      <c r="S216" s="3"/>
      <c r="T216" s="3"/>
    </row>
    <row r="217" spans="1:20" s="244" customFormat="1">
      <c r="A217" s="529"/>
      <c r="B217" s="165" t="s">
        <v>229</v>
      </c>
      <c r="C217" s="77" t="s">
        <v>68</v>
      </c>
      <c r="D217" s="78">
        <v>0.05</v>
      </c>
      <c r="E217" s="79" t="e">
        <f>SUM(F215:F216)</f>
        <v>#REF!</v>
      </c>
      <c r="F217" s="79" t="e">
        <f>+D217*E217</f>
        <v>#REF!</v>
      </c>
      <c r="G217" s="2"/>
      <c r="H217" s="2"/>
      <c r="I217" s="2"/>
      <c r="M217" s="3"/>
      <c r="N217" s="3"/>
      <c r="O217" s="64"/>
      <c r="P217" s="64"/>
      <c r="Q217" s="64"/>
      <c r="R217" s="64"/>
      <c r="S217" s="3"/>
      <c r="T217" s="3"/>
    </row>
    <row r="218" spans="1:20" s="244" customFormat="1">
      <c r="A218" s="529"/>
      <c r="B218" s="165" t="s">
        <v>223</v>
      </c>
      <c r="C218" s="77" t="s">
        <v>21</v>
      </c>
      <c r="D218" s="78">
        <v>1</v>
      </c>
      <c r="E218" s="79" t="e">
        <f>EDIFICACION!#REF!</f>
        <v>#REF!</v>
      </c>
      <c r="F218" s="79" t="e">
        <f>+D218*E218</f>
        <v>#REF!</v>
      </c>
      <c r="G218" s="258"/>
      <c r="H218" s="256"/>
      <c r="I218" s="59"/>
      <c r="J218" s="2"/>
      <c r="K218" s="248"/>
      <c r="M218" s="3"/>
      <c r="N218" s="3"/>
      <c r="O218" s="64"/>
      <c r="P218" s="64"/>
      <c r="Q218" s="64"/>
      <c r="R218" s="64"/>
      <c r="S218" s="3"/>
      <c r="T218" s="3"/>
    </row>
    <row r="219" spans="1:20" s="64" customFormat="1">
      <c r="A219" s="529"/>
      <c r="B219" s="165" t="s">
        <v>11</v>
      </c>
      <c r="C219" s="77" t="s">
        <v>284</v>
      </c>
      <c r="D219" s="78">
        <v>0.03</v>
      </c>
      <c r="E219" s="79">
        <f>+F220</f>
        <v>26134.297994712331</v>
      </c>
      <c r="F219" s="79">
        <f>(D219*E219)</f>
        <v>784.02893984136995</v>
      </c>
      <c r="G219" s="2"/>
      <c r="H219" s="2"/>
      <c r="I219" s="2"/>
      <c r="J219" s="244"/>
      <c r="K219" s="244"/>
      <c r="L219" s="244"/>
      <c r="M219" s="3"/>
      <c r="N219" s="3"/>
      <c r="S219" s="3"/>
      <c r="T219" s="3"/>
    </row>
    <row r="220" spans="1:20" s="64" customFormat="1">
      <c r="A220" s="529"/>
      <c r="B220" s="165" t="s">
        <v>9</v>
      </c>
      <c r="C220" s="77" t="s">
        <v>10</v>
      </c>
      <c r="D220" s="78">
        <v>1</v>
      </c>
      <c r="E220" s="79">
        <f>+'VALOR CUADRILLAS MO'!D75</f>
        <v>26134.297994712331</v>
      </c>
      <c r="F220" s="79">
        <f>+D220*E220</f>
        <v>26134.297994712331</v>
      </c>
      <c r="G220" s="2"/>
      <c r="H220" s="2"/>
      <c r="I220" s="2"/>
      <c r="J220" s="244"/>
      <c r="K220" s="244"/>
      <c r="L220" s="244"/>
      <c r="M220" s="3"/>
      <c r="N220" s="3"/>
      <c r="S220" s="3"/>
      <c r="T220" s="3"/>
    </row>
    <row r="221" spans="1:20" s="64" customFormat="1">
      <c r="A221" s="529"/>
      <c r="B221" s="165"/>
      <c r="C221" s="77"/>
      <c r="D221" s="78"/>
      <c r="E221" s="79"/>
      <c r="F221" s="79"/>
      <c r="G221" s="2"/>
      <c r="H221" s="2"/>
      <c r="I221" s="2"/>
      <c r="J221" s="244"/>
      <c r="K221" s="244"/>
      <c r="L221" s="244"/>
      <c r="M221" s="3"/>
      <c r="N221" s="3"/>
      <c r="S221" s="3"/>
      <c r="T221" s="3"/>
    </row>
    <row r="222" spans="1:20" ht="24.6" customHeight="1">
      <c r="A222" s="246">
        <f>A214+1</f>
        <v>31</v>
      </c>
      <c r="B222" s="83" t="s">
        <v>80</v>
      </c>
      <c r="C222" s="76" t="s">
        <v>120</v>
      </c>
      <c r="D222" s="73"/>
      <c r="E222" s="74"/>
      <c r="F222" s="75">
        <f>ROUND(SUM(F223:F229),0)</f>
        <v>7437</v>
      </c>
      <c r="I222" s="257"/>
      <c r="O222" s="163"/>
      <c r="P222" s="164"/>
      <c r="Q222" s="299"/>
      <c r="R222" s="300"/>
      <c r="S222" s="301"/>
    </row>
    <row r="223" spans="1:20">
      <c r="A223" s="529"/>
      <c r="B223" s="165" t="s">
        <v>51</v>
      </c>
      <c r="C223" s="77" t="s">
        <v>32</v>
      </c>
      <c r="D223" s="80">
        <v>2.7E-2</v>
      </c>
      <c r="E223" s="79">
        <f>INSUMOS!D44</f>
        <v>7066.22</v>
      </c>
      <c r="F223" s="79">
        <f>+D223*E223</f>
        <v>190.78793999999999</v>
      </c>
      <c r="O223" s="36"/>
      <c r="P223" s="77"/>
      <c r="Q223" s="302"/>
      <c r="R223" s="303"/>
      <c r="S223" s="303"/>
    </row>
    <row r="224" spans="1:20">
      <c r="A224" s="529"/>
      <c r="B224" s="165" t="s">
        <v>37</v>
      </c>
      <c r="C224" s="77" t="s">
        <v>32</v>
      </c>
      <c r="D224" s="78">
        <v>1</v>
      </c>
      <c r="E224" s="79">
        <f>INSUMOS!D46</f>
        <v>5600</v>
      </c>
      <c r="F224" s="79">
        <f>+D224*E224</f>
        <v>5600</v>
      </c>
      <c r="O224" s="36"/>
      <c r="P224" s="77"/>
      <c r="Q224" s="304"/>
      <c r="R224" s="303"/>
      <c r="S224" s="303"/>
    </row>
    <row r="225" spans="1:20">
      <c r="A225" s="529"/>
      <c r="B225" s="165" t="s">
        <v>229</v>
      </c>
      <c r="C225" s="77" t="s">
        <v>68</v>
      </c>
      <c r="D225" s="78">
        <v>0.05</v>
      </c>
      <c r="E225" s="79">
        <f>SUM(F223:F224)</f>
        <v>5790.7879400000002</v>
      </c>
      <c r="F225" s="79">
        <f>+D225*E225</f>
        <v>289.53939700000001</v>
      </c>
      <c r="I225" s="257"/>
      <c r="O225" s="36"/>
      <c r="P225" s="77"/>
      <c r="Q225" s="304"/>
      <c r="R225" s="303"/>
      <c r="S225" s="303"/>
    </row>
    <row r="226" spans="1:20">
      <c r="A226" s="529"/>
      <c r="B226" s="165" t="s">
        <v>2672</v>
      </c>
      <c r="C226" s="77" t="s">
        <v>26</v>
      </c>
      <c r="D226" s="78">
        <v>1.05033333333333E-2</v>
      </c>
      <c r="E226" s="79">
        <f>INSUMOS!D65</f>
        <v>26622.68</v>
      </c>
      <c r="F226" s="79">
        <f>+D226*E226</f>
        <v>279.6268822666658</v>
      </c>
      <c r="O226" s="36"/>
      <c r="P226" s="77"/>
      <c r="Q226" s="304"/>
      <c r="R226" s="303"/>
      <c r="S226" s="303"/>
    </row>
    <row r="227" spans="1:20">
      <c r="A227" s="529"/>
      <c r="B227" s="165" t="s">
        <v>136</v>
      </c>
      <c r="C227" s="77" t="s">
        <v>68</v>
      </c>
      <c r="D227" s="78"/>
      <c r="E227" s="79">
        <f>SUM(F223:F226)</f>
        <v>6359.9542192666668</v>
      </c>
      <c r="F227" s="79">
        <f>+D227*E227</f>
        <v>0</v>
      </c>
      <c r="O227" s="36"/>
      <c r="P227" s="77"/>
      <c r="Q227" s="304"/>
      <c r="R227" s="303"/>
      <c r="S227" s="303"/>
    </row>
    <row r="228" spans="1:20">
      <c r="A228" s="529"/>
      <c r="B228" s="165" t="s">
        <v>11</v>
      </c>
      <c r="C228" s="77" t="s">
        <v>284</v>
      </c>
      <c r="D228" s="78">
        <v>0.03</v>
      </c>
      <c r="E228" s="79">
        <f>F229</f>
        <v>1045.3719197884932</v>
      </c>
      <c r="F228" s="79">
        <f>(D228*E228)</f>
        <v>31.361157593654795</v>
      </c>
      <c r="O228" s="36"/>
      <c r="P228" s="77"/>
      <c r="Q228" s="304"/>
      <c r="R228" s="303"/>
      <c r="S228" s="303"/>
    </row>
    <row r="229" spans="1:20">
      <c r="A229" s="529"/>
      <c r="B229" s="165" t="s">
        <v>9</v>
      </c>
      <c r="C229" s="77" t="s">
        <v>10</v>
      </c>
      <c r="D229" s="80">
        <v>0.04</v>
      </c>
      <c r="E229" s="79">
        <f>+'VALOR CUADRILLAS MO'!D75</f>
        <v>26134.297994712331</v>
      </c>
      <c r="F229" s="79">
        <f>+D229*E229</f>
        <v>1045.3719197884932</v>
      </c>
      <c r="I229" s="257"/>
      <c r="O229" s="36"/>
      <c r="P229" s="77"/>
      <c r="Q229" s="302"/>
      <c r="R229" s="303"/>
      <c r="S229" s="303"/>
    </row>
    <row r="230" spans="1:20">
      <c r="A230" s="529"/>
      <c r="B230" s="165"/>
      <c r="C230" s="77"/>
      <c r="D230" s="80"/>
      <c r="E230" s="79"/>
      <c r="F230" s="79"/>
      <c r="I230" s="257"/>
    </row>
    <row r="231" spans="1:20" s="2" customFormat="1" ht="45" customHeight="1">
      <c r="A231" s="246">
        <f>A222+1</f>
        <v>32</v>
      </c>
      <c r="B231" s="83" t="s">
        <v>2973</v>
      </c>
      <c r="C231" s="76" t="s">
        <v>119</v>
      </c>
      <c r="D231" s="73"/>
      <c r="E231" s="74"/>
      <c r="F231" s="75" t="e">
        <f>ROUND(SUM(F232:F237),0)</f>
        <v>#REF!</v>
      </c>
      <c r="J231" s="244"/>
      <c r="K231" s="244"/>
      <c r="L231" s="244"/>
      <c r="M231" s="3"/>
      <c r="N231" s="3"/>
      <c r="O231" s="64"/>
      <c r="P231" s="64"/>
      <c r="Q231" s="64"/>
      <c r="R231" s="64"/>
      <c r="S231" s="3"/>
      <c r="T231" s="3"/>
    </row>
    <row r="232" spans="1:20" s="2" customFormat="1">
      <c r="A232" s="529"/>
      <c r="B232" s="165" t="s">
        <v>74</v>
      </c>
      <c r="C232" s="77" t="s">
        <v>121</v>
      </c>
      <c r="D232" s="78">
        <f>0.07*55%</f>
        <v>3.8500000000000006E-2</v>
      </c>
      <c r="E232" s="79" t="e">
        <f>+INSUMOS!#REF!</f>
        <v>#REF!</v>
      </c>
      <c r="F232" s="79" t="e">
        <f>+D232*E232</f>
        <v>#REF!</v>
      </c>
      <c r="J232" s="244"/>
      <c r="K232" s="244"/>
      <c r="L232" s="244"/>
      <c r="M232" s="3"/>
      <c r="N232" s="3"/>
      <c r="O232" s="64"/>
      <c r="P232" s="64"/>
      <c r="Q232" s="64"/>
      <c r="R232" s="64"/>
      <c r="S232" s="3"/>
      <c r="T232" s="3"/>
    </row>
    <row r="233" spans="1:20" s="2" customFormat="1">
      <c r="A233" s="529"/>
      <c r="B233" s="165" t="s">
        <v>234</v>
      </c>
      <c r="C233" s="77" t="s">
        <v>121</v>
      </c>
      <c r="D233" s="78">
        <f>0.07*45%</f>
        <v>3.1500000000000007E-2</v>
      </c>
      <c r="E233" s="79">
        <f>+BASICOS!E146</f>
        <v>392821</v>
      </c>
      <c r="F233" s="79">
        <f>+E233*D233</f>
        <v>12373.861500000003</v>
      </c>
      <c r="J233" s="244"/>
      <c r="K233" s="244"/>
      <c r="L233" s="244"/>
      <c r="M233" s="3"/>
      <c r="N233" s="3"/>
      <c r="O233" s="64"/>
      <c r="P233" s="64"/>
      <c r="Q233" s="64"/>
      <c r="R233" s="64"/>
      <c r="S233" s="3"/>
      <c r="T233" s="3"/>
    </row>
    <row r="234" spans="1:20" s="2" customFormat="1">
      <c r="A234" s="529"/>
      <c r="B234" s="165" t="s">
        <v>229</v>
      </c>
      <c r="C234" s="77" t="s">
        <v>68</v>
      </c>
      <c r="D234" s="78">
        <v>0.05</v>
      </c>
      <c r="E234" s="79" t="e">
        <f>SUM(F232:F233)</f>
        <v>#REF!</v>
      </c>
      <c r="F234" s="79" t="e">
        <f>+D234*E234</f>
        <v>#REF!</v>
      </c>
      <c r="J234" s="244"/>
      <c r="K234" s="244"/>
      <c r="L234" s="244"/>
      <c r="M234" s="3"/>
      <c r="N234" s="3"/>
      <c r="O234" s="64"/>
      <c r="P234" s="64"/>
      <c r="Q234" s="64"/>
      <c r="R234" s="64"/>
      <c r="S234" s="3"/>
      <c r="T234" s="3"/>
    </row>
    <row r="235" spans="1:20" s="2" customFormat="1">
      <c r="A235" s="529"/>
      <c r="B235" s="165" t="s">
        <v>136</v>
      </c>
      <c r="C235" s="77" t="s">
        <v>68</v>
      </c>
      <c r="D235" s="78"/>
      <c r="E235" s="79" t="e">
        <f>SUM(F232:F234)</f>
        <v>#REF!</v>
      </c>
      <c r="F235" s="79" t="e">
        <f>+D235*E235</f>
        <v>#REF!</v>
      </c>
      <c r="J235" s="244"/>
      <c r="K235" s="244"/>
      <c r="L235" s="244"/>
      <c r="M235" s="3"/>
      <c r="N235" s="3"/>
      <c r="O235" s="64"/>
      <c r="P235" s="64"/>
      <c r="Q235" s="64"/>
      <c r="R235" s="64"/>
      <c r="S235" s="3"/>
      <c r="T235" s="3"/>
    </row>
    <row r="236" spans="1:20" s="2" customFormat="1">
      <c r="A236" s="529"/>
      <c r="B236" s="165" t="s">
        <v>11</v>
      </c>
      <c r="C236" s="77" t="s">
        <v>284</v>
      </c>
      <c r="D236" s="78">
        <v>0.03</v>
      </c>
      <c r="E236" s="79">
        <f>+F237</f>
        <v>10976.405157779178</v>
      </c>
      <c r="F236" s="79">
        <f>(D236*E236)</f>
        <v>329.2921547333753</v>
      </c>
      <c r="J236" s="244"/>
      <c r="K236" s="244"/>
      <c r="L236" s="244"/>
      <c r="M236" s="3"/>
      <c r="N236" s="3"/>
      <c r="O236" s="64"/>
      <c r="P236" s="64"/>
      <c r="Q236" s="64"/>
      <c r="R236" s="64"/>
      <c r="S236" s="3"/>
      <c r="T236" s="3"/>
    </row>
    <row r="237" spans="1:20">
      <c r="A237" s="529"/>
      <c r="B237" s="165" t="s">
        <v>9</v>
      </c>
      <c r="C237" s="77" t="s">
        <v>10</v>
      </c>
      <c r="D237" s="78">
        <v>0.42</v>
      </c>
      <c r="E237" s="79">
        <f>+'VALOR CUADRILLAS MO'!D75</f>
        <v>26134.297994712331</v>
      </c>
      <c r="F237" s="79">
        <f>+D237*E237</f>
        <v>10976.405157779178</v>
      </c>
    </row>
    <row r="238" spans="1:20">
      <c r="A238" s="529"/>
      <c r="B238" s="165"/>
      <c r="C238" s="77"/>
      <c r="D238" s="78"/>
      <c r="E238" s="79"/>
      <c r="F238" s="79"/>
    </row>
    <row r="239" spans="1:20" ht="30" customHeight="1">
      <c r="A239" s="246">
        <f>A231+1</f>
        <v>33</v>
      </c>
      <c r="B239" s="83" t="s">
        <v>2875</v>
      </c>
      <c r="C239" s="76" t="s">
        <v>119</v>
      </c>
      <c r="D239" s="73"/>
      <c r="E239" s="74"/>
      <c r="F239" s="75" t="e">
        <f>ROUND(SUM(F240:F245),0)</f>
        <v>#REF!</v>
      </c>
    </row>
    <row r="240" spans="1:20">
      <c r="A240" s="529"/>
      <c r="B240" s="165" t="s">
        <v>74</v>
      </c>
      <c r="C240" s="77" t="s">
        <v>121</v>
      </c>
      <c r="D240" s="78">
        <f>0.15*55%</f>
        <v>8.2500000000000004E-2</v>
      </c>
      <c r="E240" s="79" t="e">
        <f>+INSUMOS!#REF!</f>
        <v>#REF!</v>
      </c>
      <c r="F240" s="79" t="e">
        <f>+D240*E240</f>
        <v>#REF!</v>
      </c>
    </row>
    <row r="241" spans="1:20">
      <c r="A241" s="529"/>
      <c r="B241" s="165" t="s">
        <v>234</v>
      </c>
      <c r="C241" s="77" t="s">
        <v>121</v>
      </c>
      <c r="D241" s="78">
        <f>0.15*45%</f>
        <v>6.7500000000000004E-2</v>
      </c>
      <c r="E241" s="79">
        <f>+BASICOS!E146</f>
        <v>392821</v>
      </c>
      <c r="F241" s="79">
        <f>+E241*D241</f>
        <v>26515.417500000003</v>
      </c>
    </row>
    <row r="242" spans="1:20">
      <c r="A242" s="529"/>
      <c r="B242" s="165" t="s">
        <v>229</v>
      </c>
      <c r="C242" s="77" t="s">
        <v>68</v>
      </c>
      <c r="D242" s="78">
        <v>0.05</v>
      </c>
      <c r="E242" s="79" t="e">
        <f>SUM(F240:F241)</f>
        <v>#REF!</v>
      </c>
      <c r="F242" s="79" t="e">
        <f>+D242*E242</f>
        <v>#REF!</v>
      </c>
    </row>
    <row r="243" spans="1:20">
      <c r="A243" s="529"/>
      <c r="B243" s="165" t="s">
        <v>136</v>
      </c>
      <c r="C243" s="77" t="s">
        <v>68</v>
      </c>
      <c r="D243" s="78"/>
      <c r="E243" s="79" t="e">
        <f>SUM(F240:F242)</f>
        <v>#REF!</v>
      </c>
      <c r="F243" s="79" t="e">
        <f>+D243*E243</f>
        <v>#REF!</v>
      </c>
    </row>
    <row r="244" spans="1:20">
      <c r="A244" s="529"/>
      <c r="B244" s="165" t="s">
        <v>11</v>
      </c>
      <c r="C244" s="77" t="s">
        <v>284</v>
      </c>
      <c r="D244" s="78">
        <v>0.03</v>
      </c>
      <c r="E244" s="79">
        <f>+F245</f>
        <v>18032.665616351507</v>
      </c>
      <c r="F244" s="79">
        <f>(D244*E244)</f>
        <v>540.97996849054516</v>
      </c>
    </row>
    <row r="245" spans="1:20">
      <c r="A245" s="529"/>
      <c r="B245" s="165" t="s">
        <v>9</v>
      </c>
      <c r="C245" s="77" t="s">
        <v>10</v>
      </c>
      <c r="D245" s="78">
        <v>0.69</v>
      </c>
      <c r="E245" s="79">
        <f>+'VALOR CUADRILLAS MO'!D75</f>
        <v>26134.297994712331</v>
      </c>
      <c r="F245" s="79">
        <f>+D245*E245</f>
        <v>18032.665616351507</v>
      </c>
    </row>
    <row r="246" spans="1:20">
      <c r="A246" s="529"/>
      <c r="B246" s="165"/>
      <c r="C246" s="77"/>
      <c r="D246" s="78"/>
      <c r="E246" s="79"/>
      <c r="F246" s="79"/>
    </row>
    <row r="247" spans="1:20" ht="63.6" customHeight="1">
      <c r="A247" s="246">
        <f>A239+1</f>
        <v>34</v>
      </c>
      <c r="B247" s="83" t="s">
        <v>2876</v>
      </c>
      <c r="C247" s="76" t="s">
        <v>21</v>
      </c>
      <c r="D247" s="73"/>
      <c r="E247" s="74"/>
      <c r="F247" s="75">
        <f>ROUND(SUM(F248:F254),0)</f>
        <v>180274</v>
      </c>
      <c r="O247" s="83"/>
      <c r="P247" s="76"/>
      <c r="Q247" s="73"/>
      <c r="R247" s="74"/>
      <c r="S247" s="75"/>
      <c r="T247" s="75"/>
    </row>
    <row r="248" spans="1:20">
      <c r="A248" s="529"/>
      <c r="B248" s="165" t="s">
        <v>501</v>
      </c>
      <c r="C248" s="77" t="s">
        <v>75</v>
      </c>
      <c r="D248" s="78">
        <f>0.9*0.15*0.4</f>
        <v>5.4000000000000006E-2</v>
      </c>
      <c r="E248" s="79">
        <f>+BASICOS!D8</f>
        <v>73185</v>
      </c>
      <c r="F248" s="79">
        <f>+D248*E248</f>
        <v>3951.9900000000002</v>
      </c>
      <c r="O248" s="36"/>
      <c r="P248" s="77"/>
      <c r="Q248" s="78"/>
      <c r="R248" s="79"/>
      <c r="S248" s="79"/>
    </row>
    <row r="249" spans="1:20">
      <c r="A249" s="529"/>
      <c r="B249" s="165" t="s">
        <v>234</v>
      </c>
      <c r="C249" s="77" t="s">
        <v>121</v>
      </c>
      <c r="D249" s="78">
        <f>0.9*2*0.15</f>
        <v>0.27</v>
      </c>
      <c r="E249" s="79">
        <f>+BASICOS!E146</f>
        <v>392821</v>
      </c>
      <c r="F249" s="79">
        <f>+E249*D249</f>
        <v>106061.67000000001</v>
      </c>
      <c r="O249" s="36"/>
      <c r="P249" s="77"/>
      <c r="Q249" s="78"/>
      <c r="R249" s="79"/>
      <c r="S249" s="79"/>
    </row>
    <row r="250" spans="1:20">
      <c r="A250" s="529"/>
      <c r="B250" s="165" t="s">
        <v>67</v>
      </c>
      <c r="C250" s="77" t="s">
        <v>121</v>
      </c>
      <c r="D250" s="78">
        <f>0.9*0.15*0.6</f>
        <v>8.1000000000000003E-2</v>
      </c>
      <c r="E250" s="79">
        <f>+BASICOS!E80</f>
        <v>318331</v>
      </c>
      <c r="F250" s="79">
        <f>+E250*D250</f>
        <v>25784.811000000002</v>
      </c>
      <c r="O250" s="36"/>
      <c r="P250" s="77"/>
      <c r="Q250" s="78"/>
      <c r="R250" s="79"/>
      <c r="S250" s="79"/>
    </row>
    <row r="251" spans="1:20">
      <c r="A251" s="529"/>
      <c r="B251" s="165" t="s">
        <v>229</v>
      </c>
      <c r="C251" s="77" t="s">
        <v>68</v>
      </c>
      <c r="D251" s="78">
        <v>0.05</v>
      </c>
      <c r="E251" s="79">
        <f>SUM(F248:F250)</f>
        <v>135798.47100000002</v>
      </c>
      <c r="F251" s="79">
        <f>+D251*E251</f>
        <v>6789.9235500000013</v>
      </c>
      <c r="O251" s="36"/>
      <c r="P251" s="77"/>
      <c r="Q251" s="78"/>
      <c r="R251" s="79"/>
      <c r="S251" s="79"/>
    </row>
    <row r="252" spans="1:20">
      <c r="A252" s="529"/>
      <c r="B252" s="165" t="s">
        <v>136</v>
      </c>
      <c r="C252" s="77" t="s">
        <v>68</v>
      </c>
      <c r="D252" s="78"/>
      <c r="E252" s="79">
        <f>SUM(F248:F251)</f>
        <v>142588.39455000003</v>
      </c>
      <c r="F252" s="79">
        <f>+D252*E252</f>
        <v>0</v>
      </c>
      <c r="O252" s="36"/>
      <c r="P252" s="77"/>
      <c r="Q252" s="78"/>
      <c r="R252" s="79"/>
      <c r="S252" s="79"/>
    </row>
    <row r="253" spans="1:20">
      <c r="A253" s="529"/>
      <c r="B253" s="165" t="s">
        <v>11</v>
      </c>
      <c r="C253" s="77" t="s">
        <v>284</v>
      </c>
      <c r="D253" s="78">
        <v>0.03</v>
      </c>
      <c r="E253" s="79">
        <f>+F254</f>
        <v>36588.017192597261</v>
      </c>
      <c r="F253" s="79">
        <f>(D253*E253)</f>
        <v>1097.6405157779177</v>
      </c>
      <c r="O253" s="36"/>
      <c r="P253" s="77"/>
      <c r="Q253" s="78"/>
      <c r="R253" s="79"/>
      <c r="S253" s="79"/>
    </row>
    <row r="254" spans="1:20">
      <c r="A254" s="529"/>
      <c r="B254" s="165" t="s">
        <v>9</v>
      </c>
      <c r="C254" s="77" t="s">
        <v>10</v>
      </c>
      <c r="D254" s="78">
        <v>1.4</v>
      </c>
      <c r="E254" s="79">
        <f>+'VALOR CUADRILLAS MO'!D75</f>
        <v>26134.297994712331</v>
      </c>
      <c r="F254" s="79">
        <f>+D254*E254</f>
        <v>36588.017192597261</v>
      </c>
      <c r="O254" s="36"/>
      <c r="P254" s="77"/>
      <c r="Q254" s="78"/>
      <c r="R254" s="79"/>
      <c r="S254" s="79"/>
    </row>
    <row r="255" spans="1:20">
      <c r="A255" s="529"/>
      <c r="B255" s="165"/>
      <c r="C255" s="77"/>
      <c r="D255" s="78"/>
      <c r="E255" s="79"/>
      <c r="F255" s="79"/>
    </row>
    <row r="256" spans="1:20" ht="62.45" customHeight="1">
      <c r="A256" s="246">
        <f>A247+1</f>
        <v>35</v>
      </c>
      <c r="B256" s="83" t="s">
        <v>2877</v>
      </c>
      <c r="C256" s="76" t="s">
        <v>21</v>
      </c>
      <c r="D256" s="73"/>
      <c r="E256" s="74"/>
      <c r="F256" s="75">
        <f>ROUND(SUM(F257:F263),0)</f>
        <v>262196</v>
      </c>
    </row>
    <row r="257" spans="1:20">
      <c r="A257" s="529"/>
      <c r="B257" s="36" t="s">
        <v>501</v>
      </c>
      <c r="C257" s="77" t="s">
        <v>75</v>
      </c>
      <c r="D257" s="78">
        <f>2.5*0.17*0.4</f>
        <v>0.17000000000000004</v>
      </c>
      <c r="E257" s="79">
        <f>+BASICOS!D8</f>
        <v>73185</v>
      </c>
      <c r="F257" s="79">
        <f>+D257*E257</f>
        <v>12441.450000000003</v>
      </c>
    </row>
    <row r="258" spans="1:20">
      <c r="A258" s="529"/>
      <c r="B258" s="36" t="s">
        <v>234</v>
      </c>
      <c r="C258" s="77" t="s">
        <v>121</v>
      </c>
      <c r="D258" s="78">
        <f>0.9*2*0.17</f>
        <v>0.30600000000000005</v>
      </c>
      <c r="E258" s="79">
        <f>+BASICOS!E146</f>
        <v>392821</v>
      </c>
      <c r="F258" s="79">
        <f>+E258*D258</f>
        <v>120203.22600000002</v>
      </c>
    </row>
    <row r="259" spans="1:20">
      <c r="A259" s="529"/>
      <c r="B259" s="36" t="s">
        <v>67</v>
      </c>
      <c r="C259" s="77" t="s">
        <v>121</v>
      </c>
      <c r="D259" s="78">
        <f>2.5*0.17*0.6</f>
        <v>0.255</v>
      </c>
      <c r="E259" s="79">
        <f>+BASICOS!E80</f>
        <v>318331</v>
      </c>
      <c r="F259" s="79">
        <f>+E259*D259</f>
        <v>81174.404999999999</v>
      </c>
    </row>
    <row r="260" spans="1:20">
      <c r="A260" s="529"/>
      <c r="B260" s="36" t="s">
        <v>229</v>
      </c>
      <c r="C260" s="77" t="s">
        <v>68</v>
      </c>
      <c r="D260" s="78">
        <v>0.05</v>
      </c>
      <c r="E260" s="79">
        <f>SUM(F257:F259)</f>
        <v>213819.08100000003</v>
      </c>
      <c r="F260" s="79">
        <f>+D260*E260</f>
        <v>10690.954050000002</v>
      </c>
    </row>
    <row r="261" spans="1:20">
      <c r="A261" s="529"/>
      <c r="B261" s="36" t="s">
        <v>136</v>
      </c>
      <c r="C261" s="77" t="s">
        <v>68</v>
      </c>
      <c r="D261" s="78"/>
      <c r="E261" s="79">
        <f>SUM(F257:F260)</f>
        <v>224510.03505000003</v>
      </c>
      <c r="F261" s="79">
        <f>+D261*E261</f>
        <v>0</v>
      </c>
    </row>
    <row r="262" spans="1:20">
      <c r="A262" s="529"/>
      <c r="B262" s="36" t="s">
        <v>11</v>
      </c>
      <c r="C262" s="77" t="s">
        <v>284</v>
      </c>
      <c r="D262" s="78">
        <v>0.03</v>
      </c>
      <c r="E262" s="79">
        <f>F263</f>
        <v>36588.017192597261</v>
      </c>
      <c r="F262" s="79">
        <f>(D262*E262)</f>
        <v>1097.6405157779177</v>
      </c>
    </row>
    <row r="263" spans="1:20">
      <c r="A263" s="529"/>
      <c r="B263" s="36" t="s">
        <v>9</v>
      </c>
      <c r="C263" s="77" t="s">
        <v>10</v>
      </c>
      <c r="D263" s="78">
        <v>1.4</v>
      </c>
      <c r="E263" s="79">
        <f>+'VALOR CUADRILLAS MO'!D75</f>
        <v>26134.297994712331</v>
      </c>
      <c r="F263" s="79">
        <f>+D263*E263</f>
        <v>36588.017192597261</v>
      </c>
    </row>
    <row r="264" spans="1:20">
      <c r="A264" s="427"/>
      <c r="B264" s="165"/>
      <c r="C264" s="77"/>
      <c r="D264" s="78"/>
      <c r="E264" s="79"/>
      <c r="F264" s="79"/>
    </row>
    <row r="265" spans="1:20" s="2" customFormat="1" ht="40.15" customHeight="1">
      <c r="A265" s="246">
        <f>A256+1</f>
        <v>36</v>
      </c>
      <c r="B265" s="83" t="s">
        <v>2698</v>
      </c>
      <c r="C265" s="76" t="s">
        <v>119</v>
      </c>
      <c r="D265" s="73"/>
      <c r="E265" s="467"/>
      <c r="F265" s="468" t="e">
        <f>ROUND(SUM(F266:F272),0)</f>
        <v>#REF!</v>
      </c>
      <c r="J265" s="244"/>
      <c r="K265" s="244"/>
      <c r="L265" s="244"/>
      <c r="M265" s="3"/>
      <c r="N265" s="3"/>
      <c r="O265" s="64"/>
      <c r="P265" s="64"/>
      <c r="Q265" s="64"/>
      <c r="R265" s="64"/>
      <c r="S265" s="3"/>
      <c r="T265" s="3"/>
    </row>
    <row r="266" spans="1:20" s="2" customFormat="1">
      <c r="A266" s="529"/>
      <c r="B266" s="36" t="s">
        <v>2699</v>
      </c>
      <c r="C266" s="77" t="s">
        <v>119</v>
      </c>
      <c r="D266" s="368">
        <v>1</v>
      </c>
      <c r="E266" s="390" t="e">
        <f>INSUMOS!#REF!</f>
        <v>#REF!</v>
      </c>
      <c r="F266" s="390" t="e">
        <f>D266*E266</f>
        <v>#REF!</v>
      </c>
      <c r="J266" s="244"/>
      <c r="K266" s="244"/>
      <c r="L266" s="244"/>
      <c r="M266" s="3"/>
      <c r="N266" s="3"/>
      <c r="O266" s="64"/>
      <c r="P266" s="64"/>
      <c r="Q266" s="64"/>
      <c r="R266" s="64"/>
      <c r="S266" s="3"/>
      <c r="T266" s="3"/>
    </row>
    <row r="267" spans="1:20" s="2" customFormat="1">
      <c r="A267" s="529"/>
      <c r="B267" s="36" t="s">
        <v>2700</v>
      </c>
      <c r="C267" s="77" t="s">
        <v>120</v>
      </c>
      <c r="D267" s="368">
        <v>0.03</v>
      </c>
      <c r="E267" s="390">
        <f>INSUMOS!D44</f>
        <v>7066.22</v>
      </c>
      <c r="F267" s="390">
        <f t="shared" ref="F267:F272" si="4">D267*E267</f>
        <v>211.98660000000001</v>
      </c>
      <c r="J267" s="244"/>
      <c r="K267" s="244"/>
      <c r="L267" s="244"/>
      <c r="M267" s="3"/>
      <c r="N267" s="3"/>
      <c r="O267" s="64"/>
      <c r="P267" s="64"/>
      <c r="Q267" s="64"/>
      <c r="R267" s="64"/>
      <c r="S267" s="3"/>
      <c r="T267" s="3"/>
    </row>
    <row r="268" spans="1:20" s="2" customFormat="1">
      <c r="A268" s="529"/>
      <c r="B268" s="36" t="s">
        <v>52</v>
      </c>
      <c r="C268" s="77" t="s">
        <v>26</v>
      </c>
      <c r="D268" s="368">
        <v>7.1999999999999995E-2</v>
      </c>
      <c r="E268" s="390">
        <f>INSUMOS!D65</f>
        <v>26622.68</v>
      </c>
      <c r="F268" s="390">
        <f t="shared" si="4"/>
        <v>1916.83296</v>
      </c>
      <c r="J268" s="244"/>
      <c r="K268" s="244"/>
      <c r="L268" s="244"/>
      <c r="M268" s="3"/>
      <c r="N268" s="3"/>
      <c r="O268" s="64"/>
      <c r="P268" s="64"/>
      <c r="Q268" s="64"/>
      <c r="R268" s="64"/>
      <c r="S268" s="3"/>
      <c r="T268" s="3"/>
    </row>
    <row r="269" spans="1:20" s="2" customFormat="1">
      <c r="A269" s="529"/>
      <c r="B269" s="36" t="s">
        <v>229</v>
      </c>
      <c r="C269" s="77" t="s">
        <v>68</v>
      </c>
      <c r="D269" s="368">
        <v>0.05</v>
      </c>
      <c r="E269" s="390" t="e">
        <f>SUM(F266:F268)</f>
        <v>#REF!</v>
      </c>
      <c r="F269" s="390" t="e">
        <f t="shared" si="4"/>
        <v>#REF!</v>
      </c>
      <c r="J269" s="244"/>
      <c r="K269" s="244"/>
      <c r="L269" s="244"/>
      <c r="M269" s="3"/>
      <c r="N269" s="3"/>
      <c r="O269" s="64"/>
      <c r="P269" s="64"/>
      <c r="Q269" s="64"/>
      <c r="R269" s="64"/>
      <c r="S269" s="3"/>
      <c r="T269" s="3"/>
    </row>
    <row r="270" spans="1:20" s="2" customFormat="1">
      <c r="A270" s="529"/>
      <c r="B270" s="36" t="s">
        <v>136</v>
      </c>
      <c r="C270" s="77" t="s">
        <v>68</v>
      </c>
      <c r="D270" s="368"/>
      <c r="E270" s="390" t="e">
        <f>SUM(F266:F269)</f>
        <v>#REF!</v>
      </c>
      <c r="F270" s="390" t="e">
        <f>+D270*E270</f>
        <v>#REF!</v>
      </c>
      <c r="J270" s="244"/>
      <c r="K270" s="244"/>
      <c r="L270" s="244"/>
      <c r="M270" s="3"/>
      <c r="N270" s="3"/>
      <c r="O270" s="64"/>
      <c r="P270" s="64"/>
      <c r="Q270" s="64"/>
      <c r="R270" s="64"/>
      <c r="S270" s="3"/>
      <c r="T270" s="3"/>
    </row>
    <row r="271" spans="1:20" s="2" customFormat="1">
      <c r="A271" s="529"/>
      <c r="B271" s="36" t="s">
        <v>11</v>
      </c>
      <c r="C271" s="77" t="s">
        <v>284</v>
      </c>
      <c r="D271" s="368">
        <v>0.03</v>
      </c>
      <c r="E271" s="390">
        <f>F272</f>
        <v>1045.3719197884932</v>
      </c>
      <c r="F271" s="390">
        <f t="shared" si="4"/>
        <v>31.361157593654795</v>
      </c>
      <c r="J271" s="244"/>
      <c r="K271" s="244"/>
      <c r="L271" s="244"/>
      <c r="M271" s="3"/>
      <c r="N271" s="3"/>
      <c r="O271" s="64"/>
      <c r="P271" s="64"/>
      <c r="Q271" s="64"/>
      <c r="R271" s="64"/>
      <c r="S271" s="3"/>
      <c r="T271" s="3"/>
    </row>
    <row r="272" spans="1:20" s="2" customFormat="1">
      <c r="A272" s="529"/>
      <c r="B272" s="36" t="s">
        <v>9</v>
      </c>
      <c r="C272" s="77" t="s">
        <v>10</v>
      </c>
      <c r="D272" s="368">
        <v>0.04</v>
      </c>
      <c r="E272" s="390">
        <f>+'VALOR CUADRILLAS MO'!D75</f>
        <v>26134.297994712331</v>
      </c>
      <c r="F272" s="390">
        <f t="shared" si="4"/>
        <v>1045.3719197884932</v>
      </c>
      <c r="J272" s="244"/>
      <c r="K272" s="244"/>
      <c r="L272" s="244"/>
      <c r="M272" s="3"/>
      <c r="N272" s="3"/>
      <c r="O272" s="64"/>
      <c r="P272" s="64"/>
      <c r="Q272" s="64"/>
      <c r="R272" s="64"/>
      <c r="S272" s="3"/>
      <c r="T272" s="3"/>
    </row>
    <row r="273" spans="1:20">
      <c r="A273" s="529"/>
      <c r="B273" s="165"/>
      <c r="C273" s="270"/>
      <c r="D273" s="272"/>
      <c r="E273" s="266"/>
      <c r="F273" s="266"/>
    </row>
    <row r="274" spans="1:20" ht="39.6" customHeight="1">
      <c r="A274" s="246">
        <f>A265+1</f>
        <v>37</v>
      </c>
      <c r="B274" s="472" t="s">
        <v>2723</v>
      </c>
      <c r="C274" s="76" t="s">
        <v>121</v>
      </c>
      <c r="D274" s="420"/>
      <c r="E274" s="309"/>
      <c r="F274" s="309" t="e">
        <f>ROUND(SUM(F275:F282),0)</f>
        <v>#REF!</v>
      </c>
      <c r="N274" s="422"/>
      <c r="O274" s="423"/>
      <c r="P274" s="424"/>
      <c r="Q274" s="425"/>
      <c r="R274" s="425"/>
    </row>
    <row r="275" spans="1:20">
      <c r="A275" s="529"/>
      <c r="B275" s="384" t="s">
        <v>2636</v>
      </c>
      <c r="C275" s="77" t="s">
        <v>121</v>
      </c>
      <c r="D275" s="78">
        <v>1</v>
      </c>
      <c r="E275" s="303">
        <f>BASICOS!E146</f>
        <v>392821</v>
      </c>
      <c r="F275" s="303">
        <f>D275*E275</f>
        <v>392821</v>
      </c>
      <c r="N275" s="384"/>
      <c r="O275" s="77"/>
      <c r="P275" s="78"/>
      <c r="Q275" s="303"/>
      <c r="R275" s="303"/>
    </row>
    <row r="276" spans="1:20">
      <c r="A276" s="529"/>
      <c r="B276" s="384" t="s">
        <v>2662</v>
      </c>
      <c r="C276" s="77" t="s">
        <v>32</v>
      </c>
      <c r="D276" s="78">
        <v>1.1200000000000001</v>
      </c>
      <c r="E276" s="303">
        <f>INSUMOS!D112</f>
        <v>4873.05</v>
      </c>
      <c r="F276" s="303">
        <f t="shared" ref="F276:F282" si="5">D276*E276</f>
        <v>5457.8160000000007</v>
      </c>
      <c r="N276" s="384"/>
      <c r="O276" s="77"/>
      <c r="P276" s="78"/>
      <c r="Q276" s="303"/>
      <c r="R276" s="303"/>
    </row>
    <row r="277" spans="1:20">
      <c r="A277" s="529"/>
      <c r="B277" s="384" t="s">
        <v>229</v>
      </c>
      <c r="C277" s="77" t="s">
        <v>68</v>
      </c>
      <c r="D277" s="78">
        <v>0.05</v>
      </c>
      <c r="E277" s="303">
        <f>SUM(F275:F276)</f>
        <v>398278.81599999999</v>
      </c>
      <c r="F277" s="303">
        <f t="shared" si="5"/>
        <v>19913.9408</v>
      </c>
      <c r="N277" s="384"/>
      <c r="O277" s="77"/>
      <c r="P277" s="78"/>
      <c r="Q277" s="303"/>
      <c r="R277" s="303"/>
    </row>
    <row r="278" spans="1:20">
      <c r="A278" s="529"/>
      <c r="B278" s="384" t="s">
        <v>136</v>
      </c>
      <c r="C278" s="77" t="s">
        <v>68</v>
      </c>
      <c r="D278" s="78"/>
      <c r="E278" s="303">
        <f>SUM(F275:F277)</f>
        <v>418192.75679999997</v>
      </c>
      <c r="F278" s="303">
        <f t="shared" si="5"/>
        <v>0</v>
      </c>
      <c r="N278" s="384"/>
      <c r="O278" s="77"/>
      <c r="P278" s="78"/>
      <c r="Q278" s="303"/>
      <c r="R278" s="303"/>
    </row>
    <row r="279" spans="1:20">
      <c r="A279" s="529"/>
      <c r="B279" s="384" t="s">
        <v>187</v>
      </c>
      <c r="C279" s="77" t="s">
        <v>12</v>
      </c>
      <c r="D279" s="78">
        <v>0.04</v>
      </c>
      <c r="E279" s="303">
        <f>INSUMOS!D39</f>
        <v>136980.47829830134</v>
      </c>
      <c r="F279" s="303">
        <f t="shared" si="5"/>
        <v>5479.2191319320536</v>
      </c>
      <c r="N279" s="384"/>
      <c r="O279" s="77"/>
      <c r="P279" s="78"/>
      <c r="Q279" s="303"/>
      <c r="R279" s="303"/>
    </row>
    <row r="280" spans="1:20">
      <c r="A280" s="529"/>
      <c r="B280" s="384" t="s">
        <v>3119</v>
      </c>
      <c r="C280" s="77" t="s">
        <v>12</v>
      </c>
      <c r="D280" s="78">
        <v>1</v>
      </c>
      <c r="E280" s="303" t="e">
        <f>INSUMOS!#REF!</f>
        <v>#REF!</v>
      </c>
      <c r="F280" s="303" t="e">
        <f t="shared" si="5"/>
        <v>#REF!</v>
      </c>
      <c r="N280" s="384"/>
      <c r="O280" s="77"/>
      <c r="P280" s="78"/>
      <c r="Q280" s="303"/>
      <c r="R280" s="303"/>
    </row>
    <row r="281" spans="1:20">
      <c r="A281" s="529"/>
      <c r="B281" s="384" t="s">
        <v>11</v>
      </c>
      <c r="C281" s="77" t="s">
        <v>284</v>
      </c>
      <c r="D281" s="78">
        <v>0.03</v>
      </c>
      <c r="E281" s="303">
        <f>+F282</f>
        <v>222141.5329550548</v>
      </c>
      <c r="F281" s="303">
        <f t="shared" si="5"/>
        <v>6664.2459886516435</v>
      </c>
      <c r="N281" s="384"/>
      <c r="O281" s="77"/>
      <c r="P281" s="78"/>
      <c r="Q281" s="303"/>
      <c r="R281" s="303"/>
    </row>
    <row r="282" spans="1:20">
      <c r="A282" s="529"/>
      <c r="B282" s="384" t="s">
        <v>9</v>
      </c>
      <c r="C282" s="77" t="s">
        <v>10</v>
      </c>
      <c r="D282" s="78">
        <v>8.5</v>
      </c>
      <c r="E282" s="303">
        <f>'VALOR CUADRILLAS MO'!D75</f>
        <v>26134.297994712331</v>
      </c>
      <c r="F282" s="303">
        <f t="shared" si="5"/>
        <v>222141.5329550548</v>
      </c>
      <c r="N282" s="384"/>
      <c r="O282" s="77"/>
      <c r="P282" s="78"/>
      <c r="Q282" s="303"/>
      <c r="R282" s="303"/>
    </row>
    <row r="283" spans="1:20">
      <c r="A283" s="529"/>
      <c r="B283" s="384"/>
      <c r="C283" s="77"/>
      <c r="D283" s="78"/>
      <c r="E283" s="303"/>
      <c r="F283" s="303"/>
      <c r="N283" s="384"/>
      <c r="O283" s="77"/>
      <c r="P283" s="78"/>
      <c r="Q283" s="303"/>
      <c r="R283" s="303"/>
    </row>
    <row r="284" spans="1:20" s="2" customFormat="1" ht="39.6" customHeight="1">
      <c r="A284" s="246">
        <f>A274+1</f>
        <v>38</v>
      </c>
      <c r="B284" s="83" t="s">
        <v>2708</v>
      </c>
      <c r="C284" s="76" t="s">
        <v>119</v>
      </c>
      <c r="D284" s="73"/>
      <c r="E284" s="74"/>
      <c r="F284" s="75">
        <f>ROUND(SUM(F285:F290),0)</f>
        <v>55191</v>
      </c>
      <c r="J284" s="244"/>
      <c r="K284" s="244"/>
      <c r="L284" s="244"/>
      <c r="M284" s="3"/>
      <c r="N284" s="3"/>
      <c r="O284" s="64"/>
      <c r="P284" s="64"/>
      <c r="Q284" s="64"/>
      <c r="R284" s="64"/>
      <c r="S284" s="3"/>
      <c r="T284" s="3"/>
    </row>
    <row r="285" spans="1:20" s="2" customFormat="1">
      <c r="A285" s="529"/>
      <c r="B285" s="165" t="s">
        <v>501</v>
      </c>
      <c r="C285" s="77" t="s">
        <v>75</v>
      </c>
      <c r="D285" s="78">
        <f>0.15*40%</f>
        <v>0.06</v>
      </c>
      <c r="E285" s="79">
        <f>+BASICOS!D8</f>
        <v>73185</v>
      </c>
      <c r="F285" s="79">
        <f>+D285*E285</f>
        <v>4391.0999999999995</v>
      </c>
      <c r="J285" s="244"/>
      <c r="K285" s="244"/>
      <c r="L285" s="244"/>
      <c r="M285" s="3"/>
      <c r="N285" s="3"/>
      <c r="O285" s="64"/>
      <c r="P285" s="64"/>
      <c r="Q285" s="64"/>
      <c r="R285" s="64"/>
      <c r="S285" s="3"/>
      <c r="T285" s="3"/>
    </row>
    <row r="286" spans="1:20" s="244" customFormat="1">
      <c r="A286" s="529"/>
      <c r="B286" s="165" t="s">
        <v>234</v>
      </c>
      <c r="C286" s="77" t="s">
        <v>121</v>
      </c>
      <c r="D286" s="78">
        <f>0.15*60%</f>
        <v>0.09</v>
      </c>
      <c r="E286" s="79">
        <f>+BASICOS!E146</f>
        <v>392821</v>
      </c>
      <c r="F286" s="79">
        <f>+E286*D286</f>
        <v>35353.89</v>
      </c>
      <c r="G286" s="2"/>
      <c r="H286" s="2"/>
      <c r="I286" s="2"/>
      <c r="M286" s="3"/>
      <c r="N286" s="3"/>
      <c r="O286" s="64"/>
      <c r="P286" s="64"/>
      <c r="Q286" s="64"/>
      <c r="R286" s="64"/>
      <c r="S286" s="3"/>
      <c r="T286" s="3"/>
    </row>
    <row r="287" spans="1:20" s="244" customFormat="1">
      <c r="A287" s="529"/>
      <c r="B287" s="165" t="s">
        <v>229</v>
      </c>
      <c r="C287" s="77" t="s">
        <v>68</v>
      </c>
      <c r="D287" s="78">
        <v>0.05</v>
      </c>
      <c r="E287" s="79">
        <f>SUM(F285:F286)</f>
        <v>39744.99</v>
      </c>
      <c r="F287" s="79">
        <f>+D287*E287</f>
        <v>1987.2494999999999</v>
      </c>
      <c r="G287" s="2"/>
      <c r="H287" s="2"/>
      <c r="I287" s="2"/>
      <c r="M287" s="3"/>
      <c r="N287" s="3"/>
      <c r="O287" s="64"/>
      <c r="P287" s="64"/>
      <c r="Q287" s="64"/>
      <c r="R287" s="64"/>
      <c r="S287" s="3"/>
      <c r="T287" s="3"/>
    </row>
    <row r="288" spans="1:20" s="244" customFormat="1">
      <c r="A288" s="529"/>
      <c r="B288" s="165" t="s">
        <v>136</v>
      </c>
      <c r="C288" s="77" t="s">
        <v>68</v>
      </c>
      <c r="D288" s="78"/>
      <c r="E288" s="79">
        <f>SUM(F285:F287)</f>
        <v>41732.239499999996</v>
      </c>
      <c r="F288" s="79">
        <f>+D288*E288</f>
        <v>0</v>
      </c>
      <c r="G288" s="2"/>
      <c r="H288" s="2"/>
      <c r="I288" s="2"/>
      <c r="M288" s="3"/>
      <c r="N288" s="3"/>
      <c r="O288" s="64"/>
      <c r="P288" s="64"/>
      <c r="Q288" s="64"/>
      <c r="R288" s="64"/>
      <c r="S288" s="3"/>
      <c r="T288" s="3"/>
    </row>
    <row r="289" spans="1:20" s="244" customFormat="1">
      <c r="A289" s="529"/>
      <c r="B289" s="165" t="s">
        <v>11</v>
      </c>
      <c r="C289" s="77" t="s">
        <v>284</v>
      </c>
      <c r="D289" s="78">
        <v>0.03</v>
      </c>
      <c r="E289" s="79">
        <f>+F290</f>
        <v>13067.148997356166</v>
      </c>
      <c r="F289" s="79">
        <f>(D289*E289)</f>
        <v>392.01446992068497</v>
      </c>
      <c r="G289" s="2"/>
      <c r="H289" s="2"/>
      <c r="I289" s="2"/>
      <c r="M289" s="3"/>
      <c r="N289" s="3"/>
      <c r="O289" s="64"/>
      <c r="P289" s="64"/>
      <c r="Q289" s="64"/>
      <c r="R289" s="64"/>
      <c r="S289" s="3"/>
      <c r="T289" s="3"/>
    </row>
    <row r="290" spans="1:20" s="244" customFormat="1">
      <c r="A290" s="529"/>
      <c r="B290" s="165" t="s">
        <v>9</v>
      </c>
      <c r="C290" s="77" t="s">
        <v>10</v>
      </c>
      <c r="D290" s="78">
        <v>0.5</v>
      </c>
      <c r="E290" s="79">
        <f>+'VALOR CUADRILLAS MO'!D75</f>
        <v>26134.297994712331</v>
      </c>
      <c r="F290" s="79">
        <f>+D290*E290</f>
        <v>13067.148997356166</v>
      </c>
      <c r="G290" s="2"/>
      <c r="H290" s="2"/>
      <c r="I290" s="2"/>
      <c r="M290" s="3"/>
      <c r="N290" s="3"/>
      <c r="O290" s="64"/>
      <c r="P290" s="64"/>
      <c r="Q290" s="64"/>
      <c r="R290" s="64"/>
      <c r="S290" s="3"/>
      <c r="T290" s="3"/>
    </row>
    <row r="291" spans="1:20" s="244" customFormat="1">
      <c r="A291" s="529"/>
      <c r="B291" s="165"/>
      <c r="C291" s="77"/>
      <c r="D291" s="78"/>
      <c r="E291" s="79"/>
      <c r="F291" s="79"/>
      <c r="G291" s="2"/>
      <c r="H291" s="2"/>
      <c r="I291" s="2"/>
      <c r="M291" s="3"/>
      <c r="N291" s="3"/>
      <c r="O291" s="64"/>
      <c r="P291" s="64"/>
      <c r="Q291" s="64"/>
      <c r="R291" s="64"/>
      <c r="S291" s="3"/>
      <c r="T291" s="3"/>
    </row>
    <row r="292" spans="1:20" ht="24.6" customHeight="1">
      <c r="A292" s="458" t="s">
        <v>400</v>
      </c>
      <c r="B292" s="454" t="s">
        <v>2738</v>
      </c>
      <c r="C292" s="459"/>
      <c r="D292" s="460"/>
      <c r="E292" s="461"/>
      <c r="F292" s="461"/>
    </row>
    <row r="293" spans="1:20" ht="24.6" customHeight="1">
      <c r="A293" s="246">
        <f>A284+1</f>
        <v>39</v>
      </c>
      <c r="B293" s="83" t="s">
        <v>2645</v>
      </c>
      <c r="C293" s="76" t="s">
        <v>21</v>
      </c>
      <c r="D293" s="73"/>
      <c r="E293" s="74"/>
      <c r="F293" s="75">
        <f>ROUND(SUM(F294:F299),0)</f>
        <v>26229</v>
      </c>
    </row>
    <row r="294" spans="1:20">
      <c r="A294" s="529"/>
      <c r="B294" s="165" t="s">
        <v>755</v>
      </c>
      <c r="C294" s="77" t="s">
        <v>121</v>
      </c>
      <c r="D294" s="78">
        <f>0.3*0.1</f>
        <v>0.03</v>
      </c>
      <c r="E294" s="79">
        <f>BASICOS!E135</f>
        <v>425444</v>
      </c>
      <c r="F294" s="79">
        <f>+E294*D294</f>
        <v>12763.32</v>
      </c>
    </row>
    <row r="295" spans="1:20">
      <c r="A295" s="529"/>
      <c r="B295" s="165" t="s">
        <v>229</v>
      </c>
      <c r="C295" s="77" t="s">
        <v>68</v>
      </c>
      <c r="D295" s="78">
        <v>0.05</v>
      </c>
      <c r="E295" s="79">
        <f>SUM(F294)</f>
        <v>12763.32</v>
      </c>
      <c r="F295" s="79">
        <f>+D295*E295</f>
        <v>638.16600000000005</v>
      </c>
    </row>
    <row r="296" spans="1:20">
      <c r="A296" s="529"/>
      <c r="B296" s="165" t="s">
        <v>411</v>
      </c>
      <c r="C296" s="77" t="s">
        <v>169</v>
      </c>
      <c r="D296" s="78">
        <v>0.4</v>
      </c>
      <c r="E296" s="79">
        <f>+BASICOS!D48</f>
        <v>1785</v>
      </c>
      <c r="F296" s="79">
        <f>+D296*E296</f>
        <v>714</v>
      </c>
    </row>
    <row r="297" spans="1:20">
      <c r="A297" s="529"/>
      <c r="B297" s="165" t="s">
        <v>136</v>
      </c>
      <c r="C297" s="77" t="s">
        <v>68</v>
      </c>
      <c r="D297" s="78"/>
      <c r="E297" s="79">
        <f>SUM(F294:L296)</f>
        <v>14115.485999999999</v>
      </c>
      <c r="F297" s="79">
        <f>+D297*E297</f>
        <v>0</v>
      </c>
    </row>
    <row r="298" spans="1:20">
      <c r="A298" s="529"/>
      <c r="B298" s="165" t="s">
        <v>11</v>
      </c>
      <c r="C298" s="77" t="s">
        <v>284</v>
      </c>
      <c r="D298" s="78">
        <v>0.03</v>
      </c>
      <c r="E298" s="79">
        <f>+F299</f>
        <v>11760.434097620549</v>
      </c>
      <c r="F298" s="79">
        <f>(D298*E298)</f>
        <v>352.81302292861648</v>
      </c>
    </row>
    <row r="299" spans="1:20">
      <c r="A299" s="529"/>
      <c r="B299" s="165" t="s">
        <v>9</v>
      </c>
      <c r="C299" s="77" t="s">
        <v>10</v>
      </c>
      <c r="D299" s="78">
        <v>0.45</v>
      </c>
      <c r="E299" s="79">
        <f>+'VALOR CUADRILLAS MO'!D75</f>
        <v>26134.297994712331</v>
      </c>
      <c r="F299" s="79">
        <f>+D299*E299</f>
        <v>11760.434097620549</v>
      </c>
    </row>
    <row r="300" spans="1:20">
      <c r="A300" s="529"/>
      <c r="B300" s="165"/>
      <c r="C300" s="270"/>
      <c r="D300" s="272"/>
      <c r="E300" s="266"/>
      <c r="F300" s="266"/>
    </row>
    <row r="301" spans="1:20" ht="37.15" customHeight="1">
      <c r="A301" s="246">
        <f>A293+1</f>
        <v>40</v>
      </c>
      <c r="B301" s="472" t="s">
        <v>2718</v>
      </c>
      <c r="C301" s="76" t="s">
        <v>121</v>
      </c>
      <c r="D301" s="420"/>
      <c r="E301" s="309"/>
      <c r="F301" s="309" t="e">
        <f>ROUND(SUM(F302:F309),0)</f>
        <v>#REF!</v>
      </c>
    </row>
    <row r="302" spans="1:20">
      <c r="A302" s="529"/>
      <c r="B302" s="384" t="s">
        <v>2636</v>
      </c>
      <c r="C302" s="77" t="s">
        <v>121</v>
      </c>
      <c r="D302" s="78">
        <v>1</v>
      </c>
      <c r="E302" s="303">
        <f>BASICOS!E146</f>
        <v>392821</v>
      </c>
      <c r="F302" s="303">
        <f>D302*E302</f>
        <v>392821</v>
      </c>
    </row>
    <row r="303" spans="1:20">
      <c r="A303" s="529"/>
      <c r="B303" s="384" t="s">
        <v>2662</v>
      </c>
      <c r="C303" s="77" t="s">
        <v>32</v>
      </c>
      <c r="D303" s="78">
        <v>1.1200000000000001</v>
      </c>
      <c r="E303" s="303">
        <f>INSUMOS!D112</f>
        <v>4873.05</v>
      </c>
      <c r="F303" s="303">
        <f t="shared" ref="F303:F309" si="6">D303*E303</f>
        <v>5457.8160000000007</v>
      </c>
    </row>
    <row r="304" spans="1:20">
      <c r="A304" s="529"/>
      <c r="B304" s="384" t="s">
        <v>229</v>
      </c>
      <c r="C304" s="77" t="s">
        <v>68</v>
      </c>
      <c r="D304" s="78">
        <v>0.05</v>
      </c>
      <c r="E304" s="303">
        <f>SUM(F302:F303)</f>
        <v>398278.81599999999</v>
      </c>
      <c r="F304" s="303">
        <f t="shared" si="6"/>
        <v>19913.9408</v>
      </c>
    </row>
    <row r="305" spans="1:6">
      <c r="A305" s="529"/>
      <c r="B305" s="384" t="s">
        <v>136</v>
      </c>
      <c r="C305" s="77" t="s">
        <v>68</v>
      </c>
      <c r="D305" s="78"/>
      <c r="E305" s="303">
        <f>SUM(F302:F304)</f>
        <v>418192.75679999997</v>
      </c>
      <c r="F305" s="303">
        <f t="shared" si="6"/>
        <v>0</v>
      </c>
    </row>
    <row r="306" spans="1:6">
      <c r="A306" s="529"/>
      <c r="B306" s="384" t="s">
        <v>187</v>
      </c>
      <c r="C306" s="77" t="s">
        <v>12</v>
      </c>
      <c r="D306" s="78">
        <v>0.04</v>
      </c>
      <c r="E306" s="303">
        <f>INSUMOS!D39</f>
        <v>136980.47829830134</v>
      </c>
      <c r="F306" s="303">
        <f t="shared" si="6"/>
        <v>5479.2191319320536</v>
      </c>
    </row>
    <row r="307" spans="1:6">
      <c r="A307" s="529"/>
      <c r="B307" s="384" t="s">
        <v>232</v>
      </c>
      <c r="C307" s="77" t="s">
        <v>12</v>
      </c>
      <c r="D307" s="78">
        <v>1</v>
      </c>
      <c r="E307" s="303" t="e">
        <f>INSUMOS!#REF!</f>
        <v>#REF!</v>
      </c>
      <c r="F307" s="303" t="e">
        <f t="shared" si="6"/>
        <v>#REF!</v>
      </c>
    </row>
    <row r="308" spans="1:6">
      <c r="A308" s="529"/>
      <c r="B308" s="384" t="s">
        <v>11</v>
      </c>
      <c r="C308" s="77" t="s">
        <v>284</v>
      </c>
      <c r="D308" s="78">
        <v>0.03</v>
      </c>
      <c r="E308" s="303">
        <f>+F309</f>
        <v>222141.5329550548</v>
      </c>
      <c r="F308" s="303">
        <f t="shared" si="6"/>
        <v>6664.2459886516435</v>
      </c>
    </row>
    <row r="309" spans="1:6">
      <c r="A309" s="529"/>
      <c r="B309" s="384" t="s">
        <v>9</v>
      </c>
      <c r="C309" s="77" t="s">
        <v>10</v>
      </c>
      <c r="D309" s="78">
        <v>8.5</v>
      </c>
      <c r="E309" s="303">
        <f>'VALOR CUADRILLAS MO'!D75</f>
        <v>26134.297994712331</v>
      </c>
      <c r="F309" s="303">
        <f t="shared" si="6"/>
        <v>222141.5329550548</v>
      </c>
    </row>
    <row r="310" spans="1:6">
      <c r="A310" s="529"/>
      <c r="B310" s="165"/>
      <c r="C310" s="270"/>
      <c r="D310" s="272"/>
      <c r="E310" s="266"/>
      <c r="F310" s="266"/>
    </row>
    <row r="311" spans="1:6" ht="30.6" customHeight="1">
      <c r="A311" s="246">
        <f>A301+1</f>
        <v>41</v>
      </c>
      <c r="B311" s="472" t="s">
        <v>2722</v>
      </c>
      <c r="C311" s="76" t="s">
        <v>121</v>
      </c>
      <c r="D311" s="420"/>
      <c r="E311" s="309"/>
      <c r="F311" s="309" t="e">
        <f>ROUND(SUM(F312:F317),0)</f>
        <v>#REF!</v>
      </c>
    </row>
    <row r="312" spans="1:6">
      <c r="A312" s="529"/>
      <c r="B312" s="384" t="s">
        <v>2636</v>
      </c>
      <c r="C312" s="77" t="s">
        <v>121</v>
      </c>
      <c r="D312" s="78">
        <v>0.6</v>
      </c>
      <c r="E312" s="303">
        <f>BASICOS!E146</f>
        <v>392821</v>
      </c>
      <c r="F312" s="303">
        <f t="shared" ref="F312:F317" si="7">D312*E312</f>
        <v>235692.6</v>
      </c>
    </row>
    <row r="313" spans="1:6">
      <c r="A313" s="529"/>
      <c r="B313" s="384" t="s">
        <v>28</v>
      </c>
      <c r="C313" s="77" t="s">
        <v>121</v>
      </c>
      <c r="D313" s="78">
        <v>0.4</v>
      </c>
      <c r="E313" s="303" t="e">
        <f>INSUMOS!#REF!</f>
        <v>#REF!</v>
      </c>
      <c r="F313" s="303" t="e">
        <f t="shared" si="7"/>
        <v>#REF!</v>
      </c>
    </row>
    <row r="314" spans="1:6">
      <c r="A314" s="529"/>
      <c r="B314" s="384" t="s">
        <v>229</v>
      </c>
      <c r="C314" s="77" t="s">
        <v>68</v>
      </c>
      <c r="D314" s="78">
        <v>0.05</v>
      </c>
      <c r="E314" s="303" t="e">
        <f>SUM(F312:F313)</f>
        <v>#REF!</v>
      </c>
      <c r="F314" s="303" t="e">
        <f t="shared" si="7"/>
        <v>#REF!</v>
      </c>
    </row>
    <row r="315" spans="1:6">
      <c r="A315" s="529"/>
      <c r="B315" s="384" t="s">
        <v>136</v>
      </c>
      <c r="C315" s="77" t="s">
        <v>68</v>
      </c>
      <c r="D315" s="78"/>
      <c r="E315" s="303" t="e">
        <f>SUM(F312:F314)</f>
        <v>#REF!</v>
      </c>
      <c r="F315" s="303" t="e">
        <f t="shared" si="7"/>
        <v>#REF!</v>
      </c>
    </row>
    <row r="316" spans="1:6">
      <c r="A316" s="529"/>
      <c r="B316" s="384" t="s">
        <v>11</v>
      </c>
      <c r="C316" s="77" t="s">
        <v>284</v>
      </c>
      <c r="D316" s="78">
        <v>0.03</v>
      </c>
      <c r="E316" s="303">
        <f>+F317</f>
        <v>182940.08596298631</v>
      </c>
      <c r="F316" s="303">
        <f t="shared" si="7"/>
        <v>5488.2025788895889</v>
      </c>
    </row>
    <row r="317" spans="1:6">
      <c r="A317" s="529"/>
      <c r="B317" s="384" t="s">
        <v>9</v>
      </c>
      <c r="C317" s="77" t="s">
        <v>10</v>
      </c>
      <c r="D317" s="78">
        <v>7</v>
      </c>
      <c r="E317" s="303">
        <f>'VALOR CUADRILLAS MO'!D75</f>
        <v>26134.297994712331</v>
      </c>
      <c r="F317" s="303">
        <f t="shared" si="7"/>
        <v>182940.08596298631</v>
      </c>
    </row>
    <row r="318" spans="1:6">
      <c r="A318" s="529"/>
      <c r="B318" s="165"/>
      <c r="C318" s="270"/>
      <c r="D318" s="272"/>
      <c r="E318" s="266"/>
      <c r="F318" s="266"/>
    </row>
    <row r="319" spans="1:6" ht="33.75" customHeight="1">
      <c r="A319" s="246">
        <f>A311+1</f>
        <v>42</v>
      </c>
      <c r="B319" s="472" t="s">
        <v>2721</v>
      </c>
      <c r="C319" s="76" t="s">
        <v>121</v>
      </c>
      <c r="D319" s="420"/>
      <c r="E319" s="309"/>
      <c r="F319" s="309" t="e">
        <f>ROUND(SUM(F320:F327),0)</f>
        <v>#REF!</v>
      </c>
    </row>
    <row r="320" spans="1:6">
      <c r="A320" s="529"/>
      <c r="B320" s="384" t="s">
        <v>2636</v>
      </c>
      <c r="C320" s="77" t="s">
        <v>121</v>
      </c>
      <c r="D320" s="78">
        <v>1</v>
      </c>
      <c r="E320" s="303">
        <f>BASICOS!E146</f>
        <v>392821</v>
      </c>
      <c r="F320" s="303">
        <f>D320*E320</f>
        <v>392821</v>
      </c>
    </row>
    <row r="321" spans="1:6">
      <c r="A321" s="529"/>
      <c r="B321" s="384" t="s">
        <v>2662</v>
      </c>
      <c r="C321" s="77" t="s">
        <v>32</v>
      </c>
      <c r="D321" s="78">
        <v>1.1200000000000001</v>
      </c>
      <c r="E321" s="303">
        <f>INSUMOS!D112</f>
        <v>4873.05</v>
      </c>
      <c r="F321" s="303">
        <f t="shared" ref="F321:F327" si="8">D321*E321</f>
        <v>5457.8160000000007</v>
      </c>
    </row>
    <row r="322" spans="1:6">
      <c r="A322" s="529"/>
      <c r="B322" s="384" t="s">
        <v>229</v>
      </c>
      <c r="C322" s="77" t="s">
        <v>68</v>
      </c>
      <c r="D322" s="78">
        <v>0.05</v>
      </c>
      <c r="E322" s="303">
        <f>SUM(F320:F321)</f>
        <v>398278.81599999999</v>
      </c>
      <c r="F322" s="303">
        <f t="shared" si="8"/>
        <v>19913.9408</v>
      </c>
    </row>
    <row r="323" spans="1:6">
      <c r="A323" s="529"/>
      <c r="B323" s="384" t="s">
        <v>136</v>
      </c>
      <c r="C323" s="77" t="s">
        <v>68</v>
      </c>
      <c r="D323" s="78"/>
      <c r="E323" s="303">
        <f>SUM(F320:F322)</f>
        <v>418192.75679999997</v>
      </c>
      <c r="F323" s="303">
        <f t="shared" si="8"/>
        <v>0</v>
      </c>
    </row>
    <row r="324" spans="1:6">
      <c r="A324" s="529"/>
      <c r="B324" s="384" t="s">
        <v>187</v>
      </c>
      <c r="C324" s="77" t="s">
        <v>12</v>
      </c>
      <c r="D324" s="78">
        <v>0.04</v>
      </c>
      <c r="E324" s="303">
        <f>INSUMOS!D39</f>
        <v>136980.47829830134</v>
      </c>
      <c r="F324" s="303">
        <f t="shared" si="8"/>
        <v>5479.2191319320536</v>
      </c>
    </row>
    <row r="325" spans="1:6">
      <c r="A325" s="529"/>
      <c r="B325" s="384" t="s">
        <v>232</v>
      </c>
      <c r="C325" s="77" t="s">
        <v>12</v>
      </c>
      <c r="D325" s="78">
        <v>1</v>
      </c>
      <c r="E325" s="303" t="e">
        <f>INSUMOS!#REF!</f>
        <v>#REF!</v>
      </c>
      <c r="F325" s="303" t="e">
        <f t="shared" si="8"/>
        <v>#REF!</v>
      </c>
    </row>
    <row r="326" spans="1:6">
      <c r="A326" s="529"/>
      <c r="B326" s="384" t="s">
        <v>11</v>
      </c>
      <c r="C326" s="77" t="s">
        <v>284</v>
      </c>
      <c r="D326" s="78">
        <v>0.03</v>
      </c>
      <c r="E326" s="303">
        <f>+F327</f>
        <v>222141.5329550548</v>
      </c>
      <c r="F326" s="303">
        <f t="shared" si="8"/>
        <v>6664.2459886516435</v>
      </c>
    </row>
    <row r="327" spans="1:6">
      <c r="A327" s="529"/>
      <c r="B327" s="384" t="s">
        <v>9</v>
      </c>
      <c r="C327" s="77" t="s">
        <v>10</v>
      </c>
      <c r="D327" s="78">
        <v>8.5</v>
      </c>
      <c r="E327" s="303">
        <f>'VALOR CUADRILLAS MO'!D75</f>
        <v>26134.297994712331</v>
      </c>
      <c r="F327" s="303">
        <f t="shared" si="8"/>
        <v>222141.5329550548</v>
      </c>
    </row>
    <row r="328" spans="1:6">
      <c r="A328" s="529"/>
      <c r="B328" s="165"/>
      <c r="C328" s="270"/>
      <c r="D328" s="272"/>
      <c r="E328" s="266"/>
      <c r="F328" s="266"/>
    </row>
    <row r="329" spans="1:6" ht="36" customHeight="1">
      <c r="A329" s="246">
        <f>A319+1</f>
        <v>43</v>
      </c>
      <c r="B329" s="473" t="s">
        <v>2719</v>
      </c>
      <c r="C329" s="474" t="s">
        <v>21</v>
      </c>
      <c r="D329" s="475"/>
      <c r="E329" s="476"/>
      <c r="F329" s="477" t="e">
        <f>ROUND(SUM(F330:F335),0)</f>
        <v>#REF!</v>
      </c>
    </row>
    <row r="330" spans="1:6">
      <c r="A330" s="529"/>
      <c r="B330" s="384" t="s">
        <v>54</v>
      </c>
      <c r="C330" s="77" t="s">
        <v>121</v>
      </c>
      <c r="D330" s="426">
        <v>0.02</v>
      </c>
      <c r="E330" s="303">
        <f>BASICOS!E63</f>
        <v>379735</v>
      </c>
      <c r="F330" s="303">
        <f t="shared" ref="F330:F335" si="9">+D330*E330</f>
        <v>7594.7</v>
      </c>
    </row>
    <row r="331" spans="1:6">
      <c r="A331" s="529"/>
      <c r="B331" s="384" t="s">
        <v>229</v>
      </c>
      <c r="C331" s="77" t="s">
        <v>68</v>
      </c>
      <c r="D331" s="426">
        <v>0.05</v>
      </c>
      <c r="E331" s="303">
        <f>F330</f>
        <v>7594.7</v>
      </c>
      <c r="F331" s="303">
        <f t="shared" si="9"/>
        <v>379.73500000000001</v>
      </c>
    </row>
    <row r="332" spans="1:6">
      <c r="A332" s="529"/>
      <c r="B332" s="384" t="s">
        <v>2720</v>
      </c>
      <c r="C332" s="77" t="s">
        <v>21</v>
      </c>
      <c r="D332" s="426">
        <v>1</v>
      </c>
      <c r="E332" s="303" t="e">
        <f>INSUMOS!#REF!</f>
        <v>#REF!</v>
      </c>
      <c r="F332" s="303" t="e">
        <f t="shared" si="9"/>
        <v>#REF!</v>
      </c>
    </row>
    <row r="333" spans="1:6">
      <c r="A333" s="529"/>
      <c r="B333" s="384" t="s">
        <v>136</v>
      </c>
      <c r="C333" s="77" t="s">
        <v>68</v>
      </c>
      <c r="D333" s="304"/>
      <c r="E333" s="303" t="e">
        <f>SUM(F330:F332)</f>
        <v>#REF!</v>
      </c>
      <c r="F333" s="303" t="e">
        <f t="shared" si="9"/>
        <v>#REF!</v>
      </c>
    </row>
    <row r="334" spans="1:6">
      <c r="A334" s="529"/>
      <c r="B334" s="384" t="s">
        <v>11</v>
      </c>
      <c r="C334" s="77" t="s">
        <v>284</v>
      </c>
      <c r="D334" s="426">
        <v>0.03</v>
      </c>
      <c r="E334" s="303">
        <f>+F335</f>
        <v>13067.148997356166</v>
      </c>
      <c r="F334" s="303">
        <f t="shared" si="9"/>
        <v>392.01446992068497</v>
      </c>
    </row>
    <row r="335" spans="1:6">
      <c r="A335" s="529"/>
      <c r="B335" s="384" t="s">
        <v>9</v>
      </c>
      <c r="C335" s="77" t="s">
        <v>10</v>
      </c>
      <c r="D335" s="426">
        <v>0.5</v>
      </c>
      <c r="E335" s="303">
        <f>'VALOR CUADRILLAS MO'!D75</f>
        <v>26134.297994712331</v>
      </c>
      <c r="F335" s="303">
        <f t="shared" si="9"/>
        <v>13067.148997356166</v>
      </c>
    </row>
    <row r="336" spans="1:6">
      <c r="A336" s="529"/>
      <c r="B336" s="384"/>
      <c r="C336" s="77"/>
      <c r="D336" s="426"/>
      <c r="E336" s="303"/>
      <c r="F336" s="303"/>
    </row>
    <row r="337" spans="1:6" ht="34.15" customHeight="1">
      <c r="A337" s="246">
        <f>A329+1</f>
        <v>44</v>
      </c>
      <c r="B337" s="478" t="s">
        <v>2724</v>
      </c>
      <c r="C337" s="474" t="s">
        <v>21</v>
      </c>
      <c r="D337" s="475"/>
      <c r="E337" s="476"/>
      <c r="F337" s="477" t="e">
        <f>ROUND(SUM(F338:F345),0)</f>
        <v>#REF!</v>
      </c>
    </row>
    <row r="338" spans="1:6">
      <c r="A338" s="529"/>
      <c r="B338" s="36" t="s">
        <v>2725</v>
      </c>
      <c r="C338" s="77" t="s">
        <v>121</v>
      </c>
      <c r="D338" s="379">
        <v>0.13200000000000001</v>
      </c>
      <c r="E338" s="303" t="e">
        <f>INSUMOS!#REF!</f>
        <v>#REF!</v>
      </c>
      <c r="F338" s="396" t="e">
        <f t="shared" ref="F338:F343" si="10">+D338*E338</f>
        <v>#REF!</v>
      </c>
    </row>
    <row r="339" spans="1:6">
      <c r="A339" s="529"/>
      <c r="B339" s="36" t="s">
        <v>2726</v>
      </c>
      <c r="C339" s="77" t="s">
        <v>208</v>
      </c>
      <c r="D339" s="379">
        <v>7.2600000000000007</v>
      </c>
      <c r="E339" s="303">
        <f>INSUMOS!D23</f>
        <v>1094.8912</v>
      </c>
      <c r="F339" s="396">
        <f t="shared" si="10"/>
        <v>7948.9101120000005</v>
      </c>
    </row>
    <row r="340" spans="1:6" ht="25.5">
      <c r="A340" s="529"/>
      <c r="B340" s="36" t="s">
        <v>2727</v>
      </c>
      <c r="C340" s="77" t="s">
        <v>119</v>
      </c>
      <c r="D340" s="379">
        <v>1.6500000000000001</v>
      </c>
      <c r="E340" s="303" t="e">
        <f>INSUMOS!#REF!</f>
        <v>#REF!</v>
      </c>
      <c r="F340" s="396" t="e">
        <f t="shared" si="10"/>
        <v>#REF!</v>
      </c>
    </row>
    <row r="341" spans="1:6">
      <c r="A341" s="529"/>
      <c r="B341" s="36" t="s">
        <v>2728</v>
      </c>
      <c r="C341" s="77" t="s">
        <v>21</v>
      </c>
      <c r="D341" s="379">
        <v>1</v>
      </c>
      <c r="E341" s="303" t="e">
        <f>INSUMOS!#REF!</f>
        <v>#REF!</v>
      </c>
      <c r="F341" s="396" t="e">
        <f t="shared" si="10"/>
        <v>#REF!</v>
      </c>
    </row>
    <row r="342" spans="1:6">
      <c r="A342" s="529"/>
      <c r="B342" s="36" t="s">
        <v>229</v>
      </c>
      <c r="C342" s="77" t="s">
        <v>68</v>
      </c>
      <c r="D342" s="379">
        <v>0.05</v>
      </c>
      <c r="E342" s="396" t="e">
        <f>SUM(F338:F341)</f>
        <v>#REF!</v>
      </c>
      <c r="F342" s="396" t="e">
        <f t="shared" si="10"/>
        <v>#REF!</v>
      </c>
    </row>
    <row r="343" spans="1:6">
      <c r="A343" s="529"/>
      <c r="B343" s="36" t="s">
        <v>136</v>
      </c>
      <c r="C343" s="77" t="s">
        <v>68</v>
      </c>
      <c r="D343" s="379"/>
      <c r="E343" s="396" t="e">
        <f>SUM(F338:F342)</f>
        <v>#REF!</v>
      </c>
      <c r="F343" s="396" t="e">
        <f t="shared" si="10"/>
        <v>#REF!</v>
      </c>
    </row>
    <row r="344" spans="1:6">
      <c r="A344" s="529"/>
      <c r="B344" s="36" t="s">
        <v>11</v>
      </c>
      <c r="C344" s="77" t="s">
        <v>284</v>
      </c>
      <c r="D344" s="379">
        <v>0.03</v>
      </c>
      <c r="E344" s="396">
        <f>F345</f>
        <v>18294.00859629863</v>
      </c>
      <c r="F344" s="396">
        <f>(D344*E344)</f>
        <v>548.82025788895885</v>
      </c>
    </row>
    <row r="345" spans="1:6">
      <c r="A345" s="529"/>
      <c r="B345" s="36" t="s">
        <v>9</v>
      </c>
      <c r="C345" s="77" t="s">
        <v>10</v>
      </c>
      <c r="D345" s="379">
        <v>0.7</v>
      </c>
      <c r="E345" s="396">
        <f>'VALOR CUADRILLAS MO'!D75</f>
        <v>26134.297994712331</v>
      </c>
      <c r="F345" s="396">
        <f>+D345*E345</f>
        <v>18294.00859629863</v>
      </c>
    </row>
    <row r="346" spans="1:6">
      <c r="A346" s="529"/>
      <c r="B346" s="36"/>
      <c r="C346" s="77"/>
      <c r="D346" s="426"/>
      <c r="E346" s="303"/>
      <c r="F346" s="303"/>
    </row>
    <row r="347" spans="1:6" ht="57" customHeight="1">
      <c r="A347" s="246">
        <f>A337+1</f>
        <v>45</v>
      </c>
      <c r="B347" s="478" t="s">
        <v>2729</v>
      </c>
      <c r="C347" s="474" t="s">
        <v>121</v>
      </c>
      <c r="D347" s="475"/>
      <c r="E347" s="476"/>
      <c r="F347" s="477" t="e">
        <f>ROUND(SUM(F348:F356),0)</f>
        <v>#REF!</v>
      </c>
    </row>
    <row r="348" spans="1:6">
      <c r="A348" s="529"/>
      <c r="B348" s="36" t="s">
        <v>2730</v>
      </c>
      <c r="C348" s="77" t="s">
        <v>121</v>
      </c>
      <c r="D348" s="426">
        <v>1.1000000000000001</v>
      </c>
      <c r="E348" s="303" t="e">
        <f>INSUMOS!#REF!</f>
        <v>#REF!</v>
      </c>
      <c r="F348" s="396" t="e">
        <f t="shared" ref="F348:F356" si="11">+D348*E348</f>
        <v>#REF!</v>
      </c>
    </row>
    <row r="349" spans="1:6">
      <c r="A349" s="529"/>
      <c r="B349" s="36" t="s">
        <v>2731</v>
      </c>
      <c r="C349" s="77" t="s">
        <v>120</v>
      </c>
      <c r="D349" s="426">
        <v>1.1499999999999999</v>
      </c>
      <c r="E349" s="303" t="e">
        <f>INSUMOS!#REF!</f>
        <v>#REF!</v>
      </c>
      <c r="F349" s="396" t="e">
        <f t="shared" si="11"/>
        <v>#REF!</v>
      </c>
    </row>
    <row r="350" spans="1:6">
      <c r="A350" s="529"/>
      <c r="B350" s="36" t="s">
        <v>2732</v>
      </c>
      <c r="C350" s="77" t="s">
        <v>121</v>
      </c>
      <c r="D350" s="426">
        <v>0.12</v>
      </c>
      <c r="E350" s="303">
        <f>BASICOS!E63</f>
        <v>379735</v>
      </c>
      <c r="F350" s="396">
        <f t="shared" si="11"/>
        <v>45568.2</v>
      </c>
    </row>
    <row r="351" spans="1:6" ht="25.5">
      <c r="A351" s="529"/>
      <c r="B351" s="36" t="s">
        <v>2733</v>
      </c>
      <c r="C351" s="77" t="s">
        <v>119</v>
      </c>
      <c r="D351" s="426">
        <v>2</v>
      </c>
      <c r="E351" s="303" t="e">
        <f>INSUMOS!#REF!</f>
        <v>#REF!</v>
      </c>
      <c r="F351" s="396" t="e">
        <f t="shared" si="11"/>
        <v>#REF!</v>
      </c>
    </row>
    <row r="352" spans="1:6">
      <c r="A352" s="529"/>
      <c r="B352" s="36" t="s">
        <v>2734</v>
      </c>
      <c r="C352" s="77" t="s">
        <v>26</v>
      </c>
      <c r="D352" s="426">
        <v>0.5</v>
      </c>
      <c r="E352" s="303" t="e">
        <f>INSUMOS!#REF!</f>
        <v>#REF!</v>
      </c>
      <c r="F352" s="396" t="e">
        <f t="shared" si="11"/>
        <v>#REF!</v>
      </c>
    </row>
    <row r="353" spans="1:20">
      <c r="A353" s="529"/>
      <c r="B353" s="36" t="s">
        <v>136</v>
      </c>
      <c r="C353" s="77" t="s">
        <v>2431</v>
      </c>
      <c r="D353" s="379">
        <v>1.1000000000000001</v>
      </c>
      <c r="E353" s="396">
        <f>INSUMOS!D23</f>
        <v>1094.8912</v>
      </c>
      <c r="F353" s="303">
        <f t="shared" si="11"/>
        <v>1204.3803200000002</v>
      </c>
    </row>
    <row r="354" spans="1:20">
      <c r="A354" s="529"/>
      <c r="B354" s="36" t="s">
        <v>229</v>
      </c>
      <c r="C354" s="77" t="s">
        <v>68</v>
      </c>
      <c r="D354" s="379">
        <v>0.05</v>
      </c>
      <c r="E354" s="396" t="e">
        <f>SUM(F348:F353)</f>
        <v>#REF!</v>
      </c>
      <c r="F354" s="396" t="e">
        <f t="shared" si="11"/>
        <v>#REF!</v>
      </c>
    </row>
    <row r="355" spans="1:20">
      <c r="A355" s="529"/>
      <c r="B355" s="36" t="s">
        <v>11</v>
      </c>
      <c r="C355" s="77" t="s">
        <v>284</v>
      </c>
      <c r="D355" s="379">
        <v>0.03</v>
      </c>
      <c r="E355" s="396">
        <f>F356</f>
        <v>41814.876791539733</v>
      </c>
      <c r="F355" s="396">
        <f t="shared" si="11"/>
        <v>1254.4463037461919</v>
      </c>
    </row>
    <row r="356" spans="1:20">
      <c r="A356" s="529"/>
      <c r="B356" s="36" t="s">
        <v>9</v>
      </c>
      <c r="C356" s="77" t="s">
        <v>10</v>
      </c>
      <c r="D356" s="379">
        <v>1.6</v>
      </c>
      <c r="E356" s="396">
        <f>'VALOR CUADRILLAS MO'!D75</f>
        <v>26134.297994712331</v>
      </c>
      <c r="F356" s="396">
        <f t="shared" si="11"/>
        <v>41814.876791539733</v>
      </c>
    </row>
    <row r="357" spans="1:20">
      <c r="A357" s="529"/>
      <c r="B357" s="36"/>
      <c r="C357" s="77"/>
      <c r="D357" s="426"/>
      <c r="E357" s="303"/>
      <c r="F357" s="303"/>
    </row>
    <row r="358" spans="1:20" s="64" customFormat="1" ht="20.25" customHeight="1">
      <c r="A358" s="246">
        <f>A347+1</f>
        <v>46</v>
      </c>
      <c r="B358" s="83" t="s">
        <v>159</v>
      </c>
      <c r="C358" s="76" t="s">
        <v>121</v>
      </c>
      <c r="D358" s="73"/>
      <c r="E358" s="74"/>
      <c r="F358" s="75" t="e">
        <f>ROUND(SUM(F359:F367),0)</f>
        <v>#REF!</v>
      </c>
      <c r="G358" s="2"/>
      <c r="H358" s="2"/>
      <c r="I358" s="2"/>
      <c r="J358" s="244"/>
      <c r="K358" s="244"/>
      <c r="L358" s="244"/>
      <c r="M358" s="3"/>
      <c r="N358" s="3"/>
      <c r="S358" s="3"/>
      <c r="T358" s="3"/>
    </row>
    <row r="359" spans="1:20" s="64" customFormat="1">
      <c r="A359" s="529"/>
      <c r="B359" s="165" t="s">
        <v>104</v>
      </c>
      <c r="C359" s="77" t="s">
        <v>120</v>
      </c>
      <c r="D359" s="78">
        <v>1.4</v>
      </c>
      <c r="E359" s="79">
        <f>+INSUMOS!D64</f>
        <v>5295.5</v>
      </c>
      <c r="F359" s="79">
        <f t="shared" ref="F359:F367" si="12">+D359*E359</f>
        <v>7413.7</v>
      </c>
      <c r="G359" s="2"/>
      <c r="H359" s="2"/>
      <c r="I359" s="2"/>
      <c r="J359" s="244"/>
      <c r="K359" s="244"/>
      <c r="L359" s="244"/>
      <c r="M359" s="3"/>
      <c r="N359" s="3"/>
      <c r="S359" s="3"/>
      <c r="T359" s="3"/>
    </row>
    <row r="360" spans="1:20" s="64" customFormat="1">
      <c r="A360" s="529"/>
      <c r="B360" s="165" t="s">
        <v>160</v>
      </c>
      <c r="C360" s="77" t="s">
        <v>26</v>
      </c>
      <c r="D360" s="78">
        <v>0.5</v>
      </c>
      <c r="E360" s="79" t="e">
        <f>+INSUMOS!#REF!</f>
        <v>#REF!</v>
      </c>
      <c r="F360" s="79" t="e">
        <f t="shared" si="12"/>
        <v>#REF!</v>
      </c>
      <c r="G360" s="59"/>
      <c r="H360" s="2"/>
      <c r="I360" s="2"/>
      <c r="J360" s="244"/>
      <c r="K360" s="244"/>
      <c r="L360" s="244"/>
      <c r="M360" s="3"/>
      <c r="N360" s="3"/>
      <c r="S360" s="3"/>
      <c r="T360" s="3"/>
    </row>
    <row r="361" spans="1:20" s="64" customFormat="1">
      <c r="A361" s="529"/>
      <c r="B361" s="165" t="s">
        <v>251</v>
      </c>
      <c r="C361" s="77" t="s">
        <v>26</v>
      </c>
      <c r="D361" s="78">
        <v>1.1000000000000001</v>
      </c>
      <c r="E361" s="79">
        <f>+INSUMOS!D8</f>
        <v>21387.87</v>
      </c>
      <c r="F361" s="79">
        <f t="shared" si="12"/>
        <v>23526.656999999999</v>
      </c>
      <c r="G361" s="2"/>
      <c r="H361" s="2"/>
      <c r="I361" s="2"/>
      <c r="J361" s="244"/>
      <c r="K361" s="244"/>
      <c r="L361" s="244"/>
      <c r="M361" s="3"/>
      <c r="N361" s="3"/>
      <c r="S361" s="3"/>
      <c r="T361" s="3"/>
    </row>
    <row r="362" spans="1:20" s="64" customFormat="1">
      <c r="A362" s="529"/>
      <c r="B362" s="165" t="s">
        <v>28</v>
      </c>
      <c r="C362" s="77" t="s">
        <v>121</v>
      </c>
      <c r="D362" s="78">
        <v>1</v>
      </c>
      <c r="E362" s="79">
        <f>+BASICOS!D8</f>
        <v>73185</v>
      </c>
      <c r="F362" s="79">
        <f t="shared" si="12"/>
        <v>73185</v>
      </c>
      <c r="G362" s="2"/>
      <c r="H362" s="2"/>
      <c r="I362" s="2"/>
      <c r="J362" s="244"/>
      <c r="K362" s="244"/>
      <c r="L362" s="244"/>
      <c r="M362" s="3"/>
      <c r="N362" s="3"/>
      <c r="S362" s="3"/>
      <c r="T362" s="3"/>
    </row>
    <row r="363" spans="1:20" s="2" customFormat="1">
      <c r="A363" s="529"/>
      <c r="B363" s="165" t="s">
        <v>105</v>
      </c>
      <c r="C363" s="77" t="s">
        <v>106</v>
      </c>
      <c r="D363" s="78">
        <v>0.9</v>
      </c>
      <c r="E363" s="79">
        <f>+INSUMOS!D41</f>
        <v>3464.09</v>
      </c>
      <c r="F363" s="79">
        <f t="shared" si="12"/>
        <v>3117.681</v>
      </c>
      <c r="G363" s="59"/>
      <c r="J363" s="244"/>
      <c r="K363" s="244"/>
      <c r="L363" s="244"/>
      <c r="M363" s="3"/>
      <c r="N363" s="3"/>
      <c r="O363" s="64"/>
      <c r="P363" s="64"/>
      <c r="Q363" s="64"/>
      <c r="R363" s="64"/>
      <c r="S363" s="3"/>
      <c r="T363" s="3"/>
    </row>
    <row r="364" spans="1:20" s="2" customFormat="1">
      <c r="A364" s="529"/>
      <c r="B364" s="165" t="s">
        <v>229</v>
      </c>
      <c r="C364" s="77" t="s">
        <v>68</v>
      </c>
      <c r="D364" s="78">
        <v>0.05</v>
      </c>
      <c r="E364" s="79" t="e">
        <f>SUM(F359:F363)</f>
        <v>#REF!</v>
      </c>
      <c r="F364" s="79" t="e">
        <f t="shared" si="12"/>
        <v>#REF!</v>
      </c>
      <c r="J364" s="244"/>
      <c r="K364" s="244"/>
      <c r="L364" s="244"/>
      <c r="M364" s="3"/>
      <c r="N364" s="3"/>
      <c r="O364" s="64"/>
      <c r="P364" s="64"/>
      <c r="Q364" s="64"/>
      <c r="R364" s="64"/>
      <c r="S364" s="3"/>
      <c r="T364" s="3"/>
    </row>
    <row r="365" spans="1:20" s="2" customFormat="1">
      <c r="A365" s="529"/>
      <c r="B365" s="165" t="s">
        <v>136</v>
      </c>
      <c r="C365" s="77" t="s">
        <v>68</v>
      </c>
      <c r="D365" s="78"/>
      <c r="E365" s="79" t="e">
        <f>SUM(F359:F364)</f>
        <v>#REF!</v>
      </c>
      <c r="F365" s="79" t="e">
        <f t="shared" si="12"/>
        <v>#REF!</v>
      </c>
      <c r="J365" s="244"/>
      <c r="K365" s="244"/>
      <c r="L365" s="244"/>
      <c r="M365" s="3"/>
      <c r="N365" s="3"/>
      <c r="O365" s="64"/>
      <c r="P365" s="64"/>
      <c r="Q365" s="64"/>
      <c r="R365" s="64"/>
      <c r="S365" s="3"/>
      <c r="T365" s="3"/>
    </row>
    <row r="366" spans="1:20" s="2" customFormat="1">
      <c r="A366" s="529"/>
      <c r="B366" s="165" t="s">
        <v>11</v>
      </c>
      <c r="C366" s="77" t="s">
        <v>284</v>
      </c>
      <c r="D366" s="78">
        <v>0.03</v>
      </c>
      <c r="E366" s="79">
        <f>SUM(F367:F367)</f>
        <v>36588.017192597261</v>
      </c>
      <c r="F366" s="79">
        <f t="shared" si="12"/>
        <v>1097.6405157779177</v>
      </c>
      <c r="J366" s="244"/>
      <c r="K366" s="244"/>
      <c r="L366" s="244"/>
      <c r="M366" s="3"/>
      <c r="N366" s="3"/>
      <c r="O366" s="64"/>
      <c r="P366" s="64"/>
      <c r="Q366" s="64"/>
      <c r="R366" s="64"/>
      <c r="S366" s="3"/>
      <c r="T366" s="3"/>
    </row>
    <row r="367" spans="1:20" s="2" customFormat="1">
      <c r="A367" s="529"/>
      <c r="B367" s="165" t="s">
        <v>9</v>
      </c>
      <c r="C367" s="77" t="s">
        <v>10</v>
      </c>
      <c r="D367" s="78">
        <v>1.4</v>
      </c>
      <c r="E367" s="79">
        <f>+'VALOR CUADRILLAS MO'!D75</f>
        <v>26134.297994712331</v>
      </c>
      <c r="F367" s="79">
        <f t="shared" si="12"/>
        <v>36588.017192597261</v>
      </c>
      <c r="J367" s="244"/>
      <c r="K367" s="244"/>
      <c r="L367" s="244"/>
      <c r="M367" s="3"/>
      <c r="N367" s="3"/>
      <c r="O367" s="64"/>
      <c r="P367" s="64"/>
      <c r="Q367" s="64"/>
      <c r="R367" s="64"/>
      <c r="S367" s="3"/>
      <c r="T367" s="3"/>
    </row>
    <row r="368" spans="1:20" s="2" customFormat="1">
      <c r="A368" s="529"/>
      <c r="B368" s="165"/>
      <c r="C368" s="77"/>
      <c r="D368" s="78"/>
      <c r="E368" s="79"/>
      <c r="F368" s="79"/>
      <c r="J368" s="244"/>
      <c r="K368" s="244"/>
      <c r="L368" s="244"/>
      <c r="M368" s="3"/>
      <c r="N368" s="3"/>
      <c r="O368" s="64"/>
      <c r="P368" s="64"/>
      <c r="Q368" s="64"/>
      <c r="R368" s="64"/>
      <c r="S368" s="3"/>
      <c r="T368" s="3"/>
    </row>
    <row r="369" spans="1:6">
      <c r="A369" s="529"/>
      <c r="B369" s="165"/>
      <c r="C369" s="270"/>
      <c r="D369" s="272"/>
      <c r="E369" s="266"/>
      <c r="F369" s="266"/>
    </row>
    <row r="370" spans="1:6">
      <c r="A370" s="529"/>
      <c r="B370" s="165"/>
      <c r="C370" s="270"/>
      <c r="D370" s="272"/>
      <c r="E370" s="266"/>
      <c r="F370" s="266"/>
    </row>
    <row r="371" spans="1:6">
      <c r="A371" s="529"/>
      <c r="B371" s="165"/>
      <c r="C371" s="270"/>
      <c r="D371" s="272"/>
      <c r="E371" s="266"/>
      <c r="F371" s="266"/>
    </row>
    <row r="372" spans="1:6">
      <c r="A372" s="529"/>
      <c r="B372" s="165"/>
      <c r="C372" s="270"/>
      <c r="D372" s="272"/>
      <c r="E372" s="266"/>
      <c r="F372" s="266"/>
    </row>
    <row r="373" spans="1:6">
      <c r="A373" s="529"/>
      <c r="B373" s="165"/>
      <c r="C373" s="270"/>
      <c r="D373" s="272"/>
      <c r="E373" s="266"/>
      <c r="F373" s="266"/>
    </row>
    <row r="374" spans="1:6">
      <c r="A374" s="529"/>
      <c r="B374" s="165"/>
      <c r="C374" s="270"/>
      <c r="D374" s="272"/>
      <c r="E374" s="266"/>
      <c r="F374" s="266"/>
    </row>
    <row r="375" spans="1:6">
      <c r="A375" s="529"/>
      <c r="B375" s="165"/>
      <c r="C375" s="270"/>
      <c r="D375" s="272"/>
      <c r="E375" s="266"/>
      <c r="F375" s="266"/>
    </row>
    <row r="376" spans="1:6">
      <c r="A376" s="529"/>
      <c r="B376" s="165"/>
      <c r="C376" s="270"/>
      <c r="D376" s="272"/>
      <c r="E376" s="266"/>
      <c r="F376" s="266"/>
    </row>
    <row r="377" spans="1:6">
      <c r="A377" s="529"/>
      <c r="B377" s="165"/>
      <c r="C377" s="270"/>
      <c r="D377" s="272"/>
      <c r="E377" s="266"/>
      <c r="F377" s="266"/>
    </row>
    <row r="378" spans="1:6">
      <c r="A378" s="529"/>
      <c r="B378" s="165"/>
      <c r="C378" s="270"/>
      <c r="D378" s="272"/>
      <c r="E378" s="266"/>
      <c r="F378" s="266"/>
    </row>
    <row r="379" spans="1:6">
      <c r="A379" s="529"/>
      <c r="B379" s="165"/>
      <c r="C379" s="270"/>
      <c r="D379" s="272"/>
      <c r="E379" s="266"/>
      <c r="F379" s="266"/>
    </row>
    <row r="380" spans="1:6">
      <c r="A380" s="529"/>
      <c r="B380" s="165"/>
      <c r="C380" s="270"/>
      <c r="D380" s="272"/>
      <c r="E380" s="266"/>
      <c r="F380" s="266"/>
    </row>
    <row r="381" spans="1:6">
      <c r="A381" s="529"/>
      <c r="B381" s="165"/>
      <c r="C381" s="270"/>
      <c r="D381" s="272"/>
      <c r="E381" s="266"/>
      <c r="F381" s="266"/>
    </row>
    <row r="382" spans="1:6">
      <c r="A382" s="529"/>
      <c r="B382" s="165"/>
      <c r="C382" s="270"/>
      <c r="D382" s="272"/>
      <c r="E382" s="266"/>
      <c r="F382" s="266"/>
    </row>
    <row r="383" spans="1:6">
      <c r="A383" s="529"/>
      <c r="B383" s="165"/>
      <c r="C383" s="270"/>
      <c r="D383" s="272"/>
      <c r="E383" s="266"/>
      <c r="F383" s="266"/>
    </row>
    <row r="384" spans="1:6">
      <c r="A384" s="529"/>
      <c r="B384" s="165"/>
      <c r="C384" s="270"/>
      <c r="D384" s="272"/>
      <c r="E384" s="266"/>
      <c r="F384" s="266"/>
    </row>
    <row r="385" spans="1:6">
      <c r="A385" s="529"/>
      <c r="B385" s="165"/>
      <c r="C385" s="270"/>
      <c r="D385" s="272"/>
      <c r="E385" s="266"/>
      <c r="F385" s="266"/>
    </row>
    <row r="386" spans="1:6">
      <c r="A386" s="529"/>
      <c r="B386" s="165"/>
      <c r="C386" s="270"/>
      <c r="D386" s="272"/>
      <c r="E386" s="266"/>
      <c r="F386" s="266"/>
    </row>
    <row r="387" spans="1:6">
      <c r="A387" s="529"/>
      <c r="B387" s="165"/>
      <c r="C387" s="270"/>
      <c r="D387" s="272"/>
      <c r="E387" s="266"/>
      <c r="F387" s="266"/>
    </row>
    <row r="388" spans="1:6">
      <c r="A388" s="529"/>
      <c r="B388" s="165"/>
      <c r="C388" s="270"/>
      <c r="D388" s="272"/>
      <c r="E388" s="266"/>
      <c r="F388" s="266"/>
    </row>
    <row r="389" spans="1:6">
      <c r="A389" s="529"/>
      <c r="B389" s="165"/>
      <c r="C389" s="270"/>
      <c r="D389" s="272"/>
      <c r="E389" s="266"/>
      <c r="F389" s="266"/>
    </row>
  </sheetData>
  <sheetProtection formatCells="0" formatColumns="0" formatRows="0" insertColumns="0" insertRows="0" insertHyperlinks="0" deleteColumns="0" deleteRows="0" sort="0" autoFilter="0" pivotTables="0"/>
  <mergeCells count="5">
    <mergeCell ref="H10:J10"/>
    <mergeCell ref="A2:F2"/>
    <mergeCell ref="A3:F3"/>
    <mergeCell ref="H6:H8"/>
    <mergeCell ref="B1:E1"/>
  </mergeCells>
  <pageMargins left="0.78740157480314965" right="0.39370078740157483" top="1.1811023622047245" bottom="0.78740157480314965" header="0" footer="0"/>
  <pageSetup scale="65" orientation="portrait" errors="NA" r:id="rId1"/>
  <headerFooter alignWithMargins="0">
    <oddFooter>&amp;R&amp;P/&amp;N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theme="3" tint="-0.499984740745262"/>
  </sheetPr>
  <dimension ref="A1:U364"/>
  <sheetViews>
    <sheetView view="pageBreakPreview" topLeftCell="A31" zoomScale="85" zoomScaleNormal="90" zoomScaleSheetLayoutView="85" workbookViewId="0">
      <selection activeCell="D34" sqref="D34"/>
    </sheetView>
  </sheetViews>
  <sheetFormatPr baseColWidth="10" defaultColWidth="11.5703125" defaultRowHeight="12.75"/>
  <cols>
    <col min="1" max="1" width="64.85546875" style="26" customWidth="1"/>
    <col min="2" max="2" width="8" style="27" bestFit="1" customWidth="1"/>
    <col min="3" max="3" width="10.28515625" style="28" bestFit="1" customWidth="1"/>
    <col min="4" max="4" width="18.28515625" style="68" customWidth="1"/>
    <col min="5" max="5" width="22.7109375" style="68" customWidth="1"/>
    <col min="6" max="6" width="12.140625" style="26" hidden="1" customWidth="1"/>
    <col min="7" max="7" width="86.140625" style="26" hidden="1" customWidth="1"/>
    <col min="8" max="8" width="12.42578125" style="26" hidden="1" customWidth="1"/>
    <col min="9" max="9" width="11.5703125" style="26" hidden="1" customWidth="1"/>
    <col min="10" max="10" width="12.140625" style="26" hidden="1" customWidth="1"/>
    <col min="11" max="11" width="11.5703125" style="26" hidden="1" customWidth="1"/>
    <col min="12" max="12" width="13.140625" style="26" hidden="1" customWidth="1"/>
    <col min="13" max="13" width="11.5703125" style="26" hidden="1" customWidth="1"/>
    <col min="14" max="19" width="0" style="26" hidden="1" customWidth="1"/>
    <col min="20" max="20" width="18.28515625" style="68" hidden="1" customWidth="1"/>
    <col min="21" max="21" width="5.140625" style="26" hidden="1" customWidth="1"/>
    <col min="22" max="16384" width="11.5703125" style="26"/>
  </cols>
  <sheetData>
    <row r="1" spans="1:20" s="25" customFormat="1" ht="42" customHeight="1">
      <c r="A1" s="1186" t="s">
        <v>3238</v>
      </c>
      <c r="B1" s="1187"/>
      <c r="C1" s="1187"/>
      <c r="D1" s="1187"/>
      <c r="E1" s="1188"/>
    </row>
    <row r="2" spans="1:20" s="25" customFormat="1" ht="13.15" customHeight="1">
      <c r="A2" s="1189" t="s">
        <v>785</v>
      </c>
      <c r="B2" s="1190"/>
      <c r="C2" s="1190"/>
      <c r="D2" s="1190"/>
      <c r="E2" s="1191"/>
    </row>
    <row r="3" spans="1:20" ht="24" customHeight="1">
      <c r="A3" s="1153" t="s">
        <v>3236</v>
      </c>
      <c r="B3" s="1154"/>
      <c r="C3" s="1154"/>
      <c r="D3" s="1154"/>
      <c r="E3" s="1155"/>
      <c r="T3" s="26"/>
    </row>
    <row r="4" spans="1:20" ht="19.899999999999999" customHeight="1">
      <c r="A4" s="87" t="s">
        <v>205</v>
      </c>
      <c r="B4" s="85" t="s">
        <v>3084</v>
      </c>
      <c r="C4" s="88" t="s">
        <v>2965</v>
      </c>
      <c r="D4" s="91" t="s">
        <v>532</v>
      </c>
      <c r="E4" s="92" t="s">
        <v>291</v>
      </c>
      <c r="T4" s="91" t="s">
        <v>3205</v>
      </c>
    </row>
    <row r="5" spans="1:20" ht="19.899999999999999" customHeight="1">
      <c r="A5" s="72" t="s">
        <v>534</v>
      </c>
      <c r="B5" s="111"/>
      <c r="C5" s="112"/>
      <c r="D5" s="113"/>
      <c r="E5" s="113"/>
      <c r="T5" s="113"/>
    </row>
    <row r="6" spans="1:20" ht="16.149999999999999" customHeight="1">
      <c r="A6" s="260" t="s">
        <v>677</v>
      </c>
      <c r="B6" s="261" t="s">
        <v>121</v>
      </c>
      <c r="C6" s="328"/>
      <c r="D6" s="900">
        <f>394838.43</f>
        <v>394838.43</v>
      </c>
      <c r="E6" s="329"/>
      <c r="H6" s="96"/>
      <c r="I6" s="44">
        <v>375930</v>
      </c>
      <c r="J6" s="97" t="s">
        <v>741</v>
      </c>
      <c r="K6" s="96" t="s">
        <v>753</v>
      </c>
      <c r="L6" s="96"/>
      <c r="T6" s="342">
        <v>391726.58</v>
      </c>
    </row>
    <row r="7" spans="1:20" ht="14.25" customHeight="1">
      <c r="A7" s="260" t="s">
        <v>31</v>
      </c>
      <c r="B7" s="261" t="s">
        <v>32</v>
      </c>
      <c r="C7" s="328"/>
      <c r="D7" s="901">
        <v>606.9</v>
      </c>
      <c r="E7" s="837" t="s">
        <v>3434</v>
      </c>
      <c r="I7" s="28"/>
      <c r="J7" s="46" t="s">
        <v>750</v>
      </c>
      <c r="K7" s="44">
        <v>320600</v>
      </c>
      <c r="L7" s="44">
        <f>K7*1.16</f>
        <v>371896</v>
      </c>
      <c r="T7" s="342">
        <v>552</v>
      </c>
    </row>
    <row r="8" spans="1:20">
      <c r="A8" s="260" t="s">
        <v>28</v>
      </c>
      <c r="B8" s="261" t="s">
        <v>121</v>
      </c>
      <c r="C8" s="328"/>
      <c r="D8" s="902">
        <v>73185</v>
      </c>
      <c r="E8" s="329" t="s">
        <v>3430</v>
      </c>
      <c r="I8" s="28"/>
      <c r="T8" s="342">
        <v>42483</v>
      </c>
    </row>
    <row r="9" spans="1:20">
      <c r="A9" s="260" t="s">
        <v>744</v>
      </c>
      <c r="B9" s="261" t="s">
        <v>121</v>
      </c>
      <c r="C9" s="332"/>
      <c r="D9" s="900">
        <v>37500</v>
      </c>
      <c r="E9" s="329" t="s">
        <v>3432</v>
      </c>
      <c r="I9" s="28">
        <v>35000</v>
      </c>
      <c r="J9" s="1192" t="s">
        <v>754</v>
      </c>
      <c r="K9" s="1192"/>
      <c r="L9" s="26" t="s">
        <v>774</v>
      </c>
      <c r="T9" s="342">
        <v>49980</v>
      </c>
    </row>
    <row r="10" spans="1:20">
      <c r="A10" s="260" t="s">
        <v>743</v>
      </c>
      <c r="B10" s="261" t="s">
        <v>121</v>
      </c>
      <c r="C10" s="332"/>
      <c r="D10" s="900">
        <v>88160</v>
      </c>
      <c r="E10" s="329" t="s">
        <v>3430</v>
      </c>
      <c r="I10" s="28">
        <v>60000</v>
      </c>
      <c r="J10" s="1192" t="s">
        <v>754</v>
      </c>
      <c r="K10" s="1192"/>
      <c r="L10" s="26" t="s">
        <v>774</v>
      </c>
      <c r="T10" s="342">
        <v>77469</v>
      </c>
    </row>
    <row r="11" spans="1:20">
      <c r="A11" s="260" t="s">
        <v>117</v>
      </c>
      <c r="B11" s="261" t="s">
        <v>25</v>
      </c>
      <c r="C11" s="332"/>
      <c r="D11" s="903">
        <v>65</v>
      </c>
      <c r="E11" s="329" t="s">
        <v>3431</v>
      </c>
      <c r="I11" s="28" t="s">
        <v>777</v>
      </c>
      <c r="T11" s="343">
        <v>65</v>
      </c>
    </row>
    <row r="12" spans="1:20">
      <c r="A12" s="260" t="s">
        <v>687</v>
      </c>
      <c r="B12" s="261" t="s">
        <v>121</v>
      </c>
      <c r="C12" s="332"/>
      <c r="D12" s="900">
        <f>52000*1.19</f>
        <v>61880</v>
      </c>
      <c r="E12" s="329" t="s">
        <v>3430</v>
      </c>
      <c r="I12" s="28">
        <v>47000</v>
      </c>
      <c r="J12" s="1192" t="s">
        <v>754</v>
      </c>
      <c r="K12" s="1192"/>
      <c r="L12" s="26" t="s">
        <v>774</v>
      </c>
      <c r="T12" s="342">
        <v>52479</v>
      </c>
    </row>
    <row r="13" spans="1:20">
      <c r="A13" s="260" t="s">
        <v>162</v>
      </c>
      <c r="B13" s="261" t="s">
        <v>121</v>
      </c>
      <c r="C13" s="328"/>
      <c r="D13" s="900">
        <v>43000</v>
      </c>
      <c r="E13" s="329" t="s">
        <v>3434</v>
      </c>
      <c r="I13" s="28"/>
      <c r="T13" s="264">
        <v>30000</v>
      </c>
    </row>
    <row r="14" spans="1:20">
      <c r="A14" s="260" t="s">
        <v>134</v>
      </c>
      <c r="B14" s="261" t="s">
        <v>121</v>
      </c>
      <c r="C14" s="328"/>
      <c r="D14" s="900">
        <v>55000</v>
      </c>
      <c r="E14" s="329" t="s">
        <v>3434</v>
      </c>
      <c r="I14" s="28"/>
      <c r="T14" s="264">
        <v>33000</v>
      </c>
    </row>
    <row r="15" spans="1:20">
      <c r="A15" s="260" t="s">
        <v>161</v>
      </c>
      <c r="B15" s="261" t="s">
        <v>121</v>
      </c>
      <c r="C15" s="328"/>
      <c r="D15" s="900">
        <v>51170</v>
      </c>
      <c r="E15" s="329" t="s">
        <v>3433</v>
      </c>
      <c r="I15" s="28"/>
      <c r="T15" s="342">
        <v>18742.5</v>
      </c>
    </row>
    <row r="16" spans="1:20" ht="17.25" customHeight="1">
      <c r="A16" s="260" t="s">
        <v>543</v>
      </c>
      <c r="B16" s="261" t="s">
        <v>121</v>
      </c>
      <c r="C16" s="328"/>
      <c r="D16" s="900">
        <f>31000*1.19</f>
        <v>36890</v>
      </c>
      <c r="E16" s="329" t="s">
        <v>3430</v>
      </c>
      <c r="I16" s="28">
        <v>15000</v>
      </c>
      <c r="J16" s="1192" t="s">
        <v>754</v>
      </c>
      <c r="K16" s="1192"/>
      <c r="L16" s="26" t="s">
        <v>774</v>
      </c>
      <c r="T16" s="342">
        <v>29988</v>
      </c>
    </row>
    <row r="17" spans="1:20">
      <c r="A17" s="260" t="s">
        <v>544</v>
      </c>
      <c r="B17" s="261" t="s">
        <v>121</v>
      </c>
      <c r="C17" s="328"/>
      <c r="D17" s="900">
        <f>49000*1.19</f>
        <v>58310</v>
      </c>
      <c r="E17" s="329" t="s">
        <v>3430</v>
      </c>
      <c r="I17" s="28">
        <v>35000</v>
      </c>
      <c r="J17" s="1192" t="s">
        <v>754</v>
      </c>
      <c r="K17" s="1192"/>
      <c r="L17" s="26" t="s">
        <v>774</v>
      </c>
      <c r="T17" s="342">
        <v>48730.5</v>
      </c>
    </row>
    <row r="18" spans="1:20">
      <c r="A18" s="260" t="s">
        <v>161</v>
      </c>
      <c r="B18" s="261" t="s">
        <v>121</v>
      </c>
      <c r="C18" s="328"/>
      <c r="D18" s="819">
        <f>12000*1.19</f>
        <v>14280</v>
      </c>
      <c r="E18" s="329"/>
      <c r="I18" s="28"/>
      <c r="J18" s="383"/>
      <c r="K18" s="383"/>
      <c r="T18" s="342">
        <v>18742.5</v>
      </c>
    </row>
    <row r="19" spans="1:20">
      <c r="A19" s="260" t="s">
        <v>3087</v>
      </c>
      <c r="B19" s="261" t="s">
        <v>26</v>
      </c>
      <c r="C19" s="328"/>
      <c r="D19" s="326">
        <v>400</v>
      </c>
      <c r="E19" s="329" t="s">
        <v>3430</v>
      </c>
      <c r="T19" s="264">
        <v>400</v>
      </c>
    </row>
    <row r="20" spans="1:20">
      <c r="A20" s="260" t="s">
        <v>3211</v>
      </c>
      <c r="B20" s="261" t="s">
        <v>26</v>
      </c>
      <c r="C20" s="328"/>
      <c r="D20" s="326">
        <v>400</v>
      </c>
      <c r="E20" s="329" t="s">
        <v>3430</v>
      </c>
      <c r="T20" s="264">
        <v>350</v>
      </c>
    </row>
    <row r="21" spans="1:20">
      <c r="A21" s="260" t="s">
        <v>3210</v>
      </c>
      <c r="B21" s="261" t="s">
        <v>26</v>
      </c>
      <c r="C21" s="328"/>
      <c r="D21" s="818">
        <v>700</v>
      </c>
      <c r="E21" s="329" t="s">
        <v>3435</v>
      </c>
      <c r="T21" s="264">
        <v>1200</v>
      </c>
    </row>
    <row r="22" spans="1:20">
      <c r="A22" s="333" t="s">
        <v>376</v>
      </c>
      <c r="B22" s="261" t="s">
        <v>26</v>
      </c>
      <c r="C22" s="328"/>
      <c r="D22" s="326">
        <v>1500</v>
      </c>
      <c r="E22" s="329" t="s">
        <v>3436</v>
      </c>
      <c r="T22" s="264">
        <v>850</v>
      </c>
    </row>
    <row r="23" spans="1:20">
      <c r="A23" s="333" t="s">
        <v>377</v>
      </c>
      <c r="B23" s="261" t="s">
        <v>26</v>
      </c>
      <c r="C23" s="328"/>
      <c r="D23" s="818">
        <v>1375</v>
      </c>
      <c r="E23" s="329" t="s">
        <v>3434</v>
      </c>
      <c r="T23" s="342">
        <v>1375</v>
      </c>
    </row>
    <row r="24" spans="1:20">
      <c r="A24" s="333" t="s">
        <v>3088</v>
      </c>
      <c r="B24" s="261" t="s">
        <v>26</v>
      </c>
      <c r="C24" s="328"/>
      <c r="D24" s="818">
        <v>550</v>
      </c>
      <c r="E24" s="329" t="s">
        <v>3437</v>
      </c>
      <c r="T24" s="342">
        <v>550</v>
      </c>
    </row>
    <row r="25" spans="1:20">
      <c r="A25" s="333" t="s">
        <v>513</v>
      </c>
      <c r="B25" s="261" t="s">
        <v>26</v>
      </c>
      <c r="C25" s="328"/>
      <c r="D25" s="326">
        <v>1300</v>
      </c>
      <c r="E25" s="329" t="s">
        <v>3436</v>
      </c>
      <c r="T25" s="264">
        <v>1300</v>
      </c>
    </row>
    <row r="26" spans="1:20">
      <c r="A26" s="333" t="s">
        <v>163</v>
      </c>
      <c r="B26" s="261" t="s">
        <v>164</v>
      </c>
      <c r="C26" s="328"/>
      <c r="D26" s="326">
        <v>1930.53</v>
      </c>
      <c r="E26" s="329" t="s">
        <v>3434</v>
      </c>
      <c r="T26" s="264">
        <v>1200</v>
      </c>
    </row>
    <row r="27" spans="1:20">
      <c r="A27" s="333" t="s">
        <v>389</v>
      </c>
      <c r="B27" s="261" t="s">
        <v>164</v>
      </c>
      <c r="C27" s="328"/>
      <c r="D27" s="820"/>
      <c r="E27" s="329"/>
      <c r="T27" s="264"/>
    </row>
    <row r="28" spans="1:20">
      <c r="A28" s="333" t="s">
        <v>380</v>
      </c>
      <c r="B28" s="261" t="s">
        <v>164</v>
      </c>
      <c r="C28" s="328"/>
      <c r="D28" s="839">
        <v>4000</v>
      </c>
      <c r="E28" s="329" t="s">
        <v>3436</v>
      </c>
      <c r="T28" s="264">
        <v>4000</v>
      </c>
    </row>
    <row r="29" spans="1:20">
      <c r="A29" s="333" t="s">
        <v>536</v>
      </c>
      <c r="B29" s="261" t="s">
        <v>164</v>
      </c>
      <c r="C29" s="328"/>
      <c r="D29" s="839">
        <v>3000</v>
      </c>
      <c r="E29" s="329" t="s">
        <v>3436</v>
      </c>
      <c r="T29" s="264">
        <v>3000</v>
      </c>
    </row>
    <row r="30" spans="1:20">
      <c r="A30" s="333" t="s">
        <v>247</v>
      </c>
      <c r="B30" s="261" t="s">
        <v>121</v>
      </c>
      <c r="C30" s="328"/>
      <c r="D30" s="326">
        <v>25351</v>
      </c>
      <c r="E30" s="329" t="s">
        <v>3430</v>
      </c>
      <c r="T30" s="264">
        <v>20550</v>
      </c>
    </row>
    <row r="31" spans="1:20">
      <c r="A31" s="327"/>
      <c r="B31" s="261"/>
      <c r="C31" s="328"/>
      <c r="D31" s="331"/>
      <c r="E31" s="329"/>
      <c r="T31" s="329"/>
    </row>
    <row r="32" spans="1:20" ht="25.15" customHeight="1">
      <c r="A32" s="72" t="s">
        <v>166</v>
      </c>
      <c r="B32" s="111"/>
      <c r="C32" s="112"/>
      <c r="D32" s="113"/>
      <c r="E32" s="113"/>
      <c r="T32" s="113"/>
    </row>
    <row r="33" spans="1:20">
      <c r="A33" s="333" t="s">
        <v>3536</v>
      </c>
      <c r="B33" s="261" t="s">
        <v>169</v>
      </c>
      <c r="C33" s="262"/>
      <c r="D33" s="542">
        <v>2856</v>
      </c>
      <c r="E33" s="329"/>
      <c r="T33" s="342">
        <v>1190</v>
      </c>
    </row>
    <row r="34" spans="1:20">
      <c r="A34" s="333" t="s">
        <v>167</v>
      </c>
      <c r="B34" s="261" t="s">
        <v>169</v>
      </c>
      <c r="C34" s="262"/>
      <c r="D34" s="542">
        <v>214.2</v>
      </c>
      <c r="E34" s="329" t="s">
        <v>3434</v>
      </c>
      <c r="T34" s="342">
        <v>238</v>
      </c>
    </row>
    <row r="35" spans="1:20">
      <c r="A35" s="333" t="s">
        <v>168</v>
      </c>
      <c r="B35" s="261" t="s">
        <v>169</v>
      </c>
      <c r="C35" s="262"/>
      <c r="D35" s="542">
        <v>214.2</v>
      </c>
      <c r="E35" s="329" t="s">
        <v>3434</v>
      </c>
      <c r="T35" s="342">
        <v>238</v>
      </c>
    </row>
    <row r="36" spans="1:20">
      <c r="A36" s="333" t="s">
        <v>170</v>
      </c>
      <c r="B36" s="261" t="s">
        <v>169</v>
      </c>
      <c r="C36" s="334"/>
      <c r="D36" s="542">
        <v>1000</v>
      </c>
      <c r="E36" s="329"/>
      <c r="T36" s="342">
        <v>595</v>
      </c>
    </row>
    <row r="37" spans="1:20">
      <c r="A37" s="333" t="s">
        <v>3440</v>
      </c>
      <c r="B37" s="261" t="s">
        <v>169</v>
      </c>
      <c r="C37" s="334"/>
      <c r="D37" s="542">
        <v>273.7</v>
      </c>
      <c r="E37" s="68" t="s">
        <v>3436</v>
      </c>
      <c r="T37" s="342">
        <v>297.5</v>
      </c>
    </row>
    <row r="38" spans="1:20">
      <c r="A38" s="333" t="s">
        <v>172</v>
      </c>
      <c r="B38" s="261" t="s">
        <v>169</v>
      </c>
      <c r="C38" s="334"/>
      <c r="D38" s="542">
        <v>238</v>
      </c>
      <c r="E38" s="329" t="s">
        <v>3434</v>
      </c>
      <c r="O38" s="26">
        <v>5711122</v>
      </c>
      <c r="T38" s="342">
        <v>273.7</v>
      </c>
    </row>
    <row r="39" spans="1:20">
      <c r="A39" s="333" t="s">
        <v>3212</v>
      </c>
      <c r="B39" s="261" t="s">
        <v>169</v>
      </c>
      <c r="C39" s="262"/>
      <c r="D39" s="840">
        <v>714</v>
      </c>
      <c r="E39" s="329" t="s">
        <v>3436</v>
      </c>
      <c r="O39" s="26">
        <v>5701106</v>
      </c>
      <c r="T39" s="342">
        <v>297.5</v>
      </c>
    </row>
    <row r="40" spans="1:20">
      <c r="A40" s="333" t="s">
        <v>173</v>
      </c>
      <c r="B40" s="261" t="s">
        <v>21</v>
      </c>
      <c r="C40" s="262"/>
      <c r="D40" s="840">
        <v>6000</v>
      </c>
      <c r="E40" s="329" t="s">
        <v>3436</v>
      </c>
      <c r="O40" s="26">
        <v>3175049473</v>
      </c>
      <c r="T40" s="342">
        <v>6000</v>
      </c>
    </row>
    <row r="41" spans="1:20">
      <c r="A41" s="333" t="s">
        <v>292</v>
      </c>
      <c r="B41" s="261" t="s">
        <v>169</v>
      </c>
      <c r="C41" s="334"/>
      <c r="D41" s="542">
        <f>50000*1.19</f>
        <v>59500</v>
      </c>
      <c r="E41" s="329" t="s">
        <v>3434</v>
      </c>
      <c r="G41" s="26">
        <v>60000</v>
      </c>
      <c r="T41" s="342">
        <v>59500</v>
      </c>
    </row>
    <row r="42" spans="1:20">
      <c r="A42" s="333" t="s">
        <v>174</v>
      </c>
      <c r="B42" s="261" t="s">
        <v>169</v>
      </c>
      <c r="C42" s="334"/>
      <c r="D42" s="840">
        <f>D41+D59</f>
        <v>136480.47829830134</v>
      </c>
      <c r="E42" s="329" t="s">
        <v>3436</v>
      </c>
      <c r="G42" s="26">
        <v>70000</v>
      </c>
      <c r="T42" s="342">
        <v>82110</v>
      </c>
    </row>
    <row r="43" spans="1:20">
      <c r="A43" s="603" t="s">
        <v>786</v>
      </c>
      <c r="B43" s="261" t="s">
        <v>169</v>
      </c>
      <c r="C43" s="262"/>
      <c r="D43" s="840">
        <v>28560</v>
      </c>
      <c r="E43" s="329" t="s">
        <v>3436</v>
      </c>
      <c r="T43" s="342">
        <v>23800</v>
      </c>
    </row>
    <row r="44" spans="1:20">
      <c r="A44" s="333" t="s">
        <v>787</v>
      </c>
      <c r="B44" s="261" t="s">
        <v>169</v>
      </c>
      <c r="C44" s="328"/>
      <c r="D44" s="542">
        <v>44000</v>
      </c>
      <c r="E44" s="329" t="s">
        <v>3438</v>
      </c>
      <c r="T44" s="342">
        <v>39270</v>
      </c>
    </row>
    <row r="45" spans="1:20">
      <c r="A45" s="333" t="s">
        <v>788</v>
      </c>
      <c r="B45" s="261" t="s">
        <v>169</v>
      </c>
      <c r="C45" s="328"/>
      <c r="D45" s="542">
        <f>55000*1.19</f>
        <v>65450</v>
      </c>
      <c r="E45" s="329" t="s">
        <v>3436</v>
      </c>
      <c r="H45" s="26">
        <v>2.2678333695357686</v>
      </c>
      <c r="T45" s="342">
        <v>65450</v>
      </c>
    </row>
    <row r="46" spans="1:20" ht="25.5">
      <c r="A46" s="36" t="s">
        <v>3107</v>
      </c>
      <c r="B46" s="261" t="s">
        <v>169</v>
      </c>
      <c r="C46" s="328"/>
      <c r="D46" s="542">
        <v>20416</v>
      </c>
      <c r="E46" s="329" t="s">
        <v>3438</v>
      </c>
      <c r="T46" s="342">
        <v>15470</v>
      </c>
    </row>
    <row r="47" spans="1:20">
      <c r="A47" s="333" t="s">
        <v>50</v>
      </c>
      <c r="B47" s="261" t="s">
        <v>121</v>
      </c>
      <c r="C47" s="328"/>
      <c r="D47" s="840">
        <f>40000*1.19</f>
        <v>47600</v>
      </c>
      <c r="E47" s="329" t="s">
        <v>3436</v>
      </c>
      <c r="T47" s="264">
        <v>42920</v>
      </c>
    </row>
    <row r="48" spans="1:20">
      <c r="A48" s="333" t="s">
        <v>409</v>
      </c>
      <c r="B48" s="261" t="s">
        <v>169</v>
      </c>
      <c r="C48" s="328"/>
      <c r="D48" s="838">
        <v>1785</v>
      </c>
      <c r="E48" s="329" t="s">
        <v>3436</v>
      </c>
      <c r="T48" s="264">
        <v>1276</v>
      </c>
    </row>
    <row r="49" spans="1:20">
      <c r="A49" s="333" t="s">
        <v>705</v>
      </c>
      <c r="B49" s="261" t="s">
        <v>153</v>
      </c>
      <c r="C49" s="332"/>
      <c r="D49" s="838">
        <v>83300</v>
      </c>
      <c r="E49" s="329" t="s">
        <v>3436</v>
      </c>
      <c r="T49" s="342">
        <v>82110</v>
      </c>
    </row>
    <row r="50" spans="1:20">
      <c r="A50" s="333" t="s">
        <v>3</v>
      </c>
      <c r="B50" s="261" t="s">
        <v>21</v>
      </c>
      <c r="C50" s="332"/>
      <c r="D50" s="818">
        <v>8000</v>
      </c>
      <c r="E50" s="329"/>
      <c r="T50" s="342">
        <v>6000</v>
      </c>
    </row>
    <row r="51" spans="1:20">
      <c r="A51" s="333" t="s">
        <v>3005</v>
      </c>
      <c r="B51" s="261" t="s">
        <v>169</v>
      </c>
      <c r="C51" s="332"/>
      <c r="D51" s="819">
        <v>50000</v>
      </c>
      <c r="E51" s="329"/>
      <c r="T51" s="342">
        <v>50000</v>
      </c>
    </row>
    <row r="52" spans="1:20">
      <c r="A52" s="333" t="s">
        <v>2795</v>
      </c>
      <c r="B52" s="261" t="s">
        <v>169</v>
      </c>
      <c r="C52" s="332"/>
      <c r="D52" s="818">
        <v>350000</v>
      </c>
      <c r="E52" s="329"/>
      <c r="T52" s="342"/>
    </row>
    <row r="53" spans="1:20" ht="25.15" customHeight="1">
      <c r="A53" s="72" t="s">
        <v>175</v>
      </c>
      <c r="B53" s="111"/>
      <c r="C53" s="112"/>
      <c r="D53" s="113"/>
      <c r="E53" s="113"/>
      <c r="T53" s="113"/>
    </row>
    <row r="54" spans="1:20">
      <c r="A54" s="333" t="s">
        <v>176</v>
      </c>
      <c r="B54" s="261" t="s">
        <v>182</v>
      </c>
      <c r="C54" s="328"/>
      <c r="D54" s="705">
        <f>+'VALOR CUADRILLAS MO'!D75</f>
        <v>26134.297994712331</v>
      </c>
      <c r="E54" s="329"/>
      <c r="T54" s="382">
        <v>23821.255878410961</v>
      </c>
    </row>
    <row r="55" spans="1:20">
      <c r="A55" s="333" t="s">
        <v>177</v>
      </c>
      <c r="B55" s="261" t="s">
        <v>182</v>
      </c>
      <c r="C55" s="328"/>
      <c r="D55" s="705">
        <f>+'VALOR CUADRILLAS MO'!D89</f>
        <v>28747.727794183564</v>
      </c>
      <c r="E55" s="329"/>
      <c r="T55" s="382">
        <v>26203.38146625206</v>
      </c>
    </row>
    <row r="56" spans="1:20">
      <c r="A56" s="333" t="s">
        <v>178</v>
      </c>
      <c r="B56" s="261" t="s">
        <v>182</v>
      </c>
      <c r="C56" s="328"/>
      <c r="D56" s="705">
        <f>+'VALOR CUADRILLAS MO'!D101</f>
        <v>30054.442693919176</v>
      </c>
      <c r="E56" s="329"/>
      <c r="T56" s="382">
        <v>27394.4442601726</v>
      </c>
    </row>
    <row r="57" spans="1:20">
      <c r="A57" s="333" t="s">
        <v>179</v>
      </c>
      <c r="B57" s="261" t="s">
        <v>182</v>
      </c>
      <c r="C57" s="328"/>
      <c r="D57" s="705">
        <f>+'VALOR CUADRILLAS MO'!D113</f>
        <v>31361.157593654796</v>
      </c>
      <c r="E57" s="329"/>
      <c r="T57" s="382">
        <v>28585.507054093148</v>
      </c>
    </row>
    <row r="58" spans="1:20">
      <c r="A58" s="333" t="s">
        <v>360</v>
      </c>
      <c r="B58" s="261" t="s">
        <v>182</v>
      </c>
      <c r="C58" s="328"/>
      <c r="D58" s="705">
        <f>+'VALOR CUADRILLAS MO'!D125</f>
        <v>33974.587393126028</v>
      </c>
      <c r="E58" s="329"/>
      <c r="T58" s="382">
        <v>30967.632641934251</v>
      </c>
    </row>
    <row r="59" spans="1:20">
      <c r="A59" s="333" t="s">
        <v>180</v>
      </c>
      <c r="B59" s="261" t="s">
        <v>169</v>
      </c>
      <c r="C59" s="328"/>
      <c r="D59" s="705">
        <f>+'VALOR CUADRILLAS MO'!D66</f>
        <v>76980.478298301357</v>
      </c>
      <c r="E59" s="329"/>
      <c r="T59" s="382">
        <v>70167.244268712326</v>
      </c>
    </row>
    <row r="60" spans="1:20">
      <c r="A60" s="333" t="s">
        <v>181</v>
      </c>
      <c r="B60" s="261" t="s">
        <v>153</v>
      </c>
      <c r="C60" s="328"/>
      <c r="D60" s="705">
        <f>+'VALOR CUADRILLAS MO'!D67</f>
        <v>9622.5597872876697</v>
      </c>
      <c r="E60" s="335"/>
      <c r="T60" s="382">
        <v>8770.9055335890407</v>
      </c>
    </row>
    <row r="61" spans="1:20">
      <c r="A61" s="333"/>
      <c r="B61" s="261"/>
      <c r="C61" s="328"/>
      <c r="D61" s="264"/>
      <c r="E61" s="329"/>
      <c r="T61" s="264"/>
    </row>
    <row r="62" spans="1:20" ht="25.15" customHeight="1">
      <c r="A62" s="72" t="s">
        <v>533</v>
      </c>
      <c r="B62" s="111"/>
      <c r="C62" s="112"/>
      <c r="D62" s="113"/>
      <c r="E62" s="113"/>
      <c r="T62" s="113"/>
    </row>
    <row r="63" spans="1:20" ht="24.6" customHeight="1">
      <c r="A63" s="83" t="s">
        <v>54</v>
      </c>
      <c r="B63" s="115" t="s">
        <v>121</v>
      </c>
      <c r="C63" s="694"/>
      <c r="D63" s="695"/>
      <c r="E63" s="696">
        <f>ROUND(SUM(E64:E69),0)</f>
        <v>379735</v>
      </c>
      <c r="F63" s="18"/>
      <c r="T63" s="114"/>
    </row>
    <row r="64" spans="1:20">
      <c r="A64" s="260" t="s">
        <v>31</v>
      </c>
      <c r="B64" s="261" t="s">
        <v>32</v>
      </c>
      <c r="C64" s="697">
        <v>454</v>
      </c>
      <c r="D64" s="698">
        <f>+D7</f>
        <v>606.9</v>
      </c>
      <c r="E64" s="698">
        <f>+C64*D64</f>
        <v>275532.59999999998</v>
      </c>
      <c r="F64" s="18"/>
      <c r="T64" s="264">
        <v>552</v>
      </c>
    </row>
    <row r="65" spans="1:20">
      <c r="A65" s="260" t="s">
        <v>117</v>
      </c>
      <c r="B65" s="261" t="s">
        <v>25</v>
      </c>
      <c r="C65" s="697">
        <v>220</v>
      </c>
      <c r="D65" s="698">
        <f>+D11</f>
        <v>65</v>
      </c>
      <c r="E65" s="698">
        <f>+C65*D65</f>
        <v>14300</v>
      </c>
      <c r="F65" s="18"/>
      <c r="T65" s="264">
        <v>65</v>
      </c>
    </row>
    <row r="66" spans="1:20">
      <c r="A66" s="260" t="s">
        <v>36</v>
      </c>
      <c r="B66" s="261" t="s">
        <v>121</v>
      </c>
      <c r="C66" s="697">
        <v>1.3</v>
      </c>
      <c r="D66" s="698">
        <f>+D9</f>
        <v>37500</v>
      </c>
      <c r="E66" s="698">
        <f>+C66*D66</f>
        <v>48750</v>
      </c>
      <c r="F66" s="18"/>
      <c r="T66" s="264">
        <v>49980</v>
      </c>
    </row>
    <row r="67" spans="1:20">
      <c r="A67" s="260" t="s">
        <v>11</v>
      </c>
      <c r="B67" s="261" t="s">
        <v>12</v>
      </c>
      <c r="C67" s="697">
        <v>0.03</v>
      </c>
      <c r="D67" s="698">
        <f>+E69</f>
        <v>26134.297994712331</v>
      </c>
      <c r="E67" s="698">
        <f>(C67*D67)</f>
        <v>784.02893984136995</v>
      </c>
      <c r="F67" s="18"/>
      <c r="T67" s="264">
        <v>23821.255878410961</v>
      </c>
    </row>
    <row r="68" spans="1:20">
      <c r="A68" s="260" t="s">
        <v>2670</v>
      </c>
      <c r="B68" s="261" t="s">
        <v>2671</v>
      </c>
      <c r="C68" s="697">
        <f>C66*10</f>
        <v>13</v>
      </c>
      <c r="D68" s="698">
        <f>INSUMOS!D24</f>
        <v>1094.8912</v>
      </c>
      <c r="E68" s="698">
        <f>(C68*D68)</f>
        <v>14233.5856</v>
      </c>
      <c r="F68" s="18"/>
      <c r="T68" s="264">
        <v>1100</v>
      </c>
    </row>
    <row r="69" spans="1:20">
      <c r="A69" s="333" t="s">
        <v>176</v>
      </c>
      <c r="B69" s="261" t="s">
        <v>183</v>
      </c>
      <c r="C69" s="697">
        <v>1</v>
      </c>
      <c r="D69" s="698">
        <f>D54</f>
        <v>26134.297994712331</v>
      </c>
      <c r="E69" s="698">
        <f>+C69*D69</f>
        <v>26134.297994712331</v>
      </c>
      <c r="F69" s="18"/>
      <c r="T69" s="264">
        <v>23821.255878410961</v>
      </c>
    </row>
    <row r="70" spans="1:20">
      <c r="A70" s="260"/>
      <c r="B70" s="261"/>
      <c r="C70" s="697"/>
      <c r="D70" s="698"/>
      <c r="E70" s="698"/>
      <c r="F70" s="18"/>
      <c r="T70" s="264"/>
    </row>
    <row r="71" spans="1:20" ht="25.9" customHeight="1">
      <c r="A71" s="83" t="s">
        <v>2622</v>
      </c>
      <c r="B71" s="115" t="s">
        <v>121</v>
      </c>
      <c r="C71" s="694"/>
      <c r="D71" s="695"/>
      <c r="E71" s="696">
        <f>ROUND(SUM(E72:E78),0)</f>
        <v>488807</v>
      </c>
      <c r="F71" s="18"/>
      <c r="G71" s="90"/>
      <c r="H71" s="27"/>
      <c r="I71" s="14"/>
      <c r="J71" s="94"/>
      <c r="K71" s="94"/>
      <c r="T71" s="114"/>
    </row>
    <row r="72" spans="1:20">
      <c r="A72" s="260" t="s">
        <v>31</v>
      </c>
      <c r="B72" s="261" t="s">
        <v>32</v>
      </c>
      <c r="C72" s="697">
        <v>454</v>
      </c>
      <c r="D72" s="698">
        <f>D7</f>
        <v>606.9</v>
      </c>
      <c r="E72" s="698">
        <f>+C72*D72</f>
        <v>275532.59999999998</v>
      </c>
      <c r="F72" s="18"/>
      <c r="G72" s="90"/>
      <c r="H72" s="27"/>
      <c r="I72" s="14"/>
      <c r="J72" s="94"/>
      <c r="K72" s="94"/>
      <c r="T72" s="264">
        <v>552</v>
      </c>
    </row>
    <row r="73" spans="1:20">
      <c r="A73" s="260" t="s">
        <v>117</v>
      </c>
      <c r="B73" s="261" t="s">
        <v>25</v>
      </c>
      <c r="C73" s="697">
        <v>220</v>
      </c>
      <c r="D73" s="698">
        <f>D11</f>
        <v>65</v>
      </c>
      <c r="E73" s="698">
        <f>+C73*D73</f>
        <v>14300</v>
      </c>
      <c r="F73" s="18"/>
      <c r="G73" s="90"/>
      <c r="H73" s="27"/>
      <c r="I73" s="14"/>
      <c r="J73" s="94"/>
      <c r="K73" s="94"/>
      <c r="T73" s="264">
        <v>65</v>
      </c>
    </row>
    <row r="74" spans="1:20">
      <c r="A74" s="260" t="s">
        <v>36</v>
      </c>
      <c r="B74" s="261" t="s">
        <v>121</v>
      </c>
      <c r="C74" s="697">
        <v>1.3</v>
      </c>
      <c r="D74" s="698">
        <f>+D9</f>
        <v>37500</v>
      </c>
      <c r="E74" s="698">
        <f>+C74*D74</f>
        <v>48750</v>
      </c>
      <c r="F74" s="18"/>
      <c r="G74" s="90"/>
      <c r="H74" s="27"/>
      <c r="I74" s="14"/>
      <c r="J74" s="94"/>
      <c r="K74" s="94"/>
      <c r="T74" s="264">
        <v>49980</v>
      </c>
    </row>
    <row r="75" spans="1:20">
      <c r="A75" s="333" t="s">
        <v>2633</v>
      </c>
      <c r="B75" s="261" t="s">
        <v>32</v>
      </c>
      <c r="C75" s="697">
        <v>6.61043956043956</v>
      </c>
      <c r="D75" s="698">
        <f>INSUMOS!D114</f>
        <v>16500</v>
      </c>
      <c r="E75" s="698">
        <f>+C75*D75</f>
        <v>109072.25274725274</v>
      </c>
      <c r="F75" s="18"/>
      <c r="G75" s="90"/>
      <c r="H75" s="27"/>
      <c r="I75" s="14"/>
      <c r="J75" s="94"/>
      <c r="K75" s="94"/>
      <c r="T75" s="264">
        <v>9559.27</v>
      </c>
    </row>
    <row r="76" spans="1:20">
      <c r="A76" s="260" t="s">
        <v>11</v>
      </c>
      <c r="B76" s="261" t="s">
        <v>12</v>
      </c>
      <c r="C76" s="697">
        <v>0.03</v>
      </c>
      <c r="D76" s="698">
        <f>E78</f>
        <v>26134.297994712331</v>
      </c>
      <c r="E76" s="698">
        <f>(C76*D76)</f>
        <v>784.02893984136995</v>
      </c>
      <c r="F76" s="18"/>
      <c r="G76" s="90"/>
      <c r="H76" s="27"/>
      <c r="I76" s="14"/>
      <c r="J76" s="94"/>
      <c r="K76" s="94"/>
      <c r="T76" s="264">
        <v>23821.255878410961</v>
      </c>
    </row>
    <row r="77" spans="1:20">
      <c r="A77" s="260" t="s">
        <v>2670</v>
      </c>
      <c r="B77" s="261" t="s">
        <v>2671</v>
      </c>
      <c r="C77" s="697">
        <f>C74*10</f>
        <v>13</v>
      </c>
      <c r="D77" s="698">
        <f>INSUMOS!D24</f>
        <v>1094.8912</v>
      </c>
      <c r="E77" s="698">
        <f>(C77*D77)</f>
        <v>14233.5856</v>
      </c>
      <c r="F77" s="18"/>
      <c r="G77" s="90"/>
      <c r="H77" s="27"/>
      <c r="I77" s="14"/>
      <c r="J77" s="94"/>
      <c r="K77" s="94"/>
      <c r="T77" s="264">
        <v>1100</v>
      </c>
    </row>
    <row r="78" spans="1:20">
      <c r="A78" s="260" t="s">
        <v>118</v>
      </c>
      <c r="B78" s="261" t="s">
        <v>183</v>
      </c>
      <c r="C78" s="697">
        <v>1</v>
      </c>
      <c r="D78" s="698">
        <f>D54</f>
        <v>26134.297994712331</v>
      </c>
      <c r="E78" s="698">
        <f>+C78*D78</f>
        <v>26134.297994712331</v>
      </c>
      <c r="F78" s="18"/>
      <c r="G78" s="90"/>
      <c r="H78" s="27"/>
      <c r="I78" s="14"/>
      <c r="J78" s="94"/>
      <c r="K78" s="94"/>
      <c r="T78" s="264">
        <v>23821.255878410961</v>
      </c>
    </row>
    <row r="79" spans="1:20">
      <c r="A79" s="260"/>
      <c r="B79" s="261"/>
      <c r="C79" s="697"/>
      <c r="D79" s="698"/>
      <c r="E79" s="698"/>
      <c r="F79" s="18"/>
      <c r="G79" s="90"/>
      <c r="H79" s="27"/>
      <c r="I79" s="14"/>
      <c r="J79" s="94"/>
      <c r="K79" s="94"/>
      <c r="T79" s="264"/>
    </row>
    <row r="80" spans="1:20" ht="25.15" customHeight="1">
      <c r="A80" s="83" t="s">
        <v>47</v>
      </c>
      <c r="B80" s="115" t="s">
        <v>121</v>
      </c>
      <c r="C80" s="694"/>
      <c r="D80" s="695"/>
      <c r="E80" s="696">
        <f>ROUND(SUM(E81:E86),0)</f>
        <v>318331</v>
      </c>
      <c r="F80" s="3"/>
      <c r="T80" s="114"/>
    </row>
    <row r="81" spans="1:20">
      <c r="A81" s="260" t="s">
        <v>31</v>
      </c>
      <c r="B81" s="261" t="s">
        <v>32</v>
      </c>
      <c r="C81" s="697">
        <v>364</v>
      </c>
      <c r="D81" s="698">
        <f>+D7</f>
        <v>606.9</v>
      </c>
      <c r="E81" s="698">
        <f>+C81*D81</f>
        <v>220911.6</v>
      </c>
      <c r="F81" s="3"/>
      <c r="T81" s="264">
        <v>552</v>
      </c>
    </row>
    <row r="82" spans="1:20">
      <c r="A82" s="260" t="s">
        <v>117</v>
      </c>
      <c r="B82" s="261" t="s">
        <v>25</v>
      </c>
      <c r="C82" s="697">
        <v>220</v>
      </c>
      <c r="D82" s="698">
        <f>+D11</f>
        <v>65</v>
      </c>
      <c r="E82" s="698">
        <f>+C82*D82</f>
        <v>14300</v>
      </c>
      <c r="F82" s="3"/>
      <c r="T82" s="264">
        <v>65</v>
      </c>
    </row>
    <row r="83" spans="1:20">
      <c r="A83" s="260" t="s">
        <v>36</v>
      </c>
      <c r="B83" s="261" t="s">
        <v>121</v>
      </c>
      <c r="C83" s="697">
        <v>1.1599999999999999</v>
      </c>
      <c r="D83" s="698">
        <f>+D9</f>
        <v>37500</v>
      </c>
      <c r="E83" s="698">
        <f>+C83*D83</f>
        <v>43500</v>
      </c>
      <c r="F83" s="3"/>
      <c r="T83" s="264">
        <v>49980</v>
      </c>
    </row>
    <row r="84" spans="1:20">
      <c r="A84" s="260" t="s">
        <v>11</v>
      </c>
      <c r="B84" s="261" t="s">
        <v>12</v>
      </c>
      <c r="C84" s="697">
        <v>0.03</v>
      </c>
      <c r="D84" s="698">
        <f>+E86</f>
        <v>26134.297994712331</v>
      </c>
      <c r="E84" s="698">
        <f>(C84*D84)</f>
        <v>784.02893984136995</v>
      </c>
      <c r="F84" s="3"/>
      <c r="T84" s="264">
        <v>23821.255878410961</v>
      </c>
    </row>
    <row r="85" spans="1:20">
      <c r="A85" s="260" t="s">
        <v>2670</v>
      </c>
      <c r="B85" s="261" t="s">
        <v>2671</v>
      </c>
      <c r="C85" s="697">
        <f>C83*10</f>
        <v>11.6</v>
      </c>
      <c r="D85" s="698">
        <f>INSUMOS!D24</f>
        <v>1094.8912</v>
      </c>
      <c r="E85" s="698">
        <f>(C85*D85)</f>
        <v>12700.73792</v>
      </c>
      <c r="F85" s="3"/>
      <c r="T85" s="264">
        <v>1100</v>
      </c>
    </row>
    <row r="86" spans="1:20">
      <c r="A86" s="333" t="s">
        <v>176</v>
      </c>
      <c r="B86" s="261" t="s">
        <v>183</v>
      </c>
      <c r="C86" s="697">
        <v>1</v>
      </c>
      <c r="D86" s="698">
        <f>D69</f>
        <v>26134.297994712331</v>
      </c>
      <c r="E86" s="698">
        <f>+C86*D86</f>
        <v>26134.297994712331</v>
      </c>
      <c r="F86" s="109"/>
      <c r="T86" s="264">
        <v>23821.255878410961</v>
      </c>
    </row>
    <row r="87" spans="1:20">
      <c r="A87" s="260"/>
      <c r="B87" s="261"/>
      <c r="C87" s="697"/>
      <c r="D87" s="698"/>
      <c r="E87" s="698"/>
      <c r="F87" s="109"/>
      <c r="T87" s="264"/>
    </row>
    <row r="88" spans="1:20" ht="24" customHeight="1">
      <c r="A88" s="83" t="s">
        <v>49</v>
      </c>
      <c r="B88" s="115" t="s">
        <v>121</v>
      </c>
      <c r="C88" s="694"/>
      <c r="D88" s="695"/>
      <c r="E88" s="696">
        <f>ROUND(SUM(E89:E94),0)</f>
        <v>280171</v>
      </c>
      <c r="F88" s="3"/>
      <c r="T88" s="114"/>
    </row>
    <row r="89" spans="1:20">
      <c r="A89" s="260" t="s">
        <v>31</v>
      </c>
      <c r="B89" s="261" t="s">
        <v>32</v>
      </c>
      <c r="C89" s="697">
        <v>302</v>
      </c>
      <c r="D89" s="698">
        <f>+D7</f>
        <v>606.9</v>
      </c>
      <c r="E89" s="698">
        <f>+C89*D89</f>
        <v>183283.8</v>
      </c>
      <c r="F89" s="2"/>
      <c r="T89" s="264">
        <v>552</v>
      </c>
    </row>
    <row r="90" spans="1:20">
      <c r="A90" s="260" t="s">
        <v>117</v>
      </c>
      <c r="B90" s="261" t="s">
        <v>25</v>
      </c>
      <c r="C90" s="697">
        <v>182</v>
      </c>
      <c r="D90" s="698">
        <f>+D11</f>
        <v>65</v>
      </c>
      <c r="E90" s="698">
        <f>+C90*D90</f>
        <v>11830</v>
      </c>
      <c r="T90" s="264">
        <v>65</v>
      </c>
    </row>
    <row r="91" spans="1:20">
      <c r="A91" s="260" t="s">
        <v>36</v>
      </c>
      <c r="B91" s="261" t="s">
        <v>121</v>
      </c>
      <c r="C91" s="697">
        <v>1.2</v>
      </c>
      <c r="D91" s="698">
        <f>+D9</f>
        <v>37500</v>
      </c>
      <c r="E91" s="698">
        <f>+C91*D91</f>
        <v>45000</v>
      </c>
      <c r="T91" s="264">
        <v>49980</v>
      </c>
    </row>
    <row r="92" spans="1:20">
      <c r="A92" s="260" t="s">
        <v>11</v>
      </c>
      <c r="B92" s="261" t="s">
        <v>12</v>
      </c>
      <c r="C92" s="697">
        <v>0.03</v>
      </c>
      <c r="D92" s="698">
        <f>+E94</f>
        <v>26134.297994712331</v>
      </c>
      <c r="E92" s="698">
        <f>(C92*D92)</f>
        <v>784.02893984136995</v>
      </c>
      <c r="T92" s="264">
        <v>23821.255878410961</v>
      </c>
    </row>
    <row r="93" spans="1:20">
      <c r="A93" s="260" t="s">
        <v>2670</v>
      </c>
      <c r="B93" s="261" t="s">
        <v>2671</v>
      </c>
      <c r="C93" s="697">
        <f>C91*10</f>
        <v>12</v>
      </c>
      <c r="D93" s="698">
        <f>INSUMOS!D24</f>
        <v>1094.8912</v>
      </c>
      <c r="E93" s="698">
        <f>(C93*D93)</f>
        <v>13138.6944</v>
      </c>
      <c r="T93" s="264">
        <v>1100</v>
      </c>
    </row>
    <row r="94" spans="1:20">
      <c r="A94" s="333" t="s">
        <v>176</v>
      </c>
      <c r="B94" s="261" t="s">
        <v>183</v>
      </c>
      <c r="C94" s="697">
        <v>1</v>
      </c>
      <c r="D94" s="698">
        <f>D69</f>
        <v>26134.297994712331</v>
      </c>
      <c r="E94" s="698">
        <f>+C94*D94</f>
        <v>26134.297994712331</v>
      </c>
      <c r="T94" s="264">
        <v>23821.255878410961</v>
      </c>
    </row>
    <row r="95" spans="1:20">
      <c r="A95" s="260"/>
      <c r="B95" s="261"/>
      <c r="C95" s="697"/>
      <c r="D95" s="698"/>
      <c r="E95" s="698"/>
      <c r="T95" s="264"/>
    </row>
    <row r="96" spans="1:20" ht="22.9" customHeight="1">
      <c r="A96" s="83" t="s">
        <v>48</v>
      </c>
      <c r="B96" s="115" t="s">
        <v>121</v>
      </c>
      <c r="C96" s="694"/>
      <c r="D96" s="695"/>
      <c r="E96" s="696">
        <f>ROUND(SUM(E97:E103),0)</f>
        <v>405781</v>
      </c>
      <c r="T96" s="114"/>
    </row>
    <row r="97" spans="1:20">
      <c r="A97" s="260" t="s">
        <v>31</v>
      </c>
      <c r="B97" s="261" t="s">
        <v>32</v>
      </c>
      <c r="C97" s="697">
        <v>364</v>
      </c>
      <c r="D97" s="698">
        <f>+D7</f>
        <v>606.9</v>
      </c>
      <c r="E97" s="698">
        <f>+C97*D97</f>
        <v>220911.6</v>
      </c>
      <c r="T97" s="264">
        <v>552</v>
      </c>
    </row>
    <row r="98" spans="1:20">
      <c r="A98" s="260" t="s">
        <v>117</v>
      </c>
      <c r="B98" s="261" t="s">
        <v>25</v>
      </c>
      <c r="C98" s="697">
        <v>220</v>
      </c>
      <c r="D98" s="698">
        <f>+D11</f>
        <v>65</v>
      </c>
      <c r="E98" s="698">
        <f>+C98*D98</f>
        <v>14300</v>
      </c>
      <c r="T98" s="264">
        <v>65</v>
      </c>
    </row>
    <row r="99" spans="1:20">
      <c r="A99" s="260" t="s">
        <v>36</v>
      </c>
      <c r="B99" s="261" t="s">
        <v>121</v>
      </c>
      <c r="C99" s="697">
        <v>1.1599999999999999</v>
      </c>
      <c r="D99" s="698">
        <f>+D9</f>
        <v>37500</v>
      </c>
      <c r="E99" s="698">
        <f>+C99*D99</f>
        <v>43500</v>
      </c>
      <c r="T99" s="264">
        <v>49980</v>
      </c>
    </row>
    <row r="100" spans="1:20">
      <c r="A100" s="333" t="s">
        <v>2632</v>
      </c>
      <c r="B100" s="261" t="s">
        <v>32</v>
      </c>
      <c r="C100" s="697">
        <v>5.3</v>
      </c>
      <c r="D100" s="698">
        <f>+INSUMOS!D114</f>
        <v>16500</v>
      </c>
      <c r="E100" s="698">
        <f>+C100*D100</f>
        <v>87450</v>
      </c>
      <c r="T100" s="264">
        <v>9559.27</v>
      </c>
    </row>
    <row r="101" spans="1:20">
      <c r="A101" s="260" t="s">
        <v>11</v>
      </c>
      <c r="B101" s="261" t="s">
        <v>12</v>
      </c>
      <c r="C101" s="697">
        <v>0.03</v>
      </c>
      <c r="D101" s="698">
        <f>+E103</f>
        <v>26134.297994712331</v>
      </c>
      <c r="E101" s="698">
        <f>(C101*D101)</f>
        <v>784.02893984136995</v>
      </c>
      <c r="T101" s="264">
        <v>23821.255878410961</v>
      </c>
    </row>
    <row r="102" spans="1:20">
      <c r="A102" s="260" t="s">
        <v>2670</v>
      </c>
      <c r="B102" s="261" t="s">
        <v>2671</v>
      </c>
      <c r="C102" s="697">
        <f>C99*10</f>
        <v>11.6</v>
      </c>
      <c r="D102" s="698">
        <f>INSUMOS!D24</f>
        <v>1094.8912</v>
      </c>
      <c r="E102" s="698">
        <f>(C102*D102)</f>
        <v>12700.73792</v>
      </c>
      <c r="T102" s="264">
        <v>1100</v>
      </c>
    </row>
    <row r="103" spans="1:20">
      <c r="A103" s="333" t="s">
        <v>176</v>
      </c>
      <c r="B103" s="261" t="s">
        <v>183</v>
      </c>
      <c r="C103" s="697">
        <v>1</v>
      </c>
      <c r="D103" s="698">
        <f>D69</f>
        <v>26134.297994712331</v>
      </c>
      <c r="E103" s="698">
        <f>+C103*D103</f>
        <v>26134.297994712331</v>
      </c>
      <c r="T103" s="264">
        <v>23821.255878410961</v>
      </c>
    </row>
    <row r="104" spans="1:20">
      <c r="A104" s="260"/>
      <c r="B104" s="261"/>
      <c r="C104" s="697"/>
      <c r="D104" s="698"/>
      <c r="E104" s="698"/>
      <c r="T104" s="264"/>
    </row>
    <row r="105" spans="1:20" ht="24" customHeight="1">
      <c r="A105" s="83" t="s">
        <v>3102</v>
      </c>
      <c r="B105" s="115" t="s">
        <v>121</v>
      </c>
      <c r="C105" s="694"/>
      <c r="D105" s="695"/>
      <c r="E105" s="696">
        <f>ROUND(SUM(E106:E113),0)</f>
        <v>463590</v>
      </c>
      <c r="T105" s="114"/>
    </row>
    <row r="106" spans="1:20">
      <c r="A106" s="260" t="s">
        <v>31</v>
      </c>
      <c r="B106" s="261" t="s">
        <v>32</v>
      </c>
      <c r="C106" s="697">
        <v>475</v>
      </c>
      <c r="D106" s="698">
        <f>+D7</f>
        <v>606.9</v>
      </c>
      <c r="E106" s="698">
        <f>+C106*D106</f>
        <v>288277.5</v>
      </c>
      <c r="T106" s="264">
        <v>552</v>
      </c>
    </row>
    <row r="107" spans="1:20">
      <c r="A107" s="260" t="s">
        <v>117</v>
      </c>
      <c r="B107" s="261" t="s">
        <v>25</v>
      </c>
      <c r="C107" s="697">
        <v>200</v>
      </c>
      <c r="D107" s="698">
        <f>+D11</f>
        <v>65</v>
      </c>
      <c r="E107" s="698">
        <f>+C107*D107</f>
        <v>13000</v>
      </c>
      <c r="T107" s="264">
        <v>65</v>
      </c>
    </row>
    <row r="108" spans="1:20">
      <c r="A108" s="260" t="s">
        <v>36</v>
      </c>
      <c r="B108" s="261" t="s">
        <v>121</v>
      </c>
      <c r="C108" s="697">
        <v>0.56000000000000005</v>
      </c>
      <c r="D108" s="698">
        <f>+D9</f>
        <v>37500</v>
      </c>
      <c r="E108" s="698">
        <f>+C108*D108</f>
        <v>21000.000000000004</v>
      </c>
      <c r="T108" s="264">
        <v>49980</v>
      </c>
    </row>
    <row r="109" spans="1:20">
      <c r="A109" s="260" t="s">
        <v>743</v>
      </c>
      <c r="B109" s="261" t="s">
        <v>121</v>
      </c>
      <c r="C109" s="697">
        <v>0.75</v>
      </c>
      <c r="D109" s="698">
        <f>D10</f>
        <v>88160</v>
      </c>
      <c r="E109" s="698">
        <f>+C109*D109</f>
        <v>66120</v>
      </c>
      <c r="T109" s="264">
        <v>77469</v>
      </c>
    </row>
    <row r="110" spans="1:20">
      <c r="A110" s="260" t="s">
        <v>188</v>
      </c>
      <c r="B110" s="261" t="s">
        <v>12</v>
      </c>
      <c r="C110" s="697">
        <v>0.15</v>
      </c>
      <c r="D110" s="698">
        <f>+D42</f>
        <v>136480.47829830134</v>
      </c>
      <c r="E110" s="698">
        <f>+C110*D110</f>
        <v>20472.071744745201</v>
      </c>
      <c r="T110" s="264">
        <v>82110</v>
      </c>
    </row>
    <row r="111" spans="1:20">
      <c r="A111" s="260" t="s">
        <v>11</v>
      </c>
      <c r="B111" s="261" t="s">
        <v>12</v>
      </c>
      <c r="C111" s="697">
        <v>0.03</v>
      </c>
      <c r="D111" s="698">
        <f>+E113</f>
        <v>39201.446992068493</v>
      </c>
      <c r="E111" s="698">
        <f>(C111*D111)</f>
        <v>1176.0434097620548</v>
      </c>
      <c r="T111" s="264">
        <v>35731.883817616443</v>
      </c>
    </row>
    <row r="112" spans="1:20">
      <c r="A112" s="260" t="s">
        <v>2670</v>
      </c>
      <c r="B112" s="261" t="s">
        <v>2671</v>
      </c>
      <c r="C112" s="697">
        <f>(C109+C108)*10</f>
        <v>13.100000000000001</v>
      </c>
      <c r="D112" s="698">
        <f>INSUMOS!D24</f>
        <v>1094.8912</v>
      </c>
      <c r="E112" s="698">
        <f>(C112*D112)</f>
        <v>14343.074720000002</v>
      </c>
      <c r="T112" s="264">
        <v>1100</v>
      </c>
    </row>
    <row r="113" spans="1:20">
      <c r="A113" s="260" t="s">
        <v>334</v>
      </c>
      <c r="B113" s="261" t="s">
        <v>183</v>
      </c>
      <c r="C113" s="697">
        <v>1.5</v>
      </c>
      <c r="D113" s="698">
        <f>'VALOR CUADRILLAS MO'!D75</f>
        <v>26134.297994712331</v>
      </c>
      <c r="E113" s="698">
        <f>+C113*D113</f>
        <v>39201.446992068493</v>
      </c>
      <c r="T113" s="264">
        <v>23821.255878410961</v>
      </c>
    </row>
    <row r="114" spans="1:20">
      <c r="A114" s="260"/>
      <c r="B114" s="261"/>
      <c r="C114" s="697"/>
      <c r="D114" s="698"/>
      <c r="E114" s="698"/>
      <c r="T114" s="264"/>
    </row>
    <row r="115" spans="1:20" ht="21.6" customHeight="1">
      <c r="A115" s="83" t="s">
        <v>2883</v>
      </c>
      <c r="B115" s="115" t="s">
        <v>121</v>
      </c>
      <c r="C115" s="694"/>
      <c r="D115" s="695"/>
      <c r="E115" s="696">
        <f>ROUND(SUM(E116:E123),0)</f>
        <v>403979</v>
      </c>
      <c r="T115" s="114"/>
    </row>
    <row r="116" spans="1:20">
      <c r="A116" s="260" t="s">
        <v>31</v>
      </c>
      <c r="B116" s="261" t="s">
        <v>32</v>
      </c>
      <c r="C116" s="697">
        <v>380</v>
      </c>
      <c r="D116" s="698">
        <f>+D7</f>
        <v>606.9</v>
      </c>
      <c r="E116" s="698">
        <f>+C116*D116</f>
        <v>230622</v>
      </c>
      <c r="T116" s="264">
        <v>552</v>
      </c>
    </row>
    <row r="117" spans="1:20">
      <c r="A117" s="260" t="s">
        <v>117</v>
      </c>
      <c r="B117" s="261" t="s">
        <v>25</v>
      </c>
      <c r="C117" s="697">
        <v>190</v>
      </c>
      <c r="D117" s="698">
        <f>+D11</f>
        <v>65</v>
      </c>
      <c r="E117" s="698">
        <f>+C117*D117</f>
        <v>12350</v>
      </c>
      <c r="T117" s="264">
        <v>65</v>
      </c>
    </row>
    <row r="118" spans="1:20">
      <c r="A118" s="260" t="s">
        <v>36</v>
      </c>
      <c r="B118" s="261" t="s">
        <v>121</v>
      </c>
      <c r="C118" s="697">
        <v>0.6</v>
      </c>
      <c r="D118" s="698">
        <f>+D9</f>
        <v>37500</v>
      </c>
      <c r="E118" s="698">
        <f>+C118*D118</f>
        <v>22500</v>
      </c>
      <c r="T118" s="264">
        <v>49980</v>
      </c>
    </row>
    <row r="119" spans="1:20">
      <c r="A119" s="260" t="s">
        <v>743</v>
      </c>
      <c r="B119" s="261" t="s">
        <v>121</v>
      </c>
      <c r="C119" s="697">
        <v>0.76</v>
      </c>
      <c r="D119" s="698">
        <f>D109</f>
        <v>88160</v>
      </c>
      <c r="E119" s="698">
        <f>+C119*D119</f>
        <v>67001.600000000006</v>
      </c>
      <c r="T119" s="264">
        <v>77469</v>
      </c>
    </row>
    <row r="120" spans="1:20">
      <c r="A120" s="260" t="s">
        <v>188</v>
      </c>
      <c r="B120" s="261" t="s">
        <v>12</v>
      </c>
      <c r="C120" s="697">
        <v>0.118974</v>
      </c>
      <c r="D120" s="698">
        <f>D42</f>
        <v>136480.47829830134</v>
      </c>
      <c r="E120" s="698">
        <f>+C120*D120</f>
        <v>16237.628425062103</v>
      </c>
      <c r="T120" s="264">
        <v>82110</v>
      </c>
    </row>
    <row r="121" spans="1:20">
      <c r="A121" s="260" t="s">
        <v>11</v>
      </c>
      <c r="B121" s="261" t="s">
        <v>12</v>
      </c>
      <c r="C121" s="697">
        <v>0.03</v>
      </c>
      <c r="D121" s="698">
        <f>+E123</f>
        <v>39201.446992068493</v>
      </c>
      <c r="E121" s="698">
        <f>(C121*D121)</f>
        <v>1176.0434097620548</v>
      </c>
      <c r="T121" s="264">
        <v>35731.883817616443</v>
      </c>
    </row>
    <row r="122" spans="1:20">
      <c r="A122" s="260" t="s">
        <v>2670</v>
      </c>
      <c r="B122" s="261" t="s">
        <v>2671</v>
      </c>
      <c r="C122" s="697">
        <f>(C119+C118)*10</f>
        <v>13.599999999999998</v>
      </c>
      <c r="D122" s="698">
        <f>INSUMOS!D24</f>
        <v>1094.8912</v>
      </c>
      <c r="E122" s="698">
        <f>(C122*D122)</f>
        <v>14890.520319999998</v>
      </c>
      <c r="T122" s="264">
        <v>1100</v>
      </c>
    </row>
    <row r="123" spans="1:20">
      <c r="A123" s="260" t="s">
        <v>334</v>
      </c>
      <c r="B123" s="261" t="s">
        <v>183</v>
      </c>
      <c r="C123" s="697">
        <v>1.5</v>
      </c>
      <c r="D123" s="698">
        <f>D113</f>
        <v>26134.297994712331</v>
      </c>
      <c r="E123" s="698">
        <f>+C123*D123</f>
        <v>39201.446992068493</v>
      </c>
      <c r="T123" s="264">
        <v>23821.255878410961</v>
      </c>
    </row>
    <row r="124" spans="1:20">
      <c r="A124" s="260"/>
      <c r="B124" s="261"/>
      <c r="C124" s="697"/>
      <c r="D124" s="698"/>
      <c r="E124" s="698"/>
      <c r="T124" s="264"/>
    </row>
    <row r="125" spans="1:20">
      <c r="A125" s="83" t="s">
        <v>3103</v>
      </c>
      <c r="B125" s="115" t="s">
        <v>121</v>
      </c>
      <c r="C125" s="694"/>
      <c r="D125" s="695"/>
      <c r="E125" s="696">
        <f>ROUND(SUM(E126:E133),0)</f>
        <v>428296</v>
      </c>
      <c r="T125" s="114"/>
    </row>
    <row r="126" spans="1:20">
      <c r="A126" s="260" t="s">
        <v>31</v>
      </c>
      <c r="B126" s="261" t="s">
        <v>32</v>
      </c>
      <c r="C126" s="697">
        <v>425</v>
      </c>
      <c r="D126" s="698">
        <f>+D7</f>
        <v>606.9</v>
      </c>
      <c r="E126" s="698">
        <f>+C126*D126</f>
        <v>257932.5</v>
      </c>
      <c r="F126" s="29"/>
      <c r="T126" s="264">
        <v>552</v>
      </c>
    </row>
    <row r="127" spans="1:20">
      <c r="A127" s="260" t="s">
        <v>117</v>
      </c>
      <c r="B127" s="261" t="s">
        <v>25</v>
      </c>
      <c r="C127" s="697">
        <v>229</v>
      </c>
      <c r="D127" s="698">
        <f>+D11</f>
        <v>65</v>
      </c>
      <c r="E127" s="698">
        <f>+C127*D127</f>
        <v>14885</v>
      </c>
      <c r="T127" s="264">
        <v>65</v>
      </c>
    </row>
    <row r="128" spans="1:20">
      <c r="A128" s="260" t="s">
        <v>36</v>
      </c>
      <c r="B128" s="261" t="s">
        <v>121</v>
      </c>
      <c r="C128" s="697">
        <v>0.67</v>
      </c>
      <c r="D128" s="698">
        <f>+D9</f>
        <v>37500</v>
      </c>
      <c r="E128" s="698">
        <f>+C128*D128</f>
        <v>25125</v>
      </c>
      <c r="T128" s="264">
        <v>49980</v>
      </c>
    </row>
    <row r="129" spans="1:20">
      <c r="A129" s="260" t="s">
        <v>743</v>
      </c>
      <c r="B129" s="261" t="s">
        <v>121</v>
      </c>
      <c r="C129" s="697">
        <v>0.67</v>
      </c>
      <c r="D129" s="698">
        <f>D119</f>
        <v>88160</v>
      </c>
      <c r="E129" s="698">
        <f>+C129*D129</f>
        <v>59067.200000000004</v>
      </c>
      <c r="T129" s="264">
        <v>77469</v>
      </c>
    </row>
    <row r="130" spans="1:20">
      <c r="A130" s="260" t="s">
        <v>188</v>
      </c>
      <c r="B130" s="261" t="s">
        <v>12</v>
      </c>
      <c r="C130" s="697">
        <v>0.118974</v>
      </c>
      <c r="D130" s="698">
        <f>D42</f>
        <v>136480.47829830134</v>
      </c>
      <c r="E130" s="698">
        <f>+C130*D130</f>
        <v>16237.628425062103</v>
      </c>
      <c r="T130" s="264">
        <v>82110</v>
      </c>
    </row>
    <row r="131" spans="1:20">
      <c r="A131" s="260" t="s">
        <v>11</v>
      </c>
      <c r="B131" s="261" t="s">
        <v>12</v>
      </c>
      <c r="C131" s="697">
        <v>0.03</v>
      </c>
      <c r="D131" s="698">
        <f>+E133</f>
        <v>39201.446992068493</v>
      </c>
      <c r="E131" s="698">
        <f>(C131*D131)</f>
        <v>1176.0434097620548</v>
      </c>
      <c r="T131" s="264">
        <v>35731.883817616443</v>
      </c>
    </row>
    <row r="132" spans="1:20">
      <c r="A132" s="260" t="s">
        <v>2670</v>
      </c>
      <c r="B132" s="261" t="s">
        <v>2671</v>
      </c>
      <c r="C132" s="697">
        <f>(C129+C128)*10</f>
        <v>13.4</v>
      </c>
      <c r="D132" s="698">
        <f>INSUMOS!D24</f>
        <v>1094.8912</v>
      </c>
      <c r="E132" s="698">
        <f>(C132*D132)</f>
        <v>14671.542080000001</v>
      </c>
      <c r="T132" s="264">
        <v>1100</v>
      </c>
    </row>
    <row r="133" spans="1:20">
      <c r="A133" s="260" t="s">
        <v>334</v>
      </c>
      <c r="B133" s="261" t="s">
        <v>183</v>
      </c>
      <c r="C133" s="697">
        <v>1.5</v>
      </c>
      <c r="D133" s="698">
        <f>D123</f>
        <v>26134.297994712331</v>
      </c>
      <c r="E133" s="698">
        <f>+C133*D133</f>
        <v>39201.446992068493</v>
      </c>
      <c r="T133" s="264">
        <v>23821.255878410961</v>
      </c>
    </row>
    <row r="134" spans="1:20">
      <c r="A134" s="260"/>
      <c r="B134" s="261"/>
      <c r="C134" s="697"/>
      <c r="D134" s="698"/>
      <c r="E134" s="698"/>
      <c r="T134" s="264"/>
    </row>
    <row r="135" spans="1:20" ht="35.450000000000003" customHeight="1">
      <c r="A135" s="83" t="s">
        <v>2630</v>
      </c>
      <c r="B135" s="115" t="s">
        <v>121</v>
      </c>
      <c r="C135" s="694"/>
      <c r="D135" s="695"/>
      <c r="E135" s="696">
        <f>ROUND(SUM(E136:E144),0)</f>
        <v>425444</v>
      </c>
      <c r="T135" s="114"/>
    </row>
    <row r="136" spans="1:20">
      <c r="A136" s="260" t="s">
        <v>31</v>
      </c>
      <c r="B136" s="261" t="s">
        <v>32</v>
      </c>
      <c r="C136" s="697">
        <v>350</v>
      </c>
      <c r="D136" s="698">
        <f>+D7</f>
        <v>606.9</v>
      </c>
      <c r="E136" s="698">
        <f t="shared" ref="E136:E141" si="0">+C136*D136</f>
        <v>212415</v>
      </c>
      <c r="T136" s="264">
        <v>552</v>
      </c>
    </row>
    <row r="137" spans="1:20">
      <c r="A137" s="260" t="s">
        <v>117</v>
      </c>
      <c r="B137" s="261" t="s">
        <v>25</v>
      </c>
      <c r="C137" s="697">
        <v>180</v>
      </c>
      <c r="D137" s="698">
        <f>+D11</f>
        <v>65</v>
      </c>
      <c r="E137" s="698">
        <f t="shared" si="0"/>
        <v>11700</v>
      </c>
      <c r="T137" s="264">
        <v>65</v>
      </c>
    </row>
    <row r="138" spans="1:20">
      <c r="A138" s="260" t="s">
        <v>36</v>
      </c>
      <c r="B138" s="261" t="s">
        <v>121</v>
      </c>
      <c r="C138" s="697">
        <v>0.55500000000000005</v>
      </c>
      <c r="D138" s="698">
        <f>+D9</f>
        <v>37500</v>
      </c>
      <c r="E138" s="698">
        <f t="shared" si="0"/>
        <v>20812.500000000004</v>
      </c>
      <c r="T138" s="264">
        <v>49980</v>
      </c>
    </row>
    <row r="139" spans="1:20">
      <c r="A139" s="260" t="s">
        <v>743</v>
      </c>
      <c r="B139" s="261" t="s">
        <v>121</v>
      </c>
      <c r="C139" s="697">
        <v>0.84</v>
      </c>
      <c r="D139" s="698">
        <f>D129</f>
        <v>88160</v>
      </c>
      <c r="E139" s="698">
        <f t="shared" si="0"/>
        <v>74054.399999999994</v>
      </c>
      <c r="T139" s="264">
        <v>77469</v>
      </c>
    </row>
    <row r="140" spans="1:20">
      <c r="A140" s="260" t="s">
        <v>600</v>
      </c>
      <c r="B140" s="77" t="s">
        <v>32</v>
      </c>
      <c r="C140" s="699">
        <f>0.25*7</f>
        <v>1.75</v>
      </c>
      <c r="D140" s="700">
        <f>+INSUMOS!D109</f>
        <v>19756</v>
      </c>
      <c r="E140" s="700">
        <f t="shared" si="0"/>
        <v>34573</v>
      </c>
      <c r="T140" s="326">
        <v>9217.3333333333339</v>
      </c>
    </row>
    <row r="141" spans="1:20">
      <c r="A141" s="260" t="s">
        <v>188</v>
      </c>
      <c r="B141" s="261" t="s">
        <v>12</v>
      </c>
      <c r="C141" s="697">
        <v>0.118974</v>
      </c>
      <c r="D141" s="698">
        <f>D42</f>
        <v>136480.47829830134</v>
      </c>
      <c r="E141" s="698">
        <f t="shared" si="0"/>
        <v>16237.628425062103</v>
      </c>
      <c r="T141" s="264">
        <v>82110</v>
      </c>
    </row>
    <row r="142" spans="1:20">
      <c r="A142" s="260" t="s">
        <v>11</v>
      </c>
      <c r="B142" s="261" t="s">
        <v>12</v>
      </c>
      <c r="C142" s="697">
        <v>0.03</v>
      </c>
      <c r="D142" s="698">
        <f>+E144</f>
        <v>39201.446992068493</v>
      </c>
      <c r="E142" s="698">
        <f>(C142*D142)</f>
        <v>1176.0434097620548</v>
      </c>
      <c r="T142" s="264">
        <v>35731.883817616443</v>
      </c>
    </row>
    <row r="143" spans="1:20">
      <c r="A143" s="260" t="s">
        <v>2670</v>
      </c>
      <c r="B143" s="261" t="s">
        <v>2671</v>
      </c>
      <c r="C143" s="697">
        <f>(C139+C138)*10</f>
        <v>13.95</v>
      </c>
      <c r="D143" s="698">
        <f>INSUMOS!D24</f>
        <v>1094.8912</v>
      </c>
      <c r="E143" s="698">
        <f>(C143*D143)</f>
        <v>15273.732239999999</v>
      </c>
      <c r="T143" s="264">
        <v>1100</v>
      </c>
    </row>
    <row r="144" spans="1:20">
      <c r="A144" s="260" t="s">
        <v>334</v>
      </c>
      <c r="B144" s="261" t="s">
        <v>183</v>
      </c>
      <c r="C144" s="697">
        <v>1.5</v>
      </c>
      <c r="D144" s="698">
        <f>D133</f>
        <v>26134.297994712331</v>
      </c>
      <c r="E144" s="698">
        <f>+C144*D144</f>
        <v>39201.446992068493</v>
      </c>
      <c r="T144" s="264">
        <v>23821.255878410961</v>
      </c>
    </row>
    <row r="145" spans="1:20">
      <c r="A145" s="260"/>
      <c r="B145" s="261"/>
      <c r="C145" s="697"/>
      <c r="D145" s="698"/>
      <c r="E145" s="698"/>
      <c r="I145" s="98" t="s">
        <v>688</v>
      </c>
      <c r="K145" s="26">
        <v>2013</v>
      </c>
      <c r="T145" s="264"/>
    </row>
    <row r="146" spans="1:20" ht="25.9" customHeight="1">
      <c r="A146" s="83" t="s">
        <v>2974</v>
      </c>
      <c r="B146" s="115" t="s">
        <v>121</v>
      </c>
      <c r="C146" s="694"/>
      <c r="D146" s="695"/>
      <c r="E146" s="696">
        <f>ROUND(SUM(E147:E154),0)</f>
        <v>392821</v>
      </c>
      <c r="G146" s="148">
        <f>E146*0.17</f>
        <v>66779.570000000007</v>
      </c>
      <c r="H146" s="148">
        <f>SUM(G147:G154)</f>
        <v>64182.993200571756</v>
      </c>
      <c r="I146" s="1193" t="s">
        <v>526</v>
      </c>
      <c r="J146" s="1193"/>
      <c r="K146" s="1193"/>
      <c r="L146" s="26" t="s">
        <v>121</v>
      </c>
      <c r="M146" s="23">
        <f>ROUND(SUM(M147:M154),0)</f>
        <v>338645</v>
      </c>
      <c r="T146" s="114"/>
    </row>
    <row r="147" spans="1:20">
      <c r="A147" s="260" t="s">
        <v>31</v>
      </c>
      <c r="B147" s="261" t="s">
        <v>32</v>
      </c>
      <c r="C147" s="697">
        <v>350</v>
      </c>
      <c r="D147" s="698">
        <f>D7</f>
        <v>606.9</v>
      </c>
      <c r="E147" s="698">
        <f>+C147*D147</f>
        <v>212415</v>
      </c>
      <c r="G147" s="148">
        <f t="shared" ref="G147:G154" si="1">E147*0.17</f>
        <v>36110.550000000003</v>
      </c>
      <c r="I147" s="99"/>
      <c r="J147" s="22" t="s">
        <v>32</v>
      </c>
      <c r="K147" s="22">
        <v>350</v>
      </c>
      <c r="L147" s="22">
        <v>530</v>
      </c>
      <c r="M147" s="22">
        <f>+K147*L147</f>
        <v>185500</v>
      </c>
      <c r="T147" s="264">
        <v>552</v>
      </c>
    </row>
    <row r="148" spans="1:20">
      <c r="A148" s="260" t="s">
        <v>117</v>
      </c>
      <c r="B148" s="261" t="s">
        <v>25</v>
      </c>
      <c r="C148" s="697">
        <v>210</v>
      </c>
      <c r="D148" s="698">
        <f>+D11</f>
        <v>65</v>
      </c>
      <c r="E148" s="698">
        <f>+C148*D148</f>
        <v>13650</v>
      </c>
      <c r="G148" s="148">
        <f t="shared" si="1"/>
        <v>2320.5</v>
      </c>
      <c r="I148" s="99"/>
      <c r="J148" s="22" t="s">
        <v>25</v>
      </c>
      <c r="K148" s="22">
        <v>180</v>
      </c>
      <c r="L148" s="22">
        <v>12.72</v>
      </c>
      <c r="M148" s="22">
        <f t="shared" ref="M148:M154" si="2">+K148*L148</f>
        <v>2289.6</v>
      </c>
      <c r="T148" s="264">
        <v>65</v>
      </c>
    </row>
    <row r="149" spans="1:20">
      <c r="A149" s="260" t="s">
        <v>36</v>
      </c>
      <c r="B149" s="261" t="s">
        <v>121</v>
      </c>
      <c r="C149" s="697">
        <v>0.55500000000000005</v>
      </c>
      <c r="D149" s="698">
        <f>+D9</f>
        <v>37500</v>
      </c>
      <c r="E149" s="698">
        <f>+C149*D149</f>
        <v>20812.500000000004</v>
      </c>
      <c r="G149" s="148">
        <f t="shared" si="1"/>
        <v>3538.1250000000009</v>
      </c>
      <c r="I149" s="99"/>
      <c r="J149" s="22" t="s">
        <v>121</v>
      </c>
      <c r="K149" s="22">
        <v>0.55500000000000005</v>
      </c>
      <c r="L149" s="22">
        <v>50000</v>
      </c>
      <c r="M149" s="22">
        <f t="shared" si="2"/>
        <v>27750.000000000004</v>
      </c>
      <c r="T149" s="264">
        <v>49980</v>
      </c>
    </row>
    <row r="150" spans="1:20">
      <c r="A150" s="260" t="s">
        <v>743</v>
      </c>
      <c r="B150" s="261" t="s">
        <v>121</v>
      </c>
      <c r="C150" s="697">
        <v>0.84</v>
      </c>
      <c r="D150" s="698">
        <f>D139</f>
        <v>88160</v>
      </c>
      <c r="E150" s="698">
        <f>+C150*D150</f>
        <v>74054.399999999994</v>
      </c>
      <c r="G150" s="148">
        <f t="shared" si="1"/>
        <v>12589.248</v>
      </c>
      <c r="I150" s="99"/>
      <c r="J150" s="22" t="s">
        <v>121</v>
      </c>
      <c r="K150" s="22">
        <v>0.84</v>
      </c>
      <c r="L150" s="22">
        <v>125600</v>
      </c>
      <c r="M150" s="22">
        <f t="shared" si="2"/>
        <v>105504</v>
      </c>
      <c r="T150" s="264">
        <v>77469</v>
      </c>
    </row>
    <row r="151" spans="1:20">
      <c r="A151" s="260" t="s">
        <v>188</v>
      </c>
      <c r="B151" s="261" t="s">
        <v>12</v>
      </c>
      <c r="C151" s="697">
        <v>0.118974</v>
      </c>
      <c r="D151" s="698">
        <f>D42</f>
        <v>136480.47829830134</v>
      </c>
      <c r="E151" s="698">
        <f>+C151*D151</f>
        <v>16237.628425062103</v>
      </c>
      <c r="G151" s="148">
        <f t="shared" si="1"/>
        <v>2760.3968322605579</v>
      </c>
      <c r="I151" s="100"/>
      <c r="J151" s="22" t="s">
        <v>12</v>
      </c>
      <c r="K151" s="22">
        <v>0.118974</v>
      </c>
      <c r="L151" s="22">
        <v>70000</v>
      </c>
      <c r="M151" s="22">
        <f t="shared" si="2"/>
        <v>8328.18</v>
      </c>
      <c r="T151" s="264">
        <v>82110</v>
      </c>
    </row>
    <row r="152" spans="1:20">
      <c r="A152" s="260" t="s">
        <v>11</v>
      </c>
      <c r="B152" s="261" t="s">
        <v>12</v>
      </c>
      <c r="C152" s="697">
        <v>0.03</v>
      </c>
      <c r="D152" s="698">
        <f>+E154</f>
        <v>39201.446992068493</v>
      </c>
      <c r="E152" s="698">
        <f>(C152*D152)</f>
        <v>1176.0434097620548</v>
      </c>
      <c r="G152" s="148">
        <f t="shared" si="1"/>
        <v>199.92737965954933</v>
      </c>
      <c r="I152" s="100"/>
      <c r="J152" s="101" t="s">
        <v>12</v>
      </c>
      <c r="K152" s="101">
        <v>0.03</v>
      </c>
      <c r="L152" s="101">
        <v>9003.2172410958901</v>
      </c>
      <c r="M152" s="22">
        <f t="shared" si="2"/>
        <v>270.09651723287669</v>
      </c>
      <c r="T152" s="264">
        <v>35731.883817616443</v>
      </c>
    </row>
    <row r="153" spans="1:20">
      <c r="A153" s="260" t="s">
        <v>2670</v>
      </c>
      <c r="B153" s="261" t="s">
        <v>2671</v>
      </c>
      <c r="C153" s="697">
        <f>(C150+C149)*10</f>
        <v>13.95</v>
      </c>
      <c r="D153" s="698">
        <f>INSUMOS!D24</f>
        <v>1094.8912</v>
      </c>
      <c r="E153" s="698">
        <f>(C153*D153)</f>
        <v>15273.732239999999</v>
      </c>
      <c r="G153" s="148"/>
      <c r="I153" s="100"/>
      <c r="J153" s="101"/>
      <c r="K153" s="101"/>
      <c r="L153" s="101"/>
      <c r="M153" s="22"/>
      <c r="T153" s="264">
        <v>1100</v>
      </c>
    </row>
    <row r="154" spans="1:20">
      <c r="A154" s="260" t="s">
        <v>334</v>
      </c>
      <c r="B154" s="261" t="s">
        <v>183</v>
      </c>
      <c r="C154" s="697">
        <v>1.5</v>
      </c>
      <c r="D154" s="698">
        <f>D144</f>
        <v>26134.297994712331</v>
      </c>
      <c r="E154" s="698">
        <f>+C154*D154</f>
        <v>39201.446992068493</v>
      </c>
      <c r="G154" s="148">
        <f t="shared" si="1"/>
        <v>6664.2459886516444</v>
      </c>
      <c r="I154" s="100"/>
      <c r="J154" s="22" t="s">
        <v>183</v>
      </c>
      <c r="K154" s="22">
        <v>1.5</v>
      </c>
      <c r="L154" s="22">
        <v>6002.1448273972601</v>
      </c>
      <c r="M154" s="22">
        <f t="shared" si="2"/>
        <v>9003.2172410958901</v>
      </c>
      <c r="T154" s="264">
        <v>23821.255878410961</v>
      </c>
    </row>
    <row r="155" spans="1:20">
      <c r="A155" s="260"/>
      <c r="B155" s="261"/>
      <c r="C155" s="697"/>
      <c r="D155" s="698"/>
      <c r="E155" s="698"/>
      <c r="I155" s="100"/>
      <c r="J155" s="22"/>
      <c r="K155" s="22"/>
      <c r="L155" s="22"/>
      <c r="M155" s="22"/>
      <c r="T155" s="264"/>
    </row>
    <row r="156" spans="1:20" ht="24" customHeight="1">
      <c r="A156" s="83" t="s">
        <v>2637</v>
      </c>
      <c r="B156" s="115" t="s">
        <v>121</v>
      </c>
      <c r="C156" s="694"/>
      <c r="D156" s="695"/>
      <c r="E156" s="696">
        <f>ROUND(SUM(E157:E164),0)</f>
        <v>367144</v>
      </c>
      <c r="F156" s="35"/>
      <c r="T156" s="114"/>
    </row>
    <row r="157" spans="1:20">
      <c r="A157" s="260" t="s">
        <v>31</v>
      </c>
      <c r="B157" s="261" t="s">
        <v>32</v>
      </c>
      <c r="C157" s="697">
        <v>300</v>
      </c>
      <c r="D157" s="698">
        <f>+D7</f>
        <v>606.9</v>
      </c>
      <c r="E157" s="698">
        <f>+C157*D157</f>
        <v>182070</v>
      </c>
      <c r="T157" s="264">
        <v>552</v>
      </c>
    </row>
    <row r="158" spans="1:20">
      <c r="A158" s="260" t="s">
        <v>117</v>
      </c>
      <c r="B158" s="261" t="s">
        <v>25</v>
      </c>
      <c r="C158" s="697">
        <v>170</v>
      </c>
      <c r="D158" s="698">
        <f>+D11</f>
        <v>65</v>
      </c>
      <c r="E158" s="698">
        <f>+C158*D158</f>
        <v>11050</v>
      </c>
      <c r="F158" s="29"/>
      <c r="T158" s="264">
        <v>65</v>
      </c>
    </row>
    <row r="159" spans="1:20">
      <c r="A159" s="260" t="s">
        <v>36</v>
      </c>
      <c r="B159" s="261" t="s">
        <v>121</v>
      </c>
      <c r="C159" s="697">
        <v>0.48</v>
      </c>
      <c r="D159" s="698">
        <f>+D9</f>
        <v>37500</v>
      </c>
      <c r="E159" s="698">
        <f>+C159*D159</f>
        <v>18000</v>
      </c>
      <c r="T159" s="264">
        <v>49980</v>
      </c>
    </row>
    <row r="160" spans="1:20">
      <c r="A160" s="260" t="s">
        <v>743</v>
      </c>
      <c r="B160" s="261" t="s">
        <v>121</v>
      </c>
      <c r="C160" s="697">
        <v>0.95</v>
      </c>
      <c r="D160" s="698">
        <f>D150</f>
        <v>88160</v>
      </c>
      <c r="E160" s="698">
        <f>+C160*D160</f>
        <v>83752</v>
      </c>
      <c r="T160" s="264">
        <v>77469</v>
      </c>
    </row>
    <row r="161" spans="1:20">
      <c r="A161" s="260" t="s">
        <v>188</v>
      </c>
      <c r="B161" s="261" t="s">
        <v>12</v>
      </c>
      <c r="C161" s="697">
        <v>0.118974</v>
      </c>
      <c r="D161" s="698">
        <f>D42</f>
        <v>136480.47829830134</v>
      </c>
      <c r="E161" s="698">
        <f>+C161*D161</f>
        <v>16237.628425062103</v>
      </c>
      <c r="F161" s="29"/>
      <c r="T161" s="264">
        <v>82110</v>
      </c>
    </row>
    <row r="162" spans="1:20">
      <c r="A162" s="260" t="s">
        <v>11</v>
      </c>
      <c r="B162" s="261" t="s">
        <v>12</v>
      </c>
      <c r="C162" s="697">
        <v>0.03</v>
      </c>
      <c r="D162" s="698">
        <f>+E164</f>
        <v>39201.446992068493</v>
      </c>
      <c r="E162" s="698">
        <f>(C162*D162)</f>
        <v>1176.0434097620548</v>
      </c>
      <c r="F162" s="29"/>
      <c r="T162" s="264">
        <v>35731.883817616443</v>
      </c>
    </row>
    <row r="163" spans="1:20">
      <c r="A163" s="260" t="s">
        <v>2670</v>
      </c>
      <c r="B163" s="261" t="s">
        <v>2671</v>
      </c>
      <c r="C163" s="697">
        <f>(C160+C159)*10</f>
        <v>14.299999999999999</v>
      </c>
      <c r="D163" s="698">
        <f>INSUMOS!D24</f>
        <v>1094.8912</v>
      </c>
      <c r="E163" s="698">
        <f>(C163*D163)</f>
        <v>15656.944159999999</v>
      </c>
      <c r="F163" s="29"/>
      <c r="T163" s="264">
        <v>1100</v>
      </c>
    </row>
    <row r="164" spans="1:20">
      <c r="A164" s="260" t="s">
        <v>334</v>
      </c>
      <c r="B164" s="261" t="s">
        <v>183</v>
      </c>
      <c r="C164" s="697">
        <v>1.5</v>
      </c>
      <c r="D164" s="698">
        <f>D154</f>
        <v>26134.297994712331</v>
      </c>
      <c r="E164" s="698">
        <f>+C164*D164</f>
        <v>39201.446992068493</v>
      </c>
      <c r="F164" s="29"/>
      <c r="T164" s="264">
        <v>23821.255878410961</v>
      </c>
    </row>
    <row r="165" spans="1:20">
      <c r="A165" s="260"/>
      <c r="B165" s="261"/>
      <c r="C165" s="697"/>
      <c r="D165" s="698"/>
      <c r="E165" s="698"/>
      <c r="F165" s="29"/>
      <c r="T165" s="264"/>
    </row>
    <row r="166" spans="1:20">
      <c r="A166" s="83" t="s">
        <v>2884</v>
      </c>
      <c r="B166" s="115" t="s">
        <v>121</v>
      </c>
      <c r="C166" s="694"/>
      <c r="D166" s="695"/>
      <c r="E166" s="696">
        <f>ROUND(SUM(E167:E174),0)</f>
        <v>325871</v>
      </c>
      <c r="T166" s="114"/>
    </row>
    <row r="167" spans="1:20">
      <c r="A167" s="260" t="s">
        <v>31</v>
      </c>
      <c r="B167" s="261" t="s">
        <v>32</v>
      </c>
      <c r="C167" s="697">
        <v>225</v>
      </c>
      <c r="D167" s="698">
        <f>+D7</f>
        <v>606.9</v>
      </c>
      <c r="E167" s="698">
        <f>+C167*D167</f>
        <v>136552.5</v>
      </c>
      <c r="T167" s="264">
        <v>552</v>
      </c>
    </row>
    <row r="168" spans="1:20">
      <c r="A168" s="260" t="s">
        <v>117</v>
      </c>
      <c r="B168" s="261" t="s">
        <v>25</v>
      </c>
      <c r="C168" s="697">
        <v>145</v>
      </c>
      <c r="D168" s="698">
        <f>+D11</f>
        <v>65</v>
      </c>
      <c r="E168" s="698">
        <f>+C168*D168</f>
        <v>9425</v>
      </c>
      <c r="T168" s="264">
        <v>65</v>
      </c>
    </row>
    <row r="169" spans="1:20">
      <c r="A169" s="260" t="s">
        <v>36</v>
      </c>
      <c r="B169" s="261" t="s">
        <v>121</v>
      </c>
      <c r="C169" s="697">
        <v>0.55000000000000004</v>
      </c>
      <c r="D169" s="698">
        <f>+D9</f>
        <v>37500</v>
      </c>
      <c r="E169" s="698">
        <f>+C169*D169</f>
        <v>20625</v>
      </c>
      <c r="T169" s="264">
        <v>49980</v>
      </c>
    </row>
    <row r="170" spans="1:20">
      <c r="A170" s="260" t="s">
        <v>743</v>
      </c>
      <c r="B170" s="261" t="s">
        <v>121</v>
      </c>
      <c r="C170" s="697">
        <v>0.97499999999999998</v>
      </c>
      <c r="D170" s="698">
        <f>D160</f>
        <v>88160</v>
      </c>
      <c r="E170" s="698">
        <f>+C170*D170</f>
        <v>85956</v>
      </c>
      <c r="F170" s="102"/>
      <c r="T170" s="264">
        <v>77469</v>
      </c>
    </row>
    <row r="171" spans="1:20">
      <c r="A171" s="260" t="s">
        <v>188</v>
      </c>
      <c r="B171" s="261" t="s">
        <v>12</v>
      </c>
      <c r="C171" s="697">
        <v>0.118974</v>
      </c>
      <c r="D171" s="698">
        <f>D42</f>
        <v>136480.47829830134</v>
      </c>
      <c r="E171" s="698">
        <f>+C171*D171</f>
        <v>16237.628425062103</v>
      </c>
      <c r="T171" s="264">
        <v>82110</v>
      </c>
    </row>
    <row r="172" spans="1:20">
      <c r="A172" s="260" t="s">
        <v>11</v>
      </c>
      <c r="B172" s="261" t="s">
        <v>12</v>
      </c>
      <c r="C172" s="697">
        <v>0.03</v>
      </c>
      <c r="D172" s="698">
        <f>+E174</f>
        <v>39201.446992068493</v>
      </c>
      <c r="E172" s="698">
        <f>(C172*D172)</f>
        <v>1176.0434097620548</v>
      </c>
      <c r="T172" s="264">
        <v>35731.883817616443</v>
      </c>
    </row>
    <row r="173" spans="1:20">
      <c r="A173" s="260" t="s">
        <v>2670</v>
      </c>
      <c r="B173" s="261" t="s">
        <v>2671</v>
      </c>
      <c r="C173" s="697">
        <f>(C170+C169)*10</f>
        <v>15.25</v>
      </c>
      <c r="D173" s="698">
        <f>INSUMOS!D24</f>
        <v>1094.8912</v>
      </c>
      <c r="E173" s="698">
        <f>(C173*D173)</f>
        <v>16697.090800000002</v>
      </c>
      <c r="T173" s="264">
        <v>1100</v>
      </c>
    </row>
    <row r="174" spans="1:20">
      <c r="A174" s="260" t="s">
        <v>334</v>
      </c>
      <c r="B174" s="261" t="s">
        <v>183</v>
      </c>
      <c r="C174" s="697">
        <v>1.5</v>
      </c>
      <c r="D174" s="698">
        <f>D164</f>
        <v>26134.297994712331</v>
      </c>
      <c r="E174" s="698">
        <f>+C174*D174</f>
        <v>39201.446992068493</v>
      </c>
      <c r="T174" s="264">
        <v>23821.255878410961</v>
      </c>
    </row>
    <row r="175" spans="1:20">
      <c r="A175" s="260"/>
      <c r="B175" s="261"/>
      <c r="C175" s="697"/>
      <c r="D175" s="698"/>
      <c r="E175" s="698"/>
      <c r="T175" s="264"/>
    </row>
    <row r="176" spans="1:20" ht="27.6" customHeight="1">
      <c r="A176" s="83" t="s">
        <v>2885</v>
      </c>
      <c r="B176" s="115" t="s">
        <v>121</v>
      </c>
      <c r="C176" s="694"/>
      <c r="D176" s="695"/>
      <c r="E176" s="696">
        <f>ROUND(SUM(E177:E184),0)</f>
        <v>296140</v>
      </c>
      <c r="T176" s="114"/>
    </row>
    <row r="177" spans="1:20">
      <c r="A177" s="260" t="s">
        <v>31</v>
      </c>
      <c r="B177" s="261" t="s">
        <v>32</v>
      </c>
      <c r="C177" s="697">
        <v>160</v>
      </c>
      <c r="D177" s="698">
        <f>+D7</f>
        <v>606.9</v>
      </c>
      <c r="E177" s="698">
        <f>+C177*D177</f>
        <v>97104</v>
      </c>
      <c r="T177" s="264">
        <v>552</v>
      </c>
    </row>
    <row r="178" spans="1:20">
      <c r="A178" s="260" t="s">
        <v>117</v>
      </c>
      <c r="B178" s="261" t="s">
        <v>25</v>
      </c>
      <c r="C178" s="697">
        <v>140</v>
      </c>
      <c r="D178" s="698">
        <f>+D11</f>
        <v>65</v>
      </c>
      <c r="E178" s="698">
        <f>+C178*D178</f>
        <v>9100</v>
      </c>
      <c r="T178" s="264">
        <v>65</v>
      </c>
    </row>
    <row r="179" spans="1:20">
      <c r="A179" s="260" t="s">
        <v>36</v>
      </c>
      <c r="B179" s="261" t="s">
        <v>121</v>
      </c>
      <c r="C179" s="697">
        <v>0.65500000000000003</v>
      </c>
      <c r="D179" s="698">
        <f>+D9</f>
        <v>37500</v>
      </c>
      <c r="E179" s="698">
        <f>+C179*D179</f>
        <v>24562.5</v>
      </c>
      <c r="T179" s="264">
        <v>49980</v>
      </c>
    </row>
    <row r="180" spans="1:20">
      <c r="A180" s="260" t="s">
        <v>743</v>
      </c>
      <c r="B180" s="261" t="s">
        <v>121</v>
      </c>
      <c r="C180" s="697">
        <v>1.0249999999999999</v>
      </c>
      <c r="D180" s="698">
        <f>D170</f>
        <v>88160</v>
      </c>
      <c r="E180" s="698">
        <f>+C180*D180</f>
        <v>90363.999999999985</v>
      </c>
      <c r="T180" s="264">
        <v>77469</v>
      </c>
    </row>
    <row r="181" spans="1:20">
      <c r="A181" s="260" t="s">
        <v>188</v>
      </c>
      <c r="B181" s="261" t="s">
        <v>12</v>
      </c>
      <c r="C181" s="697">
        <v>0.118974</v>
      </c>
      <c r="D181" s="698">
        <f>D42</f>
        <v>136480.47829830134</v>
      </c>
      <c r="E181" s="698">
        <f>+C181*D181</f>
        <v>16237.628425062103</v>
      </c>
      <c r="T181" s="264">
        <v>82110</v>
      </c>
    </row>
    <row r="182" spans="1:20">
      <c r="A182" s="260" t="s">
        <v>11</v>
      </c>
      <c r="B182" s="261" t="s">
        <v>12</v>
      </c>
      <c r="C182" s="697">
        <v>0.03</v>
      </c>
      <c r="D182" s="698">
        <f>+E184</f>
        <v>39201.446992068493</v>
      </c>
      <c r="E182" s="698">
        <f>(C182*D182)</f>
        <v>1176.0434097620548</v>
      </c>
      <c r="T182" s="264">
        <v>35731.883817616443</v>
      </c>
    </row>
    <row r="183" spans="1:20">
      <c r="A183" s="260" t="s">
        <v>2670</v>
      </c>
      <c r="B183" s="261" t="s">
        <v>2671</v>
      </c>
      <c r="C183" s="697">
        <f>(C180+C179)*10</f>
        <v>16.8</v>
      </c>
      <c r="D183" s="698">
        <f>INSUMOS!D24</f>
        <v>1094.8912</v>
      </c>
      <c r="E183" s="698">
        <f>(C183*D183)</f>
        <v>18394.172160000002</v>
      </c>
      <c r="T183" s="264">
        <v>1100</v>
      </c>
    </row>
    <row r="184" spans="1:20">
      <c r="A184" s="260" t="s">
        <v>334</v>
      </c>
      <c r="B184" s="261" t="s">
        <v>183</v>
      </c>
      <c r="C184" s="697">
        <v>1.5</v>
      </c>
      <c r="D184" s="698">
        <f>D154</f>
        <v>26134.297994712331</v>
      </c>
      <c r="E184" s="698">
        <f>+C184*D184</f>
        <v>39201.446992068493</v>
      </c>
      <c r="T184" s="264">
        <v>23821.255878410961</v>
      </c>
    </row>
    <row r="185" spans="1:20">
      <c r="A185" s="260"/>
      <c r="B185" s="261"/>
      <c r="C185" s="697"/>
      <c r="D185" s="698"/>
      <c r="E185" s="698"/>
      <c r="T185" s="264"/>
    </row>
    <row r="186" spans="1:20" ht="24.6" customHeight="1">
      <c r="A186" s="83" t="s">
        <v>30</v>
      </c>
      <c r="B186" s="115" t="s">
        <v>121</v>
      </c>
      <c r="C186" s="694"/>
      <c r="D186" s="695"/>
      <c r="E186" s="696">
        <f>ROUND(SUM(E187:E194),0)</f>
        <v>333811</v>
      </c>
      <c r="T186" s="114"/>
    </row>
    <row r="187" spans="1:20">
      <c r="A187" s="260" t="s">
        <v>31</v>
      </c>
      <c r="B187" s="261" t="s">
        <v>32</v>
      </c>
      <c r="C187" s="697">
        <v>252</v>
      </c>
      <c r="D187" s="698">
        <f>+D7</f>
        <v>606.9</v>
      </c>
      <c r="E187" s="698">
        <f>+C187*D187</f>
        <v>152938.79999999999</v>
      </c>
      <c r="T187" s="264">
        <v>552</v>
      </c>
    </row>
    <row r="188" spans="1:20">
      <c r="A188" s="260" t="s">
        <v>117</v>
      </c>
      <c r="B188" s="261" t="s">
        <v>25</v>
      </c>
      <c r="C188" s="697">
        <v>165</v>
      </c>
      <c r="D188" s="698">
        <f>+D11</f>
        <v>65</v>
      </c>
      <c r="E188" s="698">
        <f>+C188*D188</f>
        <v>10725</v>
      </c>
      <c r="T188" s="264">
        <v>65</v>
      </c>
    </row>
    <row r="189" spans="1:20">
      <c r="A189" s="260" t="s">
        <v>36</v>
      </c>
      <c r="B189" s="261" t="s">
        <v>121</v>
      </c>
      <c r="C189" s="697">
        <v>0.625</v>
      </c>
      <c r="D189" s="698">
        <f>+D9</f>
        <v>37500</v>
      </c>
      <c r="E189" s="698">
        <f>+C189*D189</f>
        <v>23437.5</v>
      </c>
      <c r="T189" s="264">
        <v>49980</v>
      </c>
    </row>
    <row r="190" spans="1:20">
      <c r="A190" s="260" t="s">
        <v>743</v>
      </c>
      <c r="B190" s="261" t="s">
        <v>121</v>
      </c>
      <c r="C190" s="697">
        <v>0.84</v>
      </c>
      <c r="D190" s="698">
        <f>D180</f>
        <v>88160</v>
      </c>
      <c r="E190" s="698">
        <f>+C190*D190</f>
        <v>74054.399999999994</v>
      </c>
      <c r="T190" s="264">
        <v>77469</v>
      </c>
    </row>
    <row r="191" spans="1:20">
      <c r="A191" s="260" t="s">
        <v>188</v>
      </c>
      <c r="B191" s="261" t="s">
        <v>12</v>
      </c>
      <c r="C191" s="697">
        <v>0.118974</v>
      </c>
      <c r="D191" s="698">
        <f>D42</f>
        <v>136480.47829830134</v>
      </c>
      <c r="E191" s="698">
        <f>+C191*D191</f>
        <v>16237.628425062103</v>
      </c>
      <c r="T191" s="264">
        <v>82110</v>
      </c>
    </row>
    <row r="192" spans="1:20">
      <c r="A192" s="260" t="s">
        <v>11</v>
      </c>
      <c r="B192" s="261" t="s">
        <v>12</v>
      </c>
      <c r="C192" s="697">
        <v>0.03</v>
      </c>
      <c r="D192" s="698">
        <f>+E194</f>
        <v>39201.446992068493</v>
      </c>
      <c r="E192" s="698">
        <f>(C192*D192)</f>
        <v>1176.0434097620548</v>
      </c>
      <c r="T192" s="264">
        <v>35731.883817616443</v>
      </c>
    </row>
    <row r="193" spans="1:20">
      <c r="A193" s="260" t="s">
        <v>2670</v>
      </c>
      <c r="B193" s="261" t="s">
        <v>2671</v>
      </c>
      <c r="C193" s="697">
        <f>(C190+C189)*10</f>
        <v>14.649999999999999</v>
      </c>
      <c r="D193" s="698">
        <f>INSUMOS!D24</f>
        <v>1094.8912</v>
      </c>
      <c r="E193" s="698">
        <f>(C193*D193)</f>
        <v>16040.156079999999</v>
      </c>
      <c r="T193" s="264">
        <v>1100</v>
      </c>
    </row>
    <row r="194" spans="1:20">
      <c r="A194" s="260" t="s">
        <v>334</v>
      </c>
      <c r="B194" s="261" t="s">
        <v>183</v>
      </c>
      <c r="C194" s="697">
        <v>1.5</v>
      </c>
      <c r="D194" s="698">
        <f>D184</f>
        <v>26134.297994712331</v>
      </c>
      <c r="E194" s="698">
        <f>+C194*D194</f>
        <v>39201.446992068493</v>
      </c>
      <c r="T194" s="264">
        <v>23821.255878410961</v>
      </c>
    </row>
    <row r="195" spans="1:20">
      <c r="A195" s="327"/>
      <c r="B195" s="261"/>
      <c r="C195" s="701"/>
      <c r="D195" s="702"/>
      <c r="E195" s="702"/>
      <c r="T195" s="329"/>
    </row>
    <row r="196" spans="1:20" ht="21.6" customHeight="1">
      <c r="A196" s="83" t="s">
        <v>189</v>
      </c>
      <c r="B196" s="115" t="s">
        <v>119</v>
      </c>
      <c r="C196" s="694"/>
      <c r="D196" s="695"/>
      <c r="E196" s="696">
        <f>SUM(E197:E199)</f>
        <v>19188.75</v>
      </c>
      <c r="T196" s="114"/>
    </row>
    <row r="197" spans="1:20">
      <c r="A197" s="260" t="s">
        <v>168</v>
      </c>
      <c r="B197" s="261" t="s">
        <v>190</v>
      </c>
      <c r="C197" s="697">
        <f>4*42/7.84</f>
        <v>21.428571428571431</v>
      </c>
      <c r="D197" s="698">
        <f>+D35</f>
        <v>214.2</v>
      </c>
      <c r="E197" s="698">
        <f>+C197*D197</f>
        <v>4590</v>
      </c>
      <c r="T197" s="264">
        <v>238</v>
      </c>
    </row>
    <row r="198" spans="1:20">
      <c r="A198" s="260" t="s">
        <v>167</v>
      </c>
      <c r="B198" s="261" t="s">
        <v>190</v>
      </c>
      <c r="C198" s="697">
        <f>2.5*42/7.84</f>
        <v>13.392857142857142</v>
      </c>
      <c r="D198" s="698">
        <f>+D34</f>
        <v>214.2</v>
      </c>
      <c r="E198" s="698">
        <f>+C198*D198</f>
        <v>2868.7499999999995</v>
      </c>
      <c r="T198" s="264">
        <v>238</v>
      </c>
    </row>
    <row r="199" spans="1:20">
      <c r="A199" s="260" t="s">
        <v>171</v>
      </c>
      <c r="B199" s="261" t="s">
        <v>190</v>
      </c>
      <c r="C199" s="697">
        <f>8*42/7.84</f>
        <v>42.857142857142861</v>
      </c>
      <c r="D199" s="698">
        <f>D37</f>
        <v>273.7</v>
      </c>
      <c r="E199" s="698">
        <f>+C199*D199</f>
        <v>11730</v>
      </c>
      <c r="T199" s="264">
        <v>297.5</v>
      </c>
    </row>
    <row r="200" spans="1:20">
      <c r="A200" s="260"/>
      <c r="B200" s="261"/>
      <c r="C200" s="697"/>
      <c r="D200" s="698"/>
      <c r="E200" s="698"/>
      <c r="T200" s="264"/>
    </row>
    <row r="201" spans="1:20" ht="22.9" customHeight="1">
      <c r="A201" s="83" t="s">
        <v>606</v>
      </c>
      <c r="B201" s="115" t="s">
        <v>119</v>
      </c>
      <c r="C201" s="694"/>
      <c r="D201" s="695"/>
      <c r="E201" s="696">
        <f>SUM(E202:E204)</f>
        <v>38377.5</v>
      </c>
      <c r="T201" s="114"/>
    </row>
    <row r="202" spans="1:20">
      <c r="A202" s="260" t="s">
        <v>168</v>
      </c>
      <c r="B202" s="261" t="s">
        <v>190</v>
      </c>
      <c r="C202" s="697">
        <f>+C197*2</f>
        <v>42.857142857142861</v>
      </c>
      <c r="D202" s="698">
        <f>+D35</f>
        <v>214.2</v>
      </c>
      <c r="E202" s="698">
        <f>+C202*D202</f>
        <v>9180</v>
      </c>
      <c r="T202" s="264">
        <v>238</v>
      </c>
    </row>
    <row r="203" spans="1:20">
      <c r="A203" s="260" t="s">
        <v>167</v>
      </c>
      <c r="B203" s="261" t="s">
        <v>190</v>
      </c>
      <c r="C203" s="697">
        <f>+C198*2</f>
        <v>26.785714285714285</v>
      </c>
      <c r="D203" s="698">
        <f>+D34</f>
        <v>214.2</v>
      </c>
      <c r="E203" s="698">
        <f>+C203*D203</f>
        <v>5737.4999999999991</v>
      </c>
      <c r="T203" s="264">
        <v>238</v>
      </c>
    </row>
    <row r="204" spans="1:20">
      <c r="A204" s="260" t="s">
        <v>171</v>
      </c>
      <c r="B204" s="261" t="s">
        <v>190</v>
      </c>
      <c r="C204" s="697">
        <f>+C199*2</f>
        <v>85.714285714285722</v>
      </c>
      <c r="D204" s="698">
        <f>D37</f>
        <v>273.7</v>
      </c>
      <c r="E204" s="698">
        <f>+C204*D204</f>
        <v>23460</v>
      </c>
      <c r="T204" s="264">
        <v>297.5</v>
      </c>
    </row>
    <row r="205" spans="1:20">
      <c r="A205" s="260"/>
      <c r="B205" s="261"/>
      <c r="C205" s="697"/>
      <c r="D205" s="698"/>
      <c r="E205" s="698"/>
      <c r="T205" s="264"/>
    </row>
    <row r="206" spans="1:20" ht="25.15" customHeight="1">
      <c r="A206" s="83" t="s">
        <v>191</v>
      </c>
      <c r="B206" s="115" t="s">
        <v>121</v>
      </c>
      <c r="C206" s="694"/>
      <c r="D206" s="695"/>
      <c r="E206" s="696">
        <f>SUM(E207:E208)</f>
        <v>257844</v>
      </c>
      <c r="T206" s="114"/>
    </row>
    <row r="207" spans="1:20">
      <c r="A207" s="260" t="s">
        <v>168</v>
      </c>
      <c r="B207" s="261" t="s">
        <v>190</v>
      </c>
      <c r="C207" s="697">
        <v>60</v>
      </c>
      <c r="D207" s="698">
        <f>+D35</f>
        <v>214.2</v>
      </c>
      <c r="E207" s="698">
        <f>+C207*D207</f>
        <v>12852</v>
      </c>
      <c r="T207" s="264">
        <v>238</v>
      </c>
    </row>
    <row r="208" spans="1:20" ht="25.5">
      <c r="A208" s="333" t="s">
        <v>789</v>
      </c>
      <c r="B208" s="261" t="s">
        <v>190</v>
      </c>
      <c r="C208" s="697">
        <f>3*4</f>
        <v>12</v>
      </c>
      <c r="D208" s="698">
        <f>+D46</f>
        <v>20416</v>
      </c>
      <c r="E208" s="698">
        <f>+C208*D208</f>
        <v>244992</v>
      </c>
      <c r="T208" s="264">
        <v>15470</v>
      </c>
    </row>
    <row r="209" spans="1:20">
      <c r="A209" s="333"/>
      <c r="B209" s="261"/>
      <c r="C209" s="697"/>
      <c r="D209" s="698"/>
      <c r="E209" s="698"/>
      <c r="T209" s="264"/>
    </row>
    <row r="210" spans="1:20" ht="21" customHeight="1">
      <c r="A210" s="83" t="s">
        <v>200</v>
      </c>
      <c r="B210" s="115" t="s">
        <v>121</v>
      </c>
      <c r="C210" s="694"/>
      <c r="D210" s="695"/>
      <c r="E210" s="696">
        <f>SUM(E211:E212)</f>
        <v>355572</v>
      </c>
      <c r="T210" s="114"/>
    </row>
    <row r="211" spans="1:20">
      <c r="A211" s="260" t="s">
        <v>168</v>
      </c>
      <c r="B211" s="261" t="s">
        <v>190</v>
      </c>
      <c r="C211" s="697">
        <v>60</v>
      </c>
      <c r="D211" s="698">
        <f>D35</f>
        <v>214.2</v>
      </c>
      <c r="E211" s="698">
        <f>+C211*D211</f>
        <v>12852</v>
      </c>
      <c r="T211" s="264">
        <v>238</v>
      </c>
    </row>
    <row r="212" spans="1:20" s="90" customFormat="1">
      <c r="A212" s="603" t="s">
        <v>786</v>
      </c>
      <c r="B212" s="261" t="s">
        <v>190</v>
      </c>
      <c r="C212" s="697">
        <v>12</v>
      </c>
      <c r="D212" s="698">
        <f>+D43</f>
        <v>28560</v>
      </c>
      <c r="E212" s="698">
        <f>+C212*D212</f>
        <v>342720</v>
      </c>
      <c r="T212" s="264">
        <v>23800</v>
      </c>
    </row>
    <row r="213" spans="1:20">
      <c r="A213" s="333"/>
      <c r="B213" s="261"/>
      <c r="C213" s="697"/>
      <c r="D213" s="698"/>
      <c r="E213" s="698"/>
      <c r="T213" s="264"/>
    </row>
    <row r="214" spans="1:20">
      <c r="A214" s="83" t="s">
        <v>192</v>
      </c>
      <c r="B214" s="115" t="s">
        <v>121</v>
      </c>
      <c r="C214" s="694"/>
      <c r="D214" s="695"/>
      <c r="E214" s="696">
        <f>ROUND(SUM(E215:E216),0)</f>
        <v>137918</v>
      </c>
      <c r="T214" s="114"/>
    </row>
    <row r="215" spans="1:20">
      <c r="A215" s="260" t="s">
        <v>168</v>
      </c>
      <c r="B215" s="261" t="s">
        <v>190</v>
      </c>
      <c r="C215" s="697">
        <f>3*24</f>
        <v>72</v>
      </c>
      <c r="D215" s="698">
        <f>+D35</f>
        <v>214.2</v>
      </c>
      <c r="E215" s="698">
        <f>+C215*D215</f>
        <v>15422.4</v>
      </c>
      <c r="T215" s="264">
        <v>238</v>
      </c>
    </row>
    <row r="216" spans="1:20" ht="25.5">
      <c r="A216" s="333" t="s">
        <v>789</v>
      </c>
      <c r="B216" s="261" t="s">
        <v>190</v>
      </c>
      <c r="C216" s="697">
        <f>2*3</f>
        <v>6</v>
      </c>
      <c r="D216" s="698">
        <f>+D46</f>
        <v>20416</v>
      </c>
      <c r="E216" s="698">
        <f>+C216*D216</f>
        <v>122496</v>
      </c>
      <c r="T216" s="264">
        <v>15470</v>
      </c>
    </row>
    <row r="217" spans="1:20">
      <c r="A217" s="333"/>
      <c r="B217" s="261"/>
      <c r="C217" s="697"/>
      <c r="D217" s="698"/>
      <c r="E217" s="698"/>
      <c r="T217" s="264"/>
    </row>
    <row r="218" spans="1:20">
      <c r="A218" s="83" t="s">
        <v>198</v>
      </c>
      <c r="B218" s="115" t="s">
        <v>121</v>
      </c>
      <c r="C218" s="694"/>
      <c r="D218" s="695"/>
      <c r="E218" s="696">
        <f>ROUND(SUM(E219:E221),0)</f>
        <v>203529</v>
      </c>
      <c r="T218" s="114"/>
    </row>
    <row r="219" spans="1:20">
      <c r="A219" s="260" t="s">
        <v>168</v>
      </c>
      <c r="B219" s="261" t="s">
        <v>190</v>
      </c>
      <c r="C219" s="697">
        <f>28*7.4</f>
        <v>207.20000000000002</v>
      </c>
      <c r="D219" s="698">
        <f>+D35</f>
        <v>214.2</v>
      </c>
      <c r="E219" s="698">
        <f>+C219*D219</f>
        <v>44382.239999999998</v>
      </c>
      <c r="T219" s="264">
        <v>238</v>
      </c>
    </row>
    <row r="220" spans="1:20">
      <c r="A220" s="260" t="s">
        <v>172</v>
      </c>
      <c r="B220" s="261" t="s">
        <v>190</v>
      </c>
      <c r="C220" s="697">
        <f>3*15.87</f>
        <v>47.61</v>
      </c>
      <c r="D220" s="698">
        <f>+D38</f>
        <v>238</v>
      </c>
      <c r="E220" s="698">
        <f>+C220*D220</f>
        <v>11331.18</v>
      </c>
      <c r="T220" s="264">
        <v>273.7</v>
      </c>
    </row>
    <row r="221" spans="1:20">
      <c r="A221" s="333" t="s">
        <v>193</v>
      </c>
      <c r="B221" s="261" t="s">
        <v>190</v>
      </c>
      <c r="C221" s="697">
        <f>2*2+(11.11*2/4)</f>
        <v>9.5549999999999997</v>
      </c>
      <c r="D221" s="698">
        <f>INSUMOS!D6</f>
        <v>15470</v>
      </c>
      <c r="E221" s="698">
        <f>+C221*D221</f>
        <v>147815.85</v>
      </c>
      <c r="T221" s="264">
        <v>11000</v>
      </c>
    </row>
    <row r="222" spans="1:20">
      <c r="A222" s="333"/>
      <c r="B222" s="261"/>
      <c r="C222" s="697"/>
      <c r="D222" s="698"/>
      <c r="E222" s="698"/>
      <c r="T222" s="264"/>
    </row>
    <row r="223" spans="1:20" ht="24.6" customHeight="1">
      <c r="A223" s="83" t="s">
        <v>194</v>
      </c>
      <c r="B223" s="115" t="s">
        <v>121</v>
      </c>
      <c r="C223" s="694"/>
      <c r="D223" s="695"/>
      <c r="E223" s="696">
        <f>ROUND(SUM(E224:E228),0)</f>
        <v>191885</v>
      </c>
      <c r="T223" s="114"/>
    </row>
    <row r="224" spans="1:20">
      <c r="A224" s="260" t="s">
        <v>168</v>
      </c>
      <c r="B224" s="261" t="s">
        <v>190</v>
      </c>
      <c r="C224" s="697">
        <f>28*7.4</f>
        <v>207.20000000000002</v>
      </c>
      <c r="D224" s="698">
        <f>+D35</f>
        <v>214.2</v>
      </c>
      <c r="E224" s="698">
        <f>+C224*D224</f>
        <v>44382.239999999998</v>
      </c>
      <c r="T224" s="264">
        <v>238</v>
      </c>
    </row>
    <row r="225" spans="1:20">
      <c r="A225" s="260" t="s">
        <v>167</v>
      </c>
      <c r="B225" s="261" t="s">
        <v>190</v>
      </c>
      <c r="C225" s="697">
        <f>28*7.4</f>
        <v>207.20000000000002</v>
      </c>
      <c r="D225" s="698">
        <f>+D34</f>
        <v>214.2</v>
      </c>
      <c r="E225" s="698">
        <f>+C225*D225</f>
        <v>44382.239999999998</v>
      </c>
      <c r="T225" s="264">
        <v>238</v>
      </c>
    </row>
    <row r="226" spans="1:20">
      <c r="A226" s="260" t="s">
        <v>171</v>
      </c>
      <c r="B226" s="261" t="s">
        <v>190</v>
      </c>
      <c r="C226" s="697">
        <f>28*7.94</f>
        <v>222.32000000000002</v>
      </c>
      <c r="D226" s="698">
        <f>D37</f>
        <v>273.7</v>
      </c>
      <c r="E226" s="698">
        <f>+C226*D226</f>
        <v>60848.984000000004</v>
      </c>
      <c r="T226" s="264">
        <v>297.5</v>
      </c>
    </row>
    <row r="227" spans="1:20">
      <c r="A227" s="260" t="s">
        <v>172</v>
      </c>
      <c r="B227" s="261" t="s">
        <v>190</v>
      </c>
      <c r="C227" s="697">
        <f>3*15.87</f>
        <v>47.61</v>
      </c>
      <c r="D227" s="698">
        <f>+D38</f>
        <v>238</v>
      </c>
      <c r="E227" s="698">
        <f>+C227*D227</f>
        <v>11331.18</v>
      </c>
      <c r="T227" s="264">
        <v>273.7</v>
      </c>
    </row>
    <row r="228" spans="1:20">
      <c r="A228" s="333" t="s">
        <v>193</v>
      </c>
      <c r="B228" s="261" t="s">
        <v>190</v>
      </c>
      <c r="C228" s="697">
        <v>2</v>
      </c>
      <c r="D228" s="698">
        <f>INSUMOS!D6</f>
        <v>15470</v>
      </c>
      <c r="E228" s="698">
        <f>+C228*D228</f>
        <v>30940</v>
      </c>
      <c r="T228" s="264">
        <v>11000</v>
      </c>
    </row>
    <row r="229" spans="1:20">
      <c r="A229" s="333"/>
      <c r="B229" s="261"/>
      <c r="C229" s="697"/>
      <c r="D229" s="698"/>
      <c r="E229" s="698"/>
      <c r="T229" s="264"/>
    </row>
    <row r="230" spans="1:20" ht="25.9" customHeight="1">
      <c r="A230" s="83" t="s">
        <v>196</v>
      </c>
      <c r="B230" s="115" t="s">
        <v>21</v>
      </c>
      <c r="C230" s="694"/>
      <c r="D230" s="695"/>
      <c r="E230" s="696">
        <f>ROUND(SUM(E231:E232),0)</f>
        <v>12933</v>
      </c>
      <c r="T230" s="114"/>
    </row>
    <row r="231" spans="1:20">
      <c r="A231" s="333" t="s">
        <v>195</v>
      </c>
      <c r="B231" s="261" t="s">
        <v>190</v>
      </c>
      <c r="C231" s="697">
        <v>0.22</v>
      </c>
      <c r="D231" s="698">
        <f>+INSUMOS!D11</f>
        <v>18000</v>
      </c>
      <c r="E231" s="698">
        <f>+C231*D231</f>
        <v>3960</v>
      </c>
      <c r="T231" s="264">
        <v>14000</v>
      </c>
    </row>
    <row r="232" spans="1:20">
      <c r="A232" s="333" t="s">
        <v>193</v>
      </c>
      <c r="B232" s="261" t="s">
        <v>190</v>
      </c>
      <c r="C232" s="697">
        <v>0.57999999999999996</v>
      </c>
      <c r="D232" s="698">
        <f>+INSUMOS!D6</f>
        <v>15470</v>
      </c>
      <c r="E232" s="698">
        <f>+C232*D232</f>
        <v>8972.5999999999985</v>
      </c>
      <c r="T232" s="264">
        <v>11000</v>
      </c>
    </row>
    <row r="233" spans="1:20">
      <c r="A233" s="333"/>
      <c r="B233" s="261"/>
      <c r="C233" s="697"/>
      <c r="D233" s="698"/>
      <c r="E233" s="698"/>
      <c r="T233" s="264"/>
    </row>
    <row r="234" spans="1:20" ht="24.6" customHeight="1">
      <c r="A234" s="83" t="s">
        <v>197</v>
      </c>
      <c r="B234" s="115" t="s">
        <v>21</v>
      </c>
      <c r="C234" s="694"/>
      <c r="D234" s="695"/>
      <c r="E234" s="696">
        <f>ROUND(SUM(E235:E236),0)</f>
        <v>25865</v>
      </c>
      <c r="T234" s="114"/>
    </row>
    <row r="235" spans="1:20" ht="15" customHeight="1">
      <c r="A235" s="333" t="s">
        <v>195</v>
      </c>
      <c r="B235" s="261" t="s">
        <v>190</v>
      </c>
      <c r="C235" s="697">
        <f>0.22*2</f>
        <v>0.44</v>
      </c>
      <c r="D235" s="698">
        <f>+INSUMOS!D11</f>
        <v>18000</v>
      </c>
      <c r="E235" s="698">
        <f>+C235*D235</f>
        <v>7920</v>
      </c>
      <c r="T235" s="264">
        <v>14000</v>
      </c>
    </row>
    <row r="236" spans="1:20" ht="15" customHeight="1">
      <c r="A236" s="333" t="s">
        <v>193</v>
      </c>
      <c r="B236" s="261" t="s">
        <v>190</v>
      </c>
      <c r="C236" s="697">
        <f>0.58*2</f>
        <v>1.1599999999999999</v>
      </c>
      <c r="D236" s="698">
        <f>+INSUMOS!D6</f>
        <v>15470</v>
      </c>
      <c r="E236" s="698">
        <f>+C236*D236</f>
        <v>17945.199999999997</v>
      </c>
      <c r="T236" s="264">
        <v>11000</v>
      </c>
    </row>
    <row r="237" spans="1:20" ht="15" customHeight="1">
      <c r="A237" s="333"/>
      <c r="B237" s="261"/>
      <c r="C237" s="697"/>
      <c r="D237" s="698"/>
      <c r="E237" s="698"/>
      <c r="T237" s="264"/>
    </row>
    <row r="238" spans="1:20" ht="26.45" customHeight="1">
      <c r="A238" s="83" t="s">
        <v>199</v>
      </c>
      <c r="B238" s="115" t="s">
        <v>21</v>
      </c>
      <c r="C238" s="694"/>
      <c r="D238" s="695"/>
      <c r="E238" s="696">
        <f>ROUND(SUM(E239:E241),0)</f>
        <v>22858</v>
      </c>
      <c r="T238" s="114"/>
    </row>
    <row r="239" spans="1:20" ht="15" customHeight="1">
      <c r="A239" s="260" t="s">
        <v>171</v>
      </c>
      <c r="B239" s="261" t="s">
        <v>190</v>
      </c>
      <c r="C239" s="697">
        <f>1/1.4*15</f>
        <v>10.714285714285715</v>
      </c>
      <c r="D239" s="698">
        <f>D37</f>
        <v>273.7</v>
      </c>
      <c r="E239" s="698">
        <f>+C239*D239</f>
        <v>2932.5</v>
      </c>
      <c r="T239" s="264">
        <v>297.5</v>
      </c>
    </row>
    <row r="240" spans="1:20">
      <c r="A240" s="333" t="s">
        <v>193</v>
      </c>
      <c r="B240" s="261" t="s">
        <v>190</v>
      </c>
      <c r="C240" s="697">
        <f>0.58*2</f>
        <v>1.1599999999999999</v>
      </c>
      <c r="D240" s="698">
        <f>+INSUMOS!D6</f>
        <v>15470</v>
      </c>
      <c r="E240" s="698">
        <f>+C240*D240</f>
        <v>17945.199999999997</v>
      </c>
      <c r="T240" s="264">
        <v>11000</v>
      </c>
    </row>
    <row r="241" spans="1:20">
      <c r="A241" s="333" t="s">
        <v>195</v>
      </c>
      <c r="B241" s="261" t="s">
        <v>190</v>
      </c>
      <c r="C241" s="697">
        <f>0.11</f>
        <v>0.11</v>
      </c>
      <c r="D241" s="698">
        <f>+INSUMOS!D11</f>
        <v>18000</v>
      </c>
      <c r="E241" s="698">
        <f>+C241*D241</f>
        <v>1980</v>
      </c>
      <c r="T241" s="264">
        <v>14000</v>
      </c>
    </row>
    <row r="242" spans="1:20">
      <c r="A242" s="327"/>
      <c r="B242" s="261"/>
      <c r="C242" s="701"/>
      <c r="D242" s="702"/>
      <c r="E242" s="702"/>
      <c r="T242" s="329"/>
    </row>
    <row r="243" spans="1:20" ht="45" customHeight="1">
      <c r="A243" s="83" t="s">
        <v>627</v>
      </c>
      <c r="B243" s="115"/>
      <c r="C243" s="694"/>
      <c r="D243" s="695"/>
      <c r="E243" s="696">
        <f>SUM(E244:E246)</f>
        <v>17684.828000000001</v>
      </c>
      <c r="T243" s="114"/>
    </row>
    <row r="244" spans="1:20">
      <c r="A244" s="260" t="s">
        <v>36</v>
      </c>
      <c r="B244" s="261" t="s">
        <v>121</v>
      </c>
      <c r="C244" s="697">
        <v>0.14000000000000001</v>
      </c>
      <c r="D244" s="698">
        <f>+D9</f>
        <v>37500</v>
      </c>
      <c r="E244" s="698">
        <f>+C244*D244</f>
        <v>5250.0000000000009</v>
      </c>
      <c r="T244" s="264">
        <v>49980</v>
      </c>
    </row>
    <row r="245" spans="1:20">
      <c r="A245" s="260" t="s">
        <v>35</v>
      </c>
      <c r="B245" s="261" t="s">
        <v>121</v>
      </c>
      <c r="C245" s="697">
        <v>0.11</v>
      </c>
      <c r="D245" s="698">
        <f>+D10</f>
        <v>88160</v>
      </c>
      <c r="E245" s="698">
        <f>+C245*D245</f>
        <v>9697.6</v>
      </c>
      <c r="T245" s="264">
        <v>77469</v>
      </c>
    </row>
    <row r="246" spans="1:20">
      <c r="A246" s="260" t="s">
        <v>2670</v>
      </c>
      <c r="B246" s="261" t="s">
        <v>2671</v>
      </c>
      <c r="C246" s="697">
        <f>(C245+C244)*10</f>
        <v>2.5</v>
      </c>
      <c r="D246" s="698">
        <f>INSUMOS!D24</f>
        <v>1094.8912</v>
      </c>
      <c r="E246" s="698">
        <f>(C246*D246)</f>
        <v>2737.2280000000001</v>
      </c>
      <c r="T246" s="264">
        <v>1100</v>
      </c>
    </row>
    <row r="247" spans="1:20">
      <c r="A247" s="327"/>
      <c r="B247" s="261"/>
      <c r="C247" s="701"/>
      <c r="D247" s="702"/>
      <c r="E247" s="702"/>
      <c r="T247" s="329"/>
    </row>
    <row r="248" spans="1:20" ht="52.15" customHeight="1">
      <c r="A248" s="83" t="s">
        <v>558</v>
      </c>
      <c r="B248" s="115"/>
      <c r="C248" s="694"/>
      <c r="D248" s="695"/>
      <c r="E248" s="696">
        <f>SUM(E249:E251)</f>
        <v>109338.46071999999</v>
      </c>
      <c r="T248" s="114"/>
    </row>
    <row r="249" spans="1:20">
      <c r="A249" s="260" t="s">
        <v>36</v>
      </c>
      <c r="B249" s="261" t="s">
        <v>121</v>
      </c>
      <c r="C249" s="697">
        <v>0.16</v>
      </c>
      <c r="D249" s="698">
        <f>+D9</f>
        <v>37500</v>
      </c>
      <c r="E249" s="698">
        <f>+C249*D249</f>
        <v>6000</v>
      </c>
      <c r="T249" s="264">
        <v>49980</v>
      </c>
    </row>
    <row r="250" spans="1:20">
      <c r="A250" s="260" t="s">
        <v>35</v>
      </c>
      <c r="B250" s="261" t="s">
        <v>121</v>
      </c>
      <c r="C250" s="697">
        <v>1.0249999999999999</v>
      </c>
      <c r="D250" s="698">
        <f>+D10</f>
        <v>88160</v>
      </c>
      <c r="E250" s="698">
        <f>+C250*D250</f>
        <v>90363.999999999985</v>
      </c>
      <c r="T250" s="264">
        <v>77469</v>
      </c>
    </row>
    <row r="251" spans="1:20">
      <c r="A251" s="260" t="s">
        <v>2670</v>
      </c>
      <c r="B251" s="261" t="s">
        <v>2671</v>
      </c>
      <c r="C251" s="697">
        <f>(C250+C249)*10</f>
        <v>11.849999999999998</v>
      </c>
      <c r="D251" s="698">
        <f>INSUMOS!D24</f>
        <v>1094.8912</v>
      </c>
      <c r="E251" s="698">
        <f>(C251*D251)</f>
        <v>12974.460719999997</v>
      </c>
      <c r="T251" s="264">
        <v>1100</v>
      </c>
    </row>
    <row r="252" spans="1:20">
      <c r="A252" s="260"/>
      <c r="B252" s="261"/>
      <c r="C252" s="697"/>
      <c r="D252" s="698"/>
      <c r="E252" s="698"/>
      <c r="T252" s="264"/>
    </row>
    <row r="253" spans="1:20" ht="45" customHeight="1">
      <c r="A253" s="83" t="s">
        <v>558</v>
      </c>
      <c r="B253" s="115"/>
      <c r="C253" s="694"/>
      <c r="D253" s="695"/>
      <c r="E253" s="696">
        <f>SUM(E254:E256)</f>
        <v>109338.46071999999</v>
      </c>
      <c r="T253" s="114"/>
    </row>
    <row r="254" spans="1:20">
      <c r="A254" s="260" t="s">
        <v>36</v>
      </c>
      <c r="B254" s="261" t="s">
        <v>121</v>
      </c>
      <c r="C254" s="697">
        <v>0.16</v>
      </c>
      <c r="D254" s="698">
        <f>+D9</f>
        <v>37500</v>
      </c>
      <c r="E254" s="698">
        <f>+C254*D254</f>
        <v>6000</v>
      </c>
      <c r="T254" s="264">
        <v>30000</v>
      </c>
    </row>
    <row r="255" spans="1:20">
      <c r="A255" s="260" t="s">
        <v>35</v>
      </c>
      <c r="B255" s="261" t="s">
        <v>121</v>
      </c>
      <c r="C255" s="697">
        <v>1.0249999999999999</v>
      </c>
      <c r="D255" s="698">
        <f>+D10</f>
        <v>88160</v>
      </c>
      <c r="E255" s="698">
        <f>+C255*D255</f>
        <v>90363.999999999985</v>
      </c>
      <c r="T255" s="264">
        <v>33000</v>
      </c>
    </row>
    <row r="256" spans="1:20">
      <c r="A256" s="260" t="s">
        <v>2670</v>
      </c>
      <c r="B256" s="261" t="s">
        <v>2671</v>
      </c>
      <c r="C256" s="697">
        <f>(C255+C254)*10</f>
        <v>11.849999999999998</v>
      </c>
      <c r="D256" s="698">
        <f>INSUMOS!D24</f>
        <v>1094.8912</v>
      </c>
      <c r="E256" s="698">
        <f>(C256*D256)</f>
        <v>12974.460719999997</v>
      </c>
      <c r="T256" s="264">
        <v>1100</v>
      </c>
    </row>
    <row r="257" spans="1:20">
      <c r="A257" s="260"/>
      <c r="B257" s="261"/>
      <c r="C257" s="697"/>
      <c r="D257" s="698"/>
      <c r="E257" s="698"/>
      <c r="T257" s="264"/>
    </row>
    <row r="258" spans="1:20" ht="51" customHeight="1">
      <c r="A258" s="83" t="s">
        <v>558</v>
      </c>
      <c r="B258" s="115"/>
      <c r="C258" s="694"/>
      <c r="D258" s="695"/>
      <c r="E258" s="696">
        <f>SUM(E259:E292)</f>
        <v>109338.46071999999</v>
      </c>
      <c r="T258" s="114"/>
    </row>
    <row r="259" spans="1:20">
      <c r="A259" s="260" t="s">
        <v>36</v>
      </c>
      <c r="B259" s="261" t="s">
        <v>121</v>
      </c>
      <c r="C259" s="697">
        <v>0.16</v>
      </c>
      <c r="D259" s="698">
        <f>+D9</f>
        <v>37500</v>
      </c>
      <c r="E259" s="698">
        <f>+C259*D259</f>
        <v>6000</v>
      </c>
      <c r="T259" s="264">
        <v>48730.5</v>
      </c>
    </row>
    <row r="260" spans="1:20">
      <c r="A260" s="260" t="s">
        <v>35</v>
      </c>
      <c r="B260" s="261" t="s">
        <v>121</v>
      </c>
      <c r="C260" s="697">
        <v>1.0249999999999999</v>
      </c>
      <c r="D260" s="698">
        <f>+D10</f>
        <v>88160</v>
      </c>
      <c r="E260" s="698">
        <f>+C260*D260</f>
        <v>90363.999999999985</v>
      </c>
      <c r="T260" s="264">
        <v>400</v>
      </c>
    </row>
    <row r="261" spans="1:20" hidden="1">
      <c r="A261" s="330"/>
      <c r="B261" s="261"/>
      <c r="C261" s="701"/>
      <c r="D261" s="702"/>
      <c r="E261" s="703"/>
      <c r="F261" s="104">
        <v>40817</v>
      </c>
      <c r="T261" s="329"/>
    </row>
    <row r="262" spans="1:20" hidden="1">
      <c r="A262" s="327"/>
      <c r="B262" s="261"/>
      <c r="C262" s="701"/>
      <c r="D262" s="704"/>
      <c r="E262" s="702"/>
      <c r="T262" s="331"/>
    </row>
    <row r="263" spans="1:20" hidden="1">
      <c r="A263" s="327"/>
      <c r="B263" s="261"/>
      <c r="C263" s="701"/>
      <c r="D263" s="704"/>
      <c r="E263" s="702"/>
      <c r="T263" s="331"/>
    </row>
    <row r="264" spans="1:20" hidden="1">
      <c r="A264" s="327"/>
      <c r="B264" s="261"/>
      <c r="C264" s="701"/>
      <c r="D264" s="704"/>
      <c r="E264" s="702"/>
      <c r="T264" s="331"/>
    </row>
    <row r="265" spans="1:20" hidden="1">
      <c r="A265" s="327"/>
      <c r="B265" s="261"/>
      <c r="C265" s="701"/>
      <c r="D265" s="704"/>
      <c r="E265" s="702"/>
      <c r="T265" s="331"/>
    </row>
    <row r="266" spans="1:20" hidden="1">
      <c r="A266" s="327"/>
      <c r="B266" s="261"/>
      <c r="C266" s="701"/>
      <c r="D266" s="704"/>
      <c r="E266" s="702"/>
      <c r="T266" s="331"/>
    </row>
    <row r="267" spans="1:20" hidden="1">
      <c r="A267" s="327"/>
      <c r="B267" s="261"/>
      <c r="C267" s="701"/>
      <c r="D267" s="704"/>
      <c r="E267" s="702"/>
      <c r="T267" s="331"/>
    </row>
    <row r="268" spans="1:20" hidden="1">
      <c r="A268" s="327"/>
      <c r="B268" s="261"/>
      <c r="C268" s="701"/>
      <c r="D268" s="704"/>
      <c r="E268" s="702"/>
      <c r="T268" s="331"/>
    </row>
    <row r="269" spans="1:20" hidden="1">
      <c r="A269" s="327"/>
      <c r="B269" s="261"/>
      <c r="C269" s="701"/>
      <c r="D269" s="704"/>
      <c r="E269" s="702"/>
      <c r="F269" s="53"/>
      <c r="T269" s="331"/>
    </row>
    <row r="270" spans="1:20" hidden="1">
      <c r="A270" s="327"/>
      <c r="B270" s="261"/>
      <c r="C270" s="701"/>
      <c r="D270" s="704"/>
      <c r="E270" s="702"/>
      <c r="T270" s="331"/>
    </row>
    <row r="271" spans="1:20" hidden="1">
      <c r="A271" s="327"/>
      <c r="B271" s="261"/>
      <c r="C271" s="701"/>
      <c r="D271" s="704"/>
      <c r="E271" s="702"/>
      <c r="T271" s="331"/>
    </row>
    <row r="272" spans="1:20" hidden="1">
      <c r="A272" s="327"/>
      <c r="B272" s="261"/>
      <c r="C272" s="701"/>
      <c r="D272" s="704"/>
      <c r="E272" s="702"/>
      <c r="T272" s="331"/>
    </row>
    <row r="273" spans="1:20" hidden="1">
      <c r="A273" s="327"/>
      <c r="B273" s="261"/>
      <c r="C273" s="701"/>
      <c r="D273" s="704"/>
      <c r="E273" s="702"/>
      <c r="T273" s="331"/>
    </row>
    <row r="274" spans="1:20" hidden="1">
      <c r="A274" s="327"/>
      <c r="B274" s="261"/>
      <c r="C274" s="701"/>
      <c r="D274" s="702"/>
      <c r="E274" s="703"/>
      <c r="T274" s="329"/>
    </row>
    <row r="275" spans="1:20" hidden="1">
      <c r="A275" s="327"/>
      <c r="B275" s="261"/>
      <c r="C275" s="701"/>
      <c r="D275" s="702"/>
      <c r="E275" s="703"/>
      <c r="T275" s="329"/>
    </row>
    <row r="276" spans="1:20" hidden="1">
      <c r="A276" s="327"/>
      <c r="B276" s="261"/>
      <c r="C276" s="701"/>
      <c r="D276" s="702"/>
      <c r="E276" s="702"/>
      <c r="T276" s="329"/>
    </row>
    <row r="277" spans="1:20" hidden="1">
      <c r="A277" s="330"/>
      <c r="B277" s="261"/>
      <c r="C277" s="701"/>
      <c r="D277" s="702"/>
      <c r="E277" s="703"/>
      <c r="T277" s="329"/>
    </row>
    <row r="278" spans="1:20" hidden="1">
      <c r="A278" s="327"/>
      <c r="B278" s="261"/>
      <c r="C278" s="701"/>
      <c r="D278" s="702"/>
      <c r="E278" s="702"/>
      <c r="T278" s="329"/>
    </row>
    <row r="279" spans="1:20" hidden="1">
      <c r="A279" s="327"/>
      <c r="B279" s="261"/>
      <c r="C279" s="701"/>
      <c r="D279" s="702"/>
      <c r="E279" s="702"/>
      <c r="T279" s="329"/>
    </row>
    <row r="280" spans="1:20" hidden="1">
      <c r="A280" s="327"/>
      <c r="B280" s="261"/>
      <c r="C280" s="701"/>
      <c r="D280" s="702"/>
      <c r="E280" s="702"/>
      <c r="T280" s="329"/>
    </row>
    <row r="281" spans="1:20" hidden="1">
      <c r="A281" s="327"/>
      <c r="B281" s="261"/>
      <c r="C281" s="701"/>
      <c r="D281" s="702"/>
      <c r="E281" s="702"/>
      <c r="T281" s="329"/>
    </row>
    <row r="282" spans="1:20" hidden="1">
      <c r="A282" s="327"/>
      <c r="B282" s="261"/>
      <c r="C282" s="701"/>
      <c r="D282" s="702"/>
      <c r="E282" s="702"/>
      <c r="T282" s="329"/>
    </row>
    <row r="283" spans="1:20" hidden="1">
      <c r="A283" s="327"/>
      <c r="B283" s="261"/>
      <c r="C283" s="701"/>
      <c r="D283" s="702"/>
      <c r="E283" s="702"/>
      <c r="T283" s="329"/>
    </row>
    <row r="284" spans="1:20" hidden="1">
      <c r="A284" s="327"/>
      <c r="B284" s="261"/>
      <c r="C284" s="701"/>
      <c r="D284" s="702"/>
      <c r="E284" s="702"/>
      <c r="T284" s="329"/>
    </row>
    <row r="285" spans="1:20" hidden="1">
      <c r="A285" s="327"/>
      <c r="B285" s="261"/>
      <c r="C285" s="701"/>
      <c r="D285" s="702"/>
      <c r="E285" s="702"/>
      <c r="T285" s="329"/>
    </row>
    <row r="286" spans="1:20" hidden="1">
      <c r="A286" s="327"/>
      <c r="B286" s="261"/>
      <c r="C286" s="701"/>
      <c r="D286" s="702"/>
      <c r="E286" s="702"/>
      <c r="T286" s="329"/>
    </row>
    <row r="287" spans="1:20" hidden="1">
      <c r="A287" s="327"/>
      <c r="B287" s="261"/>
      <c r="C287" s="701"/>
      <c r="D287" s="702"/>
      <c r="E287" s="702"/>
      <c r="T287" s="329"/>
    </row>
    <row r="288" spans="1:20" hidden="1">
      <c r="A288" s="327"/>
      <c r="B288" s="261"/>
      <c r="C288" s="701"/>
      <c r="D288" s="702"/>
      <c r="E288" s="702"/>
      <c r="T288" s="329"/>
    </row>
    <row r="289" spans="1:20" hidden="1">
      <c r="A289" s="327"/>
      <c r="B289" s="261"/>
      <c r="C289" s="701"/>
      <c r="D289" s="702"/>
      <c r="E289" s="702"/>
      <c r="T289" s="329"/>
    </row>
    <row r="290" spans="1:20" hidden="1">
      <c r="A290" s="327"/>
      <c r="B290" s="261"/>
      <c r="C290" s="701"/>
      <c r="D290" s="702"/>
      <c r="E290" s="703"/>
      <c r="T290" s="329"/>
    </row>
    <row r="291" spans="1:20" hidden="1">
      <c r="A291" s="327"/>
      <c r="B291" s="261"/>
      <c r="C291" s="701"/>
      <c r="D291" s="702"/>
      <c r="E291" s="703"/>
      <c r="T291" s="329"/>
    </row>
    <row r="292" spans="1:20">
      <c r="A292" s="260" t="s">
        <v>2670</v>
      </c>
      <c r="B292" s="261" t="s">
        <v>2671</v>
      </c>
      <c r="C292" s="697">
        <f>(C259+C260)*10</f>
        <v>11.849999999999998</v>
      </c>
      <c r="D292" s="698">
        <f>INSUMOS!D24</f>
        <v>1094.8912</v>
      </c>
      <c r="E292" s="698">
        <f>(C292*D292)</f>
        <v>12974.460719999997</v>
      </c>
      <c r="T292" s="264">
        <v>1100</v>
      </c>
    </row>
    <row r="293" spans="1:20">
      <c r="A293" s="327"/>
      <c r="B293" s="261"/>
      <c r="C293" s="701"/>
      <c r="D293" s="702"/>
      <c r="E293" s="702"/>
      <c r="T293" s="329"/>
    </row>
    <row r="294" spans="1:20" ht="25.15" customHeight="1">
      <c r="A294" s="83" t="s">
        <v>706</v>
      </c>
      <c r="B294" s="115" t="s">
        <v>121</v>
      </c>
      <c r="C294" s="694"/>
      <c r="D294" s="695"/>
      <c r="E294" s="696">
        <f>ROUND(SUM(E295:E302),0)</f>
        <v>315847</v>
      </c>
      <c r="T294" s="114"/>
    </row>
    <row r="295" spans="1:20">
      <c r="A295" s="260" t="s">
        <v>31</v>
      </c>
      <c r="B295" s="261" t="s">
        <v>32</v>
      </c>
      <c r="C295" s="697">
        <v>210</v>
      </c>
      <c r="D295" s="700">
        <f>BASICOS!D7</f>
        <v>606.9</v>
      </c>
      <c r="E295" s="698">
        <f>+C295*D295</f>
        <v>127449</v>
      </c>
      <c r="T295" s="326">
        <v>552</v>
      </c>
    </row>
    <row r="296" spans="1:20">
      <c r="A296" s="260" t="s">
        <v>117</v>
      </c>
      <c r="B296" s="261" t="s">
        <v>25</v>
      </c>
      <c r="C296" s="697">
        <v>130</v>
      </c>
      <c r="D296" s="698">
        <f>D11</f>
        <v>65</v>
      </c>
      <c r="E296" s="698">
        <f>+C296*D296</f>
        <v>8450</v>
      </c>
      <c r="T296" s="264">
        <v>65</v>
      </c>
    </row>
    <row r="297" spans="1:20">
      <c r="A297" s="260" t="s">
        <v>36</v>
      </c>
      <c r="B297" s="261" t="s">
        <v>121</v>
      </c>
      <c r="C297" s="697">
        <v>0.5</v>
      </c>
      <c r="D297" s="698">
        <f>D9</f>
        <v>37500</v>
      </c>
      <c r="E297" s="698">
        <f>+C297*D297</f>
        <v>18750</v>
      </c>
      <c r="T297" s="264">
        <v>49980</v>
      </c>
    </row>
    <row r="298" spans="1:20">
      <c r="A298" s="260" t="s">
        <v>133</v>
      </c>
      <c r="B298" s="261" t="s">
        <v>121</v>
      </c>
      <c r="C298" s="697">
        <v>1</v>
      </c>
      <c r="D298" s="698">
        <f>D10</f>
        <v>88160</v>
      </c>
      <c r="E298" s="698">
        <f>+C298*D298</f>
        <v>88160</v>
      </c>
      <c r="T298" s="264">
        <v>77469</v>
      </c>
    </row>
    <row r="299" spans="1:20">
      <c r="A299" s="260" t="s">
        <v>188</v>
      </c>
      <c r="B299" s="261" t="s">
        <v>12</v>
      </c>
      <c r="C299" s="697">
        <v>0.118974</v>
      </c>
      <c r="D299" s="698">
        <f>D42</f>
        <v>136480.47829830134</v>
      </c>
      <c r="E299" s="698">
        <f>+C299*D299</f>
        <v>16237.628425062103</v>
      </c>
      <c r="T299" s="264">
        <v>82110</v>
      </c>
    </row>
    <row r="300" spans="1:20">
      <c r="A300" s="260" t="s">
        <v>11</v>
      </c>
      <c r="B300" s="261" t="s">
        <v>12</v>
      </c>
      <c r="C300" s="697">
        <v>0.03</v>
      </c>
      <c r="D300" s="698">
        <f>D192</f>
        <v>39201.446992068493</v>
      </c>
      <c r="E300" s="698">
        <f>(C300*D300)</f>
        <v>1176.0434097620548</v>
      </c>
      <c r="T300" s="264">
        <v>35731.883817616443</v>
      </c>
    </row>
    <row r="301" spans="1:20">
      <c r="A301" s="260" t="s">
        <v>2670</v>
      </c>
      <c r="B301" s="261" t="s">
        <v>2671</v>
      </c>
      <c r="C301" s="697">
        <f>(C297+C298)*10</f>
        <v>15</v>
      </c>
      <c r="D301" s="698">
        <f>INSUMOS!D24</f>
        <v>1094.8912</v>
      </c>
      <c r="E301" s="698">
        <f>(C301*D301)</f>
        <v>16423.368000000002</v>
      </c>
      <c r="T301" s="264">
        <v>1100</v>
      </c>
    </row>
    <row r="302" spans="1:20">
      <c r="A302" s="260" t="s">
        <v>334</v>
      </c>
      <c r="B302" s="261" t="s">
        <v>183</v>
      </c>
      <c r="C302" s="697">
        <v>1.5</v>
      </c>
      <c r="D302" s="698">
        <f>D194</f>
        <v>26134.297994712331</v>
      </c>
      <c r="E302" s="698">
        <f>+C302*D302</f>
        <v>39201.446992068493</v>
      </c>
      <c r="T302" s="264">
        <v>23821.255878410961</v>
      </c>
    </row>
    <row r="303" spans="1:20">
      <c r="A303" s="327"/>
      <c r="B303" s="261"/>
      <c r="C303" s="701"/>
      <c r="D303" s="702"/>
      <c r="E303" s="702"/>
      <c r="T303" s="329"/>
    </row>
    <row r="304" spans="1:20" ht="25.9" customHeight="1">
      <c r="A304" s="83" t="s">
        <v>707</v>
      </c>
      <c r="B304" s="115" t="s">
        <v>121</v>
      </c>
      <c r="C304" s="694"/>
      <c r="D304" s="695"/>
      <c r="E304" s="696">
        <f>ROUND(SUM(E305:E312),0)</f>
        <v>302874</v>
      </c>
      <c r="T304" s="114"/>
    </row>
    <row r="305" spans="1:20">
      <c r="A305" s="260" t="s">
        <v>31</v>
      </c>
      <c r="B305" s="261" t="s">
        <v>32</v>
      </c>
      <c r="C305" s="697">
        <v>230</v>
      </c>
      <c r="D305" s="700">
        <f>BASICOS!D7</f>
        <v>606.9</v>
      </c>
      <c r="E305" s="698">
        <f>+C305*D305</f>
        <v>139587</v>
      </c>
      <c r="P305" s="26">
        <f>6.1*50</f>
        <v>305</v>
      </c>
      <c r="T305" s="326">
        <v>552</v>
      </c>
    </row>
    <row r="306" spans="1:20">
      <c r="A306" s="260" t="s">
        <v>117</v>
      </c>
      <c r="B306" s="261" t="s">
        <v>25</v>
      </c>
      <c r="C306" s="697">
        <v>135</v>
      </c>
      <c r="D306" s="698">
        <f>D11</f>
        <v>65</v>
      </c>
      <c r="E306" s="698">
        <f>+C306*D306</f>
        <v>8775</v>
      </c>
      <c r="T306" s="264">
        <v>65</v>
      </c>
    </row>
    <row r="307" spans="1:20">
      <c r="A307" s="260" t="s">
        <v>36</v>
      </c>
      <c r="B307" s="261" t="s">
        <v>121</v>
      </c>
      <c r="C307" s="697">
        <v>0.55500000000000005</v>
      </c>
      <c r="D307" s="698">
        <f>D9</f>
        <v>37500</v>
      </c>
      <c r="E307" s="698">
        <f>+C307*D307</f>
        <v>20812.500000000004</v>
      </c>
      <c r="T307" s="264">
        <v>49980</v>
      </c>
    </row>
    <row r="308" spans="1:20">
      <c r="A308" s="260" t="s">
        <v>133</v>
      </c>
      <c r="B308" s="261" t="s">
        <v>121</v>
      </c>
      <c r="C308" s="697">
        <v>0.97499999999999998</v>
      </c>
      <c r="D308" s="698">
        <f>D12</f>
        <v>61880</v>
      </c>
      <c r="E308" s="698">
        <f>+C308*D308</f>
        <v>60333</v>
      </c>
      <c r="T308" s="264">
        <v>52479</v>
      </c>
    </row>
    <row r="309" spans="1:20">
      <c r="A309" s="260" t="s">
        <v>188</v>
      </c>
      <c r="B309" s="261" t="s">
        <v>12</v>
      </c>
      <c r="C309" s="697">
        <v>0.118974</v>
      </c>
      <c r="D309" s="698">
        <f>D42</f>
        <v>136480.47829830134</v>
      </c>
      <c r="E309" s="698">
        <f>+C309*D309</f>
        <v>16237.628425062103</v>
      </c>
      <c r="T309" s="264">
        <v>82110</v>
      </c>
    </row>
    <row r="310" spans="1:20">
      <c r="A310" s="260" t="s">
        <v>11</v>
      </c>
      <c r="B310" s="261" t="s">
        <v>12</v>
      </c>
      <c r="C310" s="697">
        <v>0.03</v>
      </c>
      <c r="D310" s="698">
        <f>+E312</f>
        <v>39201.446992068493</v>
      </c>
      <c r="E310" s="698">
        <f>(C310*D310)</f>
        <v>1176.0434097620548</v>
      </c>
      <c r="T310" s="264">
        <v>35731.883817616443</v>
      </c>
    </row>
    <row r="311" spans="1:20">
      <c r="A311" s="260" t="s">
        <v>2670</v>
      </c>
      <c r="B311" s="261" t="s">
        <v>2671</v>
      </c>
      <c r="C311" s="697">
        <f>(C307+C308)*10</f>
        <v>15.3</v>
      </c>
      <c r="D311" s="698">
        <f>INSUMOS!D24</f>
        <v>1094.8912</v>
      </c>
      <c r="E311" s="698">
        <f>(C311*D311)</f>
        <v>16751.835360000001</v>
      </c>
      <c r="T311" s="264">
        <v>1100</v>
      </c>
    </row>
    <row r="312" spans="1:20">
      <c r="A312" s="260" t="s">
        <v>334</v>
      </c>
      <c r="B312" s="261" t="s">
        <v>183</v>
      </c>
      <c r="C312" s="697">
        <v>1.5</v>
      </c>
      <c r="D312" s="698">
        <f>D194</f>
        <v>26134.297994712331</v>
      </c>
      <c r="E312" s="698">
        <f>+C312*D312</f>
        <v>39201.446992068493</v>
      </c>
      <c r="T312" s="264">
        <v>23821.255878410961</v>
      </c>
    </row>
    <row r="313" spans="1:20">
      <c r="A313" s="327"/>
      <c r="B313" s="261"/>
      <c r="C313" s="701"/>
      <c r="D313" s="702"/>
      <c r="E313" s="702"/>
      <c r="T313" s="329"/>
    </row>
    <row r="314" spans="1:20" ht="21.6" customHeight="1">
      <c r="A314" s="83" t="s">
        <v>717</v>
      </c>
      <c r="B314" s="115" t="s">
        <v>121</v>
      </c>
      <c r="C314" s="694"/>
      <c r="D314" s="695"/>
      <c r="E314" s="696">
        <f>ROUND(SUM(E315:E322),0)</f>
        <v>424763</v>
      </c>
      <c r="T314" s="114"/>
    </row>
    <row r="315" spans="1:20">
      <c r="A315" s="260" t="s">
        <v>31</v>
      </c>
      <c r="B315" s="261" t="s">
        <v>32</v>
      </c>
      <c r="C315" s="697">
        <v>455</v>
      </c>
      <c r="D315" s="698">
        <f>D7</f>
        <v>606.9</v>
      </c>
      <c r="E315" s="698">
        <f>+C315*D315</f>
        <v>276139.5</v>
      </c>
      <c r="T315" s="264">
        <v>552</v>
      </c>
    </row>
    <row r="316" spans="1:20">
      <c r="A316" s="260" t="s">
        <v>117</v>
      </c>
      <c r="B316" s="261" t="s">
        <v>25</v>
      </c>
      <c r="C316" s="697">
        <v>200.2</v>
      </c>
      <c r="D316" s="698">
        <f>D306</f>
        <v>65</v>
      </c>
      <c r="E316" s="698">
        <f>+C316*D316</f>
        <v>13013</v>
      </c>
      <c r="T316" s="264">
        <v>65</v>
      </c>
    </row>
    <row r="317" spans="1:20">
      <c r="A317" s="260" t="s">
        <v>36</v>
      </c>
      <c r="B317" s="261" t="s">
        <v>121</v>
      </c>
      <c r="C317" s="697">
        <v>0.47</v>
      </c>
      <c r="D317" s="698">
        <f>D297</f>
        <v>37500</v>
      </c>
      <c r="E317" s="698">
        <f>+C317*D317</f>
        <v>17625</v>
      </c>
      <c r="T317" s="264">
        <v>49980</v>
      </c>
    </row>
    <row r="318" spans="1:20">
      <c r="A318" s="260" t="s">
        <v>756</v>
      </c>
      <c r="B318" s="261" t="s">
        <v>121</v>
      </c>
      <c r="C318" s="697">
        <v>0.77200000000000002</v>
      </c>
      <c r="D318" s="698">
        <f>D308</f>
        <v>61880</v>
      </c>
      <c r="E318" s="698">
        <f>+C318*D318</f>
        <v>47771.360000000001</v>
      </c>
      <c r="T318" s="264">
        <v>52479</v>
      </c>
    </row>
    <row r="319" spans="1:20">
      <c r="A319" s="260" t="s">
        <v>188</v>
      </c>
      <c r="B319" s="261" t="s">
        <v>12</v>
      </c>
      <c r="C319" s="697">
        <v>0.118974</v>
      </c>
      <c r="D319" s="698">
        <f>D42</f>
        <v>136480.47829830134</v>
      </c>
      <c r="E319" s="698">
        <f>+C319*D319</f>
        <v>16237.628425062103</v>
      </c>
      <c r="T319" s="264">
        <v>82110</v>
      </c>
    </row>
    <row r="320" spans="1:20">
      <c r="A320" s="260" t="s">
        <v>11</v>
      </c>
      <c r="B320" s="261" t="s">
        <v>12</v>
      </c>
      <c r="C320" s="697">
        <v>0.03</v>
      </c>
      <c r="D320" s="698">
        <f>+E322</f>
        <v>39201.446992068493</v>
      </c>
      <c r="E320" s="698">
        <f>(C320*D320)</f>
        <v>1176.0434097620548</v>
      </c>
      <c r="T320" s="264">
        <v>35731.883817616443</v>
      </c>
    </row>
    <row r="321" spans="1:20">
      <c r="A321" s="260" t="s">
        <v>2670</v>
      </c>
      <c r="B321" s="261" t="s">
        <v>2671</v>
      </c>
      <c r="C321" s="697">
        <f>(C317+C318)*10</f>
        <v>12.42</v>
      </c>
      <c r="D321" s="698">
        <f>INSUMOS!D24</f>
        <v>1094.8912</v>
      </c>
      <c r="E321" s="698">
        <f>(C321*D321)</f>
        <v>13598.548704000001</v>
      </c>
      <c r="T321" s="264">
        <v>1100</v>
      </c>
    </row>
    <row r="322" spans="1:20">
      <c r="A322" s="260" t="s">
        <v>334</v>
      </c>
      <c r="B322" s="261" t="s">
        <v>183</v>
      </c>
      <c r="C322" s="697">
        <v>1.5</v>
      </c>
      <c r="D322" s="698">
        <f>D312</f>
        <v>26134.297994712331</v>
      </c>
      <c r="E322" s="698">
        <f>+C322*D322</f>
        <v>39201.446992068493</v>
      </c>
      <c r="T322" s="264">
        <v>23821.255878410961</v>
      </c>
    </row>
    <row r="323" spans="1:20">
      <c r="S323" s="26">
        <f>9.1*50</f>
        <v>455</v>
      </c>
    </row>
    <row r="324" spans="1:20">
      <c r="A324" s="33"/>
      <c r="E324" s="93"/>
      <c r="S324" s="26">
        <f>9.1*22</f>
        <v>200.2</v>
      </c>
    </row>
    <row r="325" spans="1:20">
      <c r="A325" s="90"/>
      <c r="C325" s="14"/>
      <c r="D325" s="94"/>
      <c r="E325" s="94"/>
      <c r="T325" s="94"/>
    </row>
    <row r="326" spans="1:20">
      <c r="A326" s="90"/>
      <c r="C326" s="14"/>
      <c r="D326" s="94"/>
      <c r="E326" s="94"/>
      <c r="T326" s="94"/>
    </row>
    <row r="327" spans="1:20">
      <c r="A327" s="90"/>
      <c r="C327" s="14"/>
      <c r="D327" s="94"/>
      <c r="E327" s="94"/>
      <c r="T327" s="94"/>
    </row>
    <row r="328" spans="1:20">
      <c r="A328" s="90"/>
      <c r="C328" s="14"/>
      <c r="D328" s="94"/>
      <c r="E328" s="94"/>
      <c r="T328" s="94"/>
    </row>
    <row r="329" spans="1:20">
      <c r="A329" s="90"/>
      <c r="C329" s="14"/>
      <c r="D329" s="94"/>
      <c r="E329" s="94"/>
      <c r="T329" s="94"/>
    </row>
    <row r="330" spans="1:20">
      <c r="A330" s="90"/>
      <c r="C330" s="14"/>
      <c r="D330" s="94"/>
      <c r="E330" s="94"/>
      <c r="T330" s="94"/>
    </row>
    <row r="331" spans="1:20">
      <c r="A331" s="90"/>
      <c r="C331" s="14"/>
      <c r="D331" s="94"/>
      <c r="E331" s="94"/>
      <c r="T331" s="94"/>
    </row>
    <row r="341" spans="1:20" hidden="1"/>
    <row r="342" spans="1:20" hidden="1"/>
    <row r="343" spans="1:20" hidden="1"/>
    <row r="344" spans="1:20" hidden="1"/>
    <row r="345" spans="1:20" hidden="1"/>
    <row r="346" spans="1:20" hidden="1"/>
    <row r="347" spans="1:20" hidden="1">
      <c r="A347" s="110" t="s">
        <v>752</v>
      </c>
      <c r="B347" s="103"/>
      <c r="C347" s="40"/>
      <c r="D347" s="69"/>
      <c r="E347" s="105" t="s">
        <v>695</v>
      </c>
      <c r="F347" s="46"/>
      <c r="G347" s="45"/>
      <c r="H347" s="45"/>
      <c r="T347" s="69"/>
    </row>
    <row r="348" spans="1:20" ht="25.5" hidden="1">
      <c r="A348" s="45"/>
      <c r="B348" s="103"/>
      <c r="C348" s="40"/>
      <c r="D348" s="69"/>
      <c r="E348" s="105"/>
      <c r="F348" s="106" t="s">
        <v>700</v>
      </c>
      <c r="G348" s="107" t="s">
        <v>697</v>
      </c>
      <c r="H348" s="106" t="s">
        <v>698</v>
      </c>
      <c r="I348" s="108" t="s">
        <v>699</v>
      </c>
      <c r="J348" s="108" t="s">
        <v>699</v>
      </c>
      <c r="T348" s="69"/>
    </row>
    <row r="349" spans="1:20" hidden="1">
      <c r="A349" s="110" t="s">
        <v>693</v>
      </c>
      <c r="B349" s="103"/>
      <c r="C349" s="40"/>
      <c r="D349" s="69"/>
      <c r="E349" s="95">
        <f>297270*1.16</f>
        <v>344833.19999999995</v>
      </c>
      <c r="F349" s="24" t="e">
        <f>E349+#REF!</f>
        <v>#REF!</v>
      </c>
      <c r="G349" s="45"/>
      <c r="H349" s="45"/>
      <c r="T349" s="69"/>
    </row>
    <row r="350" spans="1:20" hidden="1">
      <c r="A350" s="3"/>
      <c r="B350" s="103"/>
      <c r="C350" s="40"/>
      <c r="D350" s="69"/>
      <c r="E350" s="105"/>
      <c r="F350" s="46"/>
      <c r="G350" s="45"/>
      <c r="H350" s="45"/>
      <c r="T350" s="69"/>
    </row>
    <row r="351" spans="1:20" hidden="1">
      <c r="A351" s="110" t="s">
        <v>694</v>
      </c>
      <c r="B351" s="103"/>
      <c r="C351" s="40"/>
      <c r="D351" s="69"/>
      <c r="E351" s="95">
        <f>308080*1.16</f>
        <v>357372.8</v>
      </c>
      <c r="F351" s="24" t="e">
        <f>E351+#REF!</f>
        <v>#REF!</v>
      </c>
      <c r="G351" s="45"/>
      <c r="H351" s="45"/>
      <c r="T351" s="69"/>
    </row>
    <row r="352" spans="1:20" hidden="1">
      <c r="A352" s="45"/>
      <c r="B352" s="103"/>
      <c r="C352" s="40"/>
      <c r="D352" s="69"/>
      <c r="E352" s="105"/>
      <c r="F352" s="46"/>
      <c r="G352" s="45"/>
      <c r="H352" s="45"/>
      <c r="T352" s="69"/>
    </row>
    <row r="353" spans="1:20" hidden="1">
      <c r="A353" s="110" t="s">
        <v>696</v>
      </c>
      <c r="B353" s="64"/>
      <c r="C353" s="2"/>
      <c r="D353" s="105"/>
      <c r="E353" s="95">
        <f>322000*1.16</f>
        <v>373520</v>
      </c>
      <c r="F353" s="24" t="e">
        <f>E353+#REF!</f>
        <v>#REF!</v>
      </c>
      <c r="G353" s="24">
        <f>326820*1.16</f>
        <v>379111.19999999995</v>
      </c>
      <c r="H353" s="24">
        <f>329215*1.16</f>
        <v>381889.39999999997</v>
      </c>
      <c r="I353" s="24">
        <f>366030*1.16</f>
        <v>424594.8</v>
      </c>
      <c r="J353" s="24">
        <f>348020*1.16</f>
        <v>403703.19999999995</v>
      </c>
      <c r="T353" s="105"/>
    </row>
    <row r="354" spans="1:20" hidden="1">
      <c r="A354" s="3"/>
      <c r="B354" s="64"/>
      <c r="C354" s="2"/>
      <c r="D354" s="69"/>
      <c r="E354" s="105"/>
      <c r="F354" s="46"/>
      <c r="G354" s="45"/>
      <c r="H354" s="45"/>
      <c r="T354" s="69"/>
    </row>
    <row r="355" spans="1:20" hidden="1">
      <c r="A355" s="110" t="s">
        <v>701</v>
      </c>
      <c r="B355" s="64"/>
      <c r="C355" s="2"/>
      <c r="D355" s="69"/>
      <c r="E355" s="95">
        <f>331780*1.16</f>
        <v>384864.8</v>
      </c>
      <c r="F355" s="24" t="e">
        <f>E355+#REF!</f>
        <v>#REF!</v>
      </c>
      <c r="G355" s="24">
        <f>336500*1.16</f>
        <v>390340</v>
      </c>
      <c r="H355" s="24">
        <f>338580*1.16</f>
        <v>392752.8</v>
      </c>
      <c r="I355" s="24">
        <f>394030*1.16</f>
        <v>457074.8</v>
      </c>
      <c r="J355" s="24">
        <f>366030*1.16</f>
        <v>424594.8</v>
      </c>
      <c r="T355" s="69"/>
    </row>
    <row r="356" spans="1:20" hidden="1">
      <c r="A356" s="45"/>
      <c r="B356" s="103"/>
      <c r="C356" s="40"/>
      <c r="D356" s="69"/>
      <c r="E356" s="105"/>
      <c r="F356" s="46"/>
      <c r="G356" s="45"/>
      <c r="H356" s="45"/>
      <c r="T356" s="69"/>
    </row>
    <row r="357" spans="1:20" hidden="1">
      <c r="A357" s="110" t="s">
        <v>702</v>
      </c>
      <c r="B357" s="103"/>
      <c r="C357" s="40"/>
      <c r="D357" s="69"/>
      <c r="E357" s="95">
        <f>348020*1.16</f>
        <v>403703.19999999995</v>
      </c>
      <c r="F357" s="24" t="e">
        <f>E357+#REF!</f>
        <v>#REF!</v>
      </c>
      <c r="G357" s="45"/>
      <c r="H357" s="24">
        <f>354820*1.16</f>
        <v>411591.19999999995</v>
      </c>
      <c r="T357" s="69"/>
    </row>
    <row r="358" spans="1:20" hidden="1">
      <c r="A358" s="45"/>
      <c r="B358" s="103"/>
      <c r="C358" s="40"/>
      <c r="D358" s="69"/>
      <c r="E358" s="105"/>
      <c r="F358" s="46"/>
      <c r="G358" s="45"/>
      <c r="H358" s="45"/>
      <c r="T358" s="69"/>
    </row>
    <row r="359" spans="1:20" hidden="1">
      <c r="A359" s="110" t="s">
        <v>703</v>
      </c>
      <c r="B359" s="103"/>
      <c r="C359" s="40"/>
      <c r="D359" s="69"/>
      <c r="E359" s="95">
        <f>366030*1.16</f>
        <v>424594.8</v>
      </c>
      <c r="F359" s="24" t="e">
        <f>E359+#REF!</f>
        <v>#REF!</v>
      </c>
      <c r="G359" s="45"/>
      <c r="H359" s="45"/>
      <c r="T359" s="69"/>
    </row>
    <row r="360" spans="1:20" hidden="1">
      <c r="A360" s="45"/>
      <c r="B360" s="103"/>
      <c r="C360" s="40"/>
      <c r="D360" s="69"/>
      <c r="E360" s="105"/>
      <c r="F360" s="46"/>
      <c r="G360" s="45"/>
      <c r="H360" s="45"/>
      <c r="T360" s="69"/>
    </row>
    <row r="361" spans="1:20" hidden="1">
      <c r="A361" s="110" t="s">
        <v>704</v>
      </c>
      <c r="B361" s="103"/>
      <c r="C361" s="40"/>
      <c r="D361" s="69"/>
      <c r="E361" s="95">
        <f>394020*1.16</f>
        <v>457063.19999999995</v>
      </c>
      <c r="F361" s="24" t="e">
        <f>E361+#REF!</f>
        <v>#REF!</v>
      </c>
      <c r="G361" s="45"/>
      <c r="H361" s="45"/>
      <c r="T361" s="69"/>
    </row>
    <row r="362" spans="1:20" hidden="1">
      <c r="A362" s="45"/>
      <c r="B362" s="103"/>
      <c r="C362" s="40"/>
      <c r="D362" s="69"/>
      <c r="E362" s="69"/>
      <c r="F362" s="45"/>
      <c r="G362" s="45"/>
      <c r="H362" s="45"/>
      <c r="T362" s="69"/>
    </row>
    <row r="363" spans="1:20" hidden="1"/>
    <row r="364" spans="1:20" hidden="1"/>
  </sheetData>
  <sheetProtection formatCells="0" formatColumns="0" formatRows="0" insertColumns="0" insertRows="0" insertHyperlinks="0" deleteColumns="0" deleteRows="0" sort="0" autoFilter="0" pivotTables="0"/>
  <mergeCells count="9">
    <mergeCell ref="A1:E1"/>
    <mergeCell ref="A2:E2"/>
    <mergeCell ref="A3:E3"/>
    <mergeCell ref="J17:K17"/>
    <mergeCell ref="I146:K146"/>
    <mergeCell ref="J16:K16"/>
    <mergeCell ref="J9:K9"/>
    <mergeCell ref="J10:K10"/>
    <mergeCell ref="J12:K12"/>
  </mergeCells>
  <phoneticPr fontId="4" type="noConversion"/>
  <pageMargins left="0.78740157480314965" right="0.39370078740157483" top="1.1811023622047245" bottom="0.78740157480314965" header="0" footer="0"/>
  <pageSetup scale="75" orientation="portrait" errors="NA" r:id="rId1"/>
  <headerFooter alignWithMargins="0">
    <oddFooter>&amp;R&amp;P/&amp;N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theme="9" tint="-0.249977111117893"/>
  </sheetPr>
  <dimension ref="A1:S293"/>
  <sheetViews>
    <sheetView view="pageBreakPreview" topLeftCell="A5" zoomScaleNormal="100" zoomScaleSheetLayoutView="100" workbookViewId="0">
      <selection activeCell="A283" sqref="A283"/>
    </sheetView>
  </sheetViews>
  <sheetFormatPr baseColWidth="10" defaultColWidth="11.42578125" defaultRowHeight="12.75"/>
  <cols>
    <col min="1" max="1" width="8.7109375" style="528" bestFit="1" customWidth="1"/>
    <col min="2" max="2" width="73" style="502" customWidth="1"/>
    <col min="3" max="3" width="10.5703125" style="27" customWidth="1"/>
    <col min="4" max="4" width="19.28515625" style="712" customWidth="1"/>
    <col min="5" max="5" width="19.85546875" style="65" hidden="1" customWidth="1"/>
    <col min="6" max="6" width="22.140625" style="65" hidden="1" customWidth="1"/>
    <col min="7" max="7" width="19.85546875" style="65" hidden="1" customWidth="1"/>
    <col min="8" max="10" width="19.85546875" style="340" hidden="1" customWidth="1"/>
    <col min="11" max="11" width="19.42578125" style="37" hidden="1" customWidth="1"/>
    <col min="12" max="12" width="0.28515625" style="28" customWidth="1"/>
    <col min="13" max="13" width="54.5703125" style="26" hidden="1" customWidth="1"/>
    <col min="14" max="14" width="20" style="38" hidden="1" customWidth="1"/>
    <col min="15" max="15" width="17.42578125" style="38" hidden="1" customWidth="1"/>
    <col min="16" max="16" width="19.140625" style="38" bestFit="1" customWidth="1"/>
    <col min="17" max="17" width="31.140625" style="26" customWidth="1"/>
    <col min="18" max="18" width="19.42578125" style="26" customWidth="1"/>
    <col min="19" max="19" width="11.42578125" style="26" customWidth="1"/>
    <col min="20" max="16384" width="11.42578125" style="26"/>
  </cols>
  <sheetData>
    <row r="1" spans="1:16" s="25" customFormat="1" ht="42" customHeight="1">
      <c r="A1" s="709"/>
      <c r="B1" s="1198" t="s">
        <v>3240</v>
      </c>
      <c r="C1" s="1198"/>
      <c r="D1" s="711"/>
      <c r="E1" s="680"/>
      <c r="F1" s="680"/>
      <c r="G1" s="680"/>
      <c r="H1" s="387"/>
      <c r="I1" s="387"/>
      <c r="J1" s="387"/>
    </row>
    <row r="2" spans="1:16" s="25" customFormat="1">
      <c r="A2" s="1194" t="s">
        <v>535</v>
      </c>
      <c r="B2" s="1194"/>
      <c r="C2" s="1194"/>
      <c r="D2" s="1194"/>
      <c r="E2" s="681"/>
      <c r="F2" s="681"/>
      <c r="G2" s="681"/>
      <c r="H2" s="386"/>
      <c r="I2" s="386"/>
      <c r="J2" s="386"/>
    </row>
    <row r="3" spans="1:16" ht="24" customHeight="1">
      <c r="A3" s="1195" t="s">
        <v>3236</v>
      </c>
      <c r="B3" s="1195"/>
      <c r="C3" s="1195"/>
      <c r="D3" s="1195"/>
      <c r="E3" s="682"/>
      <c r="F3" s="682"/>
      <c r="G3" s="682"/>
      <c r="H3" s="388"/>
      <c r="I3" s="388"/>
      <c r="J3" s="388"/>
      <c r="K3" s="26"/>
      <c r="L3" s="33"/>
      <c r="N3" s="26"/>
      <c r="O3" s="26"/>
      <c r="P3" s="26"/>
    </row>
    <row r="4" spans="1:16" ht="19.899999999999999" customHeight="1">
      <c r="A4" s="870" t="s">
        <v>201</v>
      </c>
      <c r="B4" s="857" t="s">
        <v>3172</v>
      </c>
      <c r="C4" s="856" t="s">
        <v>3084</v>
      </c>
      <c r="D4" s="594" t="s">
        <v>532</v>
      </c>
      <c r="E4" s="683"/>
      <c r="F4" s="594" t="s">
        <v>3205</v>
      </c>
      <c r="G4" s="683"/>
      <c r="H4" s="397"/>
      <c r="I4" s="397"/>
      <c r="J4" s="397"/>
    </row>
    <row r="5" spans="1:16" ht="14.25" customHeight="1">
      <c r="A5" s="526">
        <v>1</v>
      </c>
      <c r="B5" s="522" t="s">
        <v>13</v>
      </c>
      <c r="C5" s="488" t="s">
        <v>26</v>
      </c>
      <c r="D5" s="489">
        <v>2067.0300000000002</v>
      </c>
      <c r="E5" s="684"/>
      <c r="F5" s="489">
        <v>1000</v>
      </c>
      <c r="G5" s="684"/>
      <c r="H5" s="398"/>
      <c r="I5" s="398"/>
      <c r="J5" s="398"/>
      <c r="K5" s="39"/>
      <c r="L5" s="40"/>
      <c r="P5" s="38" t="s">
        <v>3434</v>
      </c>
    </row>
    <row r="6" spans="1:16">
      <c r="A6" s="527">
        <v>2</v>
      </c>
      <c r="B6" s="495" t="s">
        <v>381</v>
      </c>
      <c r="C6" s="490" t="s">
        <v>26</v>
      </c>
      <c r="D6" s="491">
        <v>15470</v>
      </c>
      <c r="E6" s="684"/>
      <c r="F6" s="491">
        <v>11000</v>
      </c>
      <c r="G6" s="684"/>
      <c r="H6" s="398"/>
      <c r="I6" s="398"/>
      <c r="J6" s="398"/>
      <c r="K6" s="41" t="s">
        <v>2624</v>
      </c>
      <c r="L6" s="42">
        <v>25236</v>
      </c>
      <c r="P6" s="38" t="s">
        <v>3434</v>
      </c>
    </row>
    <row r="7" spans="1:16">
      <c r="A7" s="527">
        <v>3</v>
      </c>
      <c r="B7" s="495" t="s">
        <v>383</v>
      </c>
      <c r="C7" s="490" t="s">
        <v>26</v>
      </c>
      <c r="D7" s="491">
        <v>8050.35</v>
      </c>
      <c r="E7" s="684"/>
      <c r="F7" s="491">
        <v>5700</v>
      </c>
      <c r="G7" s="684"/>
      <c r="H7" s="398"/>
      <c r="I7" s="398"/>
      <c r="J7" s="398"/>
      <c r="K7" s="41"/>
      <c r="L7" s="40">
        <v>11592</v>
      </c>
      <c r="P7" s="38" t="s">
        <v>3434</v>
      </c>
    </row>
    <row r="8" spans="1:16">
      <c r="A8" s="527">
        <v>4</v>
      </c>
      <c r="B8" s="495" t="s">
        <v>382</v>
      </c>
      <c r="C8" s="490" t="s">
        <v>26</v>
      </c>
      <c r="D8" s="918">
        <v>21387.87</v>
      </c>
      <c r="E8" s="684"/>
      <c r="F8" s="491">
        <v>15000</v>
      </c>
      <c r="G8" s="684"/>
      <c r="H8" s="398"/>
      <c r="I8" s="398"/>
      <c r="J8" s="398"/>
      <c r="K8" s="41"/>
      <c r="L8" s="40"/>
      <c r="P8" s="38" t="s">
        <v>3434</v>
      </c>
    </row>
    <row r="9" spans="1:16">
      <c r="A9" s="527">
        <v>5</v>
      </c>
      <c r="B9" s="495" t="s">
        <v>390</v>
      </c>
      <c r="C9" s="490" t="s">
        <v>26</v>
      </c>
      <c r="D9" s="491">
        <v>61000</v>
      </c>
      <c r="E9" s="684"/>
      <c r="F9" s="491">
        <v>45000</v>
      </c>
      <c r="G9" s="684"/>
      <c r="H9" s="398"/>
      <c r="I9" s="398"/>
      <c r="J9" s="398"/>
      <c r="K9" s="60"/>
      <c r="L9" s="40"/>
      <c r="P9" s="38" t="s">
        <v>3438</v>
      </c>
    </row>
    <row r="10" spans="1:16">
      <c r="A10" s="527">
        <v>6</v>
      </c>
      <c r="B10" s="495" t="s">
        <v>422</v>
      </c>
      <c r="C10" s="490" t="s">
        <v>26</v>
      </c>
      <c r="D10" s="491">
        <v>7455</v>
      </c>
      <c r="E10" s="684"/>
      <c r="F10" s="491">
        <v>5700</v>
      </c>
      <c r="G10" s="684"/>
      <c r="H10" s="398"/>
      <c r="I10" s="398"/>
      <c r="J10" s="398"/>
      <c r="K10" s="60"/>
      <c r="L10" s="40"/>
      <c r="P10" s="38" t="s">
        <v>3434</v>
      </c>
    </row>
    <row r="11" spans="1:16">
      <c r="A11" s="527">
        <v>7</v>
      </c>
      <c r="B11" s="495" t="s">
        <v>423</v>
      </c>
      <c r="C11" s="490" t="s">
        <v>26</v>
      </c>
      <c r="D11" s="491">
        <v>18000</v>
      </c>
      <c r="E11" s="684"/>
      <c r="F11" s="491">
        <v>14000</v>
      </c>
      <c r="G11" s="684"/>
      <c r="H11" s="398"/>
      <c r="I11" s="398"/>
      <c r="J11" s="398"/>
      <c r="K11" s="60"/>
      <c r="L11" s="40"/>
      <c r="P11" s="38" t="s">
        <v>3438</v>
      </c>
    </row>
    <row r="12" spans="1:16">
      <c r="A12" s="527">
        <v>8</v>
      </c>
      <c r="B12" s="495" t="s">
        <v>549</v>
      </c>
      <c r="C12" s="490" t="s">
        <v>26</v>
      </c>
      <c r="D12" s="491">
        <v>18000</v>
      </c>
      <c r="E12" s="684"/>
      <c r="F12" s="491">
        <v>14000</v>
      </c>
      <c r="G12" s="684"/>
      <c r="H12" s="398"/>
      <c r="I12" s="398"/>
      <c r="J12" s="398"/>
      <c r="K12" s="60"/>
      <c r="L12" s="40"/>
      <c r="P12" s="38" t="s">
        <v>3438</v>
      </c>
    </row>
    <row r="13" spans="1:16">
      <c r="A13" s="527">
        <v>9</v>
      </c>
      <c r="B13" s="495" t="s">
        <v>163</v>
      </c>
      <c r="C13" s="490" t="s">
        <v>164</v>
      </c>
      <c r="D13" s="491">
        <v>1930.53</v>
      </c>
      <c r="E13" s="684"/>
      <c r="F13" s="491">
        <v>1400</v>
      </c>
      <c r="G13" s="684"/>
      <c r="H13" s="398"/>
      <c r="I13" s="398"/>
      <c r="J13" s="398"/>
      <c r="K13" s="60"/>
      <c r="L13" s="40"/>
      <c r="P13" s="38" t="s">
        <v>3434</v>
      </c>
    </row>
    <row r="14" spans="1:16">
      <c r="A14" s="527">
        <v>10</v>
      </c>
      <c r="B14" s="495" t="s">
        <v>380</v>
      </c>
      <c r="C14" s="490" t="s">
        <v>164</v>
      </c>
      <c r="D14" s="491">
        <v>5000</v>
      </c>
      <c r="E14" s="684"/>
      <c r="F14" s="491">
        <v>4100</v>
      </c>
      <c r="G14" s="684"/>
      <c r="H14" s="398"/>
      <c r="I14" s="398"/>
      <c r="J14" s="398"/>
      <c r="K14" s="60"/>
      <c r="L14" s="40"/>
      <c r="P14" s="38" t="s">
        <v>3438</v>
      </c>
    </row>
    <row r="15" spans="1:16">
      <c r="A15" s="527">
        <v>11</v>
      </c>
      <c r="B15" s="495" t="s">
        <v>528</v>
      </c>
      <c r="C15" s="490" t="s">
        <v>164</v>
      </c>
      <c r="D15" s="491">
        <v>5000</v>
      </c>
      <c r="E15" s="684"/>
      <c r="F15" s="491">
        <v>3100</v>
      </c>
      <c r="G15" s="684"/>
      <c r="H15" s="398"/>
      <c r="I15" s="398"/>
      <c r="J15" s="398"/>
      <c r="K15" s="60"/>
      <c r="L15" s="40"/>
      <c r="P15" s="38" t="s">
        <v>3438</v>
      </c>
    </row>
    <row r="16" spans="1:16">
      <c r="A16" s="527">
        <v>12</v>
      </c>
      <c r="B16" s="495" t="s">
        <v>529</v>
      </c>
      <c r="C16" s="490" t="s">
        <v>164</v>
      </c>
      <c r="D16" s="491">
        <v>5000</v>
      </c>
      <c r="E16" s="684"/>
      <c r="F16" s="491">
        <v>3100</v>
      </c>
      <c r="G16" s="684"/>
      <c r="H16" s="398"/>
      <c r="I16" s="398"/>
      <c r="J16" s="398"/>
      <c r="K16" s="60"/>
      <c r="L16" s="40"/>
      <c r="P16" s="38" t="s">
        <v>3438</v>
      </c>
    </row>
    <row r="17" spans="1:16">
      <c r="A17" s="527">
        <v>13</v>
      </c>
      <c r="B17" s="495" t="s">
        <v>536</v>
      </c>
      <c r="C17" s="490" t="s">
        <v>164</v>
      </c>
      <c r="D17" s="491">
        <v>5000</v>
      </c>
      <c r="E17" s="684"/>
      <c r="F17" s="491">
        <v>3100</v>
      </c>
      <c r="G17" s="684"/>
      <c r="H17" s="398"/>
      <c r="I17" s="398"/>
      <c r="J17" s="398"/>
      <c r="K17" s="60"/>
      <c r="L17" s="40"/>
      <c r="P17" s="38" t="s">
        <v>3438</v>
      </c>
    </row>
    <row r="18" spans="1:16">
      <c r="A18" s="527">
        <v>14</v>
      </c>
      <c r="B18" s="495" t="s">
        <v>389</v>
      </c>
      <c r="C18" s="490" t="s">
        <v>164</v>
      </c>
      <c r="D18" s="491"/>
      <c r="E18" s="684"/>
      <c r="F18" s="491"/>
      <c r="G18" s="684"/>
      <c r="H18" s="398"/>
      <c r="I18" s="398"/>
      <c r="J18" s="398"/>
      <c r="K18" s="60"/>
      <c r="L18" s="40"/>
    </row>
    <row r="19" spans="1:16">
      <c r="A19" s="527">
        <v>15</v>
      </c>
      <c r="B19" s="495" t="s">
        <v>548</v>
      </c>
      <c r="C19" s="490" t="s">
        <v>129</v>
      </c>
      <c r="D19" s="918">
        <f>'RES 747 TARIFAS PROF.'!X55</f>
        <v>3267000</v>
      </c>
      <c r="E19" s="685"/>
      <c r="F19" s="492">
        <f>'RES 747 TARIFAS PROF.'!X55</f>
        <v>3267000</v>
      </c>
      <c r="G19" s="685"/>
      <c r="H19" s="399"/>
      <c r="I19" s="399"/>
      <c r="J19" s="399"/>
      <c r="K19" s="41"/>
      <c r="L19" s="40"/>
      <c r="P19" s="38" t="s">
        <v>3436</v>
      </c>
    </row>
    <row r="20" spans="1:16">
      <c r="A20" s="527">
        <v>16</v>
      </c>
      <c r="B20" s="495" t="s">
        <v>287</v>
      </c>
      <c r="C20" s="490" t="s">
        <v>129</v>
      </c>
      <c r="D20" s="918">
        <f>'RES 747 TARIFAS PROF.'!X40</f>
        <v>1526000</v>
      </c>
      <c r="E20" s="685"/>
      <c r="F20" s="492">
        <f>'RES 747 TARIFAS PROF.'!X40</f>
        <v>1526000</v>
      </c>
      <c r="G20" s="685"/>
      <c r="H20" s="399"/>
      <c r="I20" s="399"/>
      <c r="J20" s="399"/>
      <c r="K20" s="41"/>
      <c r="L20" s="42"/>
      <c r="P20" s="38" t="s">
        <v>3436</v>
      </c>
    </row>
    <row r="21" spans="1:16">
      <c r="A21" s="527">
        <v>17</v>
      </c>
      <c r="B21" s="495" t="s">
        <v>288</v>
      </c>
      <c r="C21" s="490" t="s">
        <v>129</v>
      </c>
      <c r="D21" s="918">
        <f>'RES 747 TARIFAS PROF.'!X41</f>
        <v>1329000</v>
      </c>
      <c r="E21" s="685"/>
      <c r="F21" s="492">
        <f>'RES 747 TARIFAS PROF.'!X41</f>
        <v>1329000</v>
      </c>
      <c r="G21" s="685"/>
      <c r="H21" s="399"/>
      <c r="I21" s="399"/>
      <c r="J21" s="399"/>
      <c r="K21" s="41"/>
      <c r="L21" s="42"/>
      <c r="P21" s="38" t="s">
        <v>3436</v>
      </c>
    </row>
    <row r="22" spans="1:16">
      <c r="A22" s="527">
        <v>18</v>
      </c>
      <c r="B22" s="495" t="s">
        <v>289</v>
      </c>
      <c r="C22" s="490" t="s">
        <v>169</v>
      </c>
      <c r="D22" s="918">
        <v>150050</v>
      </c>
      <c r="E22" s="685"/>
      <c r="F22" s="492" t="e">
        <f>#REF!/30</f>
        <v>#REF!</v>
      </c>
      <c r="G22" s="685"/>
      <c r="H22" s="399"/>
      <c r="I22" s="399"/>
      <c r="J22" s="399"/>
      <c r="K22" s="41"/>
      <c r="L22" s="42"/>
      <c r="P22" s="38" t="s">
        <v>3438</v>
      </c>
    </row>
    <row r="23" spans="1:16">
      <c r="A23" s="527">
        <v>19</v>
      </c>
      <c r="B23" s="495" t="s">
        <v>410</v>
      </c>
      <c r="C23" s="490" t="s">
        <v>208</v>
      </c>
      <c r="D23" s="918">
        <f>D24</f>
        <v>1094.8912</v>
      </c>
      <c r="E23" s="686"/>
      <c r="F23" s="595">
        <v>1100</v>
      </c>
      <c r="G23" s="686"/>
      <c r="H23" s="399"/>
      <c r="I23" s="399"/>
      <c r="J23" s="399"/>
      <c r="K23" s="41"/>
      <c r="L23" s="42"/>
      <c r="P23" s="38" t="s">
        <v>3439</v>
      </c>
    </row>
    <row r="24" spans="1:16">
      <c r="A24" s="527">
        <v>20</v>
      </c>
      <c r="B24" s="495" t="s">
        <v>154</v>
      </c>
      <c r="C24" s="490" t="s">
        <v>208</v>
      </c>
      <c r="D24" s="918">
        <f>1052.78*1.04</f>
        <v>1094.8912</v>
      </c>
      <c r="E24" s="686"/>
      <c r="F24" s="595">
        <v>1100</v>
      </c>
      <c r="G24" s="686"/>
      <c r="H24" s="399"/>
      <c r="I24" s="399"/>
      <c r="J24" s="399"/>
      <c r="K24" s="41"/>
      <c r="L24" s="42"/>
      <c r="P24" s="38" t="s">
        <v>3439</v>
      </c>
    </row>
    <row r="25" spans="1:16">
      <c r="A25" s="527">
        <v>21</v>
      </c>
      <c r="B25" s="495" t="s">
        <v>151</v>
      </c>
      <c r="C25" s="490" t="s">
        <v>8</v>
      </c>
      <c r="D25" s="918">
        <v>136408.60999999999</v>
      </c>
      <c r="E25" s="684"/>
      <c r="F25" s="491">
        <v>127800</v>
      </c>
      <c r="G25" s="684"/>
      <c r="H25" s="398"/>
      <c r="I25" s="398"/>
      <c r="J25" s="398"/>
      <c r="K25" s="41"/>
      <c r="L25" s="40"/>
      <c r="P25" s="38" t="s">
        <v>3438</v>
      </c>
    </row>
    <row r="26" spans="1:16">
      <c r="A26" s="527">
        <v>22</v>
      </c>
      <c r="B26" s="495" t="s">
        <v>773</v>
      </c>
      <c r="C26" s="490" t="s">
        <v>21</v>
      </c>
      <c r="D26" s="491">
        <v>112.76</v>
      </c>
      <c r="E26" s="685"/>
      <c r="F26" s="492">
        <v>112.76</v>
      </c>
      <c r="G26" s="685"/>
      <c r="H26" s="414"/>
      <c r="I26" s="398"/>
      <c r="J26" s="398"/>
      <c r="K26" s="41"/>
      <c r="L26" s="44">
        <v>11276</v>
      </c>
      <c r="P26" s="38" t="s">
        <v>3438</v>
      </c>
    </row>
    <row r="27" spans="1:16">
      <c r="A27" s="527">
        <v>23</v>
      </c>
      <c r="B27" s="495" t="s">
        <v>249</v>
      </c>
      <c r="C27" s="490" t="s">
        <v>21</v>
      </c>
      <c r="D27" s="491">
        <v>1666</v>
      </c>
      <c r="E27" s="685"/>
      <c r="F27" s="492">
        <v>6366.5</v>
      </c>
      <c r="G27" s="685"/>
      <c r="H27" s="414"/>
      <c r="I27" s="398"/>
      <c r="J27" s="398"/>
      <c r="K27" s="41"/>
      <c r="L27" s="40"/>
      <c r="P27" s="38" t="s">
        <v>3434</v>
      </c>
    </row>
    <row r="28" spans="1:16">
      <c r="A28" s="527">
        <v>24</v>
      </c>
      <c r="B28" s="495" t="s">
        <v>227</v>
      </c>
      <c r="C28" s="490" t="s">
        <v>684</v>
      </c>
      <c r="D28" s="491">
        <v>90000</v>
      </c>
      <c r="E28" s="684"/>
      <c r="F28" s="491">
        <v>90000</v>
      </c>
      <c r="G28" s="684"/>
      <c r="H28" s="398"/>
      <c r="I28" s="398"/>
      <c r="J28" s="398"/>
      <c r="K28" s="41"/>
      <c r="L28" s="40"/>
      <c r="P28" s="38" t="s">
        <v>3436</v>
      </c>
    </row>
    <row r="29" spans="1:16" ht="25.5">
      <c r="A29" s="527">
        <v>25</v>
      </c>
      <c r="B29" s="495" t="s">
        <v>2870</v>
      </c>
      <c r="C29" s="490" t="s">
        <v>8</v>
      </c>
      <c r="D29" s="918">
        <v>182992.44</v>
      </c>
      <c r="E29" s="686"/>
      <c r="F29" s="595">
        <v>181050</v>
      </c>
      <c r="G29" s="686"/>
      <c r="H29" s="399"/>
      <c r="I29" s="399"/>
      <c r="J29" s="399"/>
      <c r="K29" s="41"/>
      <c r="L29" s="40"/>
      <c r="P29" s="38" t="s">
        <v>3436</v>
      </c>
    </row>
    <row r="30" spans="1:16">
      <c r="A30" s="527">
        <v>26</v>
      </c>
      <c r="B30" s="495" t="s">
        <v>745</v>
      </c>
      <c r="C30" s="490" t="s">
        <v>8</v>
      </c>
      <c r="D30" s="918">
        <f>D29</f>
        <v>182992.44</v>
      </c>
      <c r="E30" s="684"/>
      <c r="F30" s="491">
        <v>170000</v>
      </c>
      <c r="G30" s="684"/>
      <c r="H30" s="398"/>
      <c r="I30" s="398"/>
      <c r="J30" s="398"/>
      <c r="K30" s="41"/>
      <c r="L30" s="40"/>
      <c r="P30" s="38" t="s">
        <v>3436</v>
      </c>
    </row>
    <row r="31" spans="1:16">
      <c r="A31" s="527">
        <v>27</v>
      </c>
      <c r="B31" s="495" t="s">
        <v>27</v>
      </c>
      <c r="C31" s="490" t="s">
        <v>20</v>
      </c>
      <c r="D31" s="918">
        <v>120000</v>
      </c>
      <c r="E31" s="684"/>
      <c r="F31" s="491">
        <v>120000</v>
      </c>
      <c r="G31" s="684"/>
      <c r="H31" s="398"/>
      <c r="I31" s="398"/>
      <c r="J31" s="398"/>
      <c r="K31" s="4" t="s">
        <v>709</v>
      </c>
      <c r="L31" s="43"/>
      <c r="M31" s="59">
        <v>100000</v>
      </c>
      <c r="P31" s="38" t="s">
        <v>3436</v>
      </c>
    </row>
    <row r="32" spans="1:16" ht="25.5">
      <c r="A32" s="527">
        <v>28</v>
      </c>
      <c r="B32" s="495" t="s">
        <v>2871</v>
      </c>
      <c r="C32" s="490" t="s">
        <v>8</v>
      </c>
      <c r="D32" s="918">
        <v>151027.54</v>
      </c>
      <c r="E32" s="688"/>
      <c r="F32" s="596">
        <v>150165</v>
      </c>
      <c r="G32" s="688"/>
      <c r="H32" s="399"/>
      <c r="I32" s="398"/>
      <c r="J32" s="398"/>
      <c r="K32" s="45"/>
      <c r="L32" s="21"/>
      <c r="M32" s="20"/>
      <c r="P32" s="38" t="s">
        <v>3436</v>
      </c>
    </row>
    <row r="33" spans="1:19" ht="25.5">
      <c r="A33" s="527">
        <v>29</v>
      </c>
      <c r="B33" s="495" t="s">
        <v>2872</v>
      </c>
      <c r="C33" s="490" t="s">
        <v>8</v>
      </c>
      <c r="D33" s="918">
        <v>161699.24</v>
      </c>
      <c r="E33" s="688"/>
      <c r="F33" s="596">
        <v>162413</v>
      </c>
      <c r="G33" s="688"/>
      <c r="H33" s="399"/>
      <c r="I33" s="398"/>
      <c r="J33" s="398"/>
      <c r="K33" s="45"/>
      <c r="L33" s="21"/>
      <c r="M33" s="20"/>
      <c r="P33" s="38" t="s">
        <v>3436</v>
      </c>
    </row>
    <row r="34" spans="1:19" s="38" customFormat="1" ht="25.5">
      <c r="A34" s="527">
        <v>30</v>
      </c>
      <c r="B34" s="495" t="s">
        <v>2873</v>
      </c>
      <c r="C34" s="490" t="s">
        <v>8</v>
      </c>
      <c r="D34" s="918">
        <v>193073</v>
      </c>
      <c r="E34" s="684"/>
      <c r="F34" s="491">
        <v>130000</v>
      </c>
      <c r="G34" s="684"/>
      <c r="H34" s="398"/>
      <c r="I34" s="398"/>
      <c r="J34" s="398"/>
      <c r="K34" s="46"/>
      <c r="L34" s="40"/>
      <c r="M34" s="26"/>
      <c r="P34" s="38" t="s">
        <v>3438</v>
      </c>
      <c r="Q34" s="26"/>
      <c r="S34" s="26"/>
    </row>
    <row r="35" spans="1:19" s="38" customFormat="1">
      <c r="A35" s="527">
        <v>31</v>
      </c>
      <c r="B35" s="495" t="s">
        <v>3223</v>
      </c>
      <c r="C35" s="490" t="s">
        <v>8</v>
      </c>
      <c r="D35" s="918">
        <v>82148.320000000007</v>
      </c>
      <c r="E35" s="684"/>
      <c r="F35" s="491">
        <v>105000</v>
      </c>
      <c r="G35" s="684"/>
      <c r="H35" s="398"/>
      <c r="I35" s="398"/>
      <c r="J35" s="398"/>
      <c r="K35" s="41"/>
      <c r="L35" s="40"/>
      <c r="M35" s="26"/>
      <c r="P35" s="38" t="s">
        <v>3436</v>
      </c>
      <c r="Q35" s="26"/>
      <c r="S35" s="26"/>
    </row>
    <row r="36" spans="1:19" s="38" customFormat="1">
      <c r="A36" s="527">
        <v>32</v>
      </c>
      <c r="B36" s="495" t="s">
        <v>24</v>
      </c>
      <c r="C36" s="490" t="s">
        <v>25</v>
      </c>
      <c r="D36" s="918">
        <f>BASICOS!D11</f>
        <v>65</v>
      </c>
      <c r="E36" s="684"/>
      <c r="F36" s="491">
        <f>N36</f>
        <v>0</v>
      </c>
      <c r="G36" s="684"/>
      <c r="H36" s="398"/>
      <c r="I36" s="398"/>
      <c r="J36" s="398"/>
      <c r="K36" s="41"/>
      <c r="L36" s="2">
        <f>46000*1.16/2000</f>
        <v>26.679999999999996</v>
      </c>
      <c r="M36" s="26"/>
      <c r="P36" s="38" t="s">
        <v>3436</v>
      </c>
      <c r="Q36" s="26"/>
      <c r="S36" s="26"/>
    </row>
    <row r="37" spans="1:19" s="38" customFormat="1">
      <c r="A37" s="527">
        <v>33</v>
      </c>
      <c r="B37" s="495" t="s">
        <v>2629</v>
      </c>
      <c r="C37" s="490" t="s">
        <v>8</v>
      </c>
      <c r="D37" s="918">
        <v>116620</v>
      </c>
      <c r="E37" s="686"/>
      <c r="F37" s="595">
        <v>127800</v>
      </c>
      <c r="G37" s="686"/>
      <c r="H37" s="399"/>
      <c r="I37" s="399"/>
      <c r="J37" s="399"/>
      <c r="K37" s="41"/>
      <c r="L37" s="40"/>
      <c r="M37" s="26"/>
      <c r="P37" s="38" t="s">
        <v>3438</v>
      </c>
      <c r="Q37" s="26"/>
      <c r="S37" s="26"/>
    </row>
    <row r="38" spans="1:19" s="38" customFormat="1">
      <c r="A38" s="527">
        <v>34</v>
      </c>
      <c r="B38" s="495" t="s">
        <v>2677</v>
      </c>
      <c r="C38" s="490" t="s">
        <v>8</v>
      </c>
      <c r="D38" s="918">
        <v>71700</v>
      </c>
      <c r="E38" s="686"/>
      <c r="F38" s="595">
        <v>63900</v>
      </c>
      <c r="G38" s="686"/>
      <c r="H38" s="399"/>
      <c r="I38" s="399"/>
      <c r="J38" s="399"/>
      <c r="K38" s="46"/>
      <c r="L38" s="40"/>
      <c r="N38" s="26"/>
      <c r="P38" s="38" t="s">
        <v>3438</v>
      </c>
      <c r="Q38" s="26"/>
      <c r="S38" s="26"/>
    </row>
    <row r="39" spans="1:19" s="38" customFormat="1">
      <c r="A39" s="527">
        <v>35</v>
      </c>
      <c r="B39" s="495" t="s">
        <v>2436</v>
      </c>
      <c r="C39" s="490" t="s">
        <v>12</v>
      </c>
      <c r="D39" s="918">
        <f>(7500*8)+BASICOS!D59</f>
        <v>136980.47829830134</v>
      </c>
      <c r="E39" s="684"/>
      <c r="F39" s="491">
        <v>85000</v>
      </c>
      <c r="G39" s="684"/>
      <c r="H39" s="398"/>
      <c r="I39" s="398"/>
      <c r="J39" s="398"/>
      <c r="K39" s="47"/>
      <c r="L39" s="2"/>
      <c r="M39" s="14"/>
      <c r="N39" s="14"/>
      <c r="P39" s="38" t="s">
        <v>3436</v>
      </c>
      <c r="Q39" s="26"/>
      <c r="S39" s="26"/>
    </row>
    <row r="40" spans="1:19" s="38" customFormat="1">
      <c r="A40" s="527">
        <v>36</v>
      </c>
      <c r="B40" s="495" t="s">
        <v>737</v>
      </c>
      <c r="C40" s="490" t="s">
        <v>106</v>
      </c>
      <c r="D40" s="596">
        <v>3464.09</v>
      </c>
      <c r="E40" s="687"/>
      <c r="F40" s="597">
        <v>2779.84</v>
      </c>
      <c r="G40" s="687"/>
      <c r="H40" s="415"/>
      <c r="I40" s="399"/>
      <c r="J40" s="399"/>
      <c r="K40" s="344">
        <v>3115.7599999999998</v>
      </c>
      <c r="L40" s="2">
        <f>2255*1.16</f>
        <v>2615.7999999999997</v>
      </c>
      <c r="M40" s="48"/>
      <c r="P40" s="38" t="s">
        <v>3434</v>
      </c>
      <c r="Q40" s="26"/>
      <c r="S40" s="26"/>
    </row>
    <row r="41" spans="1:19" s="38" customFormat="1">
      <c r="A41" s="527">
        <v>37</v>
      </c>
      <c r="B41" s="495" t="s">
        <v>367</v>
      </c>
      <c r="C41" s="490" t="s">
        <v>17</v>
      </c>
      <c r="D41" s="491">
        <v>3464.09</v>
      </c>
      <c r="E41" s="685"/>
      <c r="F41" s="492">
        <f>136797.64/50</f>
        <v>2735.9528000000005</v>
      </c>
      <c r="G41" s="685"/>
      <c r="H41" s="398"/>
      <c r="I41" s="398"/>
      <c r="J41" s="398"/>
      <c r="K41" s="344">
        <v>3135.4799999999996</v>
      </c>
      <c r="L41" s="2"/>
      <c r="M41" s="48"/>
      <c r="P41" s="38" t="s">
        <v>3434</v>
      </c>
      <c r="Q41" s="26"/>
      <c r="S41" s="26"/>
    </row>
    <row r="42" spans="1:19" s="38" customFormat="1">
      <c r="A42" s="527">
        <v>38</v>
      </c>
      <c r="B42" s="495" t="s">
        <v>622</v>
      </c>
      <c r="C42" s="490" t="s">
        <v>17</v>
      </c>
      <c r="D42" s="491">
        <v>5261.1799999999994</v>
      </c>
      <c r="E42" s="684"/>
      <c r="F42" s="491">
        <v>5261.1799999999994</v>
      </c>
      <c r="G42" s="684"/>
      <c r="H42" s="398"/>
      <c r="I42" s="398"/>
      <c r="J42" s="398"/>
      <c r="K42" s="344">
        <v>5261.1799999999994</v>
      </c>
      <c r="L42" s="2">
        <f>2842*1.16</f>
        <v>3296.72</v>
      </c>
      <c r="M42" s="48"/>
      <c r="P42" s="38" t="s">
        <v>3434</v>
      </c>
      <c r="Q42" s="26"/>
      <c r="S42" s="26"/>
    </row>
    <row r="43" spans="1:19" s="38" customFormat="1">
      <c r="A43" s="527">
        <v>39</v>
      </c>
      <c r="B43" s="495" t="s">
        <v>623</v>
      </c>
      <c r="C43" s="490" t="s">
        <v>17</v>
      </c>
      <c r="D43" s="491">
        <v>4605.3</v>
      </c>
      <c r="E43" s="685"/>
      <c r="F43" s="492">
        <v>4605.3</v>
      </c>
      <c r="G43" s="685"/>
      <c r="H43" s="398"/>
      <c r="I43" s="398"/>
      <c r="J43" s="398"/>
      <c r="K43" s="344">
        <v>3648.4319999999993</v>
      </c>
      <c r="L43" s="2">
        <v>2691.2</v>
      </c>
      <c r="M43" s="48"/>
      <c r="P43" s="38" t="s">
        <v>3434</v>
      </c>
      <c r="Q43" s="26"/>
      <c r="S43" s="26"/>
    </row>
    <row r="44" spans="1:19">
      <c r="A44" s="527">
        <v>40</v>
      </c>
      <c r="B44" s="495" t="s">
        <v>767</v>
      </c>
      <c r="C44" s="490" t="s">
        <v>32</v>
      </c>
      <c r="D44" s="918">
        <v>7066.22</v>
      </c>
      <c r="E44" s="689"/>
      <c r="F44" s="598">
        <v>4835.5650000000005</v>
      </c>
      <c r="G44" s="689"/>
      <c r="H44" s="400"/>
      <c r="I44" s="400"/>
      <c r="J44" s="400"/>
      <c r="K44" s="345">
        <v>3841.9199999999996</v>
      </c>
      <c r="L44" s="49">
        <v>2016</v>
      </c>
      <c r="M44" s="48"/>
      <c r="P44" s="38" t="s">
        <v>3434</v>
      </c>
    </row>
    <row r="45" spans="1:19">
      <c r="A45" s="527">
        <v>41</v>
      </c>
      <c r="B45" s="524" t="s">
        <v>621</v>
      </c>
      <c r="C45" s="490" t="s">
        <v>32</v>
      </c>
      <c r="D45" s="918">
        <v>3648</v>
      </c>
      <c r="E45" s="686"/>
      <c r="F45" s="595">
        <v>2582</v>
      </c>
      <c r="G45" s="1196">
        <v>3391.5</v>
      </c>
      <c r="H45" s="1197"/>
      <c r="I45" s="1197"/>
      <c r="J45" s="399"/>
      <c r="K45" s="344">
        <v>3841.92</v>
      </c>
      <c r="L45" s="2"/>
      <c r="P45" s="38" t="s">
        <v>3438</v>
      </c>
    </row>
    <row r="46" spans="1:19">
      <c r="A46" s="527">
        <v>42</v>
      </c>
      <c r="B46" s="524" t="s">
        <v>37</v>
      </c>
      <c r="C46" s="490" t="s">
        <v>32</v>
      </c>
      <c r="D46" s="918">
        <v>5600</v>
      </c>
      <c r="E46" s="689"/>
      <c r="F46" s="598">
        <v>3249</v>
      </c>
      <c r="G46" s="689"/>
      <c r="H46" s="400"/>
      <c r="I46" s="400"/>
      <c r="J46" s="400"/>
      <c r="K46" s="344">
        <v>3406.98</v>
      </c>
      <c r="L46" s="49">
        <v>2016</v>
      </c>
      <c r="M46" s="48"/>
      <c r="P46" s="38" t="s">
        <v>3438</v>
      </c>
    </row>
    <row r="47" spans="1:19">
      <c r="A47" s="527">
        <v>43</v>
      </c>
      <c r="B47" s="495" t="s">
        <v>391</v>
      </c>
      <c r="C47" s="490" t="s">
        <v>81</v>
      </c>
      <c r="D47" s="918">
        <f>6545/6</f>
        <v>1090.8333333333333</v>
      </c>
      <c r="E47" s="686"/>
      <c r="F47" s="595">
        <v>652.52</v>
      </c>
      <c r="G47" s="686"/>
      <c r="H47" s="399"/>
      <c r="I47" s="399"/>
      <c r="J47" s="399"/>
      <c r="K47" s="344">
        <v>888.75</v>
      </c>
      <c r="L47" s="49">
        <v>2016</v>
      </c>
      <c r="M47" s="48"/>
      <c r="P47" s="38" t="s">
        <v>3434</v>
      </c>
    </row>
    <row r="48" spans="1:19">
      <c r="A48" s="527">
        <v>44</v>
      </c>
      <c r="B48" s="495" t="s">
        <v>685</v>
      </c>
      <c r="C48" s="490" t="s">
        <v>32</v>
      </c>
      <c r="D48" s="918">
        <v>4380.84</v>
      </c>
      <c r="E48" s="686"/>
      <c r="F48" s="595">
        <v>2582</v>
      </c>
      <c r="G48" s="686"/>
      <c r="H48" s="399"/>
      <c r="I48" s="399"/>
      <c r="J48" s="399"/>
      <c r="K48" s="344">
        <v>3555.01</v>
      </c>
      <c r="L48" s="2"/>
      <c r="M48" s="48"/>
      <c r="P48" s="38" t="s">
        <v>3434</v>
      </c>
    </row>
    <row r="49" spans="1:19" s="38" customFormat="1">
      <c r="A49" s="527">
        <v>45</v>
      </c>
      <c r="B49" s="495" t="s">
        <v>371</v>
      </c>
      <c r="C49" s="490" t="s">
        <v>81</v>
      </c>
      <c r="D49" s="918">
        <f>9894.85/6</f>
        <v>1649.1416666666667</v>
      </c>
      <c r="E49" s="686"/>
      <c r="F49" s="595">
        <v>1436</v>
      </c>
      <c r="G49" s="686"/>
      <c r="H49" s="399"/>
      <c r="I49" s="399"/>
      <c r="J49" s="399"/>
      <c r="K49" s="346">
        <v>1907.9099999999999</v>
      </c>
      <c r="L49" s="49">
        <v>2016</v>
      </c>
      <c r="M49" s="48"/>
      <c r="P49" s="38" t="s">
        <v>3434</v>
      </c>
      <c r="Q49" s="26"/>
      <c r="S49" s="26"/>
    </row>
    <row r="50" spans="1:19" s="38" customFormat="1">
      <c r="A50" s="527">
        <v>46</v>
      </c>
      <c r="B50" s="495" t="s">
        <v>371</v>
      </c>
      <c r="C50" s="490" t="s">
        <v>32</v>
      </c>
      <c r="D50" s="918">
        <v>2944.9</v>
      </c>
      <c r="E50" s="686"/>
      <c r="F50" s="595">
        <v>2582</v>
      </c>
      <c r="G50" s="686"/>
      <c r="H50" s="399"/>
      <c r="I50" s="399"/>
      <c r="J50" s="399"/>
      <c r="K50" s="346">
        <v>3406.9821428571422</v>
      </c>
      <c r="L50" s="49">
        <v>2016</v>
      </c>
      <c r="M50" s="48"/>
      <c r="P50" s="38" t="s">
        <v>3434</v>
      </c>
      <c r="Q50" s="26"/>
      <c r="S50" s="26"/>
    </row>
    <row r="51" spans="1:19" s="38" customFormat="1">
      <c r="A51" s="527">
        <v>47</v>
      </c>
      <c r="B51" s="495" t="s">
        <v>372</v>
      </c>
      <c r="C51" s="490" t="s">
        <v>81</v>
      </c>
      <c r="D51" s="918">
        <f>17731/6</f>
        <v>2955.1666666666665</v>
      </c>
      <c r="E51" s="689"/>
      <c r="F51" s="598">
        <v>3227.0420000000004</v>
      </c>
      <c r="G51" s="689"/>
      <c r="H51" s="400"/>
      <c r="I51" s="400"/>
      <c r="J51" s="400"/>
      <c r="K51" s="346">
        <v>3330.7466666666664</v>
      </c>
      <c r="L51" s="49">
        <v>2016</v>
      </c>
      <c r="M51" s="48"/>
      <c r="P51" s="38" t="s">
        <v>3436</v>
      </c>
      <c r="Q51" s="26"/>
      <c r="S51" s="26"/>
    </row>
    <row r="52" spans="1:19" s="38" customFormat="1">
      <c r="A52" s="527">
        <v>48</v>
      </c>
      <c r="B52" s="495" t="s">
        <v>372</v>
      </c>
      <c r="C52" s="490" t="s">
        <v>32</v>
      </c>
      <c r="D52" s="918">
        <v>2973</v>
      </c>
      <c r="E52" s="686"/>
      <c r="F52" s="595">
        <v>2955.17</v>
      </c>
      <c r="G52" s="686"/>
      <c r="H52" s="399"/>
      <c r="I52" s="399"/>
      <c r="J52" s="399"/>
      <c r="K52" s="346">
        <v>3330.7466666666664</v>
      </c>
      <c r="L52" s="49"/>
      <c r="M52" s="48"/>
      <c r="P52" s="38" t="s">
        <v>3434</v>
      </c>
      <c r="Q52" s="26"/>
      <c r="S52" s="26"/>
    </row>
    <row r="53" spans="1:19" s="37" customFormat="1">
      <c r="A53" s="527">
        <v>49</v>
      </c>
      <c r="B53" s="495" t="s">
        <v>373</v>
      </c>
      <c r="C53" s="490" t="s">
        <v>81</v>
      </c>
      <c r="D53" s="918">
        <f>27560.4/6</f>
        <v>4593.4000000000005</v>
      </c>
      <c r="E53" s="686"/>
      <c r="F53" s="595">
        <v>4593.3999999999996</v>
      </c>
      <c r="G53" s="686"/>
      <c r="H53" s="399"/>
      <c r="I53" s="399"/>
      <c r="J53" s="399"/>
      <c r="K53" s="346">
        <v>5229.6666666666661</v>
      </c>
      <c r="L53" s="49">
        <v>2016</v>
      </c>
      <c r="M53" s="48"/>
      <c r="N53" s="38"/>
      <c r="O53" s="38"/>
      <c r="P53" s="38" t="s">
        <v>3434</v>
      </c>
      <c r="Q53" s="26"/>
      <c r="S53" s="26"/>
    </row>
    <row r="54" spans="1:19" s="37" customFormat="1">
      <c r="A54" s="527">
        <v>50</v>
      </c>
      <c r="B54" s="495" t="s">
        <v>373</v>
      </c>
      <c r="C54" s="490" t="s">
        <v>32</v>
      </c>
      <c r="D54" s="918">
        <v>3408.98</v>
      </c>
      <c r="E54" s="686"/>
      <c r="F54" s="595">
        <f>F53/1.552</f>
        <v>2959.6649484536078</v>
      </c>
      <c r="G54" s="686"/>
      <c r="H54" s="399"/>
      <c r="I54" s="399"/>
      <c r="J54" s="399"/>
      <c r="K54" s="344">
        <v>3352.3504273504268</v>
      </c>
      <c r="L54" s="49"/>
      <c r="M54" s="48"/>
      <c r="N54" s="38"/>
      <c r="O54" s="38"/>
      <c r="P54" s="38" t="s">
        <v>3436</v>
      </c>
      <c r="Q54" s="26"/>
      <c r="S54" s="26"/>
    </row>
    <row r="55" spans="1:19" s="37" customFormat="1">
      <c r="A55" s="527">
        <v>51</v>
      </c>
      <c r="B55" s="495" t="s">
        <v>374</v>
      </c>
      <c r="C55" s="490" t="s">
        <v>81</v>
      </c>
      <c r="D55" s="918">
        <f>39369.96/6</f>
        <v>6561.66</v>
      </c>
      <c r="E55" s="686"/>
      <c r="F55" s="595">
        <v>6561.66</v>
      </c>
      <c r="G55" s="686"/>
      <c r="H55" s="399"/>
      <c r="I55" s="399"/>
      <c r="J55" s="399"/>
      <c r="K55" s="346">
        <v>7509.5499999999993</v>
      </c>
      <c r="L55" s="49">
        <v>2016</v>
      </c>
      <c r="M55" s="48"/>
      <c r="N55" s="38"/>
      <c r="O55" s="38"/>
      <c r="P55" s="38" t="s">
        <v>3434</v>
      </c>
      <c r="Q55" s="26"/>
      <c r="S55" s="26"/>
    </row>
    <row r="56" spans="1:19" s="37" customFormat="1">
      <c r="A56" s="527">
        <v>52</v>
      </c>
      <c r="B56" s="495" t="s">
        <v>374</v>
      </c>
      <c r="C56" s="490" t="s">
        <v>32</v>
      </c>
      <c r="D56" s="918">
        <v>3391.54</v>
      </c>
      <c r="E56" s="686"/>
      <c r="F56" s="595">
        <f>F55/2.235</f>
        <v>2935.8657718120808</v>
      </c>
      <c r="G56" s="686"/>
      <c r="H56" s="399"/>
      <c r="I56" s="399"/>
      <c r="J56" s="399"/>
      <c r="K56" s="344">
        <v>3330.770833333333</v>
      </c>
      <c r="L56" s="2"/>
      <c r="M56" s="48"/>
      <c r="N56" s="38"/>
      <c r="O56" s="38"/>
      <c r="P56" s="38" t="s">
        <v>3436</v>
      </c>
      <c r="Q56" s="26"/>
      <c r="S56" s="26"/>
    </row>
    <row r="57" spans="1:19" s="37" customFormat="1">
      <c r="A57" s="527">
        <v>53</v>
      </c>
      <c r="B57" s="495" t="s">
        <v>392</v>
      </c>
      <c r="C57" s="490" t="s">
        <v>32</v>
      </c>
      <c r="D57" s="918">
        <v>3737.71</v>
      </c>
      <c r="E57" s="686"/>
      <c r="F57" s="595">
        <f>6997.2/2.235</f>
        <v>3130.7382550335569</v>
      </c>
      <c r="G57" s="686"/>
      <c r="H57" s="399"/>
      <c r="I57" s="399"/>
      <c r="J57" s="399"/>
      <c r="K57" s="344">
        <v>3330.770833333333</v>
      </c>
      <c r="L57" s="2"/>
      <c r="M57" s="48"/>
      <c r="N57" s="38"/>
      <c r="O57" s="38"/>
      <c r="P57" s="38" t="s">
        <v>3434</v>
      </c>
      <c r="Q57" s="26"/>
      <c r="S57" s="26"/>
    </row>
    <row r="58" spans="1:19" s="37" customFormat="1">
      <c r="A58" s="527">
        <v>54</v>
      </c>
      <c r="B58" s="495" t="s">
        <v>525</v>
      </c>
      <c r="C58" s="490" t="s">
        <v>32</v>
      </c>
      <c r="D58" s="918">
        <v>4678.1175000000003</v>
      </c>
      <c r="E58" s="686"/>
      <c r="F58" s="595">
        <f>10250.66/3.973</f>
        <v>2580.080543669771</v>
      </c>
      <c r="G58" s="686"/>
      <c r="H58" s="399"/>
      <c r="I58" s="399"/>
      <c r="J58" s="399"/>
      <c r="K58" s="344">
        <v>3391.3484087102174</v>
      </c>
      <c r="L58" s="49">
        <v>2016</v>
      </c>
      <c r="M58" s="48"/>
      <c r="N58" s="38"/>
      <c r="O58" s="38"/>
      <c r="P58" s="38" t="s">
        <v>3434</v>
      </c>
      <c r="Q58" s="26"/>
      <c r="S58" s="26"/>
    </row>
    <row r="59" spans="1:19" s="38" customFormat="1">
      <c r="A59" s="527">
        <v>55</v>
      </c>
      <c r="B59" s="495" t="s">
        <v>718</v>
      </c>
      <c r="C59" s="490" t="s">
        <v>100</v>
      </c>
      <c r="D59" s="918">
        <f>132894.44/6</f>
        <v>22149.073333333334</v>
      </c>
      <c r="E59" s="687"/>
      <c r="F59" s="597">
        <f>118894.09/6</f>
        <v>19815.681666666667</v>
      </c>
      <c r="G59" s="687"/>
      <c r="H59" s="399"/>
      <c r="I59" s="399"/>
      <c r="J59" s="399"/>
      <c r="K59" s="344">
        <v>22028.206666666665</v>
      </c>
      <c r="L59" s="2">
        <v>107563</v>
      </c>
      <c r="M59" s="48"/>
      <c r="P59" s="38" t="s">
        <v>3434</v>
      </c>
      <c r="Q59" s="26"/>
      <c r="S59" s="26"/>
    </row>
    <row r="60" spans="1:19" s="38" customFormat="1">
      <c r="A60" s="527">
        <v>56</v>
      </c>
      <c r="B60" s="495" t="s">
        <v>719</v>
      </c>
      <c r="C60" s="490" t="s">
        <v>100</v>
      </c>
      <c r="D60" s="918">
        <f>106029/6</f>
        <v>17671.5</v>
      </c>
      <c r="E60" s="687"/>
      <c r="F60" s="597">
        <f>97633.55/6</f>
        <v>16272.258333333333</v>
      </c>
      <c r="G60" s="687"/>
      <c r="H60" s="399"/>
      <c r="I60" s="399"/>
      <c r="J60" s="399"/>
      <c r="K60" s="50"/>
      <c r="L60" s="2">
        <v>71519</v>
      </c>
      <c r="P60" s="38" t="s">
        <v>3434</v>
      </c>
      <c r="Q60" s="26"/>
      <c r="S60" s="26"/>
    </row>
    <row r="61" spans="1:19" s="38" customFormat="1">
      <c r="A61" s="527">
        <v>57</v>
      </c>
      <c r="B61" s="495" t="s">
        <v>720</v>
      </c>
      <c r="C61" s="490" t="s">
        <v>100</v>
      </c>
      <c r="D61" s="918">
        <f>62773.69/6</f>
        <v>10462.281666666668</v>
      </c>
      <c r="E61" s="687"/>
      <c r="F61" s="597">
        <f>48033.16/6</f>
        <v>8005.5266666666676</v>
      </c>
      <c r="G61" s="687"/>
      <c r="H61" s="418"/>
      <c r="I61" s="399"/>
      <c r="J61" s="399"/>
      <c r="K61" s="41"/>
      <c r="L61" s="2">
        <v>36610</v>
      </c>
      <c r="P61" s="38" t="s">
        <v>3434</v>
      </c>
      <c r="Q61" s="26"/>
      <c r="S61" s="26"/>
    </row>
    <row r="62" spans="1:19" s="38" customFormat="1">
      <c r="A62" s="527">
        <v>58</v>
      </c>
      <c r="B62" s="495" t="s">
        <v>3522</v>
      </c>
      <c r="C62" s="490" t="s">
        <v>21</v>
      </c>
      <c r="D62" s="918">
        <f>103946.5/6</f>
        <v>17324.416666666668</v>
      </c>
      <c r="E62" s="687"/>
      <c r="F62" s="597"/>
      <c r="G62" s="687"/>
      <c r="H62" s="418"/>
      <c r="I62" s="399"/>
      <c r="J62" s="399"/>
      <c r="K62" s="41"/>
      <c r="L62" s="2"/>
      <c r="P62" s="38" t="s">
        <v>3434</v>
      </c>
      <c r="Q62" s="26"/>
      <c r="S62" s="26"/>
    </row>
    <row r="63" spans="1:19">
      <c r="A63" s="527">
        <v>59</v>
      </c>
      <c r="B63" s="495" t="s">
        <v>416</v>
      </c>
      <c r="C63" s="490" t="s">
        <v>21</v>
      </c>
      <c r="D63" s="918">
        <f>40797.96/6</f>
        <v>6799.66</v>
      </c>
      <c r="E63" s="685"/>
      <c r="F63" s="492">
        <f>35694.05/6</f>
        <v>5949.0083333333341</v>
      </c>
      <c r="G63" s="685"/>
      <c r="H63" s="398"/>
      <c r="I63" s="398"/>
      <c r="J63" s="398"/>
      <c r="K63" s="50"/>
      <c r="L63" s="2">
        <f>31130.4*1.16</f>
        <v>36111.263999999996</v>
      </c>
      <c r="P63" s="38" t="s">
        <v>3434</v>
      </c>
    </row>
    <row r="64" spans="1:19">
      <c r="A64" s="527">
        <v>60</v>
      </c>
      <c r="B64" s="495" t="s">
        <v>721</v>
      </c>
      <c r="C64" s="490" t="s">
        <v>120</v>
      </c>
      <c r="D64" s="918">
        <v>5295.5</v>
      </c>
      <c r="E64" s="687"/>
      <c r="F64" s="597">
        <v>4879</v>
      </c>
      <c r="G64" s="687"/>
      <c r="H64" s="415"/>
      <c r="I64" s="399"/>
      <c r="J64" s="399"/>
      <c r="K64" s="41"/>
      <c r="L64" s="2"/>
      <c r="M64" s="30"/>
      <c r="P64" s="38" t="s">
        <v>3434</v>
      </c>
    </row>
    <row r="65" spans="1:19">
      <c r="A65" s="527">
        <v>61</v>
      </c>
      <c r="B65" s="495" t="s">
        <v>52</v>
      </c>
      <c r="C65" s="490" t="s">
        <v>26</v>
      </c>
      <c r="D65" s="918">
        <v>26622.68</v>
      </c>
      <c r="E65" s="685"/>
      <c r="F65" s="492">
        <v>26622.68</v>
      </c>
      <c r="G65" s="685"/>
      <c r="H65" s="419"/>
      <c r="I65" s="401"/>
      <c r="J65" s="401"/>
      <c r="K65" s="50"/>
      <c r="L65" s="2"/>
      <c r="P65" s="38" t="s">
        <v>3484</v>
      </c>
    </row>
    <row r="66" spans="1:19">
      <c r="A66" s="527">
        <v>62</v>
      </c>
      <c r="B66" s="495" t="s">
        <v>148</v>
      </c>
      <c r="C66" s="490" t="s">
        <v>26</v>
      </c>
      <c r="D66" s="918">
        <v>3660.44</v>
      </c>
      <c r="E66" s="690"/>
      <c r="F66" s="540">
        <v>2998</v>
      </c>
      <c r="G66" s="690"/>
      <c r="H66" s="399"/>
      <c r="I66" s="399"/>
      <c r="J66" s="399"/>
      <c r="K66" s="51"/>
      <c r="L66" s="40"/>
      <c r="P66" s="38" t="s">
        <v>3434</v>
      </c>
    </row>
    <row r="67" spans="1:19" s="38" customFormat="1">
      <c r="A67" s="527">
        <v>63</v>
      </c>
      <c r="B67" s="495" t="s">
        <v>96</v>
      </c>
      <c r="C67" s="490" t="s">
        <v>26</v>
      </c>
      <c r="D67" s="918">
        <v>21323.61</v>
      </c>
      <c r="E67" s="690"/>
      <c r="F67" s="540">
        <v>17463</v>
      </c>
      <c r="G67" s="690"/>
      <c r="H67" s="399"/>
      <c r="I67" s="399"/>
      <c r="J67" s="399"/>
      <c r="K67" s="51"/>
      <c r="L67" s="40"/>
      <c r="M67" s="26"/>
      <c r="P67" s="38" t="s">
        <v>3434</v>
      </c>
      <c r="Q67" s="26"/>
      <c r="S67" s="26"/>
    </row>
    <row r="68" spans="1:19" s="38" customFormat="1">
      <c r="A68" s="527">
        <v>64</v>
      </c>
      <c r="B68" s="495" t="s">
        <v>44</v>
      </c>
      <c r="C68" s="490" t="s">
        <v>21</v>
      </c>
      <c r="D68" s="918">
        <v>23460.85</v>
      </c>
      <c r="E68" s="690"/>
      <c r="F68" s="540">
        <v>19372.830000000002</v>
      </c>
      <c r="G68" s="690"/>
      <c r="H68" s="399"/>
      <c r="I68" s="399"/>
      <c r="J68" s="399"/>
      <c r="K68" s="166"/>
      <c r="L68" s="52"/>
      <c r="M68" s="26"/>
      <c r="P68" s="38" t="s">
        <v>3434</v>
      </c>
      <c r="Q68" s="26"/>
      <c r="S68" s="26"/>
    </row>
    <row r="69" spans="1:19" s="38" customFormat="1">
      <c r="A69" s="527">
        <v>65</v>
      </c>
      <c r="B69" s="495" t="s">
        <v>686</v>
      </c>
      <c r="C69" s="490" t="s">
        <v>26</v>
      </c>
      <c r="D69" s="918">
        <v>13552</v>
      </c>
      <c r="E69" s="690"/>
      <c r="F69" s="540">
        <v>12320</v>
      </c>
      <c r="G69" s="690"/>
      <c r="H69" s="399"/>
      <c r="I69" s="399"/>
      <c r="J69" s="399"/>
      <c r="K69" s="166"/>
      <c r="L69" s="40"/>
      <c r="M69" s="175" t="s">
        <v>2457</v>
      </c>
      <c r="N69" s="175" t="s">
        <v>2458</v>
      </c>
      <c r="O69" s="175" t="s">
        <v>2459</v>
      </c>
      <c r="P69" s="175" t="s">
        <v>2460</v>
      </c>
      <c r="Q69" s="26"/>
      <c r="S69" s="26"/>
    </row>
    <row r="70" spans="1:19" s="38" customFormat="1">
      <c r="A70" s="527">
        <v>66</v>
      </c>
      <c r="B70" s="495" t="s">
        <v>45</v>
      </c>
      <c r="C70" s="490" t="s">
        <v>26</v>
      </c>
      <c r="D70" s="918">
        <v>13727.84</v>
      </c>
      <c r="E70" s="690"/>
      <c r="F70" s="540">
        <v>11243</v>
      </c>
      <c r="G70" s="690"/>
      <c r="H70" s="399"/>
      <c r="I70" s="399"/>
      <c r="J70" s="399"/>
      <c r="K70" s="166"/>
      <c r="L70" s="40"/>
      <c r="M70" s="175">
        <v>2900322</v>
      </c>
      <c r="N70" s="175">
        <v>2</v>
      </c>
      <c r="O70" s="176">
        <v>60933</v>
      </c>
      <c r="P70" s="176">
        <v>70682</v>
      </c>
      <c r="Q70" s="26"/>
      <c r="S70" s="26"/>
    </row>
    <row r="71" spans="1:19" s="38" customFormat="1">
      <c r="A71" s="527">
        <v>67</v>
      </c>
      <c r="B71" s="495" t="s">
        <v>46</v>
      </c>
      <c r="C71" s="490" t="s">
        <v>26</v>
      </c>
      <c r="D71" s="918">
        <v>7109.06</v>
      </c>
      <c r="E71" s="690"/>
      <c r="F71" s="540">
        <v>5823</v>
      </c>
      <c r="G71" s="690"/>
      <c r="H71" s="399"/>
      <c r="I71" s="399"/>
      <c r="J71" s="399"/>
      <c r="K71" s="166"/>
      <c r="L71" s="40"/>
      <c r="M71" s="175">
        <v>2900325</v>
      </c>
      <c r="N71" s="175">
        <v>3</v>
      </c>
      <c r="O71" s="176">
        <v>91028</v>
      </c>
      <c r="P71" s="176">
        <v>105592</v>
      </c>
      <c r="Q71" s="26"/>
      <c r="S71" s="26"/>
    </row>
    <row r="72" spans="1:19" s="38" customFormat="1">
      <c r="A72" s="527">
        <v>68</v>
      </c>
      <c r="B72" s="495" t="s">
        <v>256</v>
      </c>
      <c r="C72" s="490" t="s">
        <v>21</v>
      </c>
      <c r="D72" s="918">
        <f>100961.98/6</f>
        <v>16826.996666666666</v>
      </c>
      <c r="E72" s="690"/>
      <c r="F72" s="540">
        <v>14034.33</v>
      </c>
      <c r="G72" s="690"/>
      <c r="H72" s="399"/>
      <c r="I72" s="399"/>
      <c r="J72" s="399"/>
      <c r="K72" s="166"/>
      <c r="L72" s="52"/>
      <c r="M72" s="175">
        <v>2900329</v>
      </c>
      <c r="N72" s="175">
        <v>4</v>
      </c>
      <c r="O72" s="176">
        <v>126856</v>
      </c>
      <c r="P72" s="176">
        <v>147153</v>
      </c>
      <c r="Q72" s="167">
        <f>P72/6</f>
        <v>24525.5</v>
      </c>
      <c r="S72" s="26"/>
    </row>
    <row r="73" spans="1:19" s="38" customFormat="1">
      <c r="A73" s="527">
        <v>69</v>
      </c>
      <c r="B73" s="495" t="s">
        <v>722</v>
      </c>
      <c r="C73" s="490" t="s">
        <v>26</v>
      </c>
      <c r="D73" s="918">
        <v>94253.95</v>
      </c>
      <c r="E73" s="690"/>
      <c r="F73" s="540">
        <v>77194</v>
      </c>
      <c r="G73" s="690"/>
      <c r="H73" s="399"/>
      <c r="I73" s="399"/>
      <c r="J73" s="399"/>
      <c r="K73" s="166"/>
      <c r="L73" s="40"/>
      <c r="M73" s="175">
        <v>2900334</v>
      </c>
      <c r="N73" s="175">
        <v>6</v>
      </c>
      <c r="O73" s="176">
        <v>268629</v>
      </c>
      <c r="P73" s="176">
        <v>311610</v>
      </c>
      <c r="Q73" s="26"/>
      <c r="S73" s="26"/>
    </row>
    <row r="74" spans="1:19" s="38" customFormat="1">
      <c r="A74" s="527">
        <v>70</v>
      </c>
      <c r="B74" s="495" t="s">
        <v>723</v>
      </c>
      <c r="C74" s="490" t="s">
        <v>26</v>
      </c>
      <c r="D74" s="918">
        <v>45447.29</v>
      </c>
      <c r="E74" s="690"/>
      <c r="F74" s="540">
        <v>37221</v>
      </c>
      <c r="G74" s="690"/>
      <c r="H74" s="399"/>
      <c r="I74" s="399"/>
      <c r="J74" s="399"/>
      <c r="K74" s="166"/>
      <c r="L74" s="40"/>
      <c r="M74" s="26"/>
      <c r="P74" s="38" t="s">
        <v>3434</v>
      </c>
      <c r="Q74" s="26"/>
      <c r="S74" s="26"/>
    </row>
    <row r="75" spans="1:19" s="38" customFormat="1">
      <c r="A75" s="527">
        <v>71</v>
      </c>
      <c r="B75" s="495" t="s">
        <v>41</v>
      </c>
      <c r="C75" s="490" t="s">
        <v>21</v>
      </c>
      <c r="D75" s="918">
        <f>66954.16/6</f>
        <v>11159.026666666667</v>
      </c>
      <c r="E75" s="690"/>
      <c r="F75" s="540">
        <v>9306.83</v>
      </c>
      <c r="G75" s="690"/>
      <c r="H75" s="399"/>
      <c r="I75" s="399"/>
      <c r="J75" s="399"/>
      <c r="K75" s="166"/>
      <c r="L75" s="52"/>
      <c r="M75" s="26"/>
      <c r="P75" s="38" t="s">
        <v>3434</v>
      </c>
      <c r="Q75" s="26"/>
      <c r="S75" s="26"/>
    </row>
    <row r="76" spans="1:19" s="38" customFormat="1">
      <c r="A76" s="527">
        <v>72</v>
      </c>
      <c r="B76" s="495" t="s">
        <v>42</v>
      </c>
      <c r="C76" s="490" t="s">
        <v>26</v>
      </c>
      <c r="D76" s="918">
        <v>7013.86</v>
      </c>
      <c r="E76" s="690"/>
      <c r="F76" s="540">
        <v>5744</v>
      </c>
      <c r="G76" s="690"/>
      <c r="H76" s="399"/>
      <c r="I76" s="399"/>
      <c r="J76" s="399"/>
      <c r="K76" s="51"/>
      <c r="L76" s="40"/>
      <c r="M76" s="26"/>
      <c r="P76" s="38" t="s">
        <v>3434</v>
      </c>
      <c r="Q76" s="26"/>
      <c r="S76" s="26"/>
    </row>
    <row r="77" spans="1:19" s="38" customFormat="1">
      <c r="A77" s="527">
        <v>73</v>
      </c>
      <c r="B77" s="495" t="s">
        <v>43</v>
      </c>
      <c r="C77" s="490" t="s">
        <v>26</v>
      </c>
      <c r="D77" s="918">
        <v>2465.6799999999998</v>
      </c>
      <c r="E77" s="690"/>
      <c r="F77" s="540">
        <v>2019</v>
      </c>
      <c r="G77" s="690"/>
      <c r="H77" s="399"/>
      <c r="I77" s="399"/>
      <c r="J77" s="399"/>
      <c r="K77" s="166"/>
      <c r="L77" s="40"/>
      <c r="M77" s="26"/>
      <c r="P77" s="38" t="s">
        <v>3434</v>
      </c>
      <c r="Q77" s="26"/>
      <c r="S77" s="26"/>
    </row>
    <row r="78" spans="1:19" s="38" customFormat="1">
      <c r="A78" s="527">
        <v>74</v>
      </c>
      <c r="B78" s="495" t="s">
        <v>40</v>
      </c>
      <c r="C78" s="490" t="s">
        <v>26</v>
      </c>
      <c r="D78" s="918">
        <v>3297</v>
      </c>
      <c r="E78" s="690"/>
      <c r="F78" s="540">
        <v>3088</v>
      </c>
      <c r="G78" s="690"/>
      <c r="H78" s="399"/>
      <c r="I78" s="399"/>
      <c r="J78" s="399"/>
      <c r="K78" s="166"/>
      <c r="L78" s="40"/>
      <c r="M78" s="26"/>
      <c r="P78" s="38" t="s">
        <v>3434</v>
      </c>
      <c r="Q78" s="26"/>
      <c r="S78" s="26"/>
    </row>
    <row r="79" spans="1:19" s="38" customFormat="1">
      <c r="A79" s="527">
        <v>75</v>
      </c>
      <c r="B79" s="495" t="s">
        <v>149</v>
      </c>
      <c r="C79" s="490" t="s">
        <v>21</v>
      </c>
      <c r="D79" s="918">
        <f>43869.35/6</f>
        <v>7311.5583333333334</v>
      </c>
      <c r="E79" s="690"/>
      <c r="F79" s="540">
        <v>6098</v>
      </c>
      <c r="G79" s="690"/>
      <c r="H79" s="399"/>
      <c r="I79" s="399"/>
      <c r="J79" s="399"/>
      <c r="K79" s="166"/>
      <c r="L79" s="52"/>
      <c r="M79" s="26"/>
      <c r="P79" s="38" t="s">
        <v>3434</v>
      </c>
      <c r="Q79" s="26"/>
      <c r="S79" s="26"/>
    </row>
    <row r="80" spans="1:19" s="37" customFormat="1">
      <c r="A80" s="527">
        <v>76</v>
      </c>
      <c r="B80" s="495" t="s">
        <v>155</v>
      </c>
      <c r="C80" s="490" t="s">
        <v>26</v>
      </c>
      <c r="D80" s="918">
        <v>3559.29</v>
      </c>
      <c r="E80" s="690"/>
      <c r="F80" s="540">
        <v>2916</v>
      </c>
      <c r="G80" s="690"/>
      <c r="H80" s="399"/>
      <c r="I80" s="399"/>
      <c r="J80" s="399"/>
      <c r="K80" s="51"/>
      <c r="L80" s="40"/>
      <c r="M80" s="26"/>
      <c r="N80" s="38"/>
      <c r="O80" s="38"/>
      <c r="P80" s="38" t="s">
        <v>3434</v>
      </c>
      <c r="Q80" s="26"/>
      <c r="S80" s="26"/>
    </row>
    <row r="81" spans="1:19" s="37" customFormat="1">
      <c r="A81" s="527">
        <v>77</v>
      </c>
      <c r="B81" s="495" t="s">
        <v>507</v>
      </c>
      <c r="C81" s="490" t="s">
        <v>26</v>
      </c>
      <c r="D81" s="918">
        <v>2153.9</v>
      </c>
      <c r="E81" s="690"/>
      <c r="F81" s="540">
        <v>1765</v>
      </c>
      <c r="G81" s="690"/>
      <c r="H81" s="399"/>
      <c r="I81" s="399"/>
      <c r="J81" s="399"/>
      <c r="K81" s="51"/>
      <c r="L81" s="40"/>
      <c r="M81" s="26"/>
      <c r="N81" s="38"/>
      <c r="O81" s="38"/>
      <c r="P81" s="38" t="s">
        <v>3434</v>
      </c>
      <c r="Q81" s="26"/>
      <c r="S81" s="26"/>
    </row>
    <row r="82" spans="1:19" s="37" customFormat="1">
      <c r="A82" s="527">
        <v>78</v>
      </c>
      <c r="B82" s="495" t="s">
        <v>508</v>
      </c>
      <c r="C82" s="490" t="s">
        <v>26</v>
      </c>
      <c r="D82" s="918">
        <v>2608.48</v>
      </c>
      <c r="E82" s="690"/>
      <c r="F82" s="540">
        <v>2611</v>
      </c>
      <c r="G82" s="690"/>
      <c r="H82" s="399"/>
      <c r="I82" s="399"/>
      <c r="J82" s="399"/>
      <c r="K82" s="166"/>
      <c r="L82" s="40"/>
      <c r="M82" s="160" t="s">
        <v>2453</v>
      </c>
      <c r="N82" s="38"/>
      <c r="O82" s="38"/>
      <c r="P82" s="38" t="s">
        <v>3434</v>
      </c>
      <c r="Q82" s="26"/>
      <c r="S82" s="26"/>
    </row>
    <row r="83" spans="1:19" s="37" customFormat="1">
      <c r="A83" s="527">
        <v>79</v>
      </c>
      <c r="B83" s="495" t="s">
        <v>509</v>
      </c>
      <c r="C83" s="490" t="s">
        <v>21</v>
      </c>
      <c r="D83" s="918">
        <f>54003.39/6</f>
        <v>9000.5650000000005</v>
      </c>
      <c r="E83" s="690"/>
      <c r="F83" s="540">
        <v>7506.67</v>
      </c>
      <c r="G83" s="690"/>
      <c r="H83" s="399"/>
      <c r="I83" s="399"/>
      <c r="J83" s="399"/>
      <c r="K83" s="166"/>
      <c r="L83" s="52"/>
      <c r="M83" s="26" t="s">
        <v>2440</v>
      </c>
      <c r="N83" s="38">
        <f>101347/6</f>
        <v>16891.166666666668</v>
      </c>
      <c r="O83" s="38"/>
      <c r="P83" s="38" t="s">
        <v>3434</v>
      </c>
      <c r="Q83" s="27" t="s">
        <v>2461</v>
      </c>
      <c r="S83" s="26"/>
    </row>
    <row r="84" spans="1:19" s="37" customFormat="1">
      <c r="A84" s="527">
        <v>80</v>
      </c>
      <c r="B84" s="495" t="s">
        <v>156</v>
      </c>
      <c r="C84" s="490" t="s">
        <v>26</v>
      </c>
      <c r="D84" s="918">
        <v>7081.69</v>
      </c>
      <c r="E84" s="690"/>
      <c r="F84" s="540">
        <v>6714</v>
      </c>
      <c r="G84" s="690"/>
      <c r="H84" s="399"/>
      <c r="I84" s="399"/>
      <c r="J84" s="399"/>
      <c r="K84" s="166"/>
      <c r="L84" s="40"/>
      <c r="M84" s="26" t="s">
        <v>2441</v>
      </c>
      <c r="N84" s="38"/>
      <c r="O84" s="38"/>
      <c r="P84" s="38" t="s">
        <v>3434</v>
      </c>
      <c r="Q84" s="27" t="s">
        <v>2462</v>
      </c>
      <c r="S84" s="26"/>
    </row>
    <row r="85" spans="1:19" s="37" customFormat="1">
      <c r="A85" s="527">
        <v>81</v>
      </c>
      <c r="B85" s="495" t="s">
        <v>157</v>
      </c>
      <c r="C85" s="490" t="s">
        <v>21</v>
      </c>
      <c r="D85" s="918">
        <f>100005.22/6</f>
        <v>16667.536666666667</v>
      </c>
      <c r="E85" s="690"/>
      <c r="F85" s="540">
        <v>13901.17</v>
      </c>
      <c r="G85" s="690"/>
      <c r="H85" s="399"/>
      <c r="I85" s="399"/>
      <c r="J85" s="399"/>
      <c r="K85" s="166"/>
      <c r="L85" s="52"/>
      <c r="M85" s="26" t="s">
        <v>2442</v>
      </c>
      <c r="N85" s="38"/>
      <c r="O85" s="38"/>
      <c r="P85" s="38" t="s">
        <v>3434</v>
      </c>
      <c r="Q85" s="27" t="s">
        <v>2463</v>
      </c>
      <c r="S85" s="26"/>
    </row>
    <row r="86" spans="1:19" s="37" customFormat="1">
      <c r="A86" s="527">
        <v>82</v>
      </c>
      <c r="B86" s="495" t="s">
        <v>253</v>
      </c>
      <c r="C86" s="490" t="s">
        <v>26</v>
      </c>
      <c r="D86" s="918">
        <v>7865.9</v>
      </c>
      <c r="E86" s="690"/>
      <c r="F86" s="540">
        <v>6443</v>
      </c>
      <c r="G86" s="690"/>
      <c r="H86" s="399"/>
      <c r="I86" s="399"/>
      <c r="J86" s="399"/>
      <c r="K86" s="166"/>
      <c r="L86" s="40"/>
      <c r="M86" s="26" t="s">
        <v>2443</v>
      </c>
      <c r="N86" s="38"/>
      <c r="O86" s="38"/>
      <c r="P86" s="38" t="s">
        <v>3434</v>
      </c>
      <c r="Q86" s="27" t="s">
        <v>2464</v>
      </c>
      <c r="S86" s="26"/>
    </row>
    <row r="87" spans="1:19" s="37" customFormat="1">
      <c r="A87" s="527">
        <v>83</v>
      </c>
      <c r="B87" s="495" t="s">
        <v>150</v>
      </c>
      <c r="C87" s="490" t="s">
        <v>21</v>
      </c>
      <c r="D87" s="918">
        <f>58551.57/6</f>
        <v>9758.5949999999993</v>
      </c>
      <c r="E87" s="690"/>
      <c r="F87" s="540">
        <v>8138.83</v>
      </c>
      <c r="G87" s="690"/>
      <c r="H87" s="399"/>
      <c r="I87" s="399"/>
      <c r="J87" s="399"/>
      <c r="K87" s="166"/>
      <c r="L87" s="40"/>
      <c r="M87" s="26" t="s">
        <v>2444</v>
      </c>
      <c r="N87" s="38"/>
      <c r="O87" s="38"/>
      <c r="P87" s="38" t="s">
        <v>3434</v>
      </c>
      <c r="Q87" s="27" t="s">
        <v>2465</v>
      </c>
      <c r="S87" s="26"/>
    </row>
    <row r="88" spans="1:19">
      <c r="A88" s="527">
        <v>84</v>
      </c>
      <c r="B88" s="495" t="s">
        <v>760</v>
      </c>
      <c r="C88" s="490" t="s">
        <v>21</v>
      </c>
      <c r="D88" s="918">
        <f>295134.28/6</f>
        <v>49189.046666666669</v>
      </c>
      <c r="E88" s="690"/>
      <c r="F88" s="540">
        <v>41025</v>
      </c>
      <c r="G88" s="690"/>
      <c r="H88" s="399"/>
      <c r="I88" s="399"/>
      <c r="J88" s="399"/>
      <c r="K88" s="166"/>
      <c r="L88" s="52"/>
      <c r="M88" s="26" t="s">
        <v>2445</v>
      </c>
      <c r="P88" s="38" t="s">
        <v>3434</v>
      </c>
      <c r="Q88" s="27" t="s">
        <v>2466</v>
      </c>
    </row>
    <row r="89" spans="1:19">
      <c r="A89" s="527">
        <v>85</v>
      </c>
      <c r="B89" s="495" t="s">
        <v>724</v>
      </c>
      <c r="C89" s="490" t="s">
        <v>26</v>
      </c>
      <c r="D89" s="918">
        <v>50378.65</v>
      </c>
      <c r="E89" s="690"/>
      <c r="F89" s="540">
        <v>41261</v>
      </c>
      <c r="G89" s="690"/>
      <c r="H89" s="399"/>
      <c r="I89" s="399"/>
      <c r="J89" s="399"/>
      <c r="K89" s="166"/>
      <c r="L89" s="40"/>
      <c r="M89" s="26" t="s">
        <v>2446</v>
      </c>
      <c r="P89" s="38" t="s">
        <v>3434</v>
      </c>
    </row>
    <row r="90" spans="1:19">
      <c r="A90" s="527">
        <v>86</v>
      </c>
      <c r="B90" s="495" t="s">
        <v>147</v>
      </c>
      <c r="C90" s="490" t="s">
        <v>26</v>
      </c>
      <c r="D90" s="918">
        <v>31163.72</v>
      </c>
      <c r="E90" s="690"/>
      <c r="F90" s="540">
        <v>25523</v>
      </c>
      <c r="G90" s="690"/>
      <c r="H90" s="399"/>
      <c r="I90" s="399"/>
      <c r="J90" s="399"/>
      <c r="K90" s="166"/>
      <c r="L90" s="40"/>
      <c r="M90" s="26" t="s">
        <v>2447</v>
      </c>
      <c r="P90" s="38" t="s">
        <v>3434</v>
      </c>
    </row>
    <row r="91" spans="1:19">
      <c r="A91" s="527">
        <v>87</v>
      </c>
      <c r="B91" s="495" t="s">
        <v>2953</v>
      </c>
      <c r="C91" s="490" t="s">
        <v>26</v>
      </c>
      <c r="D91" s="918">
        <v>20790.490000000002</v>
      </c>
      <c r="E91" s="690"/>
      <c r="F91" s="540">
        <v>17028</v>
      </c>
      <c r="G91" s="690"/>
      <c r="H91" s="399"/>
      <c r="I91" s="399"/>
      <c r="J91" s="399"/>
      <c r="K91" s="166"/>
      <c r="L91" s="40"/>
      <c r="P91" s="38" t="s">
        <v>3434</v>
      </c>
    </row>
    <row r="92" spans="1:19">
      <c r="A92" s="527">
        <v>88</v>
      </c>
      <c r="B92" s="495" t="s">
        <v>762</v>
      </c>
      <c r="C92" s="490" t="s">
        <v>21</v>
      </c>
      <c r="D92" s="918">
        <f>190872.43/6</f>
        <v>31812.071666666667</v>
      </c>
      <c r="E92" s="690"/>
      <c r="F92" s="540">
        <v>26532</v>
      </c>
      <c r="G92" s="690"/>
      <c r="H92" s="399"/>
      <c r="I92" s="399"/>
      <c r="J92" s="399"/>
      <c r="K92" s="166"/>
      <c r="L92" s="40"/>
      <c r="M92" s="26" t="s">
        <v>2448</v>
      </c>
      <c r="P92" s="38" t="s">
        <v>3434</v>
      </c>
    </row>
    <row r="93" spans="1:19">
      <c r="A93" s="527">
        <v>89</v>
      </c>
      <c r="B93" s="495" t="s">
        <v>725</v>
      </c>
      <c r="C93" s="490" t="s">
        <v>21</v>
      </c>
      <c r="D93" s="918">
        <f>260671.88/6</f>
        <v>43445.313333333332</v>
      </c>
      <c r="E93" s="690"/>
      <c r="F93" s="540">
        <v>36234.5</v>
      </c>
      <c r="G93" s="690"/>
      <c r="H93" s="399"/>
      <c r="I93" s="399"/>
      <c r="J93" s="399"/>
      <c r="K93" s="166"/>
      <c r="L93" s="52"/>
      <c r="P93" s="38" t="s">
        <v>3434</v>
      </c>
    </row>
    <row r="94" spans="1:19">
      <c r="A94" s="527">
        <v>90</v>
      </c>
      <c r="B94" s="495" t="s">
        <v>726</v>
      </c>
      <c r="C94" s="490" t="s">
        <v>21</v>
      </c>
      <c r="D94" s="918">
        <f>380725.03/6</f>
        <v>63454.171666666669</v>
      </c>
      <c r="E94" s="690"/>
      <c r="F94" s="540">
        <v>52920.83</v>
      </c>
      <c r="G94" s="690"/>
      <c r="H94" s="399"/>
      <c r="I94" s="399"/>
      <c r="J94" s="399"/>
      <c r="K94" s="166"/>
      <c r="L94" s="52"/>
      <c r="P94" s="38" t="s">
        <v>3434</v>
      </c>
    </row>
    <row r="95" spans="1:19">
      <c r="A95" s="527">
        <v>91</v>
      </c>
      <c r="B95" s="495" t="s">
        <v>727</v>
      </c>
      <c r="C95" s="490" t="s">
        <v>21</v>
      </c>
      <c r="D95" s="918">
        <f>562916.41/6</f>
        <v>93819.401666666672</v>
      </c>
      <c r="E95" s="690"/>
      <c r="F95" s="540">
        <v>78248</v>
      </c>
      <c r="G95" s="690"/>
      <c r="H95" s="399"/>
      <c r="I95" s="399"/>
      <c r="J95" s="399"/>
      <c r="K95" s="166"/>
      <c r="L95" s="52"/>
      <c r="P95" s="38" t="s">
        <v>3434</v>
      </c>
    </row>
    <row r="96" spans="1:19">
      <c r="A96" s="527">
        <v>92</v>
      </c>
      <c r="B96" s="495" t="s">
        <v>728</v>
      </c>
      <c r="C96" s="490" t="s">
        <v>21</v>
      </c>
      <c r="D96" s="918">
        <f>806605.8/6</f>
        <v>134434.30000000002</v>
      </c>
      <c r="E96" s="690"/>
      <c r="F96" s="540">
        <v>112122</v>
      </c>
      <c r="G96" s="690"/>
      <c r="H96" s="399"/>
      <c r="I96" s="399"/>
      <c r="J96" s="399"/>
      <c r="K96" s="166"/>
      <c r="L96" s="52"/>
      <c r="M96" s="160" t="s">
        <v>2449</v>
      </c>
      <c r="P96" s="38" t="s">
        <v>3434</v>
      </c>
    </row>
    <row r="97" spans="1:19">
      <c r="A97" s="527">
        <v>93</v>
      </c>
      <c r="B97" s="495" t="s">
        <v>729</v>
      </c>
      <c r="C97" s="490" t="s">
        <v>21</v>
      </c>
      <c r="D97" s="918">
        <f>986565.93/6</f>
        <v>164427.655</v>
      </c>
      <c r="E97" s="690"/>
      <c r="F97" s="540" t="s">
        <v>2954</v>
      </c>
      <c r="G97" s="690"/>
      <c r="H97" s="399"/>
      <c r="I97" s="399"/>
      <c r="J97" s="399"/>
      <c r="K97" s="166"/>
      <c r="L97" s="52"/>
      <c r="M97" s="26" t="s">
        <v>2450</v>
      </c>
      <c r="P97" s="38" t="s">
        <v>3434</v>
      </c>
    </row>
    <row r="98" spans="1:19">
      <c r="A98" s="527">
        <v>94</v>
      </c>
      <c r="B98" s="495" t="s">
        <v>730</v>
      </c>
      <c r="C98" s="490" t="s">
        <v>21</v>
      </c>
      <c r="D98" s="918">
        <f>1661115.05/6</f>
        <v>276852.50833333336</v>
      </c>
      <c r="E98" s="690"/>
      <c r="F98" s="540">
        <v>230902.83</v>
      </c>
      <c r="G98" s="690"/>
      <c r="H98" s="399"/>
      <c r="I98" s="399"/>
      <c r="J98" s="399"/>
      <c r="K98" s="166"/>
      <c r="L98" s="52"/>
      <c r="M98" s="26" t="s">
        <v>2451</v>
      </c>
      <c r="P98" s="38" t="s">
        <v>3434</v>
      </c>
    </row>
    <row r="99" spans="1:19">
      <c r="A99" s="527">
        <v>95</v>
      </c>
      <c r="B99" s="495" t="s">
        <v>712</v>
      </c>
      <c r="C99" s="490" t="s">
        <v>21</v>
      </c>
      <c r="D99" s="918">
        <f>3818313.73/6.5</f>
        <v>587432.88153846154</v>
      </c>
      <c r="E99" s="690"/>
      <c r="F99" s="540">
        <v>449107.69</v>
      </c>
      <c r="G99" s="690"/>
      <c r="H99" s="399"/>
      <c r="I99" s="399"/>
      <c r="J99" s="399"/>
      <c r="K99" s="166"/>
      <c r="L99" s="52"/>
      <c r="M99" s="26" t="s">
        <v>2452</v>
      </c>
      <c r="P99" s="38" t="s">
        <v>3434</v>
      </c>
    </row>
    <row r="100" spans="1:19">
      <c r="A100" s="527">
        <v>96</v>
      </c>
      <c r="B100" s="495" t="s">
        <v>731</v>
      </c>
      <c r="C100" s="490" t="s">
        <v>26</v>
      </c>
      <c r="D100" s="596">
        <v>114888</v>
      </c>
      <c r="E100" s="686"/>
      <c r="F100" s="595">
        <v>114888</v>
      </c>
      <c r="G100" s="686"/>
      <c r="H100" s="399"/>
      <c r="I100" s="399"/>
      <c r="J100" s="399"/>
      <c r="K100" s="51"/>
      <c r="L100" s="40"/>
      <c r="P100" s="38" t="s">
        <v>3434</v>
      </c>
    </row>
    <row r="101" spans="1:19" s="38" customFormat="1">
      <c r="A101" s="527">
        <v>97</v>
      </c>
      <c r="B101" s="495" t="s">
        <v>368</v>
      </c>
      <c r="C101" s="490" t="s">
        <v>26</v>
      </c>
      <c r="D101" s="918">
        <v>36385.440000000002</v>
      </c>
      <c r="E101" s="687"/>
      <c r="F101" s="597">
        <v>41983.199999999997</v>
      </c>
      <c r="G101" s="687"/>
      <c r="H101" s="415"/>
      <c r="I101" s="399"/>
      <c r="J101" s="399"/>
      <c r="K101" s="362" t="s">
        <v>2644</v>
      </c>
      <c r="L101" s="2">
        <v>58326</v>
      </c>
      <c r="Q101" s="26"/>
      <c r="S101" s="26"/>
    </row>
    <row r="102" spans="1:19" ht="18" customHeight="1">
      <c r="A102" s="527">
        <v>98</v>
      </c>
      <c r="B102" s="495" t="s">
        <v>369</v>
      </c>
      <c r="C102" s="490" t="s">
        <v>26</v>
      </c>
      <c r="D102" s="918">
        <v>31600.45</v>
      </c>
      <c r="E102" s="685"/>
      <c r="F102" s="492">
        <v>29501.29</v>
      </c>
      <c r="G102" s="685"/>
      <c r="H102" s="414"/>
      <c r="I102" s="401"/>
      <c r="J102" s="401"/>
      <c r="K102" s="2">
        <f>1/1.479</f>
        <v>0.67613252197430695</v>
      </c>
      <c r="L102" s="2"/>
    </row>
    <row r="103" spans="1:19" ht="18" customHeight="1">
      <c r="A103" s="527">
        <v>99</v>
      </c>
      <c r="B103" s="495" t="s">
        <v>2638</v>
      </c>
      <c r="C103" s="490" t="s">
        <v>26</v>
      </c>
      <c r="D103" s="918">
        <v>18326</v>
      </c>
      <c r="E103" s="692"/>
      <c r="F103" s="494">
        <v>19668.32</v>
      </c>
      <c r="G103" s="692"/>
      <c r="H103" s="497"/>
      <c r="I103" s="401"/>
      <c r="J103" s="401"/>
      <c r="K103" s="2"/>
      <c r="L103" s="2"/>
    </row>
    <row r="104" spans="1:19">
      <c r="A104" s="527">
        <v>100</v>
      </c>
      <c r="B104" s="495" t="s">
        <v>370</v>
      </c>
      <c r="C104" s="490" t="s">
        <v>26</v>
      </c>
      <c r="D104" s="491">
        <v>217718</v>
      </c>
      <c r="E104" s="684"/>
      <c r="F104" s="491">
        <v>217718</v>
      </c>
      <c r="G104" s="684"/>
      <c r="H104" s="398"/>
      <c r="I104" s="398"/>
      <c r="J104" s="398"/>
      <c r="K104" s="60"/>
      <c r="L104" s="40"/>
    </row>
    <row r="105" spans="1:19">
      <c r="A105" s="527">
        <v>101</v>
      </c>
      <c r="B105" s="495" t="s">
        <v>732</v>
      </c>
      <c r="C105" s="490" t="s">
        <v>26</v>
      </c>
      <c r="D105" s="491">
        <v>2420</v>
      </c>
      <c r="E105" s="684"/>
      <c r="F105" s="491">
        <v>2420</v>
      </c>
      <c r="G105" s="684"/>
      <c r="H105" s="398"/>
      <c r="I105" s="398"/>
      <c r="J105" s="398"/>
      <c r="K105" s="50"/>
      <c r="L105" s="2"/>
    </row>
    <row r="106" spans="1:19">
      <c r="A106" s="527">
        <v>102</v>
      </c>
      <c r="B106" s="495" t="s">
        <v>412</v>
      </c>
      <c r="C106" s="490" t="s">
        <v>26</v>
      </c>
      <c r="D106" s="491">
        <v>3080.91</v>
      </c>
      <c r="E106" s="685"/>
      <c r="F106" s="492">
        <v>3080.91</v>
      </c>
      <c r="G106" s="685"/>
      <c r="H106" s="414"/>
      <c r="I106" s="398"/>
      <c r="J106" s="398"/>
      <c r="K106" s="50"/>
      <c r="L106" s="2"/>
      <c r="P106" s="38" t="s">
        <v>3434</v>
      </c>
    </row>
    <row r="107" spans="1:19">
      <c r="A107" s="527">
        <v>103</v>
      </c>
      <c r="B107" s="495" t="s">
        <v>3004</v>
      </c>
      <c r="C107" s="490" t="s">
        <v>3006</v>
      </c>
      <c r="D107" s="491">
        <v>70000</v>
      </c>
      <c r="E107" s="684"/>
      <c r="F107" s="491">
        <v>70000</v>
      </c>
      <c r="G107" s="684"/>
      <c r="H107" s="402"/>
      <c r="I107" s="402"/>
      <c r="J107" s="402"/>
      <c r="K107" s="50"/>
      <c r="L107" s="2"/>
      <c r="P107" s="38" t="s">
        <v>3434</v>
      </c>
    </row>
    <row r="108" spans="1:19">
      <c r="A108" s="527">
        <v>104</v>
      </c>
      <c r="B108" s="495" t="s">
        <v>3228</v>
      </c>
      <c r="C108" s="490" t="s">
        <v>32</v>
      </c>
      <c r="D108" s="491">
        <f>45934/20</f>
        <v>2296.6999999999998</v>
      </c>
      <c r="E108" s="684"/>
      <c r="F108" s="491">
        <v>18326</v>
      </c>
      <c r="G108" s="684"/>
      <c r="H108" s="398"/>
      <c r="I108" s="398"/>
      <c r="J108" s="398"/>
      <c r="K108" s="2"/>
      <c r="L108" s="2">
        <v>67953</v>
      </c>
    </row>
    <row r="109" spans="1:19">
      <c r="A109" s="527">
        <v>105</v>
      </c>
      <c r="B109" s="495" t="s">
        <v>629</v>
      </c>
      <c r="C109" s="490" t="s">
        <v>32</v>
      </c>
      <c r="D109" s="491">
        <v>19756</v>
      </c>
      <c r="E109" s="684"/>
      <c r="F109" s="491">
        <f>+N109/4.5</f>
        <v>0</v>
      </c>
      <c r="G109" s="684"/>
      <c r="H109" s="398"/>
      <c r="I109" s="398"/>
      <c r="J109" s="398"/>
      <c r="K109" s="50"/>
      <c r="L109" s="2">
        <v>41478</v>
      </c>
      <c r="P109" s="38" t="s">
        <v>3434</v>
      </c>
    </row>
    <row r="110" spans="1:19">
      <c r="A110" s="527">
        <v>106</v>
      </c>
      <c r="B110" s="495" t="s">
        <v>733</v>
      </c>
      <c r="C110" s="490" t="s">
        <v>32</v>
      </c>
      <c r="D110" s="491">
        <f>1947375.5/230</f>
        <v>8466.85</v>
      </c>
      <c r="E110" s="685"/>
      <c r="F110" s="492">
        <f>1537099.2/230</f>
        <v>6683.04</v>
      </c>
      <c r="G110" s="685"/>
      <c r="H110" s="398"/>
      <c r="I110" s="398"/>
      <c r="J110" s="398"/>
      <c r="K110" s="50"/>
      <c r="L110" s="2">
        <v>1439119</v>
      </c>
      <c r="P110" s="38" t="s">
        <v>3434</v>
      </c>
    </row>
    <row r="111" spans="1:19">
      <c r="A111" s="527">
        <v>107</v>
      </c>
      <c r="B111" s="495" t="s">
        <v>734</v>
      </c>
      <c r="C111" s="490" t="s">
        <v>32</v>
      </c>
      <c r="D111" s="491">
        <f>84300/3</f>
        <v>28100</v>
      </c>
      <c r="E111" s="685"/>
      <c r="F111" s="492">
        <f>80700/3</f>
        <v>26900</v>
      </c>
      <c r="G111" s="685"/>
      <c r="H111" s="398"/>
      <c r="I111" s="398"/>
      <c r="J111" s="398"/>
      <c r="K111" s="50"/>
      <c r="L111" s="2">
        <v>67860</v>
      </c>
      <c r="P111" s="38" t="s">
        <v>3434</v>
      </c>
    </row>
    <row r="112" spans="1:19">
      <c r="A112" s="527">
        <v>108</v>
      </c>
      <c r="B112" s="495" t="s">
        <v>2709</v>
      </c>
      <c r="C112" s="490" t="s">
        <v>158</v>
      </c>
      <c r="D112" s="491">
        <v>4873.05</v>
      </c>
      <c r="E112" s="685"/>
      <c r="F112" s="492">
        <f>841568/200</f>
        <v>4207.84</v>
      </c>
      <c r="G112" s="685"/>
      <c r="H112" s="414"/>
      <c r="I112" s="401"/>
      <c r="J112" s="401"/>
      <c r="K112" s="50"/>
      <c r="L112" s="2">
        <v>80063</v>
      </c>
      <c r="P112" s="38" t="s">
        <v>3434</v>
      </c>
    </row>
    <row r="113" spans="1:19">
      <c r="A113" s="527">
        <v>109</v>
      </c>
      <c r="B113" s="495" t="s">
        <v>364</v>
      </c>
      <c r="C113" s="490" t="s">
        <v>158</v>
      </c>
      <c r="D113" s="491">
        <v>18421.2</v>
      </c>
      <c r="E113" s="685"/>
      <c r="F113" s="492">
        <f>249500.16/16</f>
        <v>15593.76</v>
      </c>
      <c r="G113" s="685"/>
      <c r="H113" s="401"/>
      <c r="I113" s="401"/>
      <c r="J113" s="401"/>
      <c r="K113" s="50"/>
      <c r="L113" s="2">
        <v>197426</v>
      </c>
      <c r="P113" s="38" t="s">
        <v>3434</v>
      </c>
    </row>
    <row r="114" spans="1:19" s="37" customFormat="1">
      <c r="A114" s="527">
        <v>110</v>
      </c>
      <c r="B114" s="495" t="s">
        <v>252</v>
      </c>
      <c r="C114" s="490" t="s">
        <v>32</v>
      </c>
      <c r="D114" s="918">
        <v>16500</v>
      </c>
      <c r="E114" s="685"/>
      <c r="F114" s="492">
        <f>191185.4/20</f>
        <v>9559.27</v>
      </c>
      <c r="G114" s="685"/>
      <c r="H114" s="403"/>
      <c r="I114" s="403"/>
      <c r="J114" s="403"/>
      <c r="K114" s="54"/>
      <c r="L114" s="2">
        <v>139942</v>
      </c>
      <c r="M114" s="26"/>
      <c r="N114" s="38"/>
      <c r="O114" s="38"/>
      <c r="P114" s="38" t="s">
        <v>3434</v>
      </c>
      <c r="Q114" s="26"/>
      <c r="S114" s="26"/>
    </row>
    <row r="115" spans="1:19" s="37" customFormat="1">
      <c r="A115" s="527">
        <v>111</v>
      </c>
      <c r="B115" s="495" t="s">
        <v>3110</v>
      </c>
      <c r="C115" s="490" t="s">
        <v>26</v>
      </c>
      <c r="D115" s="853">
        <f>118381.2</f>
        <v>118381.2</v>
      </c>
      <c r="E115" s="691"/>
      <c r="F115" s="493">
        <f>102973</f>
        <v>102973</v>
      </c>
      <c r="G115" s="691"/>
      <c r="H115" s="401"/>
      <c r="I115" s="401"/>
      <c r="J115" s="401"/>
      <c r="K115" s="50"/>
      <c r="L115" s="2">
        <v>112170</v>
      </c>
      <c r="M115" s="26"/>
      <c r="N115" s="38"/>
      <c r="O115" s="38"/>
      <c r="P115" s="38" t="s">
        <v>3434</v>
      </c>
      <c r="Q115" s="26"/>
      <c r="S115" s="26"/>
    </row>
    <row r="116" spans="1:19" s="37" customFormat="1">
      <c r="A116" s="527">
        <v>112</v>
      </c>
      <c r="B116" s="846" t="s">
        <v>226</v>
      </c>
      <c r="C116" s="490" t="s">
        <v>32</v>
      </c>
      <c r="D116" s="853">
        <f>480664.8/16</f>
        <v>30041.55</v>
      </c>
      <c r="E116" s="685"/>
      <c r="F116" s="492">
        <f>381847.2/16</f>
        <v>23865.45</v>
      </c>
      <c r="G116" s="685"/>
      <c r="H116" s="401"/>
      <c r="I116" s="401"/>
      <c r="J116" s="401"/>
      <c r="K116" s="50"/>
      <c r="L116" s="2">
        <v>322944</v>
      </c>
      <c r="M116" s="26"/>
      <c r="N116" s="38"/>
      <c r="O116" s="38"/>
      <c r="P116" s="38" t="s">
        <v>3434</v>
      </c>
      <c r="Q116" s="26"/>
      <c r="S116" s="26"/>
    </row>
    <row r="117" spans="1:19" s="37" customFormat="1">
      <c r="A117" s="527">
        <v>113</v>
      </c>
      <c r="B117" s="846" t="s">
        <v>540</v>
      </c>
      <c r="C117" s="490" t="s">
        <v>32</v>
      </c>
      <c r="D117" s="853">
        <f>+L117/10</f>
        <v>4400.1000000000004</v>
      </c>
      <c r="E117" s="691"/>
      <c r="F117" s="493">
        <f>+N117/10</f>
        <v>0</v>
      </c>
      <c r="G117" s="691"/>
      <c r="H117" s="401"/>
      <c r="I117" s="401"/>
      <c r="J117" s="401"/>
      <c r="K117" s="50"/>
      <c r="L117" s="2">
        <v>44001</v>
      </c>
      <c r="M117" s="26"/>
      <c r="N117" s="38"/>
      <c r="O117" s="38"/>
      <c r="P117" s="38" t="s">
        <v>3450</v>
      </c>
      <c r="Q117" s="26"/>
      <c r="S117" s="26"/>
    </row>
    <row r="118" spans="1:19" s="37" customFormat="1">
      <c r="A118" s="527">
        <v>114</v>
      </c>
      <c r="B118" s="846" t="s">
        <v>541</v>
      </c>
      <c r="C118" s="490" t="s">
        <v>32</v>
      </c>
      <c r="D118" s="491">
        <f>50932/10</f>
        <v>5093.2</v>
      </c>
      <c r="E118" s="685"/>
      <c r="F118" s="492">
        <f>41864.2/10</f>
        <v>4186.42</v>
      </c>
      <c r="G118" s="685"/>
      <c r="H118" s="401"/>
      <c r="I118" s="401"/>
      <c r="J118" s="401"/>
      <c r="K118" s="50"/>
      <c r="L118" s="2">
        <v>37677</v>
      </c>
      <c r="M118" s="26"/>
      <c r="N118" s="38"/>
      <c r="O118" s="38"/>
      <c r="P118" s="38" t="s">
        <v>3434</v>
      </c>
      <c r="Q118" s="26"/>
      <c r="S118" s="26"/>
    </row>
    <row r="119" spans="1:19" s="37" customFormat="1">
      <c r="A119" s="527">
        <v>115</v>
      </c>
      <c r="B119" s="846" t="s">
        <v>55</v>
      </c>
      <c r="C119" s="490" t="s">
        <v>32</v>
      </c>
      <c r="D119" s="491">
        <f>157437/20</f>
        <v>7871.85</v>
      </c>
      <c r="E119" s="684"/>
      <c r="F119" s="491">
        <v>5073</v>
      </c>
      <c r="G119" s="684"/>
      <c r="H119" s="398"/>
      <c r="I119" s="398"/>
      <c r="J119" s="398"/>
      <c r="K119" s="50"/>
      <c r="L119" s="2"/>
      <c r="M119" s="26"/>
      <c r="N119" s="38"/>
      <c r="O119" s="38"/>
      <c r="P119" s="38" t="s">
        <v>3434</v>
      </c>
      <c r="Q119" s="26"/>
      <c r="S119" s="26"/>
    </row>
    <row r="120" spans="1:19" s="37" customFormat="1">
      <c r="A120" s="527">
        <v>116</v>
      </c>
      <c r="B120" s="846" t="s">
        <v>425</v>
      </c>
      <c r="C120" s="490" t="s">
        <v>21</v>
      </c>
      <c r="D120" s="491">
        <v>9678.27</v>
      </c>
      <c r="E120" s="684"/>
      <c r="F120" s="491">
        <v>1582</v>
      </c>
      <c r="G120" s="684"/>
      <c r="H120" s="398"/>
      <c r="I120" s="398"/>
      <c r="J120" s="398"/>
      <c r="K120" s="41" t="s">
        <v>735</v>
      </c>
      <c r="L120" s="44">
        <v>7070</v>
      </c>
      <c r="M120" s="53" t="e">
        <f>+#REF!/#REF!</f>
        <v>#REF!</v>
      </c>
      <c r="N120" s="38"/>
      <c r="O120" s="38"/>
      <c r="P120" s="38" t="s">
        <v>3434</v>
      </c>
      <c r="Q120" s="26"/>
      <c r="S120" s="26"/>
    </row>
    <row r="121" spans="1:19" s="37" customFormat="1">
      <c r="A121" s="527">
        <v>117</v>
      </c>
      <c r="B121" s="495" t="s">
        <v>424</v>
      </c>
      <c r="C121" s="490" t="s">
        <v>119</v>
      </c>
      <c r="D121" s="491">
        <f>1.3*4688.6</f>
        <v>6095.18</v>
      </c>
      <c r="E121" s="685"/>
      <c r="F121" s="492">
        <f>1.3*4688.6</f>
        <v>6095.18</v>
      </c>
      <c r="G121" s="685"/>
      <c r="H121" s="414"/>
      <c r="I121" s="398"/>
      <c r="J121" s="398"/>
      <c r="K121" s="41"/>
      <c r="L121" s="40"/>
      <c r="M121" s="26"/>
      <c r="N121" s="38"/>
      <c r="O121" s="38"/>
      <c r="P121" s="38" t="s">
        <v>3434</v>
      </c>
      <c r="Q121" s="26"/>
      <c r="S121" s="26"/>
    </row>
    <row r="122" spans="1:19" s="37" customFormat="1" ht="25.5">
      <c r="A122" s="527">
        <v>118</v>
      </c>
      <c r="B122" s="495" t="s">
        <v>679</v>
      </c>
      <c r="C122" s="490" t="s">
        <v>26</v>
      </c>
      <c r="D122" s="491">
        <v>30000</v>
      </c>
      <c r="E122" s="684"/>
      <c r="F122" s="491">
        <v>30000</v>
      </c>
      <c r="G122" s="684"/>
      <c r="H122" s="398"/>
      <c r="I122" s="398"/>
      <c r="J122" s="398"/>
      <c r="K122" s="41"/>
      <c r="L122" s="40"/>
      <c r="M122" s="26"/>
      <c r="N122" s="38"/>
      <c r="O122" s="38"/>
      <c r="P122" s="38" t="s">
        <v>3438</v>
      </c>
      <c r="Q122" s="26"/>
      <c r="S122" s="26"/>
    </row>
    <row r="123" spans="1:19" s="37" customFormat="1">
      <c r="A123" s="527">
        <v>119</v>
      </c>
      <c r="B123" s="495" t="s">
        <v>675</v>
      </c>
      <c r="C123" s="490" t="s">
        <v>26</v>
      </c>
      <c r="D123" s="853">
        <v>32000</v>
      </c>
      <c r="E123" s="691"/>
      <c r="F123" s="493">
        <v>20303.48</v>
      </c>
      <c r="G123" s="691"/>
      <c r="H123" s="401"/>
      <c r="I123" s="401"/>
      <c r="J123" s="401"/>
      <c r="K123" s="41"/>
      <c r="L123" s="40"/>
      <c r="M123" s="26"/>
      <c r="N123" s="38"/>
      <c r="O123" s="38"/>
      <c r="P123" s="38" t="s">
        <v>3438</v>
      </c>
      <c r="Q123" s="26"/>
      <c r="S123" s="26"/>
    </row>
    <row r="124" spans="1:19" s="37" customFormat="1">
      <c r="A124" s="527">
        <v>120</v>
      </c>
      <c r="B124" s="495" t="s">
        <v>676</v>
      </c>
      <c r="C124" s="490" t="s">
        <v>26</v>
      </c>
      <c r="D124" s="853">
        <v>19873.12</v>
      </c>
      <c r="E124" s="691"/>
      <c r="F124" s="493">
        <v>19873.12</v>
      </c>
      <c r="G124" s="691"/>
      <c r="H124" s="401"/>
      <c r="I124" s="401"/>
      <c r="J124" s="401"/>
      <c r="K124" s="41"/>
      <c r="L124" s="41"/>
      <c r="M124" s="26"/>
      <c r="N124" s="38"/>
      <c r="O124" s="38"/>
      <c r="P124" s="38" t="s">
        <v>3436</v>
      </c>
      <c r="Q124" s="26"/>
      <c r="S124" s="26"/>
    </row>
    <row r="125" spans="1:19">
      <c r="A125" s="527">
        <v>121</v>
      </c>
      <c r="B125" s="846" t="s">
        <v>429</v>
      </c>
      <c r="C125" s="490" t="s">
        <v>26</v>
      </c>
      <c r="D125" s="491">
        <v>2100</v>
      </c>
      <c r="E125" s="684"/>
      <c r="F125" s="491">
        <v>2100</v>
      </c>
      <c r="G125" s="684"/>
      <c r="H125" s="398"/>
      <c r="I125" s="398"/>
      <c r="J125" s="398"/>
      <c r="K125" s="41"/>
      <c r="L125" s="40"/>
      <c r="P125" s="38" t="s">
        <v>3438</v>
      </c>
    </row>
    <row r="126" spans="1:19">
      <c r="A126" s="527">
        <v>122</v>
      </c>
      <c r="B126" s="846" t="s">
        <v>428</v>
      </c>
      <c r="C126" s="490" t="s">
        <v>26</v>
      </c>
      <c r="D126" s="491">
        <v>3576.2</v>
      </c>
      <c r="E126" s="684"/>
      <c r="F126" s="491">
        <v>3100</v>
      </c>
      <c r="G126" s="684"/>
      <c r="H126" s="398"/>
      <c r="I126" s="398"/>
      <c r="J126" s="398"/>
      <c r="K126" s="41"/>
      <c r="L126" s="40"/>
      <c r="P126" s="38" t="s">
        <v>3434</v>
      </c>
    </row>
    <row r="127" spans="1:19">
      <c r="A127" s="527">
        <v>123</v>
      </c>
      <c r="B127" s="846" t="s">
        <v>436</v>
      </c>
      <c r="C127" s="490" t="s">
        <v>26</v>
      </c>
      <c r="D127" s="491">
        <v>3600</v>
      </c>
      <c r="E127" s="684"/>
      <c r="F127" s="491">
        <v>3100</v>
      </c>
      <c r="G127" s="684"/>
      <c r="H127" s="398"/>
      <c r="I127" s="398"/>
      <c r="J127" s="398"/>
      <c r="K127" s="41"/>
      <c r="L127" s="40"/>
      <c r="P127" s="38" t="s">
        <v>3438</v>
      </c>
    </row>
    <row r="128" spans="1:19">
      <c r="A128" s="527">
        <v>124</v>
      </c>
      <c r="B128" s="846" t="s">
        <v>542</v>
      </c>
      <c r="C128" s="490" t="s">
        <v>26</v>
      </c>
      <c r="D128" s="491">
        <v>7879</v>
      </c>
      <c r="E128" s="684"/>
      <c r="F128" s="491">
        <v>6879</v>
      </c>
      <c r="G128" s="684"/>
      <c r="H128" s="398"/>
      <c r="I128" s="398"/>
      <c r="J128" s="398"/>
      <c r="K128" s="41"/>
      <c r="L128" s="40"/>
      <c r="P128" s="38" t="s">
        <v>3447</v>
      </c>
    </row>
    <row r="129" spans="1:19">
      <c r="A129" s="527">
        <v>125</v>
      </c>
      <c r="B129" s="846" t="s">
        <v>430</v>
      </c>
      <c r="C129" s="490" t="s">
        <v>431</v>
      </c>
      <c r="D129" s="491">
        <v>43000</v>
      </c>
      <c r="E129" s="684"/>
      <c r="F129" s="491">
        <v>37000</v>
      </c>
      <c r="G129" s="684"/>
      <c r="H129" s="398"/>
      <c r="I129" s="398"/>
      <c r="J129" s="398"/>
      <c r="K129" s="41"/>
      <c r="L129" s="40"/>
      <c r="P129" s="38" t="s">
        <v>3438</v>
      </c>
    </row>
    <row r="130" spans="1:19">
      <c r="A130" s="527">
        <v>126</v>
      </c>
      <c r="B130" s="846" t="s">
        <v>674</v>
      </c>
      <c r="C130" s="490" t="s">
        <v>431</v>
      </c>
      <c r="D130" s="491">
        <v>180000</v>
      </c>
      <c r="E130" s="684"/>
      <c r="F130" s="491">
        <v>140000</v>
      </c>
      <c r="G130" s="684"/>
      <c r="H130" s="398"/>
      <c r="I130" s="398"/>
      <c r="J130" s="398"/>
      <c r="K130" s="41"/>
      <c r="L130" s="40"/>
      <c r="P130" s="38" t="s">
        <v>3438</v>
      </c>
    </row>
    <row r="131" spans="1:19" s="38" customFormat="1">
      <c r="A131" s="527">
        <v>127</v>
      </c>
      <c r="B131" s="495" t="s">
        <v>434</v>
      </c>
      <c r="C131" s="490" t="s">
        <v>26</v>
      </c>
      <c r="D131" s="491">
        <v>8900</v>
      </c>
      <c r="E131" s="684"/>
      <c r="F131" s="491">
        <v>8500</v>
      </c>
      <c r="G131" s="684"/>
      <c r="H131" s="398"/>
      <c r="I131" s="398"/>
      <c r="J131" s="398"/>
      <c r="K131" s="41"/>
      <c r="L131" s="55"/>
      <c r="M131" s="26"/>
      <c r="P131" s="38" t="s">
        <v>3434</v>
      </c>
      <c r="Q131" s="26"/>
      <c r="S131" s="26"/>
    </row>
    <row r="132" spans="1:19" s="38" customFormat="1">
      <c r="A132" s="527">
        <v>128</v>
      </c>
      <c r="B132" s="495" t="s">
        <v>671</v>
      </c>
      <c r="C132" s="490" t="s">
        <v>26</v>
      </c>
      <c r="D132" s="491">
        <v>20000</v>
      </c>
      <c r="E132" s="684"/>
      <c r="F132" s="491">
        <v>18000</v>
      </c>
      <c r="G132" s="684"/>
      <c r="H132" s="398"/>
      <c r="I132" s="398"/>
      <c r="J132" s="398"/>
      <c r="K132" s="41"/>
      <c r="L132" s="55"/>
      <c r="M132" s="26"/>
      <c r="P132" s="38" t="s">
        <v>3438</v>
      </c>
      <c r="Q132" s="26"/>
      <c r="S132" s="26"/>
    </row>
    <row r="133" spans="1:19" s="38" customFormat="1">
      <c r="A133" s="527">
        <v>129</v>
      </c>
      <c r="B133" s="846" t="s">
        <v>672</v>
      </c>
      <c r="C133" s="490" t="s">
        <v>26</v>
      </c>
      <c r="D133" s="491">
        <v>60</v>
      </c>
      <c r="E133" s="684"/>
      <c r="F133" s="491">
        <v>50</v>
      </c>
      <c r="G133" s="684"/>
      <c r="H133" s="398"/>
      <c r="I133" s="398"/>
      <c r="J133" s="398"/>
      <c r="K133" s="41"/>
      <c r="L133" s="63"/>
      <c r="M133" s="26"/>
      <c r="P133" s="38" t="s">
        <v>3438</v>
      </c>
      <c r="Q133" s="26"/>
      <c r="S133" s="26"/>
    </row>
    <row r="134" spans="1:19" s="38" customFormat="1">
      <c r="A134" s="527">
        <v>130</v>
      </c>
      <c r="B134" s="495" t="s">
        <v>673</v>
      </c>
      <c r="C134" s="490" t="s">
        <v>26</v>
      </c>
      <c r="D134" s="491">
        <v>80</v>
      </c>
      <c r="E134" s="684"/>
      <c r="F134" s="491">
        <v>70</v>
      </c>
      <c r="G134" s="684"/>
      <c r="H134" s="398"/>
      <c r="I134" s="398"/>
      <c r="J134" s="398"/>
      <c r="K134" s="41"/>
      <c r="L134" s="63"/>
      <c r="M134" s="26"/>
      <c r="P134" s="38" t="s">
        <v>3448</v>
      </c>
      <c r="Q134" s="26"/>
      <c r="S134" s="26"/>
    </row>
    <row r="135" spans="1:19" s="38" customFormat="1">
      <c r="A135" s="527">
        <v>131</v>
      </c>
      <c r="B135" s="495" t="s">
        <v>437</v>
      </c>
      <c r="C135" s="490" t="s">
        <v>26</v>
      </c>
      <c r="D135" s="491">
        <v>40</v>
      </c>
      <c r="E135" s="684"/>
      <c r="F135" s="491">
        <v>20</v>
      </c>
      <c r="G135" s="684"/>
      <c r="H135" s="398"/>
      <c r="I135" s="398"/>
      <c r="J135" s="398"/>
      <c r="K135" s="41"/>
      <c r="L135" s="40"/>
      <c r="M135" s="26"/>
      <c r="P135" s="38" t="s">
        <v>3447</v>
      </c>
      <c r="Q135" s="26"/>
      <c r="S135" s="26"/>
    </row>
    <row r="136" spans="1:19" s="38" customFormat="1">
      <c r="A136" s="527">
        <v>132</v>
      </c>
      <c r="B136" s="495" t="s">
        <v>438</v>
      </c>
      <c r="C136" s="490" t="s">
        <v>26</v>
      </c>
      <c r="D136" s="491">
        <v>40</v>
      </c>
      <c r="E136" s="684"/>
      <c r="F136" s="491">
        <v>20</v>
      </c>
      <c r="G136" s="684"/>
      <c r="H136" s="398"/>
      <c r="I136" s="398"/>
      <c r="J136" s="398"/>
      <c r="K136" s="41"/>
      <c r="L136" s="40"/>
      <c r="M136" s="26"/>
      <c r="P136" s="38" t="s">
        <v>3447</v>
      </c>
      <c r="Q136" s="26"/>
      <c r="S136" s="26"/>
    </row>
    <row r="137" spans="1:19" s="38" customFormat="1">
      <c r="A137" s="527">
        <v>133</v>
      </c>
      <c r="B137" s="495" t="s">
        <v>439</v>
      </c>
      <c r="C137" s="490" t="s">
        <v>26</v>
      </c>
      <c r="D137" s="853">
        <v>74770.12</v>
      </c>
      <c r="E137" s="691"/>
      <c r="F137" s="493">
        <v>74770.12</v>
      </c>
      <c r="G137" s="691"/>
      <c r="H137" s="401"/>
      <c r="I137" s="401"/>
      <c r="J137" s="401"/>
      <c r="K137" s="41"/>
      <c r="L137" s="40"/>
      <c r="M137" s="26"/>
      <c r="P137" s="38" t="s">
        <v>3447</v>
      </c>
      <c r="Q137" s="26"/>
      <c r="S137" s="26"/>
    </row>
    <row r="138" spans="1:19" s="38" customFormat="1">
      <c r="A138" s="527">
        <v>134</v>
      </c>
      <c r="B138" s="495" t="s">
        <v>441</v>
      </c>
      <c r="C138" s="490" t="s">
        <v>26</v>
      </c>
      <c r="D138" s="853">
        <v>56156.76</v>
      </c>
      <c r="E138" s="691"/>
      <c r="F138" s="493">
        <v>56156.76</v>
      </c>
      <c r="G138" s="691"/>
      <c r="H138" s="401"/>
      <c r="I138" s="401"/>
      <c r="J138" s="401"/>
      <c r="K138" s="41"/>
      <c r="L138" s="40"/>
      <c r="M138" s="26"/>
      <c r="P138" s="38" t="s">
        <v>3447</v>
      </c>
      <c r="Q138" s="26"/>
      <c r="S138" s="26"/>
    </row>
    <row r="139" spans="1:19" s="38" customFormat="1">
      <c r="A139" s="527">
        <v>135</v>
      </c>
      <c r="B139" s="495" t="s">
        <v>2455</v>
      </c>
      <c r="C139" s="490" t="s">
        <v>106</v>
      </c>
      <c r="D139" s="491">
        <f>+L139*1.16</f>
        <v>5769.8399999999992</v>
      </c>
      <c r="E139" s="684"/>
      <c r="F139" s="491">
        <f>+N139*1.16</f>
        <v>0</v>
      </c>
      <c r="G139" s="684"/>
      <c r="H139" s="402"/>
      <c r="I139" s="402"/>
      <c r="J139" s="402"/>
      <c r="K139" s="41"/>
      <c r="L139" s="2">
        <v>4974</v>
      </c>
      <c r="M139" s="26"/>
      <c r="Q139" s="26"/>
      <c r="S139" s="26"/>
    </row>
    <row r="140" spans="1:19" s="38" customFormat="1">
      <c r="A140" s="527">
        <v>136</v>
      </c>
      <c r="B140" s="495" t="s">
        <v>77</v>
      </c>
      <c r="C140" s="490" t="s">
        <v>32</v>
      </c>
      <c r="D140" s="596">
        <v>1392.3</v>
      </c>
      <c r="E140" s="686"/>
      <c r="F140" s="595">
        <v>1393</v>
      </c>
      <c r="G140" s="686"/>
      <c r="H140" s="399"/>
      <c r="I140" s="399"/>
      <c r="J140" s="399"/>
      <c r="K140" s="41"/>
      <c r="L140" s="2">
        <v>1357</v>
      </c>
      <c r="M140" s="26"/>
      <c r="P140" s="38" t="s">
        <v>3434</v>
      </c>
      <c r="Q140" s="26"/>
      <c r="S140" s="26"/>
    </row>
    <row r="141" spans="1:19" s="38" customFormat="1">
      <c r="A141" s="527">
        <v>137</v>
      </c>
      <c r="B141" s="495" t="s">
        <v>779</v>
      </c>
      <c r="C141" s="490" t="s">
        <v>119</v>
      </c>
      <c r="D141" s="491">
        <v>23562</v>
      </c>
      <c r="E141" s="684"/>
      <c r="F141" s="491">
        <v>22039.582399999999</v>
      </c>
      <c r="G141" s="684"/>
      <c r="H141" s="398"/>
      <c r="I141" s="398"/>
      <c r="J141" s="398"/>
      <c r="K141" s="56">
        <v>2015</v>
      </c>
      <c r="L141" s="59"/>
      <c r="M141" s="26"/>
      <c r="P141" s="38" t="s">
        <v>3451</v>
      </c>
      <c r="Q141" s="26"/>
      <c r="S141" s="26"/>
    </row>
    <row r="142" spans="1:19" s="38" customFormat="1">
      <c r="A142" s="527">
        <v>138</v>
      </c>
      <c r="B142" s="495" t="s">
        <v>3456</v>
      </c>
      <c r="C142" s="490" t="s">
        <v>119</v>
      </c>
      <c r="D142" s="491">
        <v>32392</v>
      </c>
      <c r="E142" s="684"/>
      <c r="F142" s="491">
        <v>52205.24319999999</v>
      </c>
      <c r="G142" s="684"/>
      <c r="H142" s="398"/>
      <c r="I142" s="398"/>
      <c r="J142" s="398"/>
      <c r="K142" s="56">
        <v>2015</v>
      </c>
      <c r="L142" s="59">
        <f>27900*1.1</f>
        <v>30690.000000000004</v>
      </c>
      <c r="M142" s="26"/>
      <c r="P142" s="38" t="s">
        <v>3450</v>
      </c>
      <c r="Q142" s="26"/>
      <c r="S142" s="26"/>
    </row>
    <row r="143" spans="1:19" s="38" customFormat="1">
      <c r="A143" s="527">
        <v>139</v>
      </c>
      <c r="B143" s="846" t="s">
        <v>3224</v>
      </c>
      <c r="C143" s="490" t="s">
        <v>32</v>
      </c>
      <c r="D143" s="918">
        <f>41551.23/25</f>
        <v>1662.0492000000002</v>
      </c>
      <c r="E143" s="692"/>
      <c r="F143" s="494">
        <f>15683.01/10</f>
        <v>1568.3009999999999</v>
      </c>
      <c r="G143" s="692"/>
      <c r="H143" s="402"/>
      <c r="I143" s="402"/>
      <c r="J143" s="402"/>
      <c r="K143" s="41"/>
      <c r="L143" s="2">
        <v>15573</v>
      </c>
      <c r="M143" s="26"/>
      <c r="P143" s="38" t="s">
        <v>3451</v>
      </c>
      <c r="Q143" s="26"/>
      <c r="S143" s="26"/>
    </row>
    <row r="144" spans="1:19" s="38" customFormat="1">
      <c r="A144" s="527">
        <v>140</v>
      </c>
      <c r="B144" s="495" t="s">
        <v>736</v>
      </c>
      <c r="C144" s="490" t="s">
        <v>32</v>
      </c>
      <c r="D144" s="918">
        <f>33677/25</f>
        <v>1347.08</v>
      </c>
      <c r="E144" s="684"/>
      <c r="F144" s="491">
        <f>+N144*1.16/25</f>
        <v>0</v>
      </c>
      <c r="G144" s="684"/>
      <c r="H144" s="402"/>
      <c r="I144" s="402"/>
      <c r="J144" s="402"/>
      <c r="K144" s="41"/>
      <c r="L144" s="2">
        <v>24231</v>
      </c>
      <c r="M144" s="26"/>
      <c r="P144" s="38" t="s">
        <v>3451</v>
      </c>
      <c r="Q144" s="26"/>
      <c r="S144" s="26"/>
    </row>
    <row r="145" spans="1:19" s="38" customFormat="1">
      <c r="A145" s="527">
        <v>141</v>
      </c>
      <c r="B145" s="523" t="s">
        <v>778</v>
      </c>
      <c r="C145" s="490" t="s">
        <v>32</v>
      </c>
      <c r="D145" s="491">
        <f>37842/25</f>
        <v>1513.68</v>
      </c>
      <c r="E145" s="692"/>
      <c r="F145" s="494">
        <f>37842/25</f>
        <v>1513.68</v>
      </c>
      <c r="G145" s="692"/>
      <c r="H145" s="402"/>
      <c r="I145" s="402"/>
      <c r="J145" s="402"/>
      <c r="K145" s="41"/>
      <c r="L145" s="2"/>
      <c r="M145" s="26"/>
      <c r="P145" s="38" t="s">
        <v>3453</v>
      </c>
      <c r="Q145" s="26"/>
      <c r="S145" s="26"/>
    </row>
    <row r="146" spans="1:19" s="38" customFormat="1">
      <c r="A146" s="527">
        <v>142</v>
      </c>
      <c r="B146" s="523" t="s">
        <v>3225</v>
      </c>
      <c r="C146" s="490" t="s">
        <v>32</v>
      </c>
      <c r="D146" s="491">
        <f>129493.42/10</f>
        <v>12949.342000000001</v>
      </c>
      <c r="E146" s="692"/>
      <c r="F146" s="494">
        <f>129493.42/10</f>
        <v>12949.342000000001</v>
      </c>
      <c r="G146" s="692"/>
      <c r="H146" s="498"/>
      <c r="I146" s="402"/>
      <c r="J146" s="402"/>
      <c r="K146" s="50"/>
      <c r="L146" s="2"/>
      <c r="M146" s="26"/>
      <c r="P146" s="38" t="s">
        <v>3451</v>
      </c>
      <c r="Q146" s="26"/>
      <c r="S146" s="26"/>
    </row>
    <row r="147" spans="1:19">
      <c r="A147" s="527">
        <v>143</v>
      </c>
      <c r="B147" s="495" t="s">
        <v>165</v>
      </c>
      <c r="C147" s="490" t="s">
        <v>119</v>
      </c>
      <c r="D147" s="491">
        <v>17764.716666666667</v>
      </c>
      <c r="E147" s="684"/>
      <c r="F147" s="491">
        <v>32631</v>
      </c>
      <c r="G147" s="684"/>
      <c r="H147" s="402"/>
      <c r="I147" s="402"/>
      <c r="J147" s="402"/>
      <c r="K147" s="41"/>
      <c r="L147" s="59">
        <v>17980</v>
      </c>
      <c r="M147" s="14"/>
      <c r="N147" s="61"/>
      <c r="O147" s="61"/>
      <c r="P147" s="38" t="s">
        <v>3451</v>
      </c>
    </row>
    <row r="148" spans="1:19">
      <c r="A148" s="527">
        <v>144</v>
      </c>
      <c r="B148" s="495" t="s">
        <v>3454</v>
      </c>
      <c r="C148" s="490" t="s">
        <v>119</v>
      </c>
      <c r="D148" s="491">
        <v>38671.43</v>
      </c>
      <c r="E148" s="684"/>
      <c r="F148" s="491">
        <v>32631</v>
      </c>
      <c r="G148" s="684"/>
      <c r="H148" s="402"/>
      <c r="I148" s="402"/>
      <c r="J148" s="402"/>
      <c r="K148" s="41"/>
      <c r="L148" s="59"/>
      <c r="M148" s="14"/>
      <c r="N148" s="61"/>
      <c r="O148" s="61"/>
      <c r="P148" s="38" t="s">
        <v>3451</v>
      </c>
    </row>
    <row r="149" spans="1:19">
      <c r="A149" s="527">
        <v>145</v>
      </c>
      <c r="B149" s="495" t="s">
        <v>375</v>
      </c>
      <c r="C149" s="490" t="s">
        <v>119</v>
      </c>
      <c r="D149" s="491">
        <v>15649.69</v>
      </c>
      <c r="E149" s="684"/>
      <c r="F149" s="491">
        <f>+N149*1.16</f>
        <v>0</v>
      </c>
      <c r="G149" s="684"/>
      <c r="H149" s="402"/>
      <c r="I149" s="402"/>
      <c r="J149" s="402"/>
      <c r="K149" s="41"/>
      <c r="L149" s="59">
        <v>14300</v>
      </c>
      <c r="M149" s="14"/>
      <c r="N149" s="61"/>
      <c r="O149" s="61"/>
      <c r="P149" s="38" t="s">
        <v>3451</v>
      </c>
    </row>
    <row r="150" spans="1:19">
      <c r="A150" s="527">
        <v>146</v>
      </c>
      <c r="B150" s="495" t="s">
        <v>3455</v>
      </c>
      <c r="C150" s="490" t="s">
        <v>119</v>
      </c>
      <c r="D150" s="491">
        <f>+L150*1.16</f>
        <v>36695.207999999999</v>
      </c>
      <c r="E150" s="684"/>
      <c r="F150" s="491">
        <f>+N150*1.16</f>
        <v>0</v>
      </c>
      <c r="G150" s="684"/>
      <c r="H150" s="402"/>
      <c r="I150" s="402"/>
      <c r="J150" s="402"/>
      <c r="K150" s="50"/>
      <c r="L150" s="59">
        <f>28758*1.1</f>
        <v>31633.800000000003</v>
      </c>
      <c r="P150" s="38" t="s">
        <v>3451</v>
      </c>
    </row>
    <row r="151" spans="1:19">
      <c r="A151" s="527">
        <v>147</v>
      </c>
      <c r="B151" s="525" t="s">
        <v>426</v>
      </c>
      <c r="C151" s="490" t="s">
        <v>32</v>
      </c>
      <c r="D151" s="491">
        <f>24395/5</f>
        <v>4879</v>
      </c>
      <c r="E151" s="692"/>
      <c r="F151" s="494">
        <f>21003.5/5</f>
        <v>4200.7</v>
      </c>
      <c r="G151" s="692"/>
      <c r="H151" s="398"/>
      <c r="I151" s="398"/>
      <c r="J151" s="398"/>
      <c r="K151" s="50"/>
      <c r="L151" s="59"/>
      <c r="P151" s="38" t="s">
        <v>3451</v>
      </c>
    </row>
    <row r="152" spans="1:19">
      <c r="A152" s="527">
        <v>148</v>
      </c>
      <c r="B152" s="495" t="s">
        <v>415</v>
      </c>
      <c r="C152" s="490" t="s">
        <v>32</v>
      </c>
      <c r="D152" s="491">
        <f>12060.65/5</f>
        <v>2412.13</v>
      </c>
      <c r="E152" s="692"/>
      <c r="F152" s="494">
        <f>12060.65/5</f>
        <v>2412.13</v>
      </c>
      <c r="G152" s="692"/>
      <c r="H152" s="398"/>
      <c r="I152" s="398"/>
      <c r="J152" s="398"/>
      <c r="K152" s="50"/>
      <c r="L152" s="59"/>
      <c r="P152" s="38" t="s">
        <v>3451</v>
      </c>
    </row>
    <row r="153" spans="1:19">
      <c r="A153" s="527">
        <v>149</v>
      </c>
      <c r="B153" s="495" t="s">
        <v>365</v>
      </c>
      <c r="C153" s="490" t="s">
        <v>119</v>
      </c>
      <c r="D153" s="491">
        <v>46980</v>
      </c>
      <c r="E153" s="684"/>
      <c r="F153" s="491">
        <v>46980</v>
      </c>
      <c r="G153" s="684"/>
      <c r="H153" s="402"/>
      <c r="I153" s="402"/>
      <c r="J153" s="402"/>
      <c r="K153" s="50"/>
      <c r="L153" s="59"/>
      <c r="P153" s="38" t="s">
        <v>3450</v>
      </c>
    </row>
    <row r="154" spans="1:19" s="37" customFormat="1">
      <c r="A154" s="527">
        <v>150</v>
      </c>
      <c r="B154" s="495" t="s">
        <v>207</v>
      </c>
      <c r="C154" s="490" t="s">
        <v>82</v>
      </c>
      <c r="D154" s="491">
        <v>1975.4</v>
      </c>
      <c r="E154" s="692"/>
      <c r="F154" s="494">
        <v>1975.4</v>
      </c>
      <c r="G154" s="692"/>
      <c r="H154" s="498"/>
      <c r="I154" s="402"/>
      <c r="J154" s="402"/>
      <c r="K154" s="41"/>
      <c r="L154" s="59"/>
      <c r="M154" s="26"/>
      <c r="N154" s="38"/>
      <c r="O154" s="38"/>
      <c r="P154" s="38" t="s">
        <v>3451</v>
      </c>
      <c r="Q154" s="26"/>
      <c r="S154" s="26"/>
    </row>
    <row r="155" spans="1:19" s="37" customFormat="1">
      <c r="A155" s="527">
        <v>151</v>
      </c>
      <c r="B155" s="495" t="s">
        <v>596</v>
      </c>
      <c r="C155" s="490" t="s">
        <v>21</v>
      </c>
      <c r="D155" s="491">
        <f>41759.48/3</f>
        <v>13919.826666666668</v>
      </c>
      <c r="E155" s="692"/>
      <c r="F155" s="494">
        <f>34658.75/3</f>
        <v>11552.916666666666</v>
      </c>
      <c r="G155" s="692"/>
      <c r="H155" s="402"/>
      <c r="I155" s="402"/>
      <c r="J155" s="402"/>
      <c r="K155" s="41"/>
      <c r="L155" s="59"/>
      <c r="M155" s="26"/>
      <c r="N155" s="38"/>
      <c r="O155" s="38"/>
      <c r="P155" s="38" t="s">
        <v>3451</v>
      </c>
      <c r="Q155" s="26"/>
      <c r="S155" s="26"/>
    </row>
    <row r="156" spans="1:19" s="37" customFormat="1">
      <c r="A156" s="527">
        <v>152</v>
      </c>
      <c r="B156" s="495" t="s">
        <v>782</v>
      </c>
      <c r="C156" s="490" t="s">
        <v>21</v>
      </c>
      <c r="D156" s="491">
        <f>+L156/3</f>
        <v>17159.88</v>
      </c>
      <c r="E156" s="684"/>
      <c r="F156" s="491">
        <f>+N156/3</f>
        <v>0</v>
      </c>
      <c r="G156" s="684"/>
      <c r="H156" s="402"/>
      <c r="I156" s="402"/>
      <c r="J156" s="402"/>
      <c r="K156" s="50"/>
      <c r="L156" s="59">
        <f>44379*1.16</f>
        <v>51479.64</v>
      </c>
      <c r="M156" s="26"/>
      <c r="N156" s="38"/>
      <c r="O156" s="38"/>
      <c r="P156" s="38" t="s">
        <v>3450</v>
      </c>
      <c r="Q156" s="26"/>
      <c r="S156" s="26"/>
    </row>
    <row r="157" spans="1:19" s="37" customFormat="1">
      <c r="A157" s="527">
        <v>153</v>
      </c>
      <c r="B157" s="495" t="s">
        <v>379</v>
      </c>
      <c r="C157" s="490" t="s">
        <v>26</v>
      </c>
      <c r="D157" s="491">
        <f>14666.75/6</f>
        <v>2444.4583333333335</v>
      </c>
      <c r="E157" s="684"/>
      <c r="F157" s="491">
        <f>+N157*1.16</f>
        <v>0</v>
      </c>
      <c r="G157" s="684"/>
      <c r="H157" s="402"/>
      <c r="I157" s="402"/>
      <c r="J157" s="402"/>
      <c r="K157" s="50"/>
      <c r="L157" s="59"/>
      <c r="M157" s="26"/>
      <c r="N157" s="38"/>
      <c r="O157" s="38"/>
      <c r="P157" s="38" t="s">
        <v>3451</v>
      </c>
      <c r="Q157" s="26"/>
      <c r="S157" s="26"/>
    </row>
    <row r="158" spans="1:19">
      <c r="A158" s="527">
        <v>154</v>
      </c>
      <c r="B158" s="495" t="s">
        <v>547</v>
      </c>
      <c r="C158" s="490" t="s">
        <v>26</v>
      </c>
      <c r="D158" s="918">
        <v>703</v>
      </c>
      <c r="E158" s="693"/>
      <c r="F158" s="496">
        <v>703</v>
      </c>
      <c r="G158" s="693"/>
      <c r="H158" s="343"/>
      <c r="I158" s="343"/>
      <c r="J158" s="343"/>
      <c r="K158" s="59"/>
      <c r="L158" s="2">
        <v>368</v>
      </c>
      <c r="P158" s="38" t="s">
        <v>3450</v>
      </c>
    </row>
    <row r="159" spans="1:19">
      <c r="A159" s="527">
        <v>155</v>
      </c>
      <c r="B159" s="495" t="s">
        <v>738</v>
      </c>
      <c r="C159" s="490" t="s">
        <v>29</v>
      </c>
      <c r="D159" s="918">
        <f>22683/6</f>
        <v>3780.5</v>
      </c>
      <c r="E159" s="693"/>
      <c r="F159" s="496">
        <f>22683/6</f>
        <v>3780.5</v>
      </c>
      <c r="G159" s="693"/>
      <c r="H159" s="343"/>
      <c r="I159" s="343"/>
      <c r="J159" s="343"/>
      <c r="K159" s="59"/>
      <c r="L159" s="2">
        <v>1939.5</v>
      </c>
      <c r="P159" s="38" t="s">
        <v>3450</v>
      </c>
    </row>
    <row r="160" spans="1:19">
      <c r="A160" s="527">
        <v>156</v>
      </c>
      <c r="B160" s="495" t="s">
        <v>56</v>
      </c>
      <c r="C160" s="490" t="s">
        <v>26</v>
      </c>
      <c r="D160" s="918">
        <v>976</v>
      </c>
      <c r="E160" s="693"/>
      <c r="F160" s="496">
        <v>976</v>
      </c>
      <c r="G160" s="693"/>
      <c r="H160" s="343"/>
      <c r="I160" s="343"/>
      <c r="J160" s="343"/>
      <c r="K160" s="59"/>
      <c r="L160" s="2"/>
      <c r="P160" s="38" t="s">
        <v>3450</v>
      </c>
    </row>
    <row r="161" spans="1:19">
      <c r="A161" s="527">
        <v>157</v>
      </c>
      <c r="B161" s="846" t="s">
        <v>56</v>
      </c>
      <c r="C161" s="847" t="s">
        <v>26</v>
      </c>
      <c r="D161" s="935">
        <v>751</v>
      </c>
      <c r="E161" s="693"/>
      <c r="F161" s="496">
        <v>976</v>
      </c>
      <c r="G161" s="693"/>
      <c r="H161" s="343"/>
      <c r="I161" s="343"/>
      <c r="J161" s="343"/>
      <c r="K161" s="59"/>
      <c r="L161" s="2">
        <v>510</v>
      </c>
      <c r="P161" s="38" t="s">
        <v>3450</v>
      </c>
    </row>
    <row r="162" spans="1:19">
      <c r="A162" s="527">
        <v>158</v>
      </c>
      <c r="B162" s="846" t="s">
        <v>384</v>
      </c>
      <c r="C162" s="847" t="s">
        <v>26</v>
      </c>
      <c r="D162" s="935">
        <v>742.56</v>
      </c>
      <c r="E162" s="693"/>
      <c r="F162" s="496">
        <v>868</v>
      </c>
      <c r="G162" s="693"/>
      <c r="H162" s="343"/>
      <c r="I162" s="343"/>
      <c r="J162" s="343"/>
      <c r="K162" s="59"/>
      <c r="L162" s="2">
        <v>453</v>
      </c>
      <c r="P162" s="38" t="s">
        <v>3451</v>
      </c>
    </row>
    <row r="163" spans="1:19">
      <c r="A163" s="527">
        <v>159</v>
      </c>
      <c r="B163" s="846" t="s">
        <v>385</v>
      </c>
      <c r="C163" s="847" t="s">
        <v>26</v>
      </c>
      <c r="D163" s="935">
        <v>462.91</v>
      </c>
      <c r="E163" s="693"/>
      <c r="F163" s="496">
        <v>541</v>
      </c>
      <c r="G163" s="693"/>
      <c r="H163" s="343"/>
      <c r="I163" s="343"/>
      <c r="J163" s="343"/>
      <c r="K163" s="59"/>
      <c r="L163" s="2">
        <v>282</v>
      </c>
      <c r="P163" s="38" t="s">
        <v>3451</v>
      </c>
    </row>
    <row r="164" spans="1:19">
      <c r="A164" s="527">
        <v>160</v>
      </c>
      <c r="B164" s="846" t="s">
        <v>386</v>
      </c>
      <c r="C164" s="847" t="s">
        <v>26</v>
      </c>
      <c r="D164" s="935">
        <v>409.36</v>
      </c>
      <c r="E164" s="693"/>
      <c r="F164" s="496">
        <v>480</v>
      </c>
      <c r="G164" s="693"/>
      <c r="H164" s="343"/>
      <c r="I164" s="343"/>
      <c r="J164" s="343"/>
      <c r="K164" s="59"/>
      <c r="L164" s="2">
        <v>250</v>
      </c>
      <c r="P164" s="38" t="s">
        <v>3451</v>
      </c>
    </row>
    <row r="165" spans="1:19">
      <c r="A165" s="527">
        <v>161</v>
      </c>
      <c r="B165" s="846" t="s">
        <v>387</v>
      </c>
      <c r="C165" s="847" t="s">
        <v>26</v>
      </c>
      <c r="D165" s="935">
        <v>1857.59</v>
      </c>
      <c r="E165" s="693"/>
      <c r="F165" s="496">
        <v>2173</v>
      </c>
      <c r="G165" s="693"/>
      <c r="H165" s="343"/>
      <c r="I165" s="343"/>
      <c r="J165" s="343"/>
      <c r="K165" s="59"/>
      <c r="L165" s="2">
        <v>1136</v>
      </c>
      <c r="P165" s="38" t="s">
        <v>3451</v>
      </c>
    </row>
    <row r="166" spans="1:19">
      <c r="A166" s="527">
        <v>162</v>
      </c>
      <c r="B166" s="846" t="s">
        <v>388</v>
      </c>
      <c r="C166" s="847" t="s">
        <v>26</v>
      </c>
      <c r="D166" s="935">
        <v>1551.76</v>
      </c>
      <c r="E166" s="693"/>
      <c r="F166" s="496">
        <v>1816</v>
      </c>
      <c r="G166" s="693"/>
      <c r="H166" s="343"/>
      <c r="I166" s="343"/>
      <c r="J166" s="343"/>
      <c r="K166" s="59"/>
      <c r="L166" s="2">
        <v>949</v>
      </c>
      <c r="P166" s="38" t="s">
        <v>3451</v>
      </c>
    </row>
    <row r="167" spans="1:19">
      <c r="A167" s="527">
        <v>163</v>
      </c>
      <c r="B167" s="846" t="s">
        <v>84</v>
      </c>
      <c r="C167" s="847" t="s">
        <v>21</v>
      </c>
      <c r="D167" s="935">
        <v>10576.72</v>
      </c>
      <c r="E167" s="693"/>
      <c r="F167" s="496">
        <f>74864/6</f>
        <v>12477.333333333334</v>
      </c>
      <c r="G167" s="693"/>
      <c r="H167" s="343"/>
      <c r="I167" s="343"/>
      <c r="J167" s="343"/>
      <c r="K167" s="59"/>
      <c r="L167" s="2">
        <f>38412/6</f>
        <v>6402</v>
      </c>
    </row>
    <row r="168" spans="1:19">
      <c r="A168" s="527">
        <v>164</v>
      </c>
      <c r="B168" s="846" t="s">
        <v>85</v>
      </c>
      <c r="C168" s="847" t="s">
        <v>26</v>
      </c>
      <c r="D168" s="935">
        <v>6673.52</v>
      </c>
      <c r="E168" s="693"/>
      <c r="F168" s="496">
        <v>7809</v>
      </c>
      <c r="G168" s="693"/>
      <c r="H168" s="343"/>
      <c r="I168" s="343"/>
      <c r="J168" s="343"/>
      <c r="K168" s="59"/>
      <c r="L168" s="2">
        <v>4082</v>
      </c>
      <c r="P168" s="38" t="s">
        <v>3451</v>
      </c>
    </row>
    <row r="169" spans="1:19">
      <c r="A169" s="527">
        <v>165</v>
      </c>
      <c r="B169" s="846" t="s">
        <v>86</v>
      </c>
      <c r="C169" s="847" t="s">
        <v>26</v>
      </c>
      <c r="D169" s="935">
        <v>2454.9699999999998</v>
      </c>
      <c r="E169" s="693"/>
      <c r="F169" s="496">
        <v>2104</v>
      </c>
      <c r="G169" s="693"/>
      <c r="H169" s="343"/>
      <c r="I169" s="343"/>
      <c r="J169" s="343"/>
      <c r="K169" s="59"/>
      <c r="L169" s="2">
        <v>1501</v>
      </c>
      <c r="P169" s="38" t="s">
        <v>3451</v>
      </c>
    </row>
    <row r="170" spans="1:19" s="37" customFormat="1">
      <c r="A170" s="527">
        <v>166</v>
      </c>
      <c r="B170" s="846" t="s">
        <v>87</v>
      </c>
      <c r="C170" s="847" t="s">
        <v>21</v>
      </c>
      <c r="D170" s="935">
        <v>5914.5</v>
      </c>
      <c r="E170" s="693"/>
      <c r="F170" s="496">
        <f>46088/6</f>
        <v>7681.333333333333</v>
      </c>
      <c r="G170" s="693"/>
      <c r="H170" s="343"/>
      <c r="I170" s="343"/>
      <c r="J170" s="343"/>
      <c r="K170" s="59"/>
      <c r="L170" s="2">
        <f>23646/6</f>
        <v>3941</v>
      </c>
      <c r="M170" s="26"/>
      <c r="N170" s="38"/>
      <c r="O170" s="38"/>
      <c r="P170" s="38" t="s">
        <v>3450</v>
      </c>
      <c r="Q170" s="26"/>
      <c r="S170" s="26"/>
    </row>
    <row r="171" spans="1:19" s="37" customFormat="1">
      <c r="A171" s="527">
        <v>167</v>
      </c>
      <c r="B171" s="846" t="s">
        <v>88</v>
      </c>
      <c r="C171" s="847" t="s">
        <v>26</v>
      </c>
      <c r="D171" s="935">
        <v>1859.97</v>
      </c>
      <c r="E171" s="693"/>
      <c r="F171" s="496">
        <v>2176</v>
      </c>
      <c r="G171" s="693"/>
      <c r="H171" s="343"/>
      <c r="I171" s="343"/>
      <c r="J171" s="343"/>
      <c r="K171" s="59"/>
      <c r="L171" s="2">
        <v>1137</v>
      </c>
      <c r="M171" s="26"/>
      <c r="N171" s="38"/>
      <c r="O171" s="38"/>
      <c r="P171" s="38" t="s">
        <v>3451</v>
      </c>
      <c r="Q171" s="26"/>
      <c r="S171" s="26"/>
    </row>
    <row r="172" spans="1:19" s="37" customFormat="1">
      <c r="A172" s="527">
        <v>168</v>
      </c>
      <c r="B172" s="846" t="s">
        <v>89</v>
      </c>
      <c r="C172" s="847" t="s">
        <v>26</v>
      </c>
      <c r="D172" s="935">
        <v>981.75</v>
      </c>
      <c r="E172" s="693"/>
      <c r="F172" s="496">
        <v>1148</v>
      </c>
      <c r="G172" s="693"/>
      <c r="H172" s="343"/>
      <c r="I172" s="343"/>
      <c r="J172" s="343"/>
      <c r="K172" s="59"/>
      <c r="L172" s="2">
        <v>600</v>
      </c>
      <c r="M172" s="26"/>
      <c r="N172" s="38"/>
      <c r="O172" s="38"/>
      <c r="P172" s="38" t="s">
        <v>3451</v>
      </c>
      <c r="Q172" s="26"/>
      <c r="S172" s="26"/>
    </row>
    <row r="173" spans="1:19" s="37" customFormat="1">
      <c r="A173" s="527">
        <v>169</v>
      </c>
      <c r="B173" s="846" t="s">
        <v>90</v>
      </c>
      <c r="C173" s="847" t="s">
        <v>26</v>
      </c>
      <c r="D173" s="935">
        <v>19719.490000000002</v>
      </c>
      <c r="E173" s="693"/>
      <c r="F173" s="496">
        <v>23073</v>
      </c>
      <c r="G173" s="693"/>
      <c r="H173" s="343"/>
      <c r="I173" s="343"/>
      <c r="J173" s="343"/>
      <c r="K173" s="59"/>
      <c r="L173" s="2">
        <v>12061</v>
      </c>
      <c r="M173" s="26"/>
      <c r="N173" s="38"/>
      <c r="O173" s="38"/>
      <c r="P173" s="38" t="s">
        <v>3451</v>
      </c>
      <c r="Q173" s="26"/>
      <c r="S173" s="26"/>
    </row>
    <row r="174" spans="1:19" s="37" customFormat="1">
      <c r="A174" s="527">
        <v>170</v>
      </c>
      <c r="B174" s="846" t="s">
        <v>598</v>
      </c>
      <c r="C174" s="847" t="s">
        <v>26</v>
      </c>
      <c r="D174" s="935">
        <v>4023.39</v>
      </c>
      <c r="E174" s="693"/>
      <c r="F174" s="496">
        <v>4708</v>
      </c>
      <c r="G174" s="693"/>
      <c r="H174" s="343"/>
      <c r="I174" s="343"/>
      <c r="J174" s="343"/>
      <c r="K174" s="59"/>
      <c r="L174" s="2">
        <v>2461</v>
      </c>
      <c r="M174" s="26"/>
      <c r="N174" s="38"/>
      <c r="O174" s="38"/>
      <c r="P174" s="38" t="s">
        <v>3451</v>
      </c>
      <c r="Q174" s="26"/>
      <c r="S174" s="26"/>
    </row>
    <row r="175" spans="1:19" s="37" customFormat="1">
      <c r="A175" s="527">
        <v>171</v>
      </c>
      <c r="B175" s="846" t="s">
        <v>599</v>
      </c>
      <c r="C175" s="847" t="s">
        <v>21</v>
      </c>
      <c r="D175" s="935">
        <v>16219.7</v>
      </c>
      <c r="E175" s="693"/>
      <c r="F175" s="496">
        <f>114800/6</f>
        <v>19133.333333333332</v>
      </c>
      <c r="G175" s="693"/>
      <c r="H175" s="343"/>
      <c r="I175" s="343"/>
      <c r="J175" s="343"/>
      <c r="K175" s="59"/>
      <c r="L175" s="2">
        <f>58902/6</f>
        <v>9817</v>
      </c>
      <c r="M175" s="26"/>
      <c r="N175" s="38"/>
      <c r="O175" s="38"/>
      <c r="P175" s="38" t="s">
        <v>3451</v>
      </c>
      <c r="Q175" s="26"/>
      <c r="S175" s="26"/>
    </row>
    <row r="176" spans="1:19" s="37" customFormat="1">
      <c r="A176" s="527">
        <v>172</v>
      </c>
      <c r="B176" s="846" t="s">
        <v>597</v>
      </c>
      <c r="C176" s="847" t="s">
        <v>26</v>
      </c>
      <c r="D176" s="935">
        <v>10937.29</v>
      </c>
      <c r="E176" s="693"/>
      <c r="F176" s="496">
        <v>12796</v>
      </c>
      <c r="G176" s="693"/>
      <c r="H176" s="343"/>
      <c r="I176" s="343"/>
      <c r="J176" s="343"/>
      <c r="K176" s="59"/>
      <c r="L176" s="2">
        <v>6689</v>
      </c>
      <c r="M176" s="26"/>
      <c r="N176" s="38"/>
      <c r="O176" s="38"/>
      <c r="P176" s="38" t="s">
        <v>3451</v>
      </c>
      <c r="Q176" s="26"/>
      <c r="S176" s="26"/>
    </row>
    <row r="177" spans="1:19" s="37" customFormat="1">
      <c r="A177" s="527">
        <v>173</v>
      </c>
      <c r="B177" s="846" t="s">
        <v>91</v>
      </c>
      <c r="C177" s="847" t="s">
        <v>26</v>
      </c>
      <c r="D177" s="935">
        <v>40761.07</v>
      </c>
      <c r="E177" s="693"/>
      <c r="F177" s="496">
        <v>47693</v>
      </c>
      <c r="G177" s="693"/>
      <c r="H177" s="343"/>
      <c r="I177" s="343"/>
      <c r="J177" s="343"/>
      <c r="K177" s="59"/>
      <c r="L177" s="2">
        <v>24931</v>
      </c>
      <c r="M177" s="26"/>
      <c r="N177" s="38"/>
      <c r="O177" s="38"/>
      <c r="P177" s="38" t="s">
        <v>3451</v>
      </c>
      <c r="Q177" s="26"/>
      <c r="S177" s="26"/>
    </row>
    <row r="178" spans="1:19" s="37" customFormat="1">
      <c r="A178" s="527">
        <v>174</v>
      </c>
      <c r="B178" s="846" t="s">
        <v>92</v>
      </c>
      <c r="C178" s="847" t="s">
        <v>21</v>
      </c>
      <c r="D178" s="935">
        <v>35095.480000000003</v>
      </c>
      <c r="E178" s="693"/>
      <c r="F178" s="496">
        <f>248406/6</f>
        <v>41401</v>
      </c>
      <c r="G178" s="693"/>
      <c r="H178" s="343"/>
      <c r="I178" s="343"/>
      <c r="J178" s="343"/>
      <c r="K178" s="59"/>
      <c r="L178" s="2">
        <f>127452/6</f>
        <v>21242</v>
      </c>
      <c r="M178" s="26"/>
      <c r="N178" s="38"/>
      <c r="O178" s="38"/>
      <c r="P178" s="38" t="s">
        <v>3451</v>
      </c>
      <c r="Q178" s="26"/>
      <c r="S178" s="26"/>
    </row>
    <row r="179" spans="1:19" s="37" customFormat="1">
      <c r="A179" s="527">
        <v>175</v>
      </c>
      <c r="B179" s="846" t="s">
        <v>93</v>
      </c>
      <c r="C179" s="847" t="s">
        <v>26</v>
      </c>
      <c r="D179" s="935">
        <v>595</v>
      </c>
      <c r="E179" s="693"/>
      <c r="F179" s="496">
        <v>696</v>
      </c>
      <c r="G179" s="693"/>
      <c r="H179" s="343"/>
      <c r="I179" s="343"/>
      <c r="J179" s="343"/>
      <c r="K179" s="59"/>
      <c r="L179" s="2">
        <v>363</v>
      </c>
      <c r="M179" s="26"/>
      <c r="N179" s="38"/>
      <c r="O179" s="38"/>
      <c r="P179" s="38" t="s">
        <v>3451</v>
      </c>
      <c r="Q179" s="26"/>
      <c r="S179" s="26"/>
    </row>
    <row r="180" spans="1:19" s="37" customFormat="1">
      <c r="A180" s="527">
        <v>176</v>
      </c>
      <c r="B180" s="846" t="s">
        <v>94</v>
      </c>
      <c r="C180" s="847" t="s">
        <v>21</v>
      </c>
      <c r="D180" s="935">
        <f>21531.86/6</f>
        <v>3588.6433333333334</v>
      </c>
      <c r="E180" s="693"/>
      <c r="F180" s="496">
        <f>25656/6</f>
        <v>4276</v>
      </c>
      <c r="G180" s="693"/>
      <c r="H180" s="343"/>
      <c r="I180" s="343"/>
      <c r="J180" s="343"/>
      <c r="K180" s="59"/>
      <c r="L180" s="2">
        <f>13163/6</f>
        <v>2193.8333333333335</v>
      </c>
      <c r="M180" s="26"/>
      <c r="N180" s="38"/>
      <c r="O180" s="38"/>
      <c r="P180" s="38" t="s">
        <v>3451</v>
      </c>
      <c r="Q180" s="26"/>
      <c r="S180" s="26"/>
    </row>
    <row r="181" spans="1:19" s="37" customFormat="1">
      <c r="A181" s="527">
        <v>177</v>
      </c>
      <c r="B181" s="846" t="s">
        <v>95</v>
      </c>
      <c r="C181" s="847" t="s">
        <v>21</v>
      </c>
      <c r="D181" s="935">
        <f>28669.48/6</f>
        <v>4778.2466666666669</v>
      </c>
      <c r="E181" s="693"/>
      <c r="F181" s="496">
        <f>34160/6</f>
        <v>5693.333333333333</v>
      </c>
      <c r="G181" s="693"/>
      <c r="H181" s="343"/>
      <c r="I181" s="343"/>
      <c r="J181" s="343"/>
      <c r="K181" s="59"/>
      <c r="L181" s="2">
        <f>17526/6</f>
        <v>2921</v>
      </c>
      <c r="M181" s="26"/>
      <c r="N181" s="38"/>
      <c r="O181" s="38"/>
      <c r="P181" s="38" t="s">
        <v>3451</v>
      </c>
      <c r="Q181" s="26"/>
      <c r="S181" s="26"/>
    </row>
    <row r="182" spans="1:19" s="37" customFormat="1">
      <c r="A182" s="527">
        <v>178</v>
      </c>
      <c r="B182" s="846" t="s">
        <v>98</v>
      </c>
      <c r="C182" s="847" t="s">
        <v>26</v>
      </c>
      <c r="D182" s="935">
        <v>595</v>
      </c>
      <c r="E182" s="693"/>
      <c r="F182" s="496">
        <v>1113</v>
      </c>
      <c r="G182" s="693"/>
      <c r="H182" s="343"/>
      <c r="I182" s="343"/>
      <c r="J182" s="343"/>
      <c r="K182" s="59"/>
      <c r="L182" s="2">
        <v>581</v>
      </c>
      <c r="M182" s="26"/>
      <c r="N182" s="38"/>
      <c r="O182" s="38"/>
      <c r="P182" s="38" t="s">
        <v>3451</v>
      </c>
      <c r="Q182" s="26"/>
      <c r="S182" s="26"/>
    </row>
    <row r="183" spans="1:19" s="37" customFormat="1">
      <c r="A183" s="527">
        <v>179</v>
      </c>
      <c r="B183" s="846" t="s">
        <v>556</v>
      </c>
      <c r="C183" s="847" t="s">
        <v>21</v>
      </c>
      <c r="D183" s="935">
        <f>440492.78/6</f>
        <v>73415.463333333333</v>
      </c>
      <c r="E183" s="693"/>
      <c r="F183" s="496">
        <f>489844/6</f>
        <v>81640.666666666672</v>
      </c>
      <c r="G183" s="693"/>
      <c r="H183" s="343"/>
      <c r="I183" s="343"/>
      <c r="J183" s="343"/>
      <c r="K183" s="59"/>
      <c r="L183" s="2">
        <f>226865/6</f>
        <v>37810.833333333336</v>
      </c>
      <c r="M183" s="26"/>
      <c r="N183" s="38"/>
      <c r="O183" s="38"/>
      <c r="P183" s="38" t="s">
        <v>3451</v>
      </c>
      <c r="Q183" s="26"/>
      <c r="S183" s="26"/>
    </row>
    <row r="184" spans="1:19" s="37" customFormat="1">
      <c r="A184" s="527">
        <v>180</v>
      </c>
      <c r="B184" s="846" t="s">
        <v>557</v>
      </c>
      <c r="C184" s="847" t="s">
        <v>26</v>
      </c>
      <c r="D184" s="935">
        <v>20790.490000000002</v>
      </c>
      <c r="E184" s="693"/>
      <c r="F184" s="496">
        <v>22705</v>
      </c>
      <c r="G184" s="693"/>
      <c r="H184" s="343"/>
      <c r="I184" s="343"/>
      <c r="J184" s="343"/>
      <c r="K184" s="59"/>
      <c r="L184" s="2">
        <v>11293</v>
      </c>
      <c r="M184" s="26"/>
      <c r="N184" s="38"/>
      <c r="O184" s="38"/>
      <c r="P184" s="38" t="s">
        <v>3451</v>
      </c>
      <c r="Q184" s="26"/>
      <c r="S184" s="26"/>
    </row>
    <row r="185" spans="1:19" ht="25.5">
      <c r="A185" s="527">
        <v>181</v>
      </c>
      <c r="B185" s="495" t="s">
        <v>3457</v>
      </c>
      <c r="C185" s="490" t="s">
        <v>236</v>
      </c>
      <c r="D185" s="491">
        <v>180000</v>
      </c>
      <c r="E185" s="684"/>
      <c r="F185" s="491">
        <f>+N185*1.16*1.06</f>
        <v>0</v>
      </c>
      <c r="G185" s="684"/>
      <c r="H185" s="398"/>
      <c r="I185" s="398"/>
      <c r="J185" s="398"/>
      <c r="K185" s="41"/>
      <c r="L185" s="59"/>
    </row>
    <row r="186" spans="1:19" ht="25.5">
      <c r="A186" s="527">
        <v>182</v>
      </c>
      <c r="B186" s="495" t="s">
        <v>417</v>
      </c>
      <c r="C186" s="490" t="s">
        <v>236</v>
      </c>
      <c r="D186" s="491">
        <v>210000</v>
      </c>
      <c r="E186" s="684"/>
      <c r="F186" s="491">
        <f t="shared" ref="F186:F190" si="0">+N186*1.16</f>
        <v>0</v>
      </c>
      <c r="G186" s="684"/>
      <c r="H186" s="398"/>
      <c r="I186" s="398"/>
      <c r="J186" s="398"/>
      <c r="K186" s="41"/>
      <c r="L186" s="59">
        <v>150000</v>
      </c>
    </row>
    <row r="187" spans="1:19" ht="25.5">
      <c r="A187" s="527">
        <v>183</v>
      </c>
      <c r="B187" s="495" t="s">
        <v>418</v>
      </c>
      <c r="C187" s="490" t="s">
        <v>236</v>
      </c>
      <c r="D187" s="491">
        <f t="shared" ref="D187:D189" si="1">+L187*1.16</f>
        <v>417600</v>
      </c>
      <c r="E187" s="684"/>
      <c r="F187" s="491">
        <f t="shared" si="0"/>
        <v>0</v>
      </c>
      <c r="G187" s="684"/>
      <c r="H187" s="398"/>
      <c r="I187" s="398"/>
      <c r="J187" s="398"/>
      <c r="K187" s="41"/>
      <c r="L187" s="59">
        <v>360000</v>
      </c>
      <c r="P187" s="38" t="s">
        <v>3452</v>
      </c>
    </row>
    <row r="188" spans="1:19" ht="25.5">
      <c r="A188" s="527">
        <v>184</v>
      </c>
      <c r="B188" s="495" t="s">
        <v>420</v>
      </c>
      <c r="C188" s="490" t="s">
        <v>236</v>
      </c>
      <c r="D188" s="491">
        <v>560000</v>
      </c>
      <c r="E188" s="684"/>
      <c r="F188" s="491">
        <f t="shared" si="0"/>
        <v>0</v>
      </c>
      <c r="G188" s="684"/>
      <c r="H188" s="398"/>
      <c r="I188" s="398"/>
      <c r="J188" s="398"/>
      <c r="K188" s="41"/>
      <c r="L188" s="59">
        <v>480000</v>
      </c>
    </row>
    <row r="189" spans="1:19" ht="25.5">
      <c r="A189" s="527">
        <v>185</v>
      </c>
      <c r="B189" s="495" t="s">
        <v>419</v>
      </c>
      <c r="C189" s="490" t="s">
        <v>236</v>
      </c>
      <c r="D189" s="491">
        <f t="shared" si="1"/>
        <v>696000</v>
      </c>
      <c r="E189" s="684"/>
      <c r="F189" s="491">
        <f t="shared" si="0"/>
        <v>0</v>
      </c>
      <c r="G189" s="684"/>
      <c r="H189" s="398"/>
      <c r="I189" s="398"/>
      <c r="J189" s="398"/>
      <c r="K189" s="41"/>
      <c r="L189" s="59">
        <v>600000</v>
      </c>
      <c r="P189" s="38" t="s">
        <v>3450</v>
      </c>
    </row>
    <row r="190" spans="1:19">
      <c r="A190" s="527">
        <v>186</v>
      </c>
      <c r="B190" s="495" t="s">
        <v>421</v>
      </c>
      <c r="C190" s="490" t="s">
        <v>236</v>
      </c>
      <c r="D190" s="491">
        <v>800000</v>
      </c>
      <c r="E190" s="684"/>
      <c r="F190" s="491">
        <f t="shared" si="0"/>
        <v>0</v>
      </c>
      <c r="G190" s="684"/>
      <c r="H190" s="398"/>
      <c r="I190" s="398"/>
      <c r="J190" s="398"/>
      <c r="K190" s="41"/>
      <c r="L190" s="59">
        <v>680000</v>
      </c>
    </row>
    <row r="191" spans="1:19">
      <c r="A191" s="527">
        <v>187</v>
      </c>
      <c r="B191" s="495" t="s">
        <v>3460</v>
      </c>
      <c r="C191" s="490" t="s">
        <v>119</v>
      </c>
      <c r="D191" s="491">
        <v>43197</v>
      </c>
      <c r="E191" s="684"/>
      <c r="F191" s="491">
        <f t="shared" ref="F191" si="2">+N191*1.16</f>
        <v>0</v>
      </c>
      <c r="G191" s="684"/>
      <c r="H191" s="398"/>
      <c r="I191" s="398"/>
      <c r="J191" s="398"/>
      <c r="K191" s="41"/>
      <c r="L191" s="59">
        <v>16500</v>
      </c>
      <c r="P191" s="38" t="s">
        <v>3434</v>
      </c>
    </row>
    <row r="192" spans="1:19" s="37" customFormat="1" ht="25.5">
      <c r="A192" s="527">
        <v>188</v>
      </c>
      <c r="B192" s="495" t="s">
        <v>616</v>
      </c>
      <c r="C192" s="490" t="s">
        <v>119</v>
      </c>
      <c r="D192" s="491">
        <f>71920*1.07</f>
        <v>76954.400000000009</v>
      </c>
      <c r="E192" s="684"/>
      <c r="F192" s="491">
        <f t="shared" ref="F192:F196" si="3">+N192*1.16</f>
        <v>0</v>
      </c>
      <c r="G192" s="684"/>
      <c r="H192" s="398"/>
      <c r="I192" s="398"/>
      <c r="J192" s="398"/>
      <c r="K192" s="41"/>
      <c r="L192" s="59">
        <v>62000</v>
      </c>
      <c r="M192" s="26"/>
      <c r="N192" s="38"/>
      <c r="O192" s="38"/>
      <c r="P192" s="38" t="s">
        <v>3461</v>
      </c>
      <c r="Q192" s="26"/>
      <c r="S192" s="26"/>
    </row>
    <row r="193" spans="1:19" s="37" customFormat="1" ht="25.5">
      <c r="A193" s="527">
        <v>189</v>
      </c>
      <c r="B193" s="495" t="s">
        <v>614</v>
      </c>
      <c r="C193" s="490" t="s">
        <v>21</v>
      </c>
      <c r="D193" s="491">
        <f>14677.55*1.07</f>
        <v>15704.978499999999</v>
      </c>
      <c r="E193" s="684"/>
      <c r="F193" s="491">
        <f t="shared" si="3"/>
        <v>0</v>
      </c>
      <c r="G193" s="684"/>
      <c r="H193" s="398"/>
      <c r="I193" s="398"/>
      <c r="J193" s="398"/>
      <c r="K193" s="41"/>
      <c r="L193" s="59">
        <f>62000/4.9</f>
        <v>12653.061224489795</v>
      </c>
      <c r="M193" s="26"/>
      <c r="N193" s="38"/>
      <c r="O193" s="38"/>
      <c r="P193" s="38" t="s">
        <v>3461</v>
      </c>
      <c r="Q193" s="26"/>
      <c r="S193" s="26"/>
    </row>
    <row r="194" spans="1:19" s="37" customFormat="1" ht="38.25">
      <c r="A194" s="527">
        <v>190</v>
      </c>
      <c r="B194" s="495" t="s">
        <v>615</v>
      </c>
      <c r="C194" s="490" t="s">
        <v>26</v>
      </c>
      <c r="D194" s="491">
        <v>75000</v>
      </c>
      <c r="E194" s="684"/>
      <c r="F194" s="491">
        <v>75000</v>
      </c>
      <c r="G194" s="684"/>
      <c r="H194" s="398"/>
      <c r="I194" s="398"/>
      <c r="J194" s="398"/>
      <c r="K194" s="41"/>
      <c r="L194" s="59">
        <v>54000</v>
      </c>
      <c r="M194" s="26"/>
      <c r="N194" s="38"/>
      <c r="O194" s="38"/>
      <c r="P194" s="38" t="s">
        <v>3450</v>
      </c>
      <c r="Q194" s="26"/>
      <c r="S194" s="26"/>
    </row>
    <row r="195" spans="1:19" s="37" customFormat="1">
      <c r="A195" s="527">
        <v>191</v>
      </c>
      <c r="B195" s="495" t="s">
        <v>414</v>
      </c>
      <c r="C195" s="490" t="s">
        <v>236</v>
      </c>
      <c r="D195" s="491">
        <v>99472.1</v>
      </c>
      <c r="E195" s="692"/>
      <c r="F195" s="494">
        <v>92927.1</v>
      </c>
      <c r="G195" s="692"/>
      <c r="H195" s="497"/>
      <c r="I195" s="398"/>
      <c r="J195" s="398"/>
      <c r="K195" s="41"/>
      <c r="L195" s="59">
        <v>53200</v>
      </c>
      <c r="M195" s="26"/>
      <c r="N195" s="38"/>
      <c r="O195" s="38"/>
      <c r="P195" s="38" t="s">
        <v>3434</v>
      </c>
      <c r="Q195" s="26"/>
      <c r="S195" s="26"/>
    </row>
    <row r="196" spans="1:19" s="37" customFormat="1">
      <c r="A196" s="527">
        <v>192</v>
      </c>
      <c r="B196" s="495" t="s">
        <v>711</v>
      </c>
      <c r="C196" s="490" t="s">
        <v>236</v>
      </c>
      <c r="D196" s="491">
        <f>+L196*1.16</f>
        <v>1739.9999999999998</v>
      </c>
      <c r="E196" s="684"/>
      <c r="F196" s="491">
        <f t="shared" si="3"/>
        <v>0</v>
      </c>
      <c r="G196" s="684"/>
      <c r="H196" s="398"/>
      <c r="I196" s="398"/>
      <c r="J196" s="398"/>
      <c r="K196" s="41"/>
      <c r="L196" s="59">
        <v>1500</v>
      </c>
      <c r="M196" s="26"/>
      <c r="N196" s="38"/>
      <c r="O196" s="38"/>
      <c r="P196" s="38" t="s">
        <v>3434</v>
      </c>
      <c r="Q196" s="26"/>
      <c r="S196" s="26"/>
    </row>
    <row r="197" spans="1:19" s="37" customFormat="1">
      <c r="A197" s="527">
        <v>193</v>
      </c>
      <c r="B197" s="495" t="s">
        <v>710</v>
      </c>
      <c r="C197" s="490" t="s">
        <v>53</v>
      </c>
      <c r="D197" s="918">
        <v>71899.8</v>
      </c>
      <c r="E197" s="693"/>
      <c r="F197" s="496">
        <v>42685</v>
      </c>
      <c r="G197" s="693"/>
      <c r="H197" s="343"/>
      <c r="I197" s="343"/>
      <c r="J197" s="343"/>
      <c r="K197" s="41"/>
      <c r="L197" s="2">
        <f>2*8351</f>
        <v>16702</v>
      </c>
      <c r="M197" s="26"/>
      <c r="N197" s="38"/>
      <c r="O197" s="38"/>
      <c r="P197" s="38" t="s">
        <v>3434</v>
      </c>
      <c r="Q197" s="26"/>
      <c r="S197" s="26"/>
    </row>
    <row r="198" spans="1:19" s="37" customFormat="1">
      <c r="A198" s="527">
        <v>193</v>
      </c>
      <c r="B198" s="495" t="s">
        <v>3525</v>
      </c>
      <c r="C198" s="490" t="s">
        <v>124</v>
      </c>
      <c r="D198" s="918">
        <v>42899.5</v>
      </c>
      <c r="E198" s="693"/>
      <c r="F198" s="496"/>
      <c r="G198" s="693"/>
      <c r="H198" s="343"/>
      <c r="I198" s="343"/>
      <c r="J198" s="343"/>
      <c r="K198" s="41"/>
      <c r="L198" s="2"/>
      <c r="M198" s="26"/>
      <c r="N198" s="38"/>
      <c r="O198" s="38"/>
      <c r="P198" s="38" t="s">
        <v>3434</v>
      </c>
      <c r="Q198" s="26"/>
      <c r="S198" s="26"/>
    </row>
    <row r="199" spans="1:19" s="37" customFormat="1">
      <c r="A199" s="527">
        <v>193</v>
      </c>
      <c r="B199" s="495" t="s">
        <v>413</v>
      </c>
      <c r="C199" s="490" t="s">
        <v>53</v>
      </c>
      <c r="D199" s="918">
        <v>20857.13</v>
      </c>
      <c r="E199" s="693"/>
      <c r="F199" s="496">
        <v>18300</v>
      </c>
      <c r="G199" s="693"/>
      <c r="H199" s="343"/>
      <c r="I199" s="343"/>
      <c r="J199" s="343"/>
      <c r="K199" s="41"/>
      <c r="L199" s="40"/>
      <c r="M199" s="26"/>
      <c r="N199" s="38"/>
      <c r="O199" s="38"/>
      <c r="P199" s="38" t="s">
        <v>3462</v>
      </c>
      <c r="Q199" s="26"/>
      <c r="S199" s="26"/>
    </row>
    <row r="200" spans="1:19" s="37" customFormat="1">
      <c r="A200" s="527">
        <v>193</v>
      </c>
      <c r="B200" s="495" t="s">
        <v>103</v>
      </c>
      <c r="C200" s="490" t="s">
        <v>26</v>
      </c>
      <c r="D200" s="491">
        <v>1792.14</v>
      </c>
      <c r="E200" s="684"/>
      <c r="F200" s="491">
        <v>1300</v>
      </c>
      <c r="G200" s="684"/>
      <c r="H200" s="398"/>
      <c r="I200" s="398"/>
      <c r="J200" s="398"/>
      <c r="K200" s="41"/>
      <c r="L200" s="2">
        <v>2531.2800000000002</v>
      </c>
      <c r="M200" s="26"/>
      <c r="N200" s="38"/>
      <c r="O200" s="38"/>
      <c r="P200" s="38" t="s">
        <v>3436</v>
      </c>
      <c r="Q200" s="26"/>
      <c r="S200" s="26"/>
    </row>
    <row r="201" spans="1:19" s="37" customFormat="1">
      <c r="A201" s="527">
        <v>193</v>
      </c>
      <c r="B201" s="495" t="s">
        <v>238</v>
      </c>
      <c r="C201" s="490" t="s">
        <v>82</v>
      </c>
      <c r="D201" s="918">
        <v>1975.4</v>
      </c>
      <c r="E201" s="693"/>
      <c r="F201" s="496">
        <v>1975</v>
      </c>
      <c r="G201" s="693"/>
      <c r="H201" s="343"/>
      <c r="I201" s="343"/>
      <c r="J201" s="343"/>
      <c r="K201" s="41"/>
      <c r="L201" s="50"/>
      <c r="M201" s="26"/>
      <c r="N201" s="38"/>
      <c r="O201" s="38"/>
      <c r="P201" s="38" t="s">
        <v>3462</v>
      </c>
      <c r="Q201" s="26"/>
      <c r="S201" s="26"/>
    </row>
    <row r="202" spans="1:19" s="37" customFormat="1">
      <c r="A202" s="527">
        <v>193</v>
      </c>
      <c r="B202" s="495" t="s">
        <v>225</v>
      </c>
      <c r="C202" s="490" t="s">
        <v>29</v>
      </c>
      <c r="D202" s="491">
        <v>17400</v>
      </c>
      <c r="E202" s="684"/>
      <c r="F202" s="491">
        <v>17400</v>
      </c>
      <c r="G202" s="684"/>
      <c r="H202" s="398"/>
      <c r="I202" s="398"/>
      <c r="J202" s="398"/>
      <c r="K202" s="41"/>
      <c r="L202" s="2" t="e">
        <f>+#REF!*1.6</f>
        <v>#REF!</v>
      </c>
      <c r="M202" s="26"/>
      <c r="N202" s="38"/>
      <c r="O202" s="38"/>
      <c r="P202" s="38" t="s">
        <v>3436</v>
      </c>
      <c r="Q202" s="26"/>
      <c r="S202" s="26"/>
    </row>
    <row r="203" spans="1:19" s="37" customFormat="1">
      <c r="A203" s="527">
        <v>193</v>
      </c>
      <c r="B203" s="495" t="s">
        <v>77</v>
      </c>
      <c r="C203" s="490" t="s">
        <v>32</v>
      </c>
      <c r="D203" s="918">
        <v>1392</v>
      </c>
      <c r="E203" s="693"/>
      <c r="F203" s="496">
        <v>1392</v>
      </c>
      <c r="G203" s="693"/>
      <c r="H203" s="343"/>
      <c r="I203" s="343"/>
      <c r="J203" s="343"/>
      <c r="K203" s="41"/>
      <c r="L203" s="40"/>
      <c r="M203" s="26"/>
      <c r="N203" s="38"/>
      <c r="O203" s="38"/>
      <c r="P203" s="38" t="s">
        <v>3462</v>
      </c>
      <c r="Q203" s="26"/>
      <c r="S203" s="26"/>
    </row>
    <row r="204" spans="1:19" s="37" customFormat="1">
      <c r="A204" s="527">
        <v>193</v>
      </c>
      <c r="B204" s="495" t="s">
        <v>783</v>
      </c>
      <c r="C204" s="490" t="s">
        <v>29</v>
      </c>
      <c r="D204" s="491">
        <f>+L204/6</f>
        <v>3832.8333333333335</v>
      </c>
      <c r="E204" s="684"/>
      <c r="F204" s="491">
        <f>+N204/6</f>
        <v>0</v>
      </c>
      <c r="G204" s="684"/>
      <c r="H204" s="398"/>
      <c r="I204" s="398"/>
      <c r="J204" s="398"/>
      <c r="K204" s="41"/>
      <c r="L204" s="59">
        <f>19825*1.16</f>
        <v>22997</v>
      </c>
      <c r="M204" s="26"/>
      <c r="N204" s="38"/>
      <c r="O204" s="38"/>
      <c r="P204" s="38" t="s">
        <v>3436</v>
      </c>
      <c r="Q204" s="26"/>
      <c r="S204" s="26"/>
    </row>
    <row r="205" spans="1:19" s="37" customFormat="1">
      <c r="A205" s="527">
        <v>193</v>
      </c>
      <c r="B205" s="495" t="s">
        <v>378</v>
      </c>
      <c r="C205" s="490" t="s">
        <v>14</v>
      </c>
      <c r="D205" s="918">
        <v>9678.27</v>
      </c>
      <c r="E205" s="693"/>
      <c r="F205" s="496">
        <v>8000</v>
      </c>
      <c r="G205" s="693"/>
      <c r="H205" s="343"/>
      <c r="I205" s="343"/>
      <c r="J205" s="343"/>
      <c r="K205" s="41"/>
      <c r="L205" s="59">
        <v>9492</v>
      </c>
      <c r="M205" s="26"/>
      <c r="N205" s="38"/>
      <c r="O205" s="38"/>
      <c r="P205" s="38" t="s">
        <v>3434</v>
      </c>
      <c r="Q205" s="26"/>
      <c r="S205" s="26"/>
    </row>
    <row r="206" spans="1:19" s="37" customFormat="1">
      <c r="A206" s="527">
        <v>193</v>
      </c>
      <c r="B206" s="495" t="s">
        <v>107</v>
      </c>
      <c r="C206" s="490" t="s">
        <v>124</v>
      </c>
      <c r="D206" s="918">
        <v>55900</v>
      </c>
      <c r="E206" s="693"/>
      <c r="F206" s="496">
        <v>56350</v>
      </c>
      <c r="G206" s="693"/>
      <c r="H206" s="343"/>
      <c r="I206" s="343"/>
      <c r="J206" s="343"/>
      <c r="K206" s="41"/>
      <c r="L206" s="59">
        <v>53900</v>
      </c>
      <c r="M206" s="26"/>
      <c r="N206" s="38"/>
      <c r="O206" s="38"/>
      <c r="P206" s="38" t="s">
        <v>3449</v>
      </c>
      <c r="Q206" s="26"/>
      <c r="S206" s="26"/>
    </row>
    <row r="207" spans="1:19" s="37" customFormat="1">
      <c r="A207" s="527">
        <v>193</v>
      </c>
      <c r="B207" s="495" t="s">
        <v>107</v>
      </c>
      <c r="C207" s="490" t="s">
        <v>431</v>
      </c>
      <c r="D207" s="918">
        <v>267900</v>
      </c>
      <c r="E207" s="693"/>
      <c r="F207" s="496">
        <v>277324</v>
      </c>
      <c r="G207" s="693"/>
      <c r="H207" s="343"/>
      <c r="I207" s="343"/>
      <c r="J207" s="343"/>
      <c r="K207" s="41"/>
      <c r="L207" s="59">
        <v>256900</v>
      </c>
      <c r="M207" s="26"/>
      <c r="N207" s="38"/>
      <c r="O207" s="38"/>
      <c r="P207" s="38" t="s">
        <v>3449</v>
      </c>
      <c r="Q207" s="26"/>
      <c r="S207" s="26"/>
    </row>
    <row r="208" spans="1:19" s="37" customFormat="1">
      <c r="A208" s="527">
        <v>193</v>
      </c>
      <c r="B208" s="495" t="s">
        <v>3226</v>
      </c>
      <c r="C208" s="490" t="s">
        <v>26</v>
      </c>
      <c r="D208" s="918">
        <v>410.55</v>
      </c>
      <c r="E208" s="684"/>
      <c r="F208" s="491">
        <f t="shared" ref="F208:F229" si="4">+N208*1.16</f>
        <v>0</v>
      </c>
      <c r="G208" s="684"/>
      <c r="H208" s="398"/>
      <c r="I208" s="398"/>
      <c r="J208" s="398"/>
      <c r="K208" s="50"/>
      <c r="L208" s="59">
        <v>406</v>
      </c>
      <c r="M208" s="26"/>
      <c r="N208" s="38"/>
      <c r="O208" s="38"/>
      <c r="P208" s="38" t="s">
        <v>3436</v>
      </c>
      <c r="Q208" s="26"/>
      <c r="S208" s="26"/>
    </row>
    <row r="209" spans="1:19" s="37" customFormat="1">
      <c r="A209" s="527">
        <v>193</v>
      </c>
      <c r="B209" s="495" t="s">
        <v>493</v>
      </c>
      <c r="C209" s="490" t="s">
        <v>26</v>
      </c>
      <c r="D209" s="491">
        <v>25466</v>
      </c>
      <c r="E209" s="684"/>
      <c r="F209" s="491">
        <f t="shared" si="4"/>
        <v>0</v>
      </c>
      <c r="G209" s="684"/>
      <c r="H209" s="398"/>
      <c r="I209" s="398"/>
      <c r="J209" s="398"/>
      <c r="K209" s="50"/>
      <c r="L209" s="59">
        <v>13606</v>
      </c>
      <c r="M209" s="26"/>
      <c r="N209" s="38"/>
      <c r="O209" s="38"/>
      <c r="P209" s="38" t="s">
        <v>3436</v>
      </c>
      <c r="Q209" s="26"/>
      <c r="S209" s="26"/>
    </row>
    <row r="210" spans="1:19" s="37" customFormat="1">
      <c r="A210" s="527">
        <v>193</v>
      </c>
      <c r="B210" s="846" t="s">
        <v>108</v>
      </c>
      <c r="C210" s="847" t="s">
        <v>26</v>
      </c>
      <c r="D210" s="935">
        <v>409</v>
      </c>
      <c r="E210" s="684"/>
      <c r="F210" s="491">
        <f t="shared" si="4"/>
        <v>0</v>
      </c>
      <c r="G210" s="684"/>
      <c r="H210" s="398"/>
      <c r="I210" s="398"/>
      <c r="J210" s="398"/>
      <c r="K210" s="50"/>
      <c r="L210" s="59">
        <v>225.04</v>
      </c>
      <c r="M210" s="26"/>
      <c r="N210" s="38"/>
      <c r="O210" s="38"/>
      <c r="P210" s="38" t="s">
        <v>3434</v>
      </c>
      <c r="Q210" s="26"/>
      <c r="S210" s="26"/>
    </row>
    <row r="211" spans="1:19" s="37" customFormat="1">
      <c r="A211" s="527">
        <v>193</v>
      </c>
      <c r="B211" s="846" t="s">
        <v>109</v>
      </c>
      <c r="C211" s="847" t="s">
        <v>26</v>
      </c>
      <c r="D211" s="935">
        <v>742.56</v>
      </c>
      <c r="E211" s="684"/>
      <c r="F211" s="491">
        <f t="shared" si="4"/>
        <v>0</v>
      </c>
      <c r="G211" s="684"/>
      <c r="H211" s="398"/>
      <c r="I211" s="398"/>
      <c r="J211" s="398"/>
      <c r="K211" s="50"/>
      <c r="L211" s="59">
        <v>408.32</v>
      </c>
      <c r="M211" s="26"/>
      <c r="N211" s="38"/>
      <c r="O211" s="38"/>
      <c r="P211" s="38" t="s">
        <v>3434</v>
      </c>
      <c r="Q211" s="26"/>
      <c r="S211" s="26"/>
    </row>
    <row r="212" spans="1:19" s="37" customFormat="1">
      <c r="A212" s="527">
        <v>193</v>
      </c>
      <c r="B212" s="846" t="s">
        <v>130</v>
      </c>
      <c r="C212" s="847" t="s">
        <v>26</v>
      </c>
      <c r="D212" s="853">
        <f>+L212*1.16</f>
        <v>62974.079999999994</v>
      </c>
      <c r="E212" s="684"/>
      <c r="F212" s="491">
        <f t="shared" si="4"/>
        <v>0</v>
      </c>
      <c r="G212" s="684"/>
      <c r="H212" s="398"/>
      <c r="I212" s="398"/>
      <c r="J212" s="398"/>
      <c r="K212" s="3"/>
      <c r="L212" s="59">
        <v>54288</v>
      </c>
      <c r="M212" s="57"/>
      <c r="N212" s="38"/>
      <c r="O212" s="38"/>
      <c r="P212" s="38" t="s">
        <v>3436</v>
      </c>
      <c r="Q212" s="26"/>
      <c r="S212" s="26"/>
    </row>
    <row r="213" spans="1:19" s="37" customFormat="1">
      <c r="A213" s="527">
        <v>193</v>
      </c>
      <c r="B213" s="846" t="s">
        <v>537</v>
      </c>
      <c r="C213" s="847" t="s">
        <v>26</v>
      </c>
      <c r="D213" s="935">
        <v>42935.199999999997</v>
      </c>
      <c r="E213" s="684"/>
      <c r="F213" s="491">
        <f t="shared" si="4"/>
        <v>0</v>
      </c>
      <c r="G213" s="684"/>
      <c r="H213" s="398"/>
      <c r="I213" s="398"/>
      <c r="J213" s="398"/>
      <c r="K213" s="3"/>
      <c r="L213" s="59">
        <v>27530</v>
      </c>
      <c r="M213" s="57"/>
      <c r="N213" s="38"/>
      <c r="O213" s="38"/>
      <c r="P213" s="38" t="s">
        <v>3434</v>
      </c>
      <c r="Q213" s="26"/>
      <c r="S213" s="26"/>
    </row>
    <row r="214" spans="1:19" s="37" customFormat="1">
      <c r="A214" s="527">
        <v>193</v>
      </c>
      <c r="B214" s="846" t="s">
        <v>538</v>
      </c>
      <c r="C214" s="847" t="s">
        <v>26</v>
      </c>
      <c r="D214" s="935">
        <v>53883.199999999997</v>
      </c>
      <c r="E214" s="684"/>
      <c r="F214" s="491">
        <f t="shared" si="4"/>
        <v>0</v>
      </c>
      <c r="G214" s="684"/>
      <c r="H214" s="398"/>
      <c r="I214" s="398"/>
      <c r="J214" s="398"/>
      <c r="K214" s="3"/>
      <c r="L214" s="59">
        <v>35396</v>
      </c>
      <c r="M214" s="57"/>
      <c r="N214" s="38"/>
      <c r="O214" s="38"/>
      <c r="P214" s="38" t="s">
        <v>3434</v>
      </c>
      <c r="Q214" s="26"/>
      <c r="S214" s="26"/>
    </row>
    <row r="215" spans="1:19" s="37" customFormat="1">
      <c r="A215" s="527">
        <v>193</v>
      </c>
      <c r="B215" s="495" t="s">
        <v>111</v>
      </c>
      <c r="C215" s="490" t="s">
        <v>26</v>
      </c>
      <c r="D215" s="491">
        <f>+L215*1.16</f>
        <v>2888.3999999999996</v>
      </c>
      <c r="E215" s="684"/>
      <c r="F215" s="491">
        <f t="shared" si="4"/>
        <v>0</v>
      </c>
      <c r="G215" s="684"/>
      <c r="H215" s="398"/>
      <c r="I215" s="398"/>
      <c r="J215" s="398"/>
      <c r="K215" s="3"/>
      <c r="L215" s="59">
        <v>2490</v>
      </c>
      <c r="M215" s="57"/>
      <c r="N215" s="38"/>
      <c r="O215" s="38"/>
      <c r="P215" s="38" t="s">
        <v>3436</v>
      </c>
      <c r="Q215" s="26"/>
      <c r="S215" s="26"/>
    </row>
    <row r="216" spans="1:19" s="37" customFormat="1">
      <c r="A216" s="527">
        <v>193</v>
      </c>
      <c r="B216" s="495" t="s">
        <v>110</v>
      </c>
      <c r="C216" s="490" t="s">
        <v>26</v>
      </c>
      <c r="D216" s="491">
        <f>+L216*1.16</f>
        <v>90364</v>
      </c>
      <c r="E216" s="684"/>
      <c r="F216" s="491">
        <f t="shared" si="4"/>
        <v>0</v>
      </c>
      <c r="G216" s="684"/>
      <c r="H216" s="398"/>
      <c r="I216" s="398"/>
      <c r="J216" s="398"/>
      <c r="K216" s="3"/>
      <c r="L216" s="59">
        <v>77900</v>
      </c>
      <c r="M216" s="57"/>
      <c r="N216" s="38"/>
      <c r="O216" s="38"/>
      <c r="P216" s="38" t="s">
        <v>3436</v>
      </c>
      <c r="Q216" s="26"/>
      <c r="S216" s="26"/>
    </row>
    <row r="217" spans="1:19" s="37" customFormat="1" ht="25.5">
      <c r="A217" s="527">
        <v>193</v>
      </c>
      <c r="B217" s="495" t="s">
        <v>261</v>
      </c>
      <c r="C217" s="490" t="s">
        <v>26</v>
      </c>
      <c r="D217" s="918">
        <v>145900</v>
      </c>
      <c r="E217" s="684"/>
      <c r="F217" s="491">
        <f t="shared" si="4"/>
        <v>0</v>
      </c>
      <c r="G217" s="684"/>
      <c r="H217" s="398"/>
      <c r="I217" s="398"/>
      <c r="J217" s="398"/>
      <c r="K217" s="3"/>
      <c r="L217" s="59">
        <v>94900</v>
      </c>
      <c r="M217" s="57"/>
      <c r="N217" s="38"/>
      <c r="O217" s="38"/>
      <c r="P217" s="38" t="s">
        <v>3467</v>
      </c>
      <c r="Q217" s="26"/>
      <c r="S217" s="26"/>
    </row>
    <row r="218" spans="1:19" s="37" customFormat="1">
      <c r="A218" s="527">
        <v>193</v>
      </c>
      <c r="B218" s="495" t="s">
        <v>216</v>
      </c>
      <c r="C218" s="490" t="s">
        <v>26</v>
      </c>
      <c r="D218" s="918">
        <v>79611</v>
      </c>
      <c r="E218" s="684"/>
      <c r="F218" s="491">
        <f t="shared" si="4"/>
        <v>0</v>
      </c>
      <c r="G218" s="684"/>
      <c r="H218" s="398"/>
      <c r="I218" s="398"/>
      <c r="J218" s="398"/>
      <c r="K218" s="50"/>
      <c r="L218" s="59">
        <v>64900</v>
      </c>
      <c r="M218" s="26"/>
      <c r="N218" s="38"/>
      <c r="O218" s="38"/>
      <c r="P218" s="38" t="s">
        <v>3436</v>
      </c>
      <c r="Q218" s="26"/>
      <c r="S218" s="26"/>
    </row>
    <row r="219" spans="1:19" s="37" customFormat="1">
      <c r="A219" s="527">
        <v>193</v>
      </c>
      <c r="B219" s="495" t="s">
        <v>217</v>
      </c>
      <c r="C219" s="490" t="s">
        <v>26</v>
      </c>
      <c r="D219" s="491">
        <f>+L219*1.16</f>
        <v>214599.99999999997</v>
      </c>
      <c r="E219" s="684"/>
      <c r="F219" s="491">
        <f t="shared" si="4"/>
        <v>0</v>
      </c>
      <c r="G219" s="684"/>
      <c r="H219" s="398"/>
      <c r="I219" s="398"/>
      <c r="J219" s="398"/>
      <c r="K219" s="50"/>
      <c r="L219" s="59">
        <v>185000</v>
      </c>
      <c r="M219" s="26"/>
      <c r="N219" s="38"/>
      <c r="O219" s="38"/>
      <c r="P219" s="38" t="s">
        <v>3436</v>
      </c>
      <c r="Q219" s="26"/>
      <c r="S219" s="26"/>
    </row>
    <row r="220" spans="1:19">
      <c r="A220" s="527">
        <v>193</v>
      </c>
      <c r="B220" s="495" t="s">
        <v>3488</v>
      </c>
      <c r="C220" s="490" t="s">
        <v>26</v>
      </c>
      <c r="D220" s="918">
        <v>840693.35</v>
      </c>
      <c r="E220" s="691"/>
      <c r="F220" s="493">
        <f t="shared" si="4"/>
        <v>0</v>
      </c>
      <c r="G220" s="691"/>
      <c r="H220" s="401"/>
      <c r="I220" s="401"/>
      <c r="J220" s="401"/>
      <c r="K220" s="50"/>
      <c r="L220" s="59">
        <v>579900</v>
      </c>
      <c r="P220" s="38" t="s">
        <v>3434</v>
      </c>
    </row>
    <row r="221" spans="1:19" s="37" customFormat="1">
      <c r="A221" s="527">
        <v>193</v>
      </c>
      <c r="B221" s="495" t="s">
        <v>112</v>
      </c>
      <c r="C221" s="490" t="s">
        <v>26</v>
      </c>
      <c r="D221" s="918">
        <v>346667.23</v>
      </c>
      <c r="E221" s="691"/>
      <c r="F221" s="493">
        <v>210000</v>
      </c>
      <c r="G221" s="691"/>
      <c r="H221" s="401"/>
      <c r="I221" s="401"/>
      <c r="J221" s="401"/>
      <c r="K221" s="41" t="s">
        <v>2611</v>
      </c>
      <c r="L221" s="59">
        <v>241900</v>
      </c>
      <c r="M221" s="26"/>
      <c r="N221" s="38"/>
      <c r="O221" s="38"/>
      <c r="P221" s="38" t="s">
        <v>3434</v>
      </c>
      <c r="Q221" s="26"/>
      <c r="S221" s="26"/>
    </row>
    <row r="222" spans="1:19" s="37" customFormat="1" ht="25.5">
      <c r="A222" s="527">
        <v>193</v>
      </c>
      <c r="B222" s="495" t="s">
        <v>3487</v>
      </c>
      <c r="C222" s="490" t="s">
        <v>26</v>
      </c>
      <c r="D222" s="918">
        <v>275900</v>
      </c>
      <c r="E222" s="691"/>
      <c r="F222" s="493">
        <f t="shared" si="4"/>
        <v>0</v>
      </c>
      <c r="G222" s="691"/>
      <c r="H222" s="401"/>
      <c r="I222" s="401"/>
      <c r="J222" s="401"/>
      <c r="K222" s="50"/>
      <c r="L222" s="59">
        <v>469900</v>
      </c>
      <c r="M222" s="26"/>
      <c r="N222" s="38"/>
      <c r="O222" s="38"/>
      <c r="P222" s="37" t="s">
        <v>3486</v>
      </c>
      <c r="Q222" s="26"/>
      <c r="S222" s="26"/>
    </row>
    <row r="223" spans="1:19" s="37" customFormat="1">
      <c r="A223" s="527">
        <v>193</v>
      </c>
      <c r="B223" s="495" t="s">
        <v>214</v>
      </c>
      <c r="C223" s="490" t="s">
        <v>26</v>
      </c>
      <c r="D223" s="491">
        <v>55798.981</v>
      </c>
      <c r="E223" s="684"/>
      <c r="F223" s="491">
        <f t="shared" si="4"/>
        <v>0</v>
      </c>
      <c r="G223" s="684"/>
      <c r="H223" s="398"/>
      <c r="I223" s="398"/>
      <c r="J223" s="398"/>
      <c r="K223" s="50"/>
      <c r="L223" s="59">
        <v>35900</v>
      </c>
      <c r="M223" s="26"/>
      <c r="N223" s="38"/>
      <c r="O223" s="38"/>
      <c r="P223" s="38" t="s">
        <v>3434</v>
      </c>
      <c r="Q223" s="26"/>
      <c r="S223" s="26"/>
    </row>
    <row r="224" spans="1:19" s="37" customFormat="1" ht="25.5">
      <c r="A224" s="527">
        <v>193</v>
      </c>
      <c r="B224" s="495" t="s">
        <v>215</v>
      </c>
      <c r="C224" s="490" t="s">
        <v>209</v>
      </c>
      <c r="D224" s="491">
        <v>81084</v>
      </c>
      <c r="E224" s="684"/>
      <c r="F224" s="491">
        <f t="shared" si="4"/>
        <v>0</v>
      </c>
      <c r="G224" s="684"/>
      <c r="H224" s="398"/>
      <c r="I224" s="398"/>
      <c r="J224" s="398"/>
      <c r="K224" s="50"/>
      <c r="L224" s="59">
        <v>69900</v>
      </c>
      <c r="M224" s="26"/>
      <c r="N224" s="38"/>
      <c r="O224" s="38"/>
      <c r="P224" s="38" t="s">
        <v>3436</v>
      </c>
      <c r="Q224" s="26"/>
      <c r="S224" s="26"/>
    </row>
    <row r="225" spans="1:19" s="37" customFormat="1">
      <c r="A225" s="527">
        <v>193</v>
      </c>
      <c r="B225" s="495" t="s">
        <v>545</v>
      </c>
      <c r="C225" s="490" t="s">
        <v>26</v>
      </c>
      <c r="D225" s="491">
        <f>423284.05*1.07</f>
        <v>452913.93350000004</v>
      </c>
      <c r="E225" s="684"/>
      <c r="F225" s="491">
        <f t="shared" si="4"/>
        <v>0</v>
      </c>
      <c r="G225" s="684"/>
      <c r="H225" s="398"/>
      <c r="I225" s="398"/>
      <c r="J225" s="398"/>
      <c r="K225" s="50"/>
      <c r="L225" s="59">
        <f>314569*1.16</f>
        <v>364900.04</v>
      </c>
      <c r="M225" s="26"/>
      <c r="N225" s="38"/>
      <c r="O225" s="38"/>
      <c r="P225" s="38" t="s">
        <v>3465</v>
      </c>
      <c r="Q225" s="26"/>
      <c r="S225" s="26"/>
    </row>
    <row r="226" spans="1:19" s="37" customFormat="1" ht="25.5">
      <c r="A226" s="527">
        <v>193</v>
      </c>
      <c r="B226" s="495" t="s">
        <v>546</v>
      </c>
      <c r="C226" s="490" t="s">
        <v>26</v>
      </c>
      <c r="D226" s="491">
        <f t="shared" ref="D226" si="5">+L226*1.16</f>
        <v>129804.64959999999</v>
      </c>
      <c r="E226" s="684"/>
      <c r="F226" s="491">
        <f t="shared" si="4"/>
        <v>0</v>
      </c>
      <c r="G226" s="684"/>
      <c r="H226" s="398"/>
      <c r="I226" s="398"/>
      <c r="J226" s="398"/>
      <c r="K226" s="50"/>
      <c r="L226" s="59">
        <f>96466*1.16</f>
        <v>111900.56</v>
      </c>
      <c r="M226" s="26"/>
      <c r="N226" s="38"/>
      <c r="O226" s="38"/>
      <c r="P226" s="38" t="s">
        <v>3436</v>
      </c>
      <c r="Q226" s="26"/>
      <c r="S226" s="26"/>
    </row>
    <row r="227" spans="1:19" s="37" customFormat="1" ht="25.5">
      <c r="A227" s="527">
        <v>193</v>
      </c>
      <c r="B227" s="495" t="s">
        <v>260</v>
      </c>
      <c r="C227" s="490" t="s">
        <v>26</v>
      </c>
      <c r="D227" s="491">
        <v>113645</v>
      </c>
      <c r="E227" s="684"/>
      <c r="F227" s="491">
        <f>89125*1.16</f>
        <v>103385</v>
      </c>
      <c r="G227" s="684"/>
      <c r="H227" s="398"/>
      <c r="I227" s="398"/>
      <c r="J227" s="398"/>
      <c r="K227" s="41"/>
      <c r="L227" s="40"/>
      <c r="M227" s="26"/>
      <c r="N227" s="38"/>
      <c r="O227" s="38"/>
      <c r="P227" s="38" t="s">
        <v>3436</v>
      </c>
      <c r="Q227" s="26"/>
      <c r="S227" s="26"/>
    </row>
    <row r="228" spans="1:19" s="37" customFormat="1">
      <c r="A228" s="527">
        <v>193</v>
      </c>
      <c r="B228" s="495" t="s">
        <v>539</v>
      </c>
      <c r="C228" s="490" t="s">
        <v>26</v>
      </c>
      <c r="D228" s="491">
        <f>+L228*1.16</f>
        <v>53243.999999999993</v>
      </c>
      <c r="E228" s="684"/>
      <c r="F228" s="491">
        <f t="shared" si="4"/>
        <v>0</v>
      </c>
      <c r="G228" s="684"/>
      <c r="H228" s="398"/>
      <c r="I228" s="398"/>
      <c r="J228" s="398"/>
      <c r="K228" s="50"/>
      <c r="L228" s="59">
        <v>45900</v>
      </c>
      <c r="M228" s="26"/>
      <c r="N228" s="38"/>
      <c r="O228" s="38"/>
      <c r="P228" s="38" t="s">
        <v>3436</v>
      </c>
      <c r="Q228" s="26"/>
      <c r="S228" s="26"/>
    </row>
    <row r="229" spans="1:19" s="37" customFormat="1">
      <c r="A229" s="527">
        <v>193</v>
      </c>
      <c r="B229" s="495" t="s">
        <v>2612</v>
      </c>
      <c r="C229" s="490" t="s">
        <v>26</v>
      </c>
      <c r="D229" s="918">
        <v>524000</v>
      </c>
      <c r="E229" s="691"/>
      <c r="F229" s="493">
        <f t="shared" si="4"/>
        <v>0</v>
      </c>
      <c r="G229" s="691"/>
      <c r="H229" s="401"/>
      <c r="I229" s="401"/>
      <c r="J229" s="401"/>
      <c r="K229" s="50"/>
      <c r="L229" s="59">
        <v>330000</v>
      </c>
      <c r="M229" s="26"/>
      <c r="N229" s="38"/>
      <c r="O229" s="38"/>
      <c r="P229" s="38" t="s">
        <v>3486</v>
      </c>
      <c r="Q229" s="26"/>
      <c r="S229" s="26"/>
    </row>
    <row r="230" spans="1:19" s="38" customFormat="1">
      <c r="A230" s="527">
        <v>193</v>
      </c>
      <c r="B230" s="495" t="s">
        <v>690</v>
      </c>
      <c r="C230" s="490" t="s">
        <v>26</v>
      </c>
      <c r="D230" s="491">
        <v>56000</v>
      </c>
      <c r="E230" s="684"/>
      <c r="F230" s="491">
        <v>56000</v>
      </c>
      <c r="G230" s="684"/>
      <c r="H230" s="398"/>
      <c r="I230" s="398"/>
      <c r="J230" s="398"/>
      <c r="K230" s="37">
        <v>41699</v>
      </c>
      <c r="L230" s="40"/>
      <c r="M230" s="58"/>
      <c r="Q230" s="26"/>
      <c r="S230" s="26"/>
    </row>
    <row r="231" spans="1:19" s="38" customFormat="1">
      <c r="A231" s="527">
        <v>193</v>
      </c>
      <c r="B231" s="495" t="s">
        <v>691</v>
      </c>
      <c r="C231" s="490" t="s">
        <v>26</v>
      </c>
      <c r="D231" s="491">
        <v>106000</v>
      </c>
      <c r="E231" s="684"/>
      <c r="F231" s="491">
        <v>106000</v>
      </c>
      <c r="G231" s="684"/>
      <c r="H231" s="398"/>
      <c r="I231" s="398"/>
      <c r="J231" s="398"/>
      <c r="K231" s="37">
        <v>41699</v>
      </c>
      <c r="L231" s="40"/>
      <c r="M231" s="58"/>
      <c r="Q231" s="26"/>
      <c r="S231" s="26"/>
    </row>
    <row r="232" spans="1:19">
      <c r="A232" s="527">
        <v>193</v>
      </c>
      <c r="B232" s="495" t="s">
        <v>3111</v>
      </c>
      <c r="C232" s="490" t="s">
        <v>3112</v>
      </c>
      <c r="D232" s="491">
        <f>1386*1.07</f>
        <v>1483.02</v>
      </c>
      <c r="E232" s="684"/>
      <c r="F232" s="491">
        <v>1386</v>
      </c>
      <c r="G232" s="684"/>
    </row>
    <row r="233" spans="1:19">
      <c r="A233" s="527">
        <v>193</v>
      </c>
      <c r="B233" s="495" t="s">
        <v>3485</v>
      </c>
      <c r="C233" s="490" t="s">
        <v>26</v>
      </c>
      <c r="D233" s="491">
        <v>594167</v>
      </c>
      <c r="E233" s="684"/>
      <c r="F233" s="684"/>
      <c r="G233" s="684"/>
      <c r="P233" s="244" t="s">
        <v>3451</v>
      </c>
    </row>
    <row r="234" spans="1:19">
      <c r="A234" s="527">
        <v>193</v>
      </c>
      <c r="B234" s="495" t="s">
        <v>3474</v>
      </c>
      <c r="C234" s="490" t="s">
        <v>3472</v>
      </c>
      <c r="D234" s="491">
        <v>2564.4499999999998</v>
      </c>
      <c r="E234" s="684"/>
      <c r="F234" s="684"/>
      <c r="G234" s="684"/>
      <c r="P234" s="244" t="s">
        <v>3451</v>
      </c>
    </row>
    <row r="235" spans="1:19">
      <c r="A235" s="527">
        <v>193</v>
      </c>
      <c r="B235" s="495" t="s">
        <v>3470</v>
      </c>
      <c r="C235" s="490" t="s">
        <v>26</v>
      </c>
      <c r="D235" s="491">
        <v>22882.51</v>
      </c>
      <c r="E235" s="684"/>
      <c r="F235" s="684"/>
      <c r="G235" s="684"/>
      <c r="P235" s="244" t="s">
        <v>3451</v>
      </c>
    </row>
    <row r="236" spans="1:19">
      <c r="A236" s="527">
        <v>193</v>
      </c>
      <c r="B236" s="495" t="s">
        <v>3468</v>
      </c>
      <c r="C236" s="490" t="s">
        <v>3469</v>
      </c>
      <c r="D236" s="491">
        <v>23205</v>
      </c>
      <c r="E236" s="684"/>
      <c r="F236" s="684"/>
      <c r="G236" s="684"/>
      <c r="P236" s="244" t="s">
        <v>3451</v>
      </c>
    </row>
    <row r="237" spans="1:19" ht="14.25">
      <c r="A237" s="527">
        <v>193</v>
      </c>
      <c r="B237" s="855" t="s">
        <v>3471</v>
      </c>
      <c r="C237" s="490" t="s">
        <v>26</v>
      </c>
      <c r="D237" s="491">
        <v>74929.539999999994</v>
      </c>
      <c r="E237" s="684"/>
      <c r="F237" s="684"/>
      <c r="G237" s="684"/>
      <c r="P237" s="244" t="s">
        <v>3451</v>
      </c>
    </row>
    <row r="238" spans="1:19">
      <c r="A238" s="527">
        <v>193</v>
      </c>
      <c r="B238" s="495" t="s">
        <v>3491</v>
      </c>
      <c r="C238" s="490" t="s">
        <v>26</v>
      </c>
      <c r="D238" s="491">
        <v>158865</v>
      </c>
      <c r="E238" s="684"/>
      <c r="F238" s="684"/>
      <c r="G238" s="684"/>
      <c r="P238" s="244" t="s">
        <v>3492</v>
      </c>
    </row>
    <row r="239" spans="1:19">
      <c r="A239" s="527">
        <v>193</v>
      </c>
      <c r="B239" s="495" t="s">
        <v>3466</v>
      </c>
      <c r="C239" s="490" t="s">
        <v>26</v>
      </c>
      <c r="D239" s="491">
        <v>42243.81</v>
      </c>
      <c r="E239" s="684"/>
      <c r="F239" s="684"/>
      <c r="G239" s="684"/>
      <c r="P239" s="244" t="s">
        <v>3451</v>
      </c>
    </row>
    <row r="240" spans="1:19">
      <c r="A240" s="527">
        <v>193</v>
      </c>
      <c r="B240" s="495" t="s">
        <v>3464</v>
      </c>
      <c r="C240" s="490" t="s">
        <v>26</v>
      </c>
      <c r="D240" s="491">
        <v>13582.66</v>
      </c>
      <c r="E240" s="684"/>
      <c r="F240" s="684"/>
      <c r="G240" s="684"/>
      <c r="P240" s="244" t="s">
        <v>3451</v>
      </c>
    </row>
    <row r="241" spans="1:16">
      <c r="A241" s="527">
        <v>193</v>
      </c>
      <c r="B241" s="495" t="s">
        <v>3463</v>
      </c>
      <c r="C241" s="490" t="s">
        <v>26</v>
      </c>
      <c r="D241" s="491">
        <v>75000</v>
      </c>
      <c r="E241" s="684"/>
      <c r="F241" s="684"/>
      <c r="G241" s="684"/>
      <c r="P241" s="38" t="s">
        <v>3436</v>
      </c>
    </row>
    <row r="242" spans="1:16">
      <c r="A242" s="527">
        <v>193</v>
      </c>
      <c r="B242" s="495" t="s">
        <v>3257</v>
      </c>
      <c r="C242" s="490" t="s">
        <v>119</v>
      </c>
      <c r="D242" s="491">
        <v>9280</v>
      </c>
      <c r="E242" s="684"/>
      <c r="F242" s="684"/>
      <c r="G242" s="684"/>
      <c r="P242" s="38" t="s">
        <v>3436</v>
      </c>
    </row>
    <row r="243" spans="1:16" ht="25.5">
      <c r="A243" s="527">
        <v>193</v>
      </c>
      <c r="B243" s="495" t="s">
        <v>3521</v>
      </c>
      <c r="C243" s="490" t="s">
        <v>119</v>
      </c>
      <c r="D243" s="491">
        <f>1079847*1.1206</f>
        <v>1210076.5482000001</v>
      </c>
      <c r="E243" s="684"/>
      <c r="F243" s="684"/>
      <c r="G243" s="684"/>
      <c r="P243" s="893" t="s">
        <v>3492</v>
      </c>
    </row>
    <row r="244" spans="1:16" ht="25.5">
      <c r="A244" s="527">
        <v>193</v>
      </c>
      <c r="B244" s="495" t="s">
        <v>3483</v>
      </c>
      <c r="C244" s="490" t="s">
        <v>26</v>
      </c>
      <c r="D244" s="491">
        <f>557556*1.1206</f>
        <v>624797.25360000005</v>
      </c>
      <c r="E244" s="684"/>
      <c r="F244" s="684"/>
      <c r="G244" s="684"/>
      <c r="P244" s="869" t="s">
        <v>3492</v>
      </c>
    </row>
    <row r="245" spans="1:16">
      <c r="A245" s="527">
        <v>193</v>
      </c>
      <c r="B245" s="495" t="s">
        <v>3458</v>
      </c>
      <c r="C245" s="490" t="s">
        <v>26</v>
      </c>
      <c r="D245" s="491">
        <v>30000</v>
      </c>
      <c r="E245" s="684"/>
      <c r="F245" s="684"/>
      <c r="G245" s="684"/>
    </row>
    <row r="246" spans="1:16">
      <c r="A246" s="527">
        <v>193</v>
      </c>
      <c r="B246" s="495" t="s">
        <v>3459</v>
      </c>
      <c r="C246" s="490" t="s">
        <v>26</v>
      </c>
      <c r="D246" s="491">
        <v>10000</v>
      </c>
      <c r="E246" s="684"/>
      <c r="F246" s="684"/>
      <c r="G246" s="684"/>
    </row>
    <row r="247" spans="1:16">
      <c r="A247" s="527">
        <v>193</v>
      </c>
      <c r="B247" s="848" t="s">
        <v>3411</v>
      </c>
      <c r="C247" s="490" t="s">
        <v>21</v>
      </c>
      <c r="D247" s="849">
        <v>2408.16</v>
      </c>
      <c r="P247" s="38" t="s">
        <v>3451</v>
      </c>
    </row>
    <row r="248" spans="1:16">
      <c r="A248" s="527">
        <v>193</v>
      </c>
      <c r="B248" s="848" t="s">
        <v>3412</v>
      </c>
      <c r="C248" s="490" t="s">
        <v>26</v>
      </c>
      <c r="D248" s="849">
        <v>270</v>
      </c>
      <c r="P248" s="38" t="s">
        <v>3450</v>
      </c>
    </row>
    <row r="249" spans="1:16">
      <c r="A249" s="527">
        <v>193</v>
      </c>
      <c r="B249" s="848" t="s">
        <v>3413</v>
      </c>
      <c r="C249" s="490" t="s">
        <v>26</v>
      </c>
      <c r="D249" s="849">
        <v>621.17999999999995</v>
      </c>
      <c r="P249" s="244" t="s">
        <v>3451</v>
      </c>
    </row>
    <row r="250" spans="1:16">
      <c r="A250" s="527">
        <v>193</v>
      </c>
      <c r="B250" s="848" t="s">
        <v>3414</v>
      </c>
      <c r="C250" s="490" t="s">
        <v>21</v>
      </c>
      <c r="D250" s="849">
        <v>2016</v>
      </c>
      <c r="P250" s="38">
        <v>1890</v>
      </c>
    </row>
    <row r="251" spans="1:16">
      <c r="A251" s="527">
        <v>193</v>
      </c>
      <c r="B251" s="848" t="s">
        <v>3415</v>
      </c>
      <c r="C251" s="490" t="s">
        <v>26</v>
      </c>
      <c r="D251" s="849">
        <v>8000</v>
      </c>
      <c r="P251" s="38" t="s">
        <v>3450</v>
      </c>
    </row>
    <row r="252" spans="1:16">
      <c r="A252" s="527">
        <v>193</v>
      </c>
      <c r="B252" s="848" t="s">
        <v>3416</v>
      </c>
      <c r="C252" s="490" t="s">
        <v>26</v>
      </c>
      <c r="D252" s="849">
        <v>1687.5</v>
      </c>
      <c r="P252" s="38" t="s">
        <v>3452</v>
      </c>
    </row>
    <row r="253" spans="1:16" ht="25.5">
      <c r="A253" s="527">
        <v>193</v>
      </c>
      <c r="B253" s="848" t="s">
        <v>3421</v>
      </c>
      <c r="C253" s="490" t="s">
        <v>146</v>
      </c>
      <c r="D253" s="849">
        <v>146965</v>
      </c>
      <c r="P253" s="38" t="s">
        <v>3452</v>
      </c>
    </row>
    <row r="254" spans="1:16">
      <c r="A254" s="527">
        <v>193</v>
      </c>
      <c r="B254" s="848" t="s">
        <v>3422</v>
      </c>
      <c r="C254" s="490" t="s">
        <v>21</v>
      </c>
      <c r="D254" s="849">
        <v>5647.5</v>
      </c>
      <c r="P254" s="38" t="s">
        <v>3450</v>
      </c>
    </row>
    <row r="255" spans="1:16">
      <c r="A255" s="527">
        <v>193</v>
      </c>
      <c r="B255" s="848" t="s">
        <v>3423</v>
      </c>
      <c r="C255" s="490" t="s">
        <v>26</v>
      </c>
      <c r="D255" s="849">
        <v>1417.5</v>
      </c>
      <c r="P255" s="38" t="s">
        <v>3450</v>
      </c>
    </row>
    <row r="256" spans="1:16" ht="13.5" customHeight="1">
      <c r="A256" s="527">
        <v>193</v>
      </c>
      <c r="B256" s="848" t="s">
        <v>3424</v>
      </c>
      <c r="C256" s="490" t="s">
        <v>26</v>
      </c>
      <c r="D256" s="849">
        <v>1080</v>
      </c>
      <c r="P256" s="38" t="s">
        <v>3451</v>
      </c>
    </row>
    <row r="257" spans="1:16">
      <c r="A257" s="527">
        <v>193</v>
      </c>
      <c r="B257" s="848" t="s">
        <v>3425</v>
      </c>
      <c r="C257" s="490" t="s">
        <v>26</v>
      </c>
      <c r="D257" s="849">
        <v>2497.5</v>
      </c>
      <c r="P257" s="38" t="s">
        <v>3450</v>
      </c>
    </row>
    <row r="258" spans="1:16">
      <c r="A258" s="527">
        <v>193</v>
      </c>
      <c r="B258" s="848" t="s">
        <v>3426</v>
      </c>
      <c r="C258" s="490" t="s">
        <v>26</v>
      </c>
      <c r="D258" s="849">
        <v>15000</v>
      </c>
      <c r="P258" s="38" t="s">
        <v>3450</v>
      </c>
    </row>
    <row r="259" spans="1:16">
      <c r="A259" s="527">
        <v>193</v>
      </c>
      <c r="B259" s="848" t="s">
        <v>3427</v>
      </c>
      <c r="C259" s="490" t="s">
        <v>26</v>
      </c>
      <c r="D259" s="849">
        <v>10000</v>
      </c>
    </row>
    <row r="260" spans="1:16">
      <c r="A260" s="527">
        <v>193</v>
      </c>
      <c r="B260" s="878" t="s">
        <v>3490</v>
      </c>
      <c r="C260" s="490" t="s">
        <v>26</v>
      </c>
      <c r="D260" s="849">
        <v>13474.37</v>
      </c>
    </row>
    <row r="261" spans="1:16">
      <c r="A261" s="527">
        <v>193</v>
      </c>
      <c r="B261" s="874" t="s">
        <v>3493</v>
      </c>
      <c r="C261" s="875" t="s">
        <v>26</v>
      </c>
      <c r="D261" s="849">
        <v>311015</v>
      </c>
      <c r="P261" s="38" t="s">
        <v>3492</v>
      </c>
    </row>
    <row r="262" spans="1:16">
      <c r="A262" s="527">
        <v>193</v>
      </c>
      <c r="B262" s="879" t="s">
        <v>3494</v>
      </c>
      <c r="C262" s="875" t="s">
        <v>26</v>
      </c>
      <c r="D262" s="849">
        <v>97665</v>
      </c>
      <c r="P262" s="38" t="s">
        <v>3492</v>
      </c>
    </row>
    <row r="263" spans="1:16">
      <c r="A263" s="527">
        <v>193</v>
      </c>
      <c r="B263" s="879" t="s">
        <v>3495</v>
      </c>
      <c r="C263" s="875" t="s">
        <v>26</v>
      </c>
      <c r="D263" s="849">
        <v>430900</v>
      </c>
      <c r="P263" s="38" t="s">
        <v>3496</v>
      </c>
    </row>
    <row r="264" spans="1:16">
      <c r="A264" s="527">
        <v>193</v>
      </c>
      <c r="B264" s="879" t="s">
        <v>3502</v>
      </c>
      <c r="C264" s="875" t="s">
        <v>26</v>
      </c>
      <c r="D264" s="849">
        <v>186900</v>
      </c>
    </row>
    <row r="265" spans="1:16" ht="25.5">
      <c r="A265" s="527">
        <v>193</v>
      </c>
      <c r="B265" s="879" t="s">
        <v>3513</v>
      </c>
      <c r="C265" s="875" t="s">
        <v>119</v>
      </c>
      <c r="D265" s="849">
        <f>479811*1.1206/0.8436</f>
        <v>637359.1827880512</v>
      </c>
      <c r="P265" s="38" t="s">
        <v>3492</v>
      </c>
    </row>
    <row r="266" spans="1:16" ht="25.5">
      <c r="A266" s="527">
        <v>193</v>
      </c>
      <c r="B266" s="879" t="s">
        <v>3514</v>
      </c>
      <c r="C266" s="875" t="s">
        <v>26</v>
      </c>
      <c r="D266" s="849">
        <f>762441*1.1206</f>
        <v>854391.38459999999</v>
      </c>
      <c r="P266" s="38" t="s">
        <v>3492</v>
      </c>
    </row>
    <row r="267" spans="1:16">
      <c r="A267" s="527">
        <v>193</v>
      </c>
      <c r="B267" s="879" t="s">
        <v>3515</v>
      </c>
      <c r="C267" s="875" t="s">
        <v>21</v>
      </c>
      <c r="D267" s="849">
        <f>79544*1.126/1.71</f>
        <v>52378.095906432747</v>
      </c>
      <c r="P267" s="38" t="s">
        <v>3492</v>
      </c>
    </row>
    <row r="268" spans="1:16">
      <c r="A268" s="527">
        <v>193</v>
      </c>
      <c r="B268" s="879" t="s">
        <v>3516</v>
      </c>
      <c r="C268" s="875" t="s">
        <v>21</v>
      </c>
      <c r="D268" s="849">
        <f>146132*1.1206/1.8</f>
        <v>90975.28844444445</v>
      </c>
      <c r="P268" s="38" t="s">
        <v>3492</v>
      </c>
    </row>
    <row r="269" spans="1:16">
      <c r="A269" s="909">
        <v>193</v>
      </c>
      <c r="B269" s="910" t="s">
        <v>3518</v>
      </c>
      <c r="C269" s="911" t="s">
        <v>26</v>
      </c>
      <c r="D269" s="912">
        <v>79687</v>
      </c>
    </row>
    <row r="270" spans="1:16">
      <c r="A270" s="913">
        <v>193</v>
      </c>
      <c r="B270" s="914" t="s">
        <v>3519</v>
      </c>
      <c r="C270" s="915" t="s">
        <v>26</v>
      </c>
      <c r="D270" s="916">
        <f>86805*1.1205</f>
        <v>97265.002500000002</v>
      </c>
    </row>
    <row r="271" spans="1:16">
      <c r="A271" s="913">
        <v>193</v>
      </c>
      <c r="B271" s="914" t="s">
        <v>3520</v>
      </c>
      <c r="C271" s="915" t="s">
        <v>26</v>
      </c>
      <c r="D271" s="916">
        <f>363339*1.1206</f>
        <v>407157.68340000004</v>
      </c>
    </row>
    <row r="272" spans="1:16">
      <c r="A272" s="913">
        <v>193</v>
      </c>
      <c r="B272" s="914" t="s">
        <v>3523</v>
      </c>
      <c r="C272" s="915" t="s">
        <v>2454</v>
      </c>
      <c r="D272" s="916">
        <v>15232</v>
      </c>
    </row>
    <row r="273" spans="1:4">
      <c r="A273" s="919">
        <v>194</v>
      </c>
      <c r="B273" s="920" t="s">
        <v>3527</v>
      </c>
      <c r="C273" s="921" t="s">
        <v>119</v>
      </c>
      <c r="D273" s="917">
        <v>19523.14</v>
      </c>
    </row>
    <row r="274" spans="1:4">
      <c r="A274" s="527">
        <v>195</v>
      </c>
      <c r="B274" s="495" t="s">
        <v>761</v>
      </c>
      <c r="C274" s="875" t="s">
        <v>21</v>
      </c>
      <c r="D274" s="918">
        <f>204233.75/6</f>
        <v>34038.958333333336</v>
      </c>
    </row>
    <row r="275" spans="1:4">
      <c r="A275" s="527">
        <v>196</v>
      </c>
      <c r="B275" s="495" t="s">
        <v>609</v>
      </c>
      <c r="C275" s="875" t="s">
        <v>26</v>
      </c>
      <c r="D275" s="918">
        <v>7695.73</v>
      </c>
    </row>
    <row r="276" spans="1:4">
      <c r="A276" s="527">
        <v>197</v>
      </c>
      <c r="B276" s="495" t="s">
        <v>610</v>
      </c>
      <c r="C276" s="875" t="s">
        <v>124</v>
      </c>
      <c r="D276" s="918">
        <v>94025</v>
      </c>
    </row>
    <row r="277" spans="1:4">
      <c r="A277" s="527">
        <v>198</v>
      </c>
      <c r="B277" s="495" t="s">
        <v>611</v>
      </c>
      <c r="C277" s="875" t="s">
        <v>124</v>
      </c>
      <c r="D277" s="918">
        <v>92566.84</v>
      </c>
    </row>
    <row r="278" spans="1:4">
      <c r="A278" s="527">
        <v>199</v>
      </c>
      <c r="B278" s="495" t="s">
        <v>3110</v>
      </c>
      <c r="C278" s="490" t="s">
        <v>26</v>
      </c>
      <c r="D278" s="918">
        <v>130900</v>
      </c>
    </row>
    <row r="279" spans="1:4" ht="25.5">
      <c r="A279" s="527">
        <v>200</v>
      </c>
      <c r="B279" s="495" t="s">
        <v>3532</v>
      </c>
      <c r="C279" s="490" t="s">
        <v>32</v>
      </c>
      <c r="D279" s="918">
        <f>560918.4/16</f>
        <v>35057.4</v>
      </c>
    </row>
    <row r="280" spans="1:4" ht="25.5">
      <c r="A280" s="527">
        <v>201</v>
      </c>
      <c r="B280" s="495" t="s">
        <v>3533</v>
      </c>
      <c r="C280" s="490" t="s">
        <v>32</v>
      </c>
      <c r="D280" s="918">
        <f>183736/20</f>
        <v>9186.7999999999993</v>
      </c>
    </row>
    <row r="281" spans="1:4">
      <c r="A281" s="527">
        <v>202</v>
      </c>
      <c r="B281" s="879" t="s">
        <v>3529</v>
      </c>
      <c r="C281" s="875" t="s">
        <v>26</v>
      </c>
      <c r="D281" s="849">
        <v>669.97</v>
      </c>
    </row>
    <row r="282" spans="1:4">
      <c r="A282" s="906">
        <v>203</v>
      </c>
      <c r="B282" s="876" t="s">
        <v>3535</v>
      </c>
      <c r="C282" s="877" t="s">
        <v>26</v>
      </c>
      <c r="D282" s="904">
        <v>102.34</v>
      </c>
    </row>
    <row r="283" spans="1:4">
      <c r="A283" s="936"/>
      <c r="B283" s="603"/>
      <c r="C283" s="261"/>
      <c r="D283" s="937"/>
    </row>
    <row r="284" spans="1:4">
      <c r="A284" s="936"/>
      <c r="B284" s="603"/>
      <c r="C284" s="261"/>
      <c r="D284" s="937"/>
    </row>
    <row r="285" spans="1:4">
      <c r="A285" s="936"/>
      <c r="B285" s="603"/>
      <c r="C285" s="261"/>
      <c r="D285" s="937"/>
    </row>
    <row r="286" spans="1:4">
      <c r="A286" s="936"/>
      <c r="B286" s="603"/>
      <c r="C286" s="261"/>
      <c r="D286" s="937"/>
    </row>
    <row r="287" spans="1:4">
      <c r="A287" s="936"/>
      <c r="B287" s="603"/>
      <c r="C287" s="261"/>
      <c r="D287" s="937"/>
    </row>
    <row r="288" spans="1:4">
      <c r="A288" s="936"/>
      <c r="B288" s="603"/>
      <c r="C288" s="261"/>
      <c r="D288" s="937"/>
    </row>
    <row r="289" spans="1:4">
      <c r="A289" s="936"/>
      <c r="B289" s="603"/>
      <c r="C289" s="261"/>
      <c r="D289" s="937"/>
    </row>
    <row r="290" spans="1:4">
      <c r="A290" s="936"/>
      <c r="B290" s="603"/>
      <c r="C290" s="261"/>
      <c r="D290" s="937"/>
    </row>
    <row r="291" spans="1:4">
      <c r="A291" s="936"/>
      <c r="B291" s="603"/>
      <c r="C291" s="261"/>
      <c r="D291" s="937"/>
    </row>
    <row r="292" spans="1:4">
      <c r="A292" s="936"/>
      <c r="B292" s="978" t="s">
        <v>3540</v>
      </c>
      <c r="C292" s="978"/>
      <c r="D292" s="978"/>
    </row>
    <row r="293" spans="1:4">
      <c r="A293" s="936"/>
      <c r="B293" s="979" t="s">
        <v>3476</v>
      </c>
      <c r="C293" s="979"/>
      <c r="D293" s="979"/>
    </row>
  </sheetData>
  <sheetProtection formatCells="0" formatColumns="0" formatRows="0" insertColumns="0" insertRows="0" insertHyperlinks="0" deleteColumns="0" deleteRows="0" sort="0" autoFilter="0" pivotTables="0"/>
  <mergeCells count="6">
    <mergeCell ref="B293:D293"/>
    <mergeCell ref="A2:D2"/>
    <mergeCell ref="A3:D3"/>
    <mergeCell ref="G45:I45"/>
    <mergeCell ref="B1:C1"/>
    <mergeCell ref="B292:D292"/>
  </mergeCells>
  <pageMargins left="0.78740157480314965" right="0.39370078740157483" top="1.1811023622047245" bottom="0.78740157480314965" header="0" footer="0"/>
  <pageSetup scale="80" orientation="portrait" errors="NA" r:id="rId1"/>
  <headerFooter alignWithMargins="0">
    <oddFooter>&amp;R&amp;P/&amp;N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rgb="FFFF3399"/>
  </sheetPr>
  <dimension ref="A1:V132"/>
  <sheetViews>
    <sheetView view="pageBreakPreview" topLeftCell="A70" zoomScale="115" zoomScaleNormal="110" zoomScaleSheetLayoutView="115" workbookViewId="0">
      <selection activeCell="C7" sqref="C7"/>
    </sheetView>
  </sheetViews>
  <sheetFormatPr baseColWidth="10" defaultColWidth="11.5703125" defaultRowHeight="12.75"/>
  <cols>
    <col min="1" max="1" width="39.85546875" style="26" customWidth="1"/>
    <col min="2" max="2" width="12.7109375" style="27" customWidth="1"/>
    <col min="3" max="3" width="13.7109375" style="26" customWidth="1"/>
    <col min="4" max="4" width="14.7109375" style="26" customWidth="1"/>
    <col min="5" max="5" width="11.5703125" style="26"/>
    <col min="6" max="6" width="12.42578125" style="26" hidden="1" customWidth="1"/>
    <col min="7" max="7" width="12.85546875" style="26" hidden="1" customWidth="1"/>
    <col min="8" max="8" width="10.85546875" style="26" hidden="1" customWidth="1"/>
    <col min="9" max="9" width="9.5703125" style="26" hidden="1" customWidth="1"/>
    <col min="10" max="10" width="11" style="26" hidden="1" customWidth="1"/>
    <col min="11" max="11" width="0" style="26" hidden="1" customWidth="1"/>
    <col min="12" max="12" width="12.42578125" style="26" hidden="1" customWidth="1"/>
    <col min="13" max="18" width="0" style="26" hidden="1" customWidth="1"/>
    <col min="19" max="19" width="13" style="26" hidden="1" customWidth="1"/>
    <col min="20" max="27" width="0" style="26" hidden="1" customWidth="1"/>
    <col min="28" max="16384" width="11.5703125" style="26"/>
  </cols>
  <sheetData>
    <row r="1" spans="1:22" s="25" customFormat="1" ht="42" customHeight="1">
      <c r="A1" s="1200" t="s">
        <v>3237</v>
      </c>
      <c r="B1" s="1200"/>
      <c r="C1" s="1200"/>
      <c r="D1" s="1200"/>
      <c r="E1" s="1200"/>
    </row>
    <row r="2" spans="1:22" s="25" customFormat="1" ht="13.15" customHeight="1">
      <c r="A2" s="1194" t="s">
        <v>3241</v>
      </c>
      <c r="B2" s="1194"/>
      <c r="C2" s="1194"/>
      <c r="D2" s="1194"/>
      <c r="E2" s="1194"/>
    </row>
    <row r="3" spans="1:22" ht="24" customHeight="1">
      <c r="A3" s="1195" t="s">
        <v>3242</v>
      </c>
      <c r="B3" s="1195"/>
      <c r="C3" s="1195"/>
      <c r="D3" s="1195"/>
      <c r="E3" s="1195"/>
      <c r="V3" s="26" t="s">
        <v>3178</v>
      </c>
    </row>
    <row r="4" spans="1:22">
      <c r="A4" s="122" t="s">
        <v>184</v>
      </c>
      <c r="B4" s="123"/>
      <c r="C4" s="122"/>
      <c r="D4" s="122"/>
      <c r="E4" s="124" t="s">
        <v>68</v>
      </c>
      <c r="G4" s="3"/>
      <c r="H4" s="3"/>
      <c r="I4" s="3"/>
      <c r="J4" s="118"/>
      <c r="K4" s="3"/>
      <c r="S4" s="26">
        <v>2019</v>
      </c>
      <c r="V4" s="26" t="s">
        <v>3179</v>
      </c>
    </row>
    <row r="5" spans="1:22">
      <c r="A5" s="272"/>
      <c r="B5" s="77"/>
      <c r="C5" s="272"/>
      <c r="D5" s="272"/>
      <c r="E5" s="272"/>
      <c r="F5" s="3"/>
      <c r="G5" s="3"/>
      <c r="H5" s="3"/>
      <c r="I5" s="3"/>
      <c r="J5" s="118"/>
      <c r="K5" s="3"/>
      <c r="V5" s="26" t="s">
        <v>3180</v>
      </c>
    </row>
    <row r="6" spans="1:22">
      <c r="A6" s="272" t="s">
        <v>328</v>
      </c>
      <c r="B6" s="77"/>
      <c r="C6" s="895">
        <v>908526</v>
      </c>
      <c r="D6" s="347"/>
      <c r="E6" s="272"/>
      <c r="F6" s="3"/>
      <c r="G6" s="3"/>
      <c r="H6" t="s">
        <v>2669</v>
      </c>
      <c r="I6" s="3"/>
      <c r="J6" s="118"/>
      <c r="K6" s="3"/>
      <c r="S6" s="649">
        <v>828116</v>
      </c>
      <c r="V6" s="26" t="s">
        <v>3181</v>
      </c>
    </row>
    <row r="7" spans="1:22">
      <c r="A7" s="272" t="s">
        <v>329</v>
      </c>
      <c r="B7" s="77"/>
      <c r="C7" s="895">
        <v>106454</v>
      </c>
      <c r="D7" s="347"/>
      <c r="E7" s="348"/>
      <c r="F7" s="3"/>
      <c r="G7" s="3"/>
      <c r="H7" s="3"/>
      <c r="I7" s="3"/>
      <c r="J7" s="118"/>
      <c r="K7" s="3"/>
      <c r="S7" s="649">
        <v>97032</v>
      </c>
    </row>
    <row r="8" spans="1:22">
      <c r="A8" s="272" t="s">
        <v>330</v>
      </c>
      <c r="B8" s="77"/>
      <c r="C8" s="349">
        <f>SUM(C6:C7)</f>
        <v>1014980</v>
      </c>
      <c r="D8" s="347"/>
      <c r="E8" s="348"/>
      <c r="F8" s="3"/>
      <c r="G8" s="3"/>
      <c r="H8" s="3"/>
      <c r="I8" s="3"/>
      <c r="J8" s="118"/>
      <c r="K8" s="3"/>
      <c r="S8" s="649">
        <f>SUM(S6:S7)</f>
        <v>925148</v>
      </c>
    </row>
    <row r="9" spans="1:22">
      <c r="A9" s="272" t="s">
        <v>331</v>
      </c>
      <c r="B9" s="77"/>
      <c r="C9" s="349">
        <f>+C6/30*365</f>
        <v>11053733</v>
      </c>
      <c r="D9" s="347"/>
      <c r="E9" s="350">
        <v>1</v>
      </c>
      <c r="F9" s="121">
        <f>C9/C$9</f>
        <v>1</v>
      </c>
      <c r="G9" s="3"/>
      <c r="H9" s="3"/>
      <c r="I9" s="3"/>
      <c r="J9" s="118"/>
      <c r="K9" s="3"/>
    </row>
    <row r="10" spans="1:22">
      <c r="A10" s="272" t="s">
        <v>333</v>
      </c>
      <c r="B10" s="77"/>
      <c r="C10" s="349">
        <f>+C7*12</f>
        <v>1277448</v>
      </c>
      <c r="D10" s="347"/>
      <c r="E10" s="350">
        <f>C10/C$9</f>
        <v>0.11556711203355463</v>
      </c>
      <c r="G10" s="3"/>
      <c r="H10" s="3"/>
      <c r="I10" s="3"/>
      <c r="J10" s="118"/>
      <c r="K10" s="3"/>
    </row>
    <row r="11" spans="1:22">
      <c r="A11" s="272" t="s">
        <v>332</v>
      </c>
      <c r="B11" s="77"/>
      <c r="C11" s="349">
        <f>+C9+C10</f>
        <v>12331181</v>
      </c>
      <c r="D11" s="347"/>
      <c r="E11" s="350"/>
      <c r="F11" s="3"/>
      <c r="G11" s="3"/>
      <c r="H11" s="3"/>
      <c r="I11" s="3"/>
      <c r="J11" s="118"/>
      <c r="K11" s="3"/>
    </row>
    <row r="12" spans="1:22">
      <c r="A12" s="272"/>
      <c r="B12" s="77"/>
      <c r="C12" s="272"/>
      <c r="D12" s="351"/>
      <c r="E12" s="350"/>
      <c r="F12" s="3"/>
      <c r="G12" s="3"/>
      <c r="H12" s="3"/>
      <c r="I12" s="3"/>
      <c r="J12" s="118"/>
      <c r="K12" s="3"/>
    </row>
    <row r="13" spans="1:22">
      <c r="A13" s="352" t="s">
        <v>294</v>
      </c>
      <c r="B13" s="77" t="s">
        <v>313</v>
      </c>
      <c r="C13" s="272"/>
      <c r="D13" s="272"/>
      <c r="E13" s="350"/>
      <c r="F13" s="3"/>
      <c r="G13" s="3"/>
      <c r="H13" s="3"/>
      <c r="I13" s="3"/>
      <c r="J13" s="118"/>
      <c r="K13" s="3"/>
    </row>
    <row r="14" spans="1:22">
      <c r="A14" s="272" t="s">
        <v>185</v>
      </c>
      <c r="B14" s="77" t="s">
        <v>312</v>
      </c>
      <c r="C14" s="350">
        <v>0.1</v>
      </c>
      <c r="D14" s="349">
        <f>+C11*36/365</f>
        <v>1216226.0712328767</v>
      </c>
      <c r="E14" s="350">
        <f>D14/C$9</f>
        <v>0.11002853707728211</v>
      </c>
      <c r="G14" s="3"/>
      <c r="H14" s="3"/>
      <c r="I14" s="3"/>
      <c r="J14" s="118"/>
      <c r="K14" s="3"/>
    </row>
    <row r="15" spans="1:22">
      <c r="A15" s="272" t="s">
        <v>186</v>
      </c>
      <c r="B15" s="77" t="str">
        <f>+A14</f>
        <v xml:space="preserve">     Cesantias</v>
      </c>
      <c r="C15" s="350">
        <v>0.12</v>
      </c>
      <c r="D15" s="349">
        <f>+D14*C15</f>
        <v>145947.12854794521</v>
      </c>
      <c r="E15" s="350">
        <f>D15/C$9</f>
        <v>1.3203424449273853E-2</v>
      </c>
      <c r="G15" s="3"/>
      <c r="H15" s="3"/>
      <c r="I15" s="3"/>
      <c r="J15" s="118"/>
      <c r="K15" s="3"/>
    </row>
    <row r="16" spans="1:22">
      <c r="A16" s="272" t="s">
        <v>296</v>
      </c>
      <c r="B16" s="77" t="s">
        <v>310</v>
      </c>
      <c r="C16" s="350">
        <v>0.5</v>
      </c>
      <c r="D16" s="349">
        <f>+C6/2</f>
        <v>454263</v>
      </c>
      <c r="E16" s="350">
        <f>D16/C$9</f>
        <v>4.1095890410958902E-2</v>
      </c>
      <c r="G16" s="3"/>
    </row>
    <row r="17" spans="1:12">
      <c r="A17" s="272" t="s">
        <v>297</v>
      </c>
      <c r="B17" s="77" t="s">
        <v>311</v>
      </c>
      <c r="C17" s="350">
        <v>1</v>
      </c>
      <c r="D17" s="349">
        <f>+C8</f>
        <v>1014980</v>
      </c>
      <c r="E17" s="350">
        <f>D17/C$9</f>
        <v>9.1822373491380699E-2</v>
      </c>
      <c r="G17" s="3"/>
      <c r="H17" s="3"/>
      <c r="I17" s="3"/>
      <c r="J17" s="118"/>
      <c r="K17" s="3"/>
    </row>
    <row r="18" spans="1:12">
      <c r="A18" s="327"/>
      <c r="B18" s="261"/>
      <c r="C18" s="77"/>
      <c r="D18" s="272"/>
      <c r="E18" s="350"/>
      <c r="F18" s="4"/>
      <c r="G18" s="3"/>
      <c r="H18" s="3"/>
      <c r="I18" s="3"/>
      <c r="J18" s="118"/>
      <c r="K18" s="3"/>
    </row>
    <row r="19" spans="1:12">
      <c r="A19" s="352" t="s">
        <v>293</v>
      </c>
      <c r="B19" s="261"/>
      <c r="C19" s="77"/>
      <c r="D19" s="272"/>
      <c r="E19" s="350"/>
      <c r="F19" s="3"/>
      <c r="G19" s="3"/>
      <c r="H19" s="3"/>
      <c r="I19" s="3"/>
      <c r="J19" s="118"/>
      <c r="K19" s="3"/>
    </row>
    <row r="20" spans="1:12">
      <c r="A20" s="272" t="s">
        <v>295</v>
      </c>
      <c r="B20" s="353">
        <v>82500</v>
      </c>
      <c r="C20" s="354">
        <v>3</v>
      </c>
      <c r="D20" s="349">
        <f>+B20*C20</f>
        <v>247500</v>
      </c>
      <c r="E20" s="350">
        <f>D20/C$9</f>
        <v>2.2390625863678813E-2</v>
      </c>
      <c r="G20" s="3"/>
      <c r="H20" s="3"/>
      <c r="I20" s="152"/>
      <c r="J20" s="118"/>
      <c r="K20" s="3"/>
    </row>
    <row r="21" spans="1:12">
      <c r="A21" s="272" t="s">
        <v>299</v>
      </c>
      <c r="B21" s="77" t="s">
        <v>190</v>
      </c>
      <c r="C21" s="350">
        <v>5.0000000000000001E-3</v>
      </c>
      <c r="D21" s="349">
        <f>+C9*C21</f>
        <v>55268.665000000001</v>
      </c>
      <c r="E21" s="350">
        <f>D21/C$9</f>
        <v>5.0000000000000001E-3</v>
      </c>
      <c r="G21" s="3"/>
      <c r="H21" s="3"/>
      <c r="I21" s="2"/>
      <c r="J21" s="118"/>
      <c r="K21" s="3"/>
    </row>
    <row r="22" spans="1:12">
      <c r="A22" s="327"/>
      <c r="B22" s="261"/>
      <c r="C22" s="261"/>
      <c r="D22" s="329"/>
      <c r="E22" s="272"/>
      <c r="G22" s="3"/>
      <c r="H22" s="3"/>
      <c r="I22" s="3"/>
      <c r="J22" s="118"/>
      <c r="K22" s="3"/>
    </row>
    <row r="23" spans="1:12">
      <c r="A23" s="352" t="s">
        <v>298</v>
      </c>
      <c r="B23" s="261"/>
      <c r="C23" s="261"/>
      <c r="D23" s="329"/>
      <c r="E23" s="272"/>
      <c r="G23" s="3"/>
      <c r="H23" s="3"/>
      <c r="I23" s="2"/>
      <c r="J23" s="118"/>
      <c r="K23" s="3"/>
    </row>
    <row r="24" spans="1:12">
      <c r="A24" s="272" t="s">
        <v>300</v>
      </c>
      <c r="B24" s="77" t="s">
        <v>190</v>
      </c>
      <c r="C24" s="350">
        <v>0.12</v>
      </c>
      <c r="D24" s="349">
        <f>+C9*C24</f>
        <v>1326447.96</v>
      </c>
      <c r="E24" s="350">
        <f>D24/C$9</f>
        <v>0.12</v>
      </c>
      <c r="G24" s="3"/>
      <c r="H24" s="3"/>
      <c r="I24" s="2"/>
      <c r="J24" s="118"/>
      <c r="K24" s="3"/>
    </row>
    <row r="25" spans="1:12">
      <c r="A25" s="272" t="s">
        <v>301</v>
      </c>
      <c r="B25" s="77" t="s">
        <v>190</v>
      </c>
      <c r="C25" s="350">
        <v>8.5000000000000006E-2</v>
      </c>
      <c r="D25" s="349">
        <f>+C9*C25</f>
        <v>939567.30500000005</v>
      </c>
      <c r="E25" s="350">
        <f>D25/C$9</f>
        <v>8.5000000000000006E-2</v>
      </c>
      <c r="G25" s="3"/>
      <c r="H25" s="3"/>
      <c r="I25" s="3"/>
      <c r="J25" s="118"/>
      <c r="K25" s="3"/>
    </row>
    <row r="26" spans="1:12">
      <c r="A26" s="272" t="s">
        <v>302</v>
      </c>
      <c r="B26" s="77" t="s">
        <v>190</v>
      </c>
      <c r="C26" s="350">
        <v>5.6000000000000001E-2</v>
      </c>
      <c r="D26" s="349">
        <f>+C9*C26</f>
        <v>619009.04800000007</v>
      </c>
      <c r="E26" s="350">
        <f>D26/C$9</f>
        <v>5.6000000000000008E-2</v>
      </c>
      <c r="G26" s="3"/>
      <c r="H26" s="3"/>
      <c r="I26" s="2"/>
      <c r="J26" s="118"/>
      <c r="K26" s="3"/>
    </row>
    <row r="27" spans="1:12">
      <c r="A27" s="272"/>
      <c r="B27" s="77"/>
      <c r="C27" s="355"/>
      <c r="D27" s="349"/>
      <c r="E27" s="272"/>
      <c r="G27" s="3"/>
      <c r="H27" s="3"/>
      <c r="I27" s="3"/>
      <c r="J27" s="118"/>
      <c r="K27" s="3"/>
      <c r="L27" s="26">
        <v>6045617</v>
      </c>
    </row>
    <row r="28" spans="1:12">
      <c r="A28" s="352" t="s">
        <v>303</v>
      </c>
      <c r="B28" s="77"/>
      <c r="C28" s="355"/>
      <c r="D28" s="349"/>
      <c r="E28" s="272"/>
      <c r="G28" s="3"/>
      <c r="H28" s="3"/>
      <c r="I28" s="3"/>
      <c r="J28" s="3"/>
      <c r="K28" s="3"/>
      <c r="L28" s="28">
        <f>+L27*10.98%</f>
        <v>663808.74660000007</v>
      </c>
    </row>
    <row r="29" spans="1:12">
      <c r="A29" s="272" t="s">
        <v>305</v>
      </c>
      <c r="B29" s="77" t="s">
        <v>190</v>
      </c>
      <c r="C29" s="350">
        <v>0.02</v>
      </c>
      <c r="D29" s="349">
        <f>+C9*C29</f>
        <v>221074.66</v>
      </c>
      <c r="E29" s="350">
        <f>D29/C$9</f>
        <v>0.02</v>
      </c>
      <c r="G29" s="3"/>
      <c r="H29" s="3"/>
      <c r="I29" s="3"/>
      <c r="J29" s="118"/>
      <c r="K29" s="3"/>
    </row>
    <row r="30" spans="1:12">
      <c r="A30" s="272" t="s">
        <v>306</v>
      </c>
      <c r="B30" s="77" t="s">
        <v>314</v>
      </c>
      <c r="C30" s="350">
        <v>0.18</v>
      </c>
      <c r="D30" s="349">
        <f>+C10*C30</f>
        <v>229940.63999999998</v>
      </c>
      <c r="E30" s="350">
        <f>D30/C$9</f>
        <v>2.0802080166039832E-2</v>
      </c>
      <c r="G30" s="3"/>
      <c r="H30" s="3"/>
      <c r="I30" s="3"/>
      <c r="J30" s="118"/>
      <c r="K30" s="3"/>
    </row>
    <row r="31" spans="1:12">
      <c r="A31" s="272"/>
      <c r="B31" s="77"/>
      <c r="C31" s="355"/>
      <c r="D31" s="349"/>
      <c r="E31" s="272"/>
      <c r="G31" s="3"/>
      <c r="H31" s="3"/>
      <c r="I31" s="119"/>
      <c r="J31" s="118"/>
      <c r="K31" s="3"/>
      <c r="L31" s="26">
        <v>556200</v>
      </c>
    </row>
    <row r="32" spans="1:12">
      <c r="A32" s="352" t="s">
        <v>304</v>
      </c>
      <c r="B32" s="77"/>
      <c r="C32" s="355"/>
      <c r="D32" s="349"/>
      <c r="E32" s="272"/>
      <c r="G32" s="3"/>
      <c r="H32" s="3"/>
      <c r="I32" s="120"/>
      <c r="J32" s="118"/>
      <c r="K32" s="3"/>
      <c r="L32" s="26">
        <f>+L31/30*365</f>
        <v>6767100</v>
      </c>
    </row>
    <row r="33" spans="1:12">
      <c r="A33" s="272" t="s">
        <v>307</v>
      </c>
      <c r="B33" s="77" t="s">
        <v>190</v>
      </c>
      <c r="C33" s="350">
        <v>0.03</v>
      </c>
      <c r="D33" s="349">
        <f>+C9*C33</f>
        <v>331611.99</v>
      </c>
      <c r="E33" s="350">
        <f>D33/C$9</f>
        <v>0.03</v>
      </c>
      <c r="G33" s="3"/>
      <c r="H33" s="3"/>
      <c r="I33" s="120"/>
      <c r="J33" s="118"/>
      <c r="K33" s="3"/>
      <c r="L33" s="26">
        <f>+L32*10.98%</f>
        <v>743027.58000000007</v>
      </c>
    </row>
    <row r="34" spans="1:12">
      <c r="A34" s="272" t="s">
        <v>308</v>
      </c>
      <c r="B34" s="77" t="s">
        <v>190</v>
      </c>
      <c r="C34" s="350">
        <v>0.04</v>
      </c>
      <c r="D34" s="349">
        <f>+C9*C34</f>
        <v>442149.32</v>
      </c>
      <c r="E34" s="350">
        <f>D34/C$9</f>
        <v>0.04</v>
      </c>
      <c r="G34" s="3"/>
      <c r="H34" s="3"/>
      <c r="I34" s="120"/>
      <c r="J34" s="118"/>
      <c r="K34" s="3"/>
    </row>
    <row r="35" spans="1:12">
      <c r="A35" s="272"/>
      <c r="B35" s="77"/>
      <c r="C35" s="272"/>
      <c r="D35" s="356"/>
      <c r="E35" s="272"/>
      <c r="G35" s="3"/>
      <c r="H35" s="3"/>
      <c r="I35" s="120"/>
      <c r="J35" s="118"/>
      <c r="K35" s="3"/>
    </row>
    <row r="36" spans="1:12">
      <c r="A36" s="122" t="s">
        <v>309</v>
      </c>
      <c r="B36" s="123"/>
      <c r="C36" s="122"/>
      <c r="D36" s="125">
        <f>SUM(D14:D35)+C11</f>
        <v>19575166.787780821</v>
      </c>
      <c r="E36" s="126">
        <f>SUM(E14:E35)</f>
        <v>0.65534293145861422</v>
      </c>
      <c r="F36" s="126"/>
      <c r="G36" s="3"/>
      <c r="H36" s="3"/>
      <c r="I36" s="120"/>
      <c r="J36" s="118"/>
      <c r="K36" s="3"/>
    </row>
    <row r="37" spans="1:12">
      <c r="A37" s="327"/>
      <c r="B37" s="261"/>
      <c r="C37" s="327"/>
      <c r="D37" s="327"/>
      <c r="E37" s="272"/>
      <c r="F37" s="3"/>
      <c r="G37" s="3"/>
      <c r="H37" s="3"/>
      <c r="I37" s="3"/>
      <c r="J37" s="118"/>
      <c r="K37" s="3"/>
    </row>
    <row r="38" spans="1:12">
      <c r="A38" s="352" t="s">
        <v>351</v>
      </c>
      <c r="B38" s="261"/>
      <c r="C38" s="327"/>
      <c r="D38" s="327"/>
      <c r="E38" s="327"/>
      <c r="F38" s="3"/>
      <c r="G38" s="3"/>
      <c r="H38" s="3"/>
      <c r="I38" s="3"/>
      <c r="J38" s="118"/>
      <c r="K38" s="3"/>
    </row>
    <row r="39" spans="1:12">
      <c r="A39" s="1199" t="s">
        <v>352</v>
      </c>
      <c r="B39" s="1199"/>
      <c r="C39" s="1199"/>
      <c r="D39" s="1199"/>
      <c r="E39" s="1199"/>
      <c r="F39" s="3"/>
      <c r="G39" s="3"/>
      <c r="H39" s="3"/>
      <c r="I39" s="3"/>
      <c r="J39" s="118"/>
      <c r="K39" s="3"/>
    </row>
    <row r="40" spans="1:12" ht="31.9" customHeight="1">
      <c r="A40" s="1199" t="s">
        <v>354</v>
      </c>
      <c r="B40" s="1199"/>
      <c r="C40" s="1199"/>
      <c r="D40" s="1199"/>
      <c r="E40" s="1199"/>
      <c r="F40" s="3"/>
      <c r="G40" s="3"/>
      <c r="H40" s="3"/>
      <c r="I40" s="3"/>
      <c r="J40" s="118"/>
      <c r="K40" s="3"/>
    </row>
    <row r="41" spans="1:12" ht="27.6" customHeight="1">
      <c r="A41" s="1199" t="s">
        <v>353</v>
      </c>
      <c r="B41" s="1199"/>
      <c r="C41" s="1199"/>
      <c r="D41" s="1199"/>
      <c r="E41" s="1199"/>
      <c r="F41" s="3"/>
      <c r="G41" s="3"/>
      <c r="H41" s="3"/>
      <c r="I41" s="3"/>
      <c r="J41" s="118"/>
      <c r="K41" s="3"/>
    </row>
    <row r="42" spans="1:12" ht="25.9" customHeight="1">
      <c r="A42" s="1199" t="s">
        <v>2396</v>
      </c>
      <c r="B42" s="1199"/>
      <c r="C42" s="1199"/>
      <c r="D42" s="1199"/>
      <c r="E42" s="1199"/>
      <c r="F42" s="3"/>
      <c r="G42" s="3"/>
      <c r="H42" s="3"/>
      <c r="I42" s="3"/>
      <c r="J42" s="118"/>
      <c r="K42" s="3"/>
    </row>
    <row r="43" spans="1:12" ht="31.9" customHeight="1">
      <c r="A43" s="1199" t="s">
        <v>355</v>
      </c>
      <c r="B43" s="1199"/>
      <c r="C43" s="1199"/>
      <c r="D43" s="1199"/>
      <c r="E43" s="1199"/>
      <c r="F43" s="3"/>
      <c r="G43" s="3"/>
      <c r="H43" s="3"/>
      <c r="I43" s="3"/>
      <c r="J43" s="118"/>
      <c r="K43" s="3"/>
    </row>
    <row r="44" spans="1:12">
      <c r="A44" s="327" t="s">
        <v>2394</v>
      </c>
      <c r="B44" s="261"/>
      <c r="C44" s="327"/>
      <c r="D44" s="327"/>
      <c r="E44" s="327"/>
      <c r="F44" s="3"/>
      <c r="G44" s="3"/>
      <c r="H44" s="3"/>
      <c r="I44" s="3"/>
      <c r="J44" s="118"/>
      <c r="K44" s="3"/>
    </row>
    <row r="45" spans="1:12">
      <c r="A45" s="327" t="s">
        <v>2395</v>
      </c>
      <c r="B45" s="261"/>
      <c r="C45" s="327"/>
      <c r="D45" s="327"/>
      <c r="E45" s="327"/>
      <c r="F45" s="3"/>
      <c r="G45" s="3"/>
      <c r="H45" s="3"/>
      <c r="I45" s="3"/>
      <c r="J45" s="118"/>
      <c r="K45" s="3"/>
    </row>
    <row r="46" spans="1:12">
      <c r="A46" s="327"/>
      <c r="B46" s="261"/>
      <c r="C46" s="327"/>
      <c r="D46" s="327"/>
      <c r="E46" s="327"/>
      <c r="F46" s="3"/>
      <c r="G46" s="3"/>
      <c r="H46" s="3"/>
      <c r="I46" s="3"/>
      <c r="J46" s="118"/>
      <c r="K46" s="3"/>
    </row>
    <row r="47" spans="1:12" ht="31.5" customHeight="1">
      <c r="A47" s="1201" t="s">
        <v>350</v>
      </c>
      <c r="B47" s="1201"/>
      <c r="C47" s="1201"/>
      <c r="D47" s="1201"/>
      <c r="E47" s="1201"/>
      <c r="F47" s="3"/>
      <c r="G47" s="3"/>
      <c r="H47" s="3"/>
      <c r="I47" s="3"/>
      <c r="J47" s="118"/>
      <c r="K47" s="3"/>
    </row>
    <row r="48" spans="1:12">
      <c r="A48" s="272"/>
      <c r="B48" s="77"/>
      <c r="C48" s="272"/>
      <c r="D48" s="272"/>
      <c r="E48" s="77"/>
      <c r="F48" s="3"/>
      <c r="G48" s="3"/>
      <c r="H48" s="3"/>
      <c r="I48" s="3"/>
      <c r="J48" s="118"/>
      <c r="K48" s="3"/>
    </row>
    <row r="49" spans="1:12">
      <c r="A49" s="272" t="s">
        <v>321</v>
      </c>
      <c r="B49" s="77"/>
      <c r="C49" s="272"/>
      <c r="D49" s="357">
        <f>+D36</f>
        <v>19575166.787780821</v>
      </c>
      <c r="E49" s="77"/>
      <c r="F49" s="3"/>
      <c r="G49" s="3"/>
      <c r="H49" s="3"/>
      <c r="I49" s="3"/>
      <c r="J49" s="118"/>
      <c r="K49" s="3"/>
    </row>
    <row r="50" spans="1:12">
      <c r="A50" s="272" t="s">
        <v>322</v>
      </c>
      <c r="B50" s="77"/>
      <c r="C50" s="270" t="s">
        <v>316</v>
      </c>
      <c r="D50" s="357">
        <v>2920</v>
      </c>
      <c r="E50" s="77"/>
      <c r="F50" s="3"/>
      <c r="G50" s="3"/>
      <c r="H50" s="3"/>
      <c r="I50" s="3"/>
      <c r="J50" s="118"/>
      <c r="K50" s="3"/>
      <c r="L50" s="26">
        <f>+J50*8</f>
        <v>0</v>
      </c>
    </row>
    <row r="51" spans="1:12" ht="25.5">
      <c r="A51" s="358" t="s">
        <v>323</v>
      </c>
      <c r="B51" s="77"/>
      <c r="C51" s="359" t="s">
        <v>315</v>
      </c>
      <c r="D51" s="357">
        <v>2504</v>
      </c>
      <c r="E51" s="77"/>
      <c r="F51" s="3"/>
      <c r="G51" s="3"/>
      <c r="H51" s="3"/>
      <c r="I51" s="3"/>
      <c r="J51" s="118"/>
      <c r="K51" s="3"/>
    </row>
    <row r="52" spans="1:12" ht="63.75">
      <c r="A52" s="358" t="s">
        <v>324</v>
      </c>
      <c r="B52" s="77"/>
      <c r="C52" s="359" t="s">
        <v>317</v>
      </c>
      <c r="D52" s="357">
        <v>2344</v>
      </c>
      <c r="E52" s="77"/>
      <c r="F52" s="3"/>
      <c r="G52" s="3"/>
      <c r="H52" s="3"/>
      <c r="I52" s="3"/>
      <c r="J52" s="118"/>
      <c r="K52" s="3"/>
    </row>
    <row r="53" spans="1:12">
      <c r="A53" s="272" t="s">
        <v>325</v>
      </c>
      <c r="B53" s="77"/>
      <c r="C53" s="270" t="s">
        <v>318</v>
      </c>
      <c r="D53" s="357">
        <f>+D49/D50</f>
        <v>6703.8242423906922</v>
      </c>
      <c r="E53" s="350">
        <v>1</v>
      </c>
      <c r="G53" s="3"/>
      <c r="H53" s="3"/>
      <c r="I53" s="3"/>
      <c r="J53" s="118"/>
      <c r="K53" s="3"/>
    </row>
    <row r="54" spans="1:12">
      <c r="A54" s="272" t="s">
        <v>326</v>
      </c>
      <c r="B54" s="261"/>
      <c r="C54" s="270" t="s">
        <v>319</v>
      </c>
      <c r="D54" s="357">
        <f>+D49/D51</f>
        <v>7817.5586213182196</v>
      </c>
      <c r="E54" s="360">
        <f>D54/D53</f>
        <v>1.1661341853035143</v>
      </c>
    </row>
    <row r="55" spans="1:12">
      <c r="A55" s="272" t="s">
        <v>327</v>
      </c>
      <c r="B55" s="261"/>
      <c r="C55" s="270" t="s">
        <v>320</v>
      </c>
      <c r="D55" s="357">
        <f>+D49/D52</f>
        <v>8351.1803702136604</v>
      </c>
      <c r="E55" s="360">
        <f>D55/D53</f>
        <v>1.2457337883959043</v>
      </c>
    </row>
    <row r="56" spans="1:12">
      <c r="A56" s="272"/>
      <c r="B56" s="261"/>
      <c r="C56" s="270"/>
      <c r="D56" s="351"/>
      <c r="E56" s="348"/>
    </row>
    <row r="57" spans="1:12">
      <c r="A57" s="352" t="s">
        <v>351</v>
      </c>
      <c r="B57" s="261"/>
      <c r="C57" s="327"/>
      <c r="D57" s="327"/>
      <c r="E57" s="327"/>
    </row>
    <row r="58" spans="1:12" ht="28.5" customHeight="1">
      <c r="A58" s="1199" t="s">
        <v>356</v>
      </c>
      <c r="B58" s="1199"/>
      <c r="C58" s="1199"/>
      <c r="D58" s="1199"/>
      <c r="E58" s="1199"/>
    </row>
    <row r="59" spans="1:12">
      <c r="A59" s="1199" t="s">
        <v>357</v>
      </c>
      <c r="B59" s="1199"/>
      <c r="C59" s="1199"/>
      <c r="D59" s="1199"/>
      <c r="E59" s="1199"/>
    </row>
    <row r="60" spans="1:12">
      <c r="A60" s="1199" t="s">
        <v>358</v>
      </c>
      <c r="B60" s="1199"/>
      <c r="C60" s="1199"/>
      <c r="D60" s="1199"/>
      <c r="E60" s="1199"/>
    </row>
    <row r="61" spans="1:12">
      <c r="A61" s="327"/>
      <c r="B61" s="261"/>
      <c r="C61" s="327"/>
      <c r="D61" s="327"/>
      <c r="E61" s="327"/>
    </row>
    <row r="62" spans="1:12">
      <c r="A62" s="352" t="s">
        <v>781</v>
      </c>
      <c r="B62" s="261"/>
      <c r="C62" s="327"/>
      <c r="D62" s="327"/>
      <c r="E62" s="327"/>
      <c r="G62" s="116"/>
    </row>
    <row r="63" spans="1:12">
      <c r="A63" s="327"/>
      <c r="B63" s="261"/>
      <c r="C63" s="327"/>
      <c r="D63" s="327"/>
      <c r="E63" s="327"/>
    </row>
    <row r="64" spans="1:12">
      <c r="A64" s="122" t="s">
        <v>334</v>
      </c>
      <c r="B64" s="111"/>
      <c r="C64" s="127"/>
      <c r="D64" s="127"/>
      <c r="E64" s="127"/>
      <c r="G64" s="117"/>
      <c r="H64" s="45"/>
      <c r="I64" s="45"/>
      <c r="J64" s="45"/>
    </row>
    <row r="65" spans="1:10">
      <c r="A65" s="272" t="s">
        <v>335</v>
      </c>
      <c r="B65" s="261"/>
      <c r="C65" s="270" t="s">
        <v>343</v>
      </c>
      <c r="D65" s="266">
        <f>(+C6*12/365)*1.2</f>
        <v>35843.217534246571</v>
      </c>
      <c r="E65" s="327"/>
      <c r="G65" s="40"/>
      <c r="H65" s="40"/>
      <c r="I65" s="40"/>
      <c r="J65" s="40"/>
    </row>
    <row r="66" spans="1:10">
      <c r="A66" s="272" t="s">
        <v>336</v>
      </c>
      <c r="B66" s="261"/>
      <c r="C66" s="361">
        <v>2.1476999999999999</v>
      </c>
      <c r="D66" s="266">
        <f>+D65*C66</f>
        <v>76980.478298301357</v>
      </c>
      <c r="E66" s="327"/>
      <c r="G66" s="40"/>
      <c r="H66" s="40"/>
      <c r="I66" s="40"/>
      <c r="J66" s="40"/>
    </row>
    <row r="67" spans="1:10">
      <c r="A67" s="272" t="s">
        <v>339</v>
      </c>
      <c r="B67" s="261"/>
      <c r="C67" s="270"/>
      <c r="D67" s="266">
        <f>+D66/8</f>
        <v>9622.5597872876697</v>
      </c>
      <c r="E67" s="327"/>
      <c r="G67" s="117"/>
      <c r="H67" s="40"/>
      <c r="I67" s="40"/>
      <c r="J67" s="40"/>
    </row>
    <row r="68" spans="1:10">
      <c r="A68" s="272"/>
      <c r="B68" s="261"/>
      <c r="C68" s="270"/>
      <c r="D68" s="266"/>
      <c r="E68" s="327"/>
      <c r="G68" s="40"/>
      <c r="H68" s="40"/>
      <c r="I68" s="40"/>
      <c r="J68" s="40"/>
    </row>
    <row r="69" spans="1:10">
      <c r="A69" s="272" t="s">
        <v>337</v>
      </c>
      <c r="B69" s="261"/>
      <c r="C69" s="270" t="s">
        <v>344</v>
      </c>
      <c r="D69" s="266">
        <f>(+C6*12/365)*2.1</f>
        <v>62725.630684931508</v>
      </c>
      <c r="E69" s="327"/>
      <c r="G69" s="40"/>
      <c r="H69" s="40"/>
      <c r="I69" s="40"/>
      <c r="J69" s="40"/>
    </row>
    <row r="70" spans="1:10">
      <c r="A70" s="272" t="s">
        <v>336</v>
      </c>
      <c r="B70" s="261"/>
      <c r="C70" s="361">
        <v>2.1059000000000001</v>
      </c>
      <c r="D70" s="266">
        <f>+D69*C70</f>
        <v>132093.90565939728</v>
      </c>
      <c r="E70" s="327"/>
      <c r="G70" s="40"/>
      <c r="H70" s="40"/>
      <c r="I70" s="40"/>
      <c r="J70" s="40"/>
    </row>
    <row r="71" spans="1:10">
      <c r="A71" s="272" t="s">
        <v>338</v>
      </c>
      <c r="B71" s="261"/>
      <c r="C71" s="270"/>
      <c r="D71" s="266">
        <f>+D70/8</f>
        <v>16511.73820742466</v>
      </c>
      <c r="E71" s="327"/>
      <c r="G71" s="117"/>
      <c r="H71" s="40"/>
      <c r="I71" s="40"/>
      <c r="J71" s="40"/>
    </row>
    <row r="72" spans="1:10">
      <c r="A72" s="272"/>
      <c r="B72" s="261"/>
      <c r="C72" s="270"/>
      <c r="D72" s="349"/>
      <c r="E72" s="327"/>
      <c r="G72" s="380">
        <v>2017</v>
      </c>
      <c r="H72" s="40"/>
      <c r="I72" s="40"/>
      <c r="J72" s="40"/>
    </row>
    <row r="73" spans="1:10">
      <c r="A73" s="272"/>
      <c r="B73" s="261"/>
      <c r="C73" s="270"/>
      <c r="D73" s="349"/>
      <c r="E73" s="327"/>
      <c r="G73" s="40"/>
      <c r="H73" s="40"/>
      <c r="I73" s="40"/>
      <c r="J73" s="40"/>
    </row>
    <row r="74" spans="1:10">
      <c r="A74" s="128" t="s">
        <v>340</v>
      </c>
      <c r="B74" s="129"/>
      <c r="C74" s="130"/>
      <c r="D74" s="132">
        <f>+D70+D66</f>
        <v>209074.38395769865</v>
      </c>
      <c r="E74" s="131"/>
      <c r="G74" s="381">
        <v>169766.99325073973</v>
      </c>
      <c r="H74" s="40"/>
      <c r="I74" s="40"/>
      <c r="J74" s="40"/>
    </row>
    <row r="75" spans="1:10">
      <c r="A75" s="128" t="s">
        <v>341</v>
      </c>
      <c r="B75" s="129"/>
      <c r="C75" s="130"/>
      <c r="D75" s="132">
        <f>+D71+D67</f>
        <v>26134.297994712331</v>
      </c>
      <c r="E75" s="131"/>
      <c r="G75" s="381">
        <v>21220.874156342466</v>
      </c>
      <c r="H75" s="40"/>
      <c r="I75" s="40"/>
      <c r="J75" s="40"/>
    </row>
    <row r="76" spans="1:10">
      <c r="A76" s="272"/>
      <c r="B76" s="261"/>
      <c r="C76" s="270"/>
      <c r="D76" s="349"/>
      <c r="E76" s="327"/>
      <c r="G76" s="40"/>
      <c r="H76" s="40"/>
      <c r="I76" s="40"/>
      <c r="J76" s="40"/>
    </row>
    <row r="77" spans="1:10">
      <c r="A77" s="352" t="s">
        <v>342</v>
      </c>
      <c r="B77" s="261"/>
      <c r="C77" s="270" t="s">
        <v>349</v>
      </c>
      <c r="D77" s="349"/>
      <c r="E77" s="327"/>
      <c r="F77" s="28"/>
      <c r="G77" s="40"/>
      <c r="H77" s="40"/>
      <c r="I77" s="40"/>
      <c r="J77" s="45"/>
    </row>
    <row r="78" spans="1:10">
      <c r="A78" s="327"/>
      <c r="B78" s="261"/>
      <c r="C78" s="270"/>
      <c r="D78" s="349"/>
      <c r="E78" s="327"/>
    </row>
    <row r="79" spans="1:10">
      <c r="A79" s="122" t="s">
        <v>345</v>
      </c>
      <c r="B79" s="111"/>
      <c r="C79" s="127"/>
      <c r="D79" s="127"/>
      <c r="E79" s="127"/>
    </row>
    <row r="80" spans="1:10">
      <c r="A80" s="272" t="s">
        <v>335</v>
      </c>
      <c r="B80" s="261"/>
      <c r="C80" s="270" t="s">
        <v>343</v>
      </c>
      <c r="D80" s="266">
        <f>+D65*1.1</f>
        <v>39427.539287671229</v>
      </c>
      <c r="E80" s="327"/>
    </row>
    <row r="81" spans="1:7">
      <c r="A81" s="272" t="s">
        <v>336</v>
      </c>
      <c r="B81" s="261"/>
      <c r="C81" s="361">
        <v>2.1476999999999999</v>
      </c>
      <c r="D81" s="266">
        <f>+D66*1.1</f>
        <v>84678.526128131503</v>
      </c>
      <c r="E81" s="327"/>
    </row>
    <row r="82" spans="1:7">
      <c r="A82" s="272" t="s">
        <v>339</v>
      </c>
      <c r="B82" s="261"/>
      <c r="C82" s="270"/>
      <c r="D82" s="266">
        <f>+D67*1.1</f>
        <v>10584.815766016438</v>
      </c>
      <c r="E82" s="327"/>
    </row>
    <row r="83" spans="1:7">
      <c r="A83" s="272"/>
      <c r="B83" s="261"/>
      <c r="C83" s="270"/>
      <c r="D83" s="266"/>
      <c r="E83" s="327"/>
    </row>
    <row r="84" spans="1:7">
      <c r="A84" s="272" t="s">
        <v>337</v>
      </c>
      <c r="B84" s="261"/>
      <c r="C84" s="270" t="s">
        <v>344</v>
      </c>
      <c r="D84" s="266">
        <f>+D69*1.1</f>
        <v>68998.193753424668</v>
      </c>
      <c r="E84" s="327"/>
    </row>
    <row r="85" spans="1:7">
      <c r="A85" s="272" t="s">
        <v>336</v>
      </c>
      <c r="B85" s="261"/>
      <c r="C85" s="361">
        <v>2.1059000000000001</v>
      </c>
      <c r="D85" s="266">
        <f>+D70*1.1</f>
        <v>145303.29622533702</v>
      </c>
      <c r="E85" s="327"/>
    </row>
    <row r="86" spans="1:7">
      <c r="A86" s="272" t="s">
        <v>338</v>
      </c>
      <c r="B86" s="261"/>
      <c r="C86" s="270"/>
      <c r="D86" s="266">
        <f>+D71*1.1</f>
        <v>18162.912028167128</v>
      </c>
      <c r="E86" s="327"/>
    </row>
    <row r="87" spans="1:7">
      <c r="A87" s="272"/>
      <c r="B87" s="261"/>
      <c r="C87" s="270"/>
      <c r="D87" s="266"/>
      <c r="E87" s="327"/>
    </row>
    <row r="88" spans="1:7">
      <c r="A88" s="128" t="s">
        <v>340</v>
      </c>
      <c r="B88" s="129"/>
      <c r="C88" s="130"/>
      <c r="D88" s="132">
        <f>+D85+D81</f>
        <v>229981.82235346851</v>
      </c>
      <c r="E88" s="131"/>
      <c r="G88" s="381">
        <v>186743.69257581374</v>
      </c>
    </row>
    <row r="89" spans="1:7">
      <c r="A89" s="128" t="s">
        <v>341</v>
      </c>
      <c r="B89" s="129"/>
      <c r="C89" s="130"/>
      <c r="D89" s="132">
        <f>+D86+D82</f>
        <v>28747.727794183564</v>
      </c>
      <c r="E89" s="131"/>
      <c r="G89" s="381">
        <v>23342.961571976717</v>
      </c>
    </row>
    <row r="90" spans="1:7">
      <c r="A90" s="272"/>
      <c r="B90" s="261"/>
      <c r="C90" s="270"/>
      <c r="D90" s="349"/>
      <c r="E90" s="327"/>
    </row>
    <row r="91" spans="1:7">
      <c r="A91" s="122" t="s">
        <v>346</v>
      </c>
      <c r="B91" s="111"/>
      <c r="C91" s="127"/>
      <c r="D91" s="127"/>
      <c r="E91" s="127"/>
    </row>
    <row r="92" spans="1:7">
      <c r="A92" s="272" t="s">
        <v>335</v>
      </c>
      <c r="B92" s="261"/>
      <c r="C92" s="270" t="s">
        <v>343</v>
      </c>
      <c r="D92" s="266">
        <f>+D65*1.15</f>
        <v>41219.700164383554</v>
      </c>
      <c r="E92" s="327"/>
    </row>
    <row r="93" spans="1:7">
      <c r="A93" s="272" t="s">
        <v>336</v>
      </c>
      <c r="B93" s="261"/>
      <c r="C93" s="361">
        <v>2.1476999999999999</v>
      </c>
      <c r="D93" s="266">
        <f>+D66*1.15</f>
        <v>88527.550043046547</v>
      </c>
      <c r="E93" s="327"/>
    </row>
    <row r="94" spans="1:7">
      <c r="A94" s="272" t="s">
        <v>339</v>
      </c>
      <c r="B94" s="261"/>
      <c r="C94" s="270"/>
      <c r="D94" s="266">
        <f>+D67*1.15</f>
        <v>11065.943755380818</v>
      </c>
      <c r="E94" s="327"/>
    </row>
    <row r="95" spans="1:7">
      <c r="A95" s="272"/>
      <c r="B95" s="261"/>
      <c r="C95" s="270"/>
      <c r="D95" s="266"/>
      <c r="E95" s="327"/>
    </row>
    <row r="96" spans="1:7">
      <c r="A96" s="272" t="s">
        <v>337</v>
      </c>
      <c r="B96" s="261"/>
      <c r="C96" s="270" t="s">
        <v>344</v>
      </c>
      <c r="D96" s="266">
        <f>+D69*1.15</f>
        <v>72134.47528767123</v>
      </c>
      <c r="E96" s="327"/>
    </row>
    <row r="97" spans="1:7">
      <c r="A97" s="272" t="s">
        <v>336</v>
      </c>
      <c r="B97" s="261"/>
      <c r="C97" s="361">
        <v>2.1059000000000001</v>
      </c>
      <c r="D97" s="266">
        <f>+D70*1.15</f>
        <v>151907.99150830685</v>
      </c>
      <c r="E97" s="327"/>
    </row>
    <row r="98" spans="1:7">
      <c r="A98" s="272" t="s">
        <v>338</v>
      </c>
      <c r="B98" s="261"/>
      <c r="C98" s="270"/>
      <c r="D98" s="266">
        <f>+D71*1.15</f>
        <v>18988.498938538356</v>
      </c>
      <c r="E98" s="327"/>
    </row>
    <row r="99" spans="1:7">
      <c r="A99" s="272"/>
      <c r="B99" s="261"/>
      <c r="C99" s="270"/>
      <c r="D99" s="266"/>
      <c r="E99" s="327"/>
    </row>
    <row r="100" spans="1:7">
      <c r="A100" s="128" t="s">
        <v>340</v>
      </c>
      <c r="B100" s="129"/>
      <c r="C100" s="130"/>
      <c r="D100" s="132">
        <f>+D97+D93</f>
        <v>240435.54155135341</v>
      </c>
      <c r="E100" s="131"/>
      <c r="G100" s="381">
        <v>195232.04223835067</v>
      </c>
    </row>
    <row r="101" spans="1:7">
      <c r="A101" s="128" t="s">
        <v>341</v>
      </c>
      <c r="B101" s="129"/>
      <c r="C101" s="130"/>
      <c r="D101" s="132">
        <f>+D98+D94</f>
        <v>30054.442693919176</v>
      </c>
      <c r="E101" s="131"/>
      <c r="G101" s="381">
        <v>24404.005279793833</v>
      </c>
    </row>
    <row r="102" spans="1:7">
      <c r="A102" s="272"/>
      <c r="B102" s="261"/>
      <c r="C102" s="270"/>
      <c r="D102" s="349"/>
      <c r="E102" s="327"/>
    </row>
    <row r="103" spans="1:7">
      <c r="A103" s="122" t="s">
        <v>347</v>
      </c>
      <c r="B103" s="111"/>
      <c r="C103" s="127"/>
      <c r="D103" s="127"/>
      <c r="E103" s="127"/>
    </row>
    <row r="104" spans="1:7">
      <c r="A104" s="272" t="s">
        <v>335</v>
      </c>
      <c r="B104" s="261"/>
      <c r="C104" s="270" t="s">
        <v>343</v>
      </c>
      <c r="D104" s="266">
        <f>+D65*1.2</f>
        <v>43011.861041095886</v>
      </c>
      <c r="E104" s="327"/>
    </row>
    <row r="105" spans="1:7">
      <c r="A105" s="272" t="s">
        <v>336</v>
      </c>
      <c r="B105" s="261"/>
      <c r="C105" s="361">
        <v>2.1476999999999999</v>
      </c>
      <c r="D105" s="266">
        <f>+D66*1.2</f>
        <v>92376.57395796162</v>
      </c>
      <c r="E105" s="327"/>
    </row>
    <row r="106" spans="1:7">
      <c r="A106" s="272" t="s">
        <v>339</v>
      </c>
      <c r="B106" s="261"/>
      <c r="C106" s="270"/>
      <c r="D106" s="266">
        <f>+D67*1.2</f>
        <v>11547.071744745203</v>
      </c>
      <c r="E106" s="327"/>
    </row>
    <row r="107" spans="1:7">
      <c r="A107" s="272"/>
      <c r="B107" s="261"/>
      <c r="C107" s="270"/>
      <c r="D107" s="266"/>
      <c r="E107" s="327"/>
    </row>
    <row r="108" spans="1:7">
      <c r="A108" s="272" t="s">
        <v>337</v>
      </c>
      <c r="B108" s="261"/>
      <c r="C108" s="270" t="s">
        <v>344</v>
      </c>
      <c r="D108" s="266">
        <f>+D69*1.2</f>
        <v>75270.756821917807</v>
      </c>
      <c r="E108" s="327"/>
    </row>
    <row r="109" spans="1:7">
      <c r="A109" s="272" t="s">
        <v>336</v>
      </c>
      <c r="B109" s="261"/>
      <c r="C109" s="361">
        <v>2.1059000000000001</v>
      </c>
      <c r="D109" s="266">
        <f>+D70*1.2</f>
        <v>158512.68679127673</v>
      </c>
      <c r="E109" s="327"/>
    </row>
    <row r="110" spans="1:7">
      <c r="A110" s="272" t="s">
        <v>338</v>
      </c>
      <c r="B110" s="261"/>
      <c r="C110" s="270"/>
      <c r="D110" s="266">
        <f>+D71*1.2</f>
        <v>19814.085848909592</v>
      </c>
      <c r="E110" s="327"/>
    </row>
    <row r="111" spans="1:7">
      <c r="A111" s="272"/>
      <c r="B111" s="261"/>
      <c r="C111" s="270"/>
      <c r="D111" s="266"/>
      <c r="E111" s="327"/>
    </row>
    <row r="112" spans="1:7">
      <c r="A112" s="128" t="s">
        <v>340</v>
      </c>
      <c r="B112" s="129"/>
      <c r="C112" s="130"/>
      <c r="D112" s="132">
        <f>+D109+D105</f>
        <v>250889.26074923837</v>
      </c>
      <c r="E112" s="131"/>
      <c r="G112" s="381">
        <v>203720.39190088765</v>
      </c>
    </row>
    <row r="113" spans="1:7">
      <c r="A113" s="128" t="s">
        <v>341</v>
      </c>
      <c r="B113" s="129"/>
      <c r="C113" s="130"/>
      <c r="D113" s="132">
        <f>+D110+D106</f>
        <v>31361.157593654796</v>
      </c>
      <c r="E113" s="131"/>
      <c r="G113" s="381">
        <v>25465.048987610957</v>
      </c>
    </row>
    <row r="114" spans="1:7">
      <c r="A114" s="272"/>
      <c r="B114" s="261"/>
      <c r="C114" s="270"/>
      <c r="D114" s="349"/>
      <c r="E114" s="327"/>
    </row>
    <row r="115" spans="1:7">
      <c r="A115" s="122" t="s">
        <v>348</v>
      </c>
      <c r="B115" s="111"/>
      <c r="C115" s="127"/>
      <c r="D115" s="127"/>
      <c r="E115" s="127"/>
    </row>
    <row r="116" spans="1:7">
      <c r="A116" s="272" t="s">
        <v>335</v>
      </c>
      <c r="B116" s="261"/>
      <c r="C116" s="270" t="s">
        <v>343</v>
      </c>
      <c r="D116" s="266">
        <f>+D65*1.3</f>
        <v>46596.182794520544</v>
      </c>
      <c r="E116" s="327"/>
    </row>
    <row r="117" spans="1:7">
      <c r="A117" s="272" t="s">
        <v>336</v>
      </c>
      <c r="B117" s="261"/>
      <c r="C117" s="361">
        <v>2.1476999999999999</v>
      </c>
      <c r="D117" s="266">
        <f>+D66*1.3</f>
        <v>100074.62178779177</v>
      </c>
      <c r="E117" s="327"/>
    </row>
    <row r="118" spans="1:7">
      <c r="A118" s="272" t="s">
        <v>339</v>
      </c>
      <c r="B118" s="261"/>
      <c r="C118" s="270"/>
      <c r="D118" s="266">
        <f>+D67*1.3</f>
        <v>12509.327723473971</v>
      </c>
      <c r="E118" s="327"/>
    </row>
    <row r="119" spans="1:7">
      <c r="A119" s="272"/>
      <c r="B119" s="261"/>
      <c r="C119" s="270"/>
      <c r="D119" s="266"/>
      <c r="E119" s="327"/>
    </row>
    <row r="120" spans="1:7">
      <c r="A120" s="272" t="s">
        <v>337</v>
      </c>
      <c r="B120" s="261"/>
      <c r="C120" s="270" t="s">
        <v>344</v>
      </c>
      <c r="D120" s="266">
        <f>+D69*1.3</f>
        <v>81543.319890410959</v>
      </c>
      <c r="E120" s="327"/>
    </row>
    <row r="121" spans="1:7">
      <c r="A121" s="272" t="s">
        <v>336</v>
      </c>
      <c r="B121" s="261"/>
      <c r="C121" s="361">
        <v>2.1059000000000001</v>
      </c>
      <c r="D121" s="266">
        <f>+D70*1.3</f>
        <v>171722.07735721648</v>
      </c>
      <c r="E121" s="327"/>
    </row>
    <row r="122" spans="1:7">
      <c r="A122" s="272" t="s">
        <v>338</v>
      </c>
      <c r="B122" s="261"/>
      <c r="C122" s="270"/>
      <c r="D122" s="266">
        <f>+D71*1.3</f>
        <v>21465.25966965206</v>
      </c>
      <c r="E122" s="327"/>
    </row>
    <row r="123" spans="1:7">
      <c r="A123" s="272"/>
      <c r="B123" s="261"/>
      <c r="C123" s="270"/>
      <c r="D123" s="266"/>
      <c r="E123" s="327"/>
    </row>
    <row r="124" spans="1:7">
      <c r="A124" s="128" t="s">
        <v>340</v>
      </c>
      <c r="B124" s="129"/>
      <c r="C124" s="130"/>
      <c r="D124" s="132">
        <f>+D121+D117</f>
        <v>271796.69914500823</v>
      </c>
      <c r="E124" s="131"/>
      <c r="G124" s="381">
        <v>220697.09122596169</v>
      </c>
    </row>
    <row r="125" spans="1:7">
      <c r="A125" s="128" t="s">
        <v>341</v>
      </c>
      <c r="B125" s="129"/>
      <c r="C125" s="130"/>
      <c r="D125" s="132">
        <f>+D122+D118</f>
        <v>33974.587393126028</v>
      </c>
      <c r="E125" s="131"/>
      <c r="G125" s="381">
        <v>27587.136403245211</v>
      </c>
    </row>
    <row r="126" spans="1:7">
      <c r="A126" s="327"/>
      <c r="B126" s="261"/>
      <c r="C126" s="327"/>
      <c r="D126" s="327"/>
      <c r="E126" s="327"/>
    </row>
    <row r="127" spans="1:7">
      <c r="A127" s="352" t="s">
        <v>351</v>
      </c>
      <c r="B127" s="261"/>
      <c r="C127" s="327"/>
      <c r="D127" s="327"/>
      <c r="E127" s="327"/>
    </row>
    <row r="128" spans="1:7">
      <c r="A128" s="1199" t="s">
        <v>359</v>
      </c>
      <c r="B128" s="1199"/>
      <c r="C128" s="1199"/>
      <c r="D128" s="1199"/>
      <c r="E128" s="1199"/>
    </row>
    <row r="130" spans="1:1" ht="24.75" customHeight="1"/>
    <row r="132" spans="1:1">
      <c r="A132" s="4"/>
    </row>
  </sheetData>
  <sheetProtection formatCells="0" formatColumns="0" formatRows="0" insertColumns="0" insertRows="0" insertHyperlinks="0" deleteColumns="0" deleteRows="0" sort="0" autoFilter="0" pivotTables="0"/>
  <mergeCells count="13">
    <mergeCell ref="A128:E128"/>
    <mergeCell ref="A41:E41"/>
    <mergeCell ref="A42:E42"/>
    <mergeCell ref="A43:E43"/>
    <mergeCell ref="A58:E58"/>
    <mergeCell ref="A59:E59"/>
    <mergeCell ref="A60:E60"/>
    <mergeCell ref="A47:E47"/>
    <mergeCell ref="A39:E39"/>
    <mergeCell ref="A40:E40"/>
    <mergeCell ref="A1:E1"/>
    <mergeCell ref="A2:E2"/>
    <mergeCell ref="A3:E3"/>
  </mergeCells>
  <pageMargins left="0.70866141732283472" right="0.70866141732283472" top="0.74803149606299213" bottom="0.74803149606299213" header="0.31496062992125984" footer="0.31496062992125984"/>
  <pageSetup scale="95" orientation="portrait" r:id="rId1"/>
  <headerFooter>
    <oddFooter>&amp;R&amp;P/&amp;N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theme="6" tint="-0.499984740745262"/>
  </sheetPr>
  <dimension ref="A1:K43"/>
  <sheetViews>
    <sheetView view="pageBreakPreview" zoomScale="120" zoomScaleNormal="100" zoomScaleSheetLayoutView="120" workbookViewId="0">
      <selection activeCell="N25" sqref="N25"/>
    </sheetView>
  </sheetViews>
  <sheetFormatPr baseColWidth="10" defaultRowHeight="12.75"/>
  <cols>
    <col min="1" max="1" width="17.5703125" bestFit="1" customWidth="1"/>
    <col min="2" max="2" width="18.140625" customWidth="1"/>
    <col min="3" max="5" width="15.85546875" bestFit="1" customWidth="1"/>
    <col min="6" max="7" width="0" hidden="1" customWidth="1"/>
    <col min="8" max="8" width="20.5703125" hidden="1" customWidth="1"/>
    <col min="9" max="9" width="18.28515625" hidden="1" customWidth="1"/>
    <col min="10" max="12" width="0" hidden="1" customWidth="1"/>
  </cols>
  <sheetData>
    <row r="1" spans="1:11">
      <c r="A1" s="339"/>
      <c r="B1" s="339"/>
      <c r="C1" s="339"/>
      <c r="D1" s="339"/>
      <c r="E1" s="339"/>
    </row>
    <row r="2" spans="1:11">
      <c r="A2" s="1202" t="s">
        <v>3227</v>
      </c>
      <c r="B2" s="1202"/>
      <c r="C2" s="1202"/>
      <c r="D2" s="1202"/>
      <c r="E2" s="339"/>
      <c r="H2" s="1202" t="s">
        <v>2634</v>
      </c>
      <c r="I2" s="1202"/>
      <c r="J2" s="1202"/>
      <c r="K2" s="1202"/>
    </row>
    <row r="3" spans="1:11">
      <c r="A3" s="151" t="s">
        <v>2386</v>
      </c>
      <c r="B3" s="151" t="s">
        <v>2387</v>
      </c>
      <c r="C3" s="151" t="s">
        <v>2628</v>
      </c>
      <c r="D3" s="151" t="s">
        <v>2388</v>
      </c>
      <c r="E3" s="339"/>
      <c r="H3" s="151" t="s">
        <v>2386</v>
      </c>
      <c r="I3" s="151" t="s">
        <v>2387</v>
      </c>
      <c r="J3" s="151" t="s">
        <v>2628</v>
      </c>
      <c r="K3" s="151" t="s">
        <v>2388</v>
      </c>
    </row>
    <row r="4" spans="1:11">
      <c r="A4" s="149" t="s">
        <v>2625</v>
      </c>
      <c r="B4" s="706">
        <v>329570</v>
      </c>
      <c r="C4" s="338">
        <f>B4*19%</f>
        <v>62618.3</v>
      </c>
      <c r="D4" s="341">
        <f>SUM(B4:C4)</f>
        <v>392188.3</v>
      </c>
      <c r="E4" s="339"/>
      <c r="H4" s="149" t="s">
        <v>2625</v>
      </c>
      <c r="I4" s="150">
        <v>346023</v>
      </c>
      <c r="J4" s="338">
        <f>I4*19%</f>
        <v>65744.37</v>
      </c>
      <c r="K4" s="341">
        <f>SUM(I4:J4)</f>
        <v>411767.37</v>
      </c>
    </row>
    <row r="5" spans="1:11">
      <c r="A5" s="149" t="s">
        <v>2433</v>
      </c>
      <c r="B5" s="150">
        <v>326411</v>
      </c>
      <c r="C5" s="338">
        <f>B5*19%</f>
        <v>62018.090000000004</v>
      </c>
      <c r="D5" s="341">
        <f t="shared" ref="D5:D25" si="0">SUM(B5:C5)</f>
        <v>388429.09</v>
      </c>
      <c r="E5" s="339"/>
      <c r="H5" s="149" t="s">
        <v>2433</v>
      </c>
      <c r="I5" s="150">
        <v>335798</v>
      </c>
      <c r="J5" s="338">
        <f>I5*19%</f>
        <v>63801.62</v>
      </c>
      <c r="K5" s="341">
        <f t="shared" ref="K5:K9" si="1">SUM(I5:J5)</f>
        <v>399599.62</v>
      </c>
    </row>
    <row r="6" spans="1:11">
      <c r="A6" s="149" t="s">
        <v>2434</v>
      </c>
      <c r="B6" s="706">
        <v>309430</v>
      </c>
      <c r="C6" s="338">
        <f t="shared" ref="C6:C25" si="2">B6*19%</f>
        <v>58791.7</v>
      </c>
      <c r="D6" s="341">
        <f t="shared" si="0"/>
        <v>368221.7</v>
      </c>
      <c r="E6" s="339"/>
      <c r="H6" s="149" t="s">
        <v>2434</v>
      </c>
      <c r="I6" s="150">
        <v>332480</v>
      </c>
      <c r="J6" s="338">
        <f t="shared" ref="J6:J25" si="3">I6*19%</f>
        <v>63171.200000000004</v>
      </c>
      <c r="K6" s="341">
        <f t="shared" si="1"/>
        <v>395651.2</v>
      </c>
    </row>
    <row r="7" spans="1:11">
      <c r="A7" s="149" t="s">
        <v>2389</v>
      </c>
      <c r="B7" s="150">
        <v>305784</v>
      </c>
      <c r="C7" s="338">
        <f t="shared" si="2"/>
        <v>58098.96</v>
      </c>
      <c r="D7" s="341">
        <f t="shared" si="0"/>
        <v>363882.96</v>
      </c>
      <c r="E7" s="339"/>
      <c r="H7" s="149" t="s">
        <v>2389</v>
      </c>
      <c r="I7" s="150">
        <v>329182</v>
      </c>
      <c r="J7" s="338">
        <f t="shared" si="3"/>
        <v>62544.58</v>
      </c>
      <c r="K7" s="341">
        <f t="shared" si="1"/>
        <v>391726.58</v>
      </c>
    </row>
    <row r="8" spans="1:11">
      <c r="A8" s="149" t="s">
        <v>2390</v>
      </c>
      <c r="B8" s="150">
        <v>320560</v>
      </c>
      <c r="C8" s="338">
        <f t="shared" si="2"/>
        <v>60906.400000000001</v>
      </c>
      <c r="D8" s="341">
        <f t="shared" si="0"/>
        <v>381466.4</v>
      </c>
      <c r="E8" s="339"/>
      <c r="H8" s="149" t="s">
        <v>2390</v>
      </c>
      <c r="I8" s="150">
        <v>342844</v>
      </c>
      <c r="J8" s="338">
        <f t="shared" si="3"/>
        <v>65140.36</v>
      </c>
      <c r="K8" s="341">
        <f t="shared" si="1"/>
        <v>407984.36</v>
      </c>
    </row>
    <row r="9" spans="1:11">
      <c r="A9" s="149" t="s">
        <v>2391</v>
      </c>
      <c r="B9" s="150">
        <v>311581</v>
      </c>
      <c r="C9" s="338">
        <f t="shared" si="2"/>
        <v>59200.39</v>
      </c>
      <c r="D9" s="341">
        <f t="shared" si="0"/>
        <v>370781.39</v>
      </c>
      <c r="E9" s="339"/>
      <c r="H9" s="149" t="s">
        <v>2391</v>
      </c>
      <c r="I9" s="150">
        <v>336414</v>
      </c>
      <c r="J9" s="338">
        <f t="shared" si="3"/>
        <v>63918.66</v>
      </c>
      <c r="K9" s="341">
        <f t="shared" si="1"/>
        <v>400332.66000000003</v>
      </c>
    </row>
    <row r="10" spans="1:11">
      <c r="A10" s="149" t="s">
        <v>3206</v>
      </c>
      <c r="B10" s="706">
        <v>287766</v>
      </c>
      <c r="C10" s="338">
        <f t="shared" ref="C10" si="4">B10*19%</f>
        <v>54675.54</v>
      </c>
      <c r="D10" s="341">
        <f t="shared" ref="D10:D19" si="5">SUM(B10:C10)</f>
        <v>342441.54</v>
      </c>
      <c r="E10" s="339"/>
      <c r="H10" s="149"/>
      <c r="I10" s="150"/>
      <c r="J10" s="338"/>
      <c r="K10" s="341"/>
    </row>
    <row r="11" spans="1:11">
      <c r="A11" s="149" t="s">
        <v>2619</v>
      </c>
      <c r="B11" s="150">
        <f>266079</f>
        <v>266079</v>
      </c>
      <c r="C11" s="338">
        <f t="shared" si="2"/>
        <v>50555.01</v>
      </c>
      <c r="D11" s="341">
        <f t="shared" si="5"/>
        <v>316634.01</v>
      </c>
      <c r="E11" s="339"/>
      <c r="H11" s="149" t="s">
        <v>2619</v>
      </c>
      <c r="I11" s="150">
        <v>267948</v>
      </c>
      <c r="J11" s="338">
        <f t="shared" si="3"/>
        <v>50910.12</v>
      </c>
      <c r="K11" s="341">
        <f>SUM(I11:J11)</f>
        <v>318858.12</v>
      </c>
    </row>
    <row r="12" spans="1:11">
      <c r="A12" s="149" t="s">
        <v>2620</v>
      </c>
      <c r="B12" s="150">
        <v>278854</v>
      </c>
      <c r="C12" s="338">
        <f t="shared" si="2"/>
        <v>52982.26</v>
      </c>
      <c r="D12" s="341">
        <f t="shared" si="5"/>
        <v>331836.26</v>
      </c>
      <c r="E12" s="339"/>
      <c r="H12" s="149" t="s">
        <v>2620</v>
      </c>
      <c r="I12" s="150">
        <v>287863</v>
      </c>
      <c r="J12" s="338">
        <f t="shared" si="3"/>
        <v>54693.97</v>
      </c>
      <c r="K12" s="341">
        <f>SUM(I12:J12)</f>
        <v>342556.97</v>
      </c>
    </row>
    <row r="13" spans="1:11">
      <c r="A13" s="149" t="s">
        <v>2392</v>
      </c>
      <c r="B13" s="150">
        <v>290911</v>
      </c>
      <c r="C13" s="338">
        <f t="shared" si="2"/>
        <v>55273.090000000004</v>
      </c>
      <c r="D13" s="341">
        <f t="shared" si="5"/>
        <v>346184.09</v>
      </c>
      <c r="E13" s="339"/>
      <c r="H13" s="149" t="s">
        <v>2392</v>
      </c>
      <c r="I13" s="150">
        <v>307600</v>
      </c>
      <c r="J13" s="338">
        <f t="shared" si="3"/>
        <v>58444</v>
      </c>
      <c r="K13" s="341">
        <f>SUM(I13:J13)</f>
        <v>366044</v>
      </c>
    </row>
    <row r="14" spans="1:11">
      <c r="A14" s="149" t="s">
        <v>3213</v>
      </c>
      <c r="B14" s="150">
        <v>312065</v>
      </c>
      <c r="C14" s="338">
        <f t="shared" ref="C14:C15" si="6">B14*19%</f>
        <v>59292.35</v>
      </c>
      <c r="D14" s="341">
        <f t="shared" ref="D14:D15" si="7">SUM(B14:C14)</f>
        <v>371357.35</v>
      </c>
      <c r="E14" s="339"/>
      <c r="H14" s="149"/>
      <c r="I14" s="150"/>
      <c r="J14" s="338"/>
      <c r="K14" s="341"/>
    </row>
    <row r="15" spans="1:11">
      <c r="A15" s="149" t="s">
        <v>3214</v>
      </c>
      <c r="B15" s="150">
        <v>301511</v>
      </c>
      <c r="C15" s="338">
        <f t="shared" si="6"/>
        <v>57287.090000000004</v>
      </c>
      <c r="D15" s="341">
        <f t="shared" si="7"/>
        <v>358798.09</v>
      </c>
      <c r="E15" s="339"/>
      <c r="H15" s="149"/>
      <c r="I15" s="150"/>
      <c r="J15" s="338"/>
      <c r="K15" s="341"/>
    </row>
    <row r="16" spans="1:11">
      <c r="A16" s="149" t="s">
        <v>2393</v>
      </c>
      <c r="B16" s="150">
        <v>301973</v>
      </c>
      <c r="C16" s="338">
        <f t="shared" si="2"/>
        <v>57374.87</v>
      </c>
      <c r="D16" s="341">
        <f t="shared" si="5"/>
        <v>359347.87</v>
      </c>
      <c r="E16" s="339"/>
      <c r="H16" s="149" t="s">
        <v>2393</v>
      </c>
      <c r="I16" s="150">
        <v>316277</v>
      </c>
      <c r="J16" s="338">
        <f t="shared" si="3"/>
        <v>60092.63</v>
      </c>
      <c r="K16" s="341">
        <f>SUM(I16:J16)</f>
        <v>376369.63</v>
      </c>
    </row>
    <row r="17" spans="1:11">
      <c r="A17" s="149" t="s">
        <v>3215</v>
      </c>
      <c r="B17" s="150">
        <v>323550</v>
      </c>
      <c r="C17" s="338">
        <f t="shared" si="2"/>
        <v>61474.5</v>
      </c>
      <c r="D17" s="341">
        <f t="shared" si="5"/>
        <v>385024.5</v>
      </c>
      <c r="E17" s="339"/>
      <c r="H17" s="149"/>
      <c r="I17" s="150"/>
      <c r="J17" s="338"/>
      <c r="K17" s="341"/>
    </row>
    <row r="18" spans="1:11">
      <c r="A18" s="149" t="s">
        <v>3216</v>
      </c>
      <c r="B18" s="150">
        <v>312785</v>
      </c>
      <c r="C18" s="338">
        <f t="shared" si="2"/>
        <v>59429.15</v>
      </c>
      <c r="D18" s="341">
        <f t="shared" si="5"/>
        <v>372214.15</v>
      </c>
      <c r="E18" s="339"/>
      <c r="H18" s="149"/>
      <c r="I18" s="150"/>
      <c r="J18" s="338"/>
      <c r="K18" s="341"/>
    </row>
    <row r="19" spans="1:11">
      <c r="A19" s="149" t="s">
        <v>2621</v>
      </c>
      <c r="B19" s="150">
        <v>313035</v>
      </c>
      <c r="C19" s="338">
        <f t="shared" si="2"/>
        <v>59476.65</v>
      </c>
      <c r="D19" s="341">
        <f t="shared" si="5"/>
        <v>372511.65</v>
      </c>
      <c r="E19" s="339"/>
      <c r="H19" s="149" t="s">
        <v>2621</v>
      </c>
      <c r="I19" s="150">
        <v>323182</v>
      </c>
      <c r="J19" s="338">
        <f t="shared" si="3"/>
        <v>61404.58</v>
      </c>
      <c r="K19" s="341">
        <f>SUM(I19:J19)</f>
        <v>384586.58</v>
      </c>
    </row>
    <row r="20" spans="1:11">
      <c r="A20" s="149" t="s">
        <v>3217</v>
      </c>
      <c r="B20" s="150">
        <v>335045</v>
      </c>
      <c r="C20" s="338">
        <f t="shared" ref="C20:C21" si="8">B20*19%</f>
        <v>63658.55</v>
      </c>
      <c r="D20" s="341">
        <f t="shared" ref="D20:D21" si="9">SUM(B20:C20)</f>
        <v>398703.55</v>
      </c>
      <c r="E20" s="339"/>
      <c r="H20" s="149"/>
      <c r="I20" s="150"/>
      <c r="J20" s="338"/>
      <c r="K20" s="341"/>
    </row>
    <row r="21" spans="1:11">
      <c r="A21" s="149" t="s">
        <v>3218</v>
      </c>
      <c r="B21" s="150">
        <v>324064</v>
      </c>
      <c r="C21" s="338">
        <f t="shared" si="8"/>
        <v>61572.160000000003</v>
      </c>
      <c r="D21" s="341">
        <f t="shared" si="9"/>
        <v>385636.16000000003</v>
      </c>
      <c r="E21" s="339"/>
      <c r="H21" s="149"/>
      <c r="I21" s="150"/>
      <c r="J21" s="338"/>
      <c r="K21" s="341"/>
    </row>
    <row r="22" spans="1:11">
      <c r="A22" s="149" t="s">
        <v>2626</v>
      </c>
      <c r="B22" s="150">
        <v>323687</v>
      </c>
      <c r="C22" s="338">
        <f t="shared" si="2"/>
        <v>61500.53</v>
      </c>
      <c r="D22" s="341">
        <f t="shared" si="0"/>
        <v>385187.53</v>
      </c>
      <c r="E22" s="339"/>
      <c r="H22" s="149" t="s">
        <v>2626</v>
      </c>
      <c r="I22" s="150">
        <v>329798</v>
      </c>
      <c r="J22" s="338">
        <f t="shared" si="3"/>
        <v>62661.62</v>
      </c>
      <c r="K22" s="341">
        <f t="shared" ref="K22:K25" si="10">SUM(I22:J22)</f>
        <v>392459.62</v>
      </c>
    </row>
    <row r="23" spans="1:11">
      <c r="A23" s="149" t="s">
        <v>3219</v>
      </c>
      <c r="B23" s="150">
        <v>346137</v>
      </c>
      <c r="C23" s="338">
        <f t="shared" si="2"/>
        <v>65766.03</v>
      </c>
      <c r="D23" s="341">
        <f t="shared" si="0"/>
        <v>411903.03</v>
      </c>
      <c r="E23" s="339"/>
      <c r="H23" s="149"/>
      <c r="I23" s="150"/>
      <c r="J23" s="338"/>
      <c r="K23" s="341"/>
    </row>
    <row r="24" spans="1:11">
      <c r="A24" s="149" t="s">
        <v>3220</v>
      </c>
      <c r="B24" s="150">
        <v>334938</v>
      </c>
      <c r="C24" s="338">
        <f t="shared" si="2"/>
        <v>63638.22</v>
      </c>
      <c r="D24" s="341">
        <f t="shared" si="0"/>
        <v>398576.22</v>
      </c>
      <c r="E24" s="339"/>
      <c r="H24" s="149"/>
      <c r="I24" s="150"/>
      <c r="J24" s="338"/>
      <c r="K24" s="341"/>
    </row>
    <row r="25" spans="1:11">
      <c r="A25" s="149" t="s">
        <v>2627</v>
      </c>
      <c r="B25" s="150">
        <v>334339</v>
      </c>
      <c r="C25" s="338">
        <f t="shared" si="2"/>
        <v>63524.41</v>
      </c>
      <c r="D25" s="341">
        <f t="shared" si="0"/>
        <v>397863.41000000003</v>
      </c>
      <c r="E25" s="339"/>
      <c r="H25" s="149" t="s">
        <v>2627</v>
      </c>
      <c r="I25" s="150">
        <v>336321</v>
      </c>
      <c r="J25" s="338">
        <f t="shared" si="3"/>
        <v>63900.99</v>
      </c>
      <c r="K25" s="341">
        <f t="shared" si="10"/>
        <v>400221.99</v>
      </c>
    </row>
    <row r="26" spans="1:11">
      <c r="A26" s="149" t="s">
        <v>3221</v>
      </c>
      <c r="B26" s="150">
        <v>357240</v>
      </c>
      <c r="C26" s="338">
        <f t="shared" ref="C26:C27" si="11">B26*19%</f>
        <v>67875.600000000006</v>
      </c>
      <c r="D26" s="341">
        <f t="shared" ref="D26:D27" si="12">SUM(B26:C26)</f>
        <v>425115.6</v>
      </c>
      <c r="E26" s="339"/>
    </row>
    <row r="27" spans="1:11">
      <c r="A27" s="149" t="s">
        <v>3222</v>
      </c>
      <c r="B27" s="150">
        <v>345815</v>
      </c>
      <c r="C27" s="338">
        <f t="shared" si="11"/>
        <v>65704.850000000006</v>
      </c>
      <c r="D27" s="341">
        <f t="shared" si="12"/>
        <v>411519.85</v>
      </c>
      <c r="E27" s="339"/>
    </row>
    <row r="28" spans="1:11" hidden="1">
      <c r="A28" s="339"/>
      <c r="B28" s="339"/>
      <c r="C28" s="339"/>
      <c r="D28" s="339"/>
      <c r="E28" s="339"/>
    </row>
    <row r="29" spans="1:11" hidden="1">
      <c r="A29" s="339"/>
      <c r="B29" s="339"/>
      <c r="C29" s="339"/>
      <c r="D29" s="339"/>
      <c r="E29" s="339"/>
    </row>
    <row r="30" spans="1:11" ht="15" hidden="1">
      <c r="A30" s="1203" t="s">
        <v>2613</v>
      </c>
      <c r="B30" s="1203"/>
      <c r="C30" s="1203"/>
      <c r="D30" s="1203"/>
      <c r="E30" s="336"/>
    </row>
    <row r="31" spans="1:11" ht="14.25" hidden="1">
      <c r="A31" s="290"/>
      <c r="B31" s="290"/>
      <c r="C31" s="290"/>
      <c r="D31" s="290"/>
      <c r="E31" s="290"/>
    </row>
    <row r="32" spans="1:11" ht="38.25" hidden="1">
      <c r="A32" s="291" t="s">
        <v>2386</v>
      </c>
      <c r="B32" s="292" t="s">
        <v>2614</v>
      </c>
      <c r="C32" s="292" t="s">
        <v>2385</v>
      </c>
      <c r="D32" s="292" t="s">
        <v>2615</v>
      </c>
      <c r="E32" s="292" t="s">
        <v>2616</v>
      </c>
    </row>
    <row r="33" spans="1:5" hidden="1">
      <c r="A33" s="293" t="s">
        <v>2617</v>
      </c>
      <c r="B33" s="294" t="s">
        <v>2618</v>
      </c>
      <c r="C33" s="294" t="s">
        <v>2618</v>
      </c>
      <c r="D33" s="294" t="s">
        <v>2618</v>
      </c>
      <c r="E33" s="294" t="s">
        <v>2618</v>
      </c>
    </row>
    <row r="34" spans="1:5" hidden="1">
      <c r="A34" s="295">
        <v>42</v>
      </c>
      <c r="B34" s="296">
        <f>416200*1.16</f>
        <v>482791.99999999994</v>
      </c>
      <c r="C34" s="296">
        <f>329182*1.16</f>
        <v>381851.12</v>
      </c>
      <c r="D34" s="296">
        <f>315000*1.16</f>
        <v>365400</v>
      </c>
      <c r="E34" s="296">
        <f>346500*1.16</f>
        <v>401940</v>
      </c>
    </row>
    <row r="35" spans="1:5" hidden="1">
      <c r="A35" s="297">
        <v>43</v>
      </c>
      <c r="B35" s="298">
        <f>426000*1.16</f>
        <v>494159.99999999994</v>
      </c>
      <c r="C35" s="298">
        <v>389291</v>
      </c>
      <c r="D35" s="298">
        <f>320000*1.16</f>
        <v>371200</v>
      </c>
      <c r="E35" s="296">
        <f>355500*1.16</f>
        <v>412380</v>
      </c>
    </row>
    <row r="36" spans="1:5" hidden="1">
      <c r="A36" s="297">
        <v>45</v>
      </c>
      <c r="B36" s="298">
        <f>438100*1.16</f>
        <v>508195.99999999994</v>
      </c>
      <c r="C36" s="298">
        <f>339014*1.16</f>
        <v>393256.24</v>
      </c>
      <c r="D36" s="298">
        <f>332000*1.16</f>
        <v>385120</v>
      </c>
      <c r="E36" s="296">
        <f>364500*1.16</f>
        <v>422819.99999999994</v>
      </c>
    </row>
    <row r="37" spans="1:5" hidden="1">
      <c r="A37" s="297" t="s">
        <v>2619</v>
      </c>
      <c r="B37" s="298">
        <f>320100*1.16</f>
        <v>371316</v>
      </c>
      <c r="C37" s="298">
        <f>267948*1.16</f>
        <v>310819.68</v>
      </c>
      <c r="D37" s="298">
        <f>265000*1.16</f>
        <v>307400</v>
      </c>
      <c r="E37" s="296">
        <f>250200*1.16</f>
        <v>290232</v>
      </c>
    </row>
    <row r="38" spans="1:5" hidden="1">
      <c r="A38" s="297" t="s">
        <v>2620</v>
      </c>
      <c r="B38" s="298">
        <f>332200*1.16</f>
        <v>385352</v>
      </c>
      <c r="C38" s="298">
        <f>287863*1.16</f>
        <v>333921.07999999996</v>
      </c>
      <c r="D38" s="298">
        <f>268000*1.16</f>
        <v>310880</v>
      </c>
      <c r="E38" s="296">
        <f>269100*1.16</f>
        <v>312156</v>
      </c>
    </row>
    <row r="39" spans="1:5" hidden="1">
      <c r="A39" s="297" t="s">
        <v>2392</v>
      </c>
      <c r="B39" s="298">
        <f>344300*1.16</f>
        <v>399388</v>
      </c>
      <c r="C39" s="298">
        <f>310057*1.16</f>
        <v>359666.12</v>
      </c>
      <c r="D39" s="298">
        <f>275000*1.16</f>
        <v>319000</v>
      </c>
      <c r="E39" s="296">
        <f>288900*1.16</f>
        <v>335124</v>
      </c>
    </row>
    <row r="40" spans="1:5" hidden="1">
      <c r="A40" s="297" t="s">
        <v>2393</v>
      </c>
      <c r="B40" s="298">
        <f>357700*1.16</f>
        <v>414932</v>
      </c>
      <c r="C40" s="298">
        <f>316277*1.16</f>
        <v>366881.31999999995</v>
      </c>
      <c r="D40" s="298">
        <f>280000*1.16</f>
        <v>324800</v>
      </c>
      <c r="E40" s="296">
        <f>294300*1.16</f>
        <v>341388</v>
      </c>
    </row>
    <row r="41" spans="1:5" hidden="1">
      <c r="A41" s="297" t="s">
        <v>2621</v>
      </c>
      <c r="B41" s="298">
        <f>371100*1.16</f>
        <v>430475.99999999994</v>
      </c>
      <c r="C41" s="298">
        <f>323182*1.16</f>
        <v>374891.12</v>
      </c>
      <c r="D41" s="298">
        <f>286000*1.16</f>
        <v>331760</v>
      </c>
      <c r="E41" s="296">
        <f>312300*1.16</f>
        <v>362268</v>
      </c>
    </row>
    <row r="43" spans="1:5">
      <c r="A43" s="665" t="s">
        <v>3207</v>
      </c>
    </row>
  </sheetData>
  <sheetProtection formatCells="0" formatColumns="0" formatRows="0" insertColumns="0" insertRows="0" insertHyperlinks="0" deleteColumns="0" deleteRows="0" sort="0" autoFilter="0" pivotTables="0"/>
  <mergeCells count="3">
    <mergeCell ref="A2:D2"/>
    <mergeCell ref="A30:D30"/>
    <mergeCell ref="H2:K2"/>
  </mergeCells>
  <pageMargins left="0.7" right="0.7" top="0.75" bottom="0.75" header="0.3" footer="0.3"/>
  <pageSetup scale="85" orientation="portrait" horizontalDpi="360" verticalDpi="36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FF0000"/>
  </sheetPr>
  <dimension ref="A1:N89"/>
  <sheetViews>
    <sheetView view="pageBreakPreview" topLeftCell="A22" zoomScale="80" zoomScaleNormal="100" zoomScaleSheetLayoutView="80" workbookViewId="0">
      <selection activeCell="O12" sqref="O12"/>
    </sheetView>
  </sheetViews>
  <sheetFormatPr baseColWidth="10" defaultRowHeight="12.75"/>
  <cols>
    <col min="1" max="1" width="15.5703125" customWidth="1"/>
    <col min="10" max="10" width="12.7109375" bestFit="1" customWidth="1"/>
  </cols>
  <sheetData>
    <row r="1" spans="1:14" s="25" customFormat="1" ht="42" customHeight="1">
      <c r="A1" s="1212" t="s">
        <v>3237</v>
      </c>
      <c r="B1" s="1212"/>
      <c r="C1" s="1212"/>
      <c r="D1" s="1212"/>
      <c r="E1" s="1212"/>
      <c r="F1" s="1212"/>
      <c r="G1" s="1212"/>
      <c r="H1" s="1212"/>
      <c r="I1" s="1212"/>
      <c r="J1" s="1212"/>
      <c r="K1" s="1212"/>
    </row>
    <row r="2" spans="1:14" s="25" customFormat="1" ht="13.15" customHeight="1">
      <c r="A2" s="1194" t="s">
        <v>2384</v>
      </c>
      <c r="B2" s="1194"/>
      <c r="C2" s="1194"/>
      <c r="D2" s="1194"/>
      <c r="E2" s="1194"/>
      <c r="F2" s="1194"/>
      <c r="G2" s="1194"/>
      <c r="H2" s="1194"/>
      <c r="I2" s="1194"/>
      <c r="J2" s="1194"/>
      <c r="K2" s="1194"/>
    </row>
    <row r="3" spans="1:14" s="26" customFormat="1" ht="24" customHeight="1">
      <c r="A3" s="1195" t="s">
        <v>3236</v>
      </c>
      <c r="B3" s="1195"/>
      <c r="C3" s="1195"/>
      <c r="D3" s="1195"/>
      <c r="E3" s="1195"/>
      <c r="F3" s="1195"/>
      <c r="G3" s="1195"/>
      <c r="H3" s="1195"/>
      <c r="I3" s="1195"/>
      <c r="J3" s="1195"/>
      <c r="K3" s="1195"/>
    </row>
    <row r="4" spans="1:14">
      <c r="A4" s="1220" t="s">
        <v>443</v>
      </c>
      <c r="B4" s="1221"/>
      <c r="C4" s="1221"/>
      <c r="D4" s="1221"/>
      <c r="E4" s="1221"/>
      <c r="F4" s="1221"/>
      <c r="G4" s="1221"/>
      <c r="H4" s="1221"/>
      <c r="I4" s="1222"/>
      <c r="J4" s="339"/>
      <c r="K4" s="339"/>
    </row>
    <row r="5" spans="1:14" ht="13.5" thickBot="1">
      <c r="A5" s="1223" t="s">
        <v>444</v>
      </c>
      <c r="B5" s="1224"/>
      <c r="C5" s="1224"/>
      <c r="D5" s="1224"/>
      <c r="E5" s="1224"/>
      <c r="F5" s="1224"/>
      <c r="G5" s="1224"/>
      <c r="H5" s="1224"/>
      <c r="I5" s="1225"/>
      <c r="J5" s="339"/>
      <c r="K5" s="339"/>
    </row>
    <row r="6" spans="1:14" ht="15.75" thickBot="1">
      <c r="A6" s="1226" t="s">
        <v>445</v>
      </c>
      <c r="B6" s="1228" t="s">
        <v>446</v>
      </c>
      <c r="C6" s="1229"/>
      <c r="D6" s="5" t="s">
        <v>36</v>
      </c>
      <c r="E6" s="5" t="s">
        <v>447</v>
      </c>
      <c r="F6" s="1230" t="s">
        <v>448</v>
      </c>
      <c r="G6" s="1231"/>
      <c r="H6" s="1230" t="s">
        <v>449</v>
      </c>
      <c r="I6" s="1231"/>
      <c r="J6" s="339"/>
      <c r="K6" s="339"/>
    </row>
    <row r="7" spans="1:14" ht="13.5" thickBot="1">
      <c r="A7" s="1227"/>
      <c r="B7" s="5" t="s">
        <v>450</v>
      </c>
      <c r="C7" s="5" t="s">
        <v>451</v>
      </c>
      <c r="D7" s="5" t="s">
        <v>121</v>
      </c>
      <c r="E7" s="5" t="s">
        <v>121</v>
      </c>
      <c r="F7" s="5" t="s">
        <v>452</v>
      </c>
      <c r="G7" s="5" t="s">
        <v>453</v>
      </c>
      <c r="H7" s="5" t="s">
        <v>454</v>
      </c>
      <c r="I7" s="6" t="s">
        <v>455</v>
      </c>
      <c r="J7" s="339"/>
      <c r="K7" s="339"/>
    </row>
    <row r="8" spans="1:14">
      <c r="A8" s="7" t="s">
        <v>456</v>
      </c>
      <c r="B8" s="8">
        <v>420</v>
      </c>
      <c r="C8" s="8" t="s">
        <v>457</v>
      </c>
      <c r="D8" s="8">
        <v>0.67</v>
      </c>
      <c r="E8" s="8">
        <v>0.67</v>
      </c>
      <c r="F8" s="8">
        <v>180</v>
      </c>
      <c r="G8" s="8">
        <v>200</v>
      </c>
      <c r="H8" s="8">
        <v>250</v>
      </c>
      <c r="I8" s="9">
        <v>3555</v>
      </c>
      <c r="J8" s="270"/>
      <c r="K8" s="339"/>
    </row>
    <row r="9" spans="1:14">
      <c r="A9" s="10" t="s">
        <v>458</v>
      </c>
      <c r="B9" s="10">
        <v>380</v>
      </c>
      <c r="C9" s="10" t="s">
        <v>459</v>
      </c>
      <c r="D9" s="10" t="s">
        <v>460</v>
      </c>
      <c r="E9" s="10" t="s">
        <v>461</v>
      </c>
      <c r="F9" s="10">
        <v>170</v>
      </c>
      <c r="G9" s="10">
        <v>190</v>
      </c>
      <c r="H9" s="10">
        <v>240</v>
      </c>
      <c r="I9" s="11">
        <v>3400</v>
      </c>
      <c r="J9" s="270"/>
      <c r="K9" s="270"/>
      <c r="L9" s="18"/>
      <c r="M9" s="18"/>
    </row>
    <row r="10" spans="1:14">
      <c r="A10" s="10" t="s">
        <v>462</v>
      </c>
      <c r="B10" s="10">
        <v>350</v>
      </c>
      <c r="C10" s="10">
        <v>7</v>
      </c>
      <c r="D10" s="10" t="s">
        <v>463</v>
      </c>
      <c r="E10" s="10" t="s">
        <v>464</v>
      </c>
      <c r="F10" s="10">
        <v>160</v>
      </c>
      <c r="G10" s="10">
        <v>180</v>
      </c>
      <c r="H10" s="10">
        <v>220</v>
      </c>
      <c r="I10" s="11">
        <v>3130</v>
      </c>
      <c r="J10" s="270"/>
      <c r="K10" s="339"/>
      <c r="N10" s="1"/>
    </row>
    <row r="11" spans="1:14">
      <c r="A11" s="10" t="s">
        <v>465</v>
      </c>
      <c r="B11" s="10">
        <v>320</v>
      </c>
      <c r="C11" s="10" t="s">
        <v>466</v>
      </c>
      <c r="D11" s="10" t="s">
        <v>467</v>
      </c>
      <c r="E11" s="10" t="s">
        <v>468</v>
      </c>
      <c r="F11" s="10">
        <v>160</v>
      </c>
      <c r="G11" s="10">
        <v>180</v>
      </c>
      <c r="H11" s="10">
        <v>210</v>
      </c>
      <c r="I11" s="11">
        <v>3000</v>
      </c>
      <c r="J11" s="339"/>
      <c r="K11" s="339"/>
    </row>
    <row r="12" spans="1:14">
      <c r="A12" s="10" t="s">
        <v>469</v>
      </c>
      <c r="B12" s="10">
        <v>300</v>
      </c>
      <c r="C12" s="10">
        <v>6</v>
      </c>
      <c r="D12" s="10" t="s">
        <v>470</v>
      </c>
      <c r="E12" s="10" t="s">
        <v>471</v>
      </c>
      <c r="F12" s="10">
        <v>145</v>
      </c>
      <c r="G12" s="10">
        <v>170</v>
      </c>
      <c r="H12" s="10">
        <v>200</v>
      </c>
      <c r="I12" s="11">
        <v>2850</v>
      </c>
      <c r="J12" s="339"/>
      <c r="K12" s="339"/>
      <c r="N12" s="19"/>
    </row>
    <row r="13" spans="1:14">
      <c r="A13" s="10" t="s">
        <v>472</v>
      </c>
      <c r="B13" s="10">
        <v>280</v>
      </c>
      <c r="C13" s="10" t="s">
        <v>473</v>
      </c>
      <c r="D13" s="10" t="s">
        <v>463</v>
      </c>
      <c r="E13" s="10" t="s">
        <v>474</v>
      </c>
      <c r="F13" s="10">
        <v>145</v>
      </c>
      <c r="G13" s="10">
        <v>170</v>
      </c>
      <c r="H13" s="10">
        <v>190</v>
      </c>
      <c r="I13" s="11">
        <v>2700</v>
      </c>
      <c r="J13" s="339"/>
      <c r="K13" s="339"/>
    </row>
    <row r="14" spans="1:14">
      <c r="A14" s="10" t="s">
        <v>475</v>
      </c>
      <c r="B14" s="10">
        <v>260</v>
      </c>
      <c r="C14" s="10" t="s">
        <v>476</v>
      </c>
      <c r="D14" s="10" t="s">
        <v>477</v>
      </c>
      <c r="E14" s="10" t="s">
        <v>478</v>
      </c>
      <c r="F14" s="10">
        <v>140</v>
      </c>
      <c r="G14" s="10">
        <v>160</v>
      </c>
      <c r="H14" s="10">
        <v>180</v>
      </c>
      <c r="I14" s="11">
        <v>2560</v>
      </c>
      <c r="J14" s="339"/>
      <c r="K14" s="339"/>
    </row>
    <row r="15" spans="1:14">
      <c r="A15" s="10" t="s">
        <v>479</v>
      </c>
      <c r="B15" s="10">
        <v>300</v>
      </c>
      <c r="C15" s="10">
        <v>6</v>
      </c>
      <c r="D15" s="10" t="s">
        <v>480</v>
      </c>
      <c r="E15" s="10" t="s">
        <v>480</v>
      </c>
      <c r="F15" s="10">
        <v>145</v>
      </c>
      <c r="G15" s="10">
        <v>170</v>
      </c>
      <c r="H15" s="10">
        <v>170</v>
      </c>
      <c r="I15" s="11">
        <v>2400</v>
      </c>
      <c r="J15" s="339"/>
      <c r="K15" s="339"/>
    </row>
    <row r="16" spans="1:14">
      <c r="A16" s="10" t="s">
        <v>481</v>
      </c>
      <c r="B16" s="10">
        <v>280</v>
      </c>
      <c r="C16" s="10" t="s">
        <v>476</v>
      </c>
      <c r="D16" s="10" t="s">
        <v>482</v>
      </c>
      <c r="E16" s="10" t="s">
        <v>483</v>
      </c>
      <c r="F16" s="10">
        <v>140</v>
      </c>
      <c r="G16" s="10">
        <v>165</v>
      </c>
      <c r="H16" s="10">
        <v>160</v>
      </c>
      <c r="I16" s="11">
        <v>2280</v>
      </c>
      <c r="J16" s="339"/>
      <c r="K16" s="339"/>
    </row>
    <row r="17" spans="1:14">
      <c r="A17" s="10" t="s">
        <v>484</v>
      </c>
      <c r="B17" s="10">
        <v>230</v>
      </c>
      <c r="C17" s="10" t="s">
        <v>259</v>
      </c>
      <c r="D17" s="10" t="s">
        <v>463</v>
      </c>
      <c r="E17" s="10" t="s">
        <v>485</v>
      </c>
      <c r="F17" s="10">
        <v>135</v>
      </c>
      <c r="G17" s="10">
        <v>160</v>
      </c>
      <c r="H17" s="10">
        <v>140</v>
      </c>
      <c r="I17" s="11">
        <v>2000</v>
      </c>
      <c r="J17" s="339"/>
      <c r="K17" s="339"/>
      <c r="N17" s="19"/>
    </row>
    <row r="18" spans="1:14">
      <c r="A18" s="10" t="s">
        <v>486</v>
      </c>
      <c r="B18" s="10">
        <v>210</v>
      </c>
      <c r="C18" s="10">
        <v>4</v>
      </c>
      <c r="D18" s="10" t="s">
        <v>487</v>
      </c>
      <c r="E18" s="15">
        <v>1000</v>
      </c>
      <c r="F18" s="10">
        <v>130</v>
      </c>
      <c r="G18" s="10">
        <v>155</v>
      </c>
      <c r="H18" s="10">
        <v>120</v>
      </c>
      <c r="I18" s="11">
        <v>1700</v>
      </c>
      <c r="J18" s="339"/>
      <c r="K18" s="339"/>
    </row>
    <row r="19" spans="1:14">
      <c r="A19" s="10" t="s">
        <v>488</v>
      </c>
      <c r="B19" s="10">
        <v>175</v>
      </c>
      <c r="C19" s="10" t="s">
        <v>489</v>
      </c>
      <c r="D19" s="10" t="s">
        <v>463</v>
      </c>
      <c r="E19" s="10" t="s">
        <v>485</v>
      </c>
      <c r="F19" s="10">
        <v>120</v>
      </c>
      <c r="G19" s="10">
        <v>145</v>
      </c>
      <c r="H19" s="10">
        <v>110</v>
      </c>
      <c r="I19" s="11">
        <v>1560</v>
      </c>
      <c r="J19" s="339"/>
      <c r="K19" s="339"/>
    </row>
    <row r="20" spans="1:14" ht="13.5" thickBot="1">
      <c r="A20" s="12" t="s">
        <v>490</v>
      </c>
      <c r="B20" s="12">
        <v>160</v>
      </c>
      <c r="C20" s="12" t="s">
        <v>491</v>
      </c>
      <c r="D20" s="12" t="s">
        <v>492</v>
      </c>
      <c r="E20" s="16">
        <v>1025</v>
      </c>
      <c r="F20" s="12">
        <v>110</v>
      </c>
      <c r="G20" s="12">
        <v>140</v>
      </c>
      <c r="H20" s="12">
        <v>100</v>
      </c>
      <c r="I20" s="13">
        <v>1420</v>
      </c>
      <c r="J20" s="339"/>
      <c r="K20" s="339"/>
    </row>
    <row r="21" spans="1:14">
      <c r="A21" s="339"/>
      <c r="B21" s="339"/>
      <c r="C21" s="339"/>
      <c r="D21" s="339"/>
      <c r="E21" s="339"/>
      <c r="F21" s="339"/>
      <c r="G21" s="339"/>
      <c r="H21" s="339"/>
      <c r="I21" s="339"/>
      <c r="J21" s="339"/>
      <c r="K21" s="339"/>
    </row>
    <row r="22" spans="1:14">
      <c r="A22" s="339"/>
      <c r="B22" s="339"/>
      <c r="C22" s="339"/>
      <c r="D22" s="339"/>
      <c r="E22" s="339"/>
      <c r="F22" s="339"/>
      <c r="G22" s="339"/>
      <c r="H22" s="339"/>
      <c r="I22" s="339"/>
    </row>
    <row r="23" spans="1:14">
      <c r="A23" s="142" t="s">
        <v>559</v>
      </c>
      <c r="B23" s="143"/>
      <c r="C23" s="144"/>
      <c r="D23" s="145"/>
      <c r="E23" s="146" t="s">
        <v>665</v>
      </c>
      <c r="F23" s="146" t="s">
        <v>666</v>
      </c>
      <c r="H23" s="1219" t="s">
        <v>667</v>
      </c>
      <c r="I23" s="1219"/>
    </row>
    <row r="24" spans="1:14">
      <c r="A24" s="138" t="s">
        <v>560</v>
      </c>
      <c r="B24" s="140"/>
      <c r="C24" s="140"/>
      <c r="D24" s="141"/>
      <c r="E24" s="139" t="s">
        <v>668</v>
      </c>
      <c r="F24" s="147">
        <v>2.5</v>
      </c>
      <c r="H24" s="146" t="s">
        <v>666</v>
      </c>
      <c r="I24" s="146" t="s">
        <v>665</v>
      </c>
    </row>
    <row r="25" spans="1:14">
      <c r="A25" s="138" t="s">
        <v>561</v>
      </c>
      <c r="B25" s="140"/>
      <c r="C25" s="140"/>
      <c r="D25" s="141"/>
      <c r="E25" s="139" t="s">
        <v>669</v>
      </c>
      <c r="F25" s="147">
        <v>4.5</v>
      </c>
      <c r="H25" s="139" t="s">
        <v>664</v>
      </c>
      <c r="I25" s="139" t="s">
        <v>663</v>
      </c>
    </row>
    <row r="26" spans="1:14">
      <c r="A26" s="138" t="s">
        <v>562</v>
      </c>
      <c r="B26" s="140"/>
      <c r="C26" s="140"/>
      <c r="D26" s="141"/>
      <c r="E26" s="139" t="s">
        <v>670</v>
      </c>
      <c r="F26" s="147">
        <v>6</v>
      </c>
      <c r="H26" s="139" t="s">
        <v>645</v>
      </c>
      <c r="I26" s="139" t="s">
        <v>662</v>
      </c>
    </row>
    <row r="27" spans="1:14">
      <c r="A27" s="138" t="s">
        <v>563</v>
      </c>
      <c r="B27" s="140"/>
      <c r="C27" s="140"/>
      <c r="D27" s="141"/>
      <c r="E27" s="339"/>
      <c r="F27" s="339"/>
      <c r="G27" s="520"/>
      <c r="H27" s="139" t="s">
        <v>646</v>
      </c>
      <c r="I27" s="139" t="s">
        <v>661</v>
      </c>
    </row>
    <row r="28" spans="1:14">
      <c r="A28" s="138" t="s">
        <v>564</v>
      </c>
      <c r="B28" s="140"/>
      <c r="C28" s="140"/>
      <c r="D28" s="141"/>
      <c r="E28" s="339"/>
      <c r="F28" s="339"/>
      <c r="G28" s="520"/>
      <c r="H28" s="139" t="s">
        <v>647</v>
      </c>
      <c r="I28" s="139" t="s">
        <v>660</v>
      </c>
    </row>
    <row r="29" spans="1:14">
      <c r="A29" s="138" t="s">
        <v>708</v>
      </c>
      <c r="B29" s="140"/>
      <c r="C29" s="140"/>
      <c r="D29" s="141"/>
      <c r="E29" s="339"/>
      <c r="F29" s="339"/>
      <c r="G29" s="520"/>
      <c r="H29" s="139" t="s">
        <v>648</v>
      </c>
      <c r="I29" s="139" t="s">
        <v>659</v>
      </c>
    </row>
    <row r="30" spans="1:14">
      <c r="A30" s="138" t="s">
        <v>565</v>
      </c>
      <c r="B30" s="140"/>
      <c r="C30" s="140"/>
      <c r="D30" s="141"/>
      <c r="E30" s="339"/>
      <c r="F30" s="339"/>
      <c r="G30" s="520"/>
      <c r="H30" s="139" t="s">
        <v>649</v>
      </c>
      <c r="I30" s="139" t="s">
        <v>658</v>
      </c>
    </row>
    <row r="31" spans="1:14">
      <c r="A31" s="138" t="s">
        <v>566</v>
      </c>
      <c r="B31" s="140"/>
      <c r="C31" s="140"/>
      <c r="D31" s="141"/>
      <c r="E31" s="339"/>
      <c r="F31" s="339"/>
      <c r="G31" s="520"/>
      <c r="H31" s="139" t="s">
        <v>650</v>
      </c>
      <c r="I31" s="139" t="s">
        <v>657</v>
      </c>
    </row>
    <row r="32" spans="1:14">
      <c r="A32" s="138" t="s">
        <v>567</v>
      </c>
      <c r="B32" s="140"/>
      <c r="C32" s="140"/>
      <c r="D32" s="141"/>
      <c r="E32" s="339"/>
      <c r="F32" s="339"/>
      <c r="G32" s="339"/>
      <c r="H32" s="139" t="s">
        <v>651</v>
      </c>
      <c r="I32" s="139" t="s">
        <v>656</v>
      </c>
    </row>
    <row r="33" spans="1:12">
      <c r="A33" s="138" t="s">
        <v>568</v>
      </c>
      <c r="B33" s="140"/>
      <c r="C33" s="140"/>
      <c r="D33" s="141"/>
      <c r="E33" s="339"/>
      <c r="F33" s="339"/>
      <c r="G33" s="339"/>
      <c r="H33" s="139" t="s">
        <v>652</v>
      </c>
      <c r="I33" s="139" t="s">
        <v>655</v>
      </c>
      <c r="L33">
        <v>2.5</v>
      </c>
    </row>
    <row r="34" spans="1:12">
      <c r="A34" s="138" t="s">
        <v>569</v>
      </c>
      <c r="B34" s="140"/>
      <c r="C34" s="140"/>
      <c r="D34" s="141"/>
      <c r="E34" s="339"/>
      <c r="F34" s="339"/>
      <c r="G34" s="339"/>
      <c r="H34" s="139" t="s">
        <v>653</v>
      </c>
      <c r="I34" s="139" t="s">
        <v>654</v>
      </c>
      <c r="J34" s="339"/>
      <c r="K34" s="339"/>
    </row>
    <row r="35" spans="1:12">
      <c r="A35" s="339"/>
      <c r="B35" s="339"/>
      <c r="C35" s="339"/>
      <c r="D35" s="339"/>
      <c r="E35" s="339"/>
      <c r="F35" s="339"/>
      <c r="G35" s="339"/>
      <c r="H35" s="339"/>
      <c r="I35" s="339"/>
      <c r="J35" s="339"/>
      <c r="K35" s="339"/>
    </row>
    <row r="36" spans="1:12">
      <c r="A36" s="519" t="s">
        <v>570</v>
      </c>
      <c r="B36" s="339"/>
      <c r="C36" s="339"/>
      <c r="D36" s="339"/>
      <c r="E36" s="339"/>
      <c r="F36" s="339"/>
      <c r="G36" s="339"/>
      <c r="H36" s="339"/>
      <c r="I36" s="339"/>
      <c r="J36" s="339"/>
      <c r="K36" s="339"/>
    </row>
    <row r="37" spans="1:12">
      <c r="A37" s="339" t="s">
        <v>559</v>
      </c>
      <c r="B37" s="339"/>
      <c r="C37" s="339"/>
      <c r="D37" s="339"/>
      <c r="E37" s="339"/>
      <c r="F37" s="339"/>
      <c r="G37" s="339"/>
      <c r="H37" s="339"/>
      <c r="I37" s="339"/>
      <c r="J37" s="339"/>
      <c r="K37" s="339"/>
    </row>
    <row r="38" spans="1:12">
      <c r="A38" s="520" t="s">
        <v>594</v>
      </c>
      <c r="B38" s="339"/>
      <c r="C38" s="339"/>
      <c r="D38" s="339"/>
      <c r="E38" s="339"/>
      <c r="F38" s="339"/>
      <c r="G38" s="339"/>
      <c r="H38" s="339"/>
      <c r="I38" s="339"/>
      <c r="J38" s="339"/>
      <c r="K38" s="339"/>
    </row>
    <row r="39" spans="1:12">
      <c r="A39" s="520" t="s">
        <v>595</v>
      </c>
      <c r="B39" s="339"/>
      <c r="C39" s="339"/>
      <c r="D39" s="339"/>
      <c r="E39" s="339"/>
      <c r="F39" s="339"/>
      <c r="G39" s="339"/>
      <c r="H39" s="339"/>
      <c r="I39" s="339"/>
      <c r="J39" s="339"/>
      <c r="K39" s="339"/>
    </row>
    <row r="40" spans="1:12">
      <c r="A40" s="339" t="s">
        <v>571</v>
      </c>
      <c r="B40" s="339"/>
      <c r="C40" s="339"/>
      <c r="D40" s="339"/>
      <c r="E40" s="339"/>
      <c r="F40" s="339"/>
      <c r="G40" s="339"/>
      <c r="H40" s="339"/>
      <c r="I40" s="339"/>
      <c r="J40" s="339"/>
      <c r="K40" s="339"/>
    </row>
    <row r="41" spans="1:12">
      <c r="A41" s="339" t="s">
        <v>572</v>
      </c>
      <c r="B41" s="339"/>
      <c r="C41" s="339"/>
      <c r="D41" s="339"/>
      <c r="E41" s="339"/>
      <c r="F41" s="339"/>
      <c r="G41" s="339"/>
      <c r="H41" s="339"/>
      <c r="I41" s="339"/>
      <c r="J41" s="339"/>
      <c r="K41" s="339"/>
    </row>
    <row r="42" spans="1:12">
      <c r="A42" s="339" t="s">
        <v>573</v>
      </c>
      <c r="B42" s="339"/>
      <c r="C42" s="339"/>
      <c r="D42" s="339"/>
      <c r="E42" s="339"/>
      <c r="F42" s="339"/>
      <c r="G42" s="339"/>
      <c r="H42" s="339"/>
      <c r="I42" s="339"/>
      <c r="J42" s="339"/>
      <c r="K42" s="339"/>
    </row>
    <row r="43" spans="1:12">
      <c r="A43" s="339" t="s">
        <v>574</v>
      </c>
      <c r="B43" s="339"/>
      <c r="C43" s="339"/>
      <c r="D43" s="339"/>
      <c r="E43" s="339"/>
      <c r="F43" s="339"/>
      <c r="G43" s="339"/>
      <c r="H43" s="339"/>
      <c r="I43" s="339"/>
      <c r="J43" s="339"/>
      <c r="K43" s="339"/>
    </row>
    <row r="44" spans="1:12">
      <c r="A44" s="339" t="s">
        <v>575</v>
      </c>
      <c r="B44" s="339"/>
      <c r="C44" s="339"/>
      <c r="D44" s="339"/>
      <c r="E44" s="339"/>
      <c r="F44" s="339"/>
      <c r="G44" s="339"/>
      <c r="H44" s="339"/>
      <c r="I44" s="339"/>
      <c r="J44" s="339"/>
      <c r="K44" s="339"/>
    </row>
    <row r="45" spans="1:12">
      <c r="A45" s="339" t="s">
        <v>576</v>
      </c>
      <c r="B45" s="339"/>
      <c r="C45" s="339"/>
      <c r="D45" s="339"/>
      <c r="E45" s="339"/>
      <c r="F45" s="339"/>
      <c r="G45" s="339"/>
      <c r="H45" s="339"/>
      <c r="I45" s="339"/>
      <c r="J45" s="339"/>
      <c r="K45" s="339"/>
    </row>
    <row r="46" spans="1:12">
      <c r="A46" s="339" t="s">
        <v>577</v>
      </c>
      <c r="B46" s="339"/>
      <c r="C46" s="339"/>
      <c r="D46" s="339"/>
      <c r="E46" s="339"/>
      <c r="F46" s="339"/>
      <c r="G46" s="339"/>
      <c r="H46" s="339"/>
      <c r="I46" s="339"/>
      <c r="J46" s="339"/>
      <c r="K46" s="339"/>
    </row>
    <row r="47" spans="1:12">
      <c r="A47" s="339" t="s">
        <v>578</v>
      </c>
      <c r="B47" s="339"/>
      <c r="C47" s="339"/>
      <c r="D47" s="339"/>
      <c r="E47" s="339"/>
      <c r="F47" s="339"/>
      <c r="G47" s="339"/>
      <c r="H47" s="339"/>
      <c r="I47" s="339"/>
      <c r="J47" s="339"/>
      <c r="K47" s="339"/>
    </row>
    <row r="48" spans="1:12">
      <c r="A48" s="339" t="s">
        <v>579</v>
      </c>
      <c r="B48" s="339"/>
      <c r="C48" s="339"/>
      <c r="D48" s="339"/>
      <c r="E48" s="339"/>
      <c r="F48" s="339"/>
      <c r="G48" s="339"/>
      <c r="H48" s="339"/>
      <c r="I48" s="339"/>
      <c r="J48" s="339"/>
      <c r="K48" s="339"/>
    </row>
    <row r="49" spans="1:11">
      <c r="A49" s="339" t="s">
        <v>580</v>
      </c>
      <c r="B49" s="339"/>
      <c r="C49" s="339"/>
      <c r="D49" s="339"/>
      <c r="E49" s="339"/>
      <c r="F49" s="339"/>
      <c r="G49" s="339"/>
      <c r="H49" s="339"/>
      <c r="I49" s="339"/>
      <c r="J49" s="339"/>
      <c r="K49" s="339"/>
    </row>
    <row r="50" spans="1:11">
      <c r="A50" s="339" t="s">
        <v>581</v>
      </c>
      <c r="B50" s="339"/>
      <c r="C50" s="339"/>
      <c r="D50" s="339"/>
      <c r="E50" s="339"/>
      <c r="F50" s="339"/>
      <c r="G50" s="339"/>
      <c r="H50" s="339"/>
      <c r="I50" s="339"/>
      <c r="J50" s="339"/>
      <c r="K50" s="339"/>
    </row>
    <row r="51" spans="1:11">
      <c r="A51" s="339" t="s">
        <v>582</v>
      </c>
      <c r="B51" s="339"/>
      <c r="C51" s="339"/>
      <c r="D51" s="339"/>
      <c r="E51" s="339"/>
      <c r="F51" s="339"/>
      <c r="G51" s="339"/>
      <c r="H51" s="339"/>
      <c r="I51" s="339"/>
      <c r="J51" s="339"/>
      <c r="K51" s="339"/>
    </row>
    <row r="52" spans="1:11">
      <c r="A52" s="339" t="s">
        <v>583</v>
      </c>
      <c r="B52" s="339"/>
      <c r="C52" s="339"/>
      <c r="D52" s="339"/>
      <c r="E52" s="339"/>
      <c r="F52" s="339"/>
      <c r="G52" s="339"/>
      <c r="H52" s="339"/>
      <c r="I52" s="339"/>
      <c r="J52" s="339"/>
      <c r="K52" s="339"/>
    </row>
    <row r="53" spans="1:11">
      <c r="A53" s="339" t="s">
        <v>584</v>
      </c>
      <c r="B53" s="339"/>
      <c r="C53" s="339"/>
      <c r="D53" s="339"/>
      <c r="E53" s="339"/>
      <c r="F53" s="339"/>
      <c r="G53" s="339"/>
      <c r="H53" s="339"/>
      <c r="I53" s="339"/>
      <c r="J53" s="339"/>
      <c r="K53" s="339"/>
    </row>
    <row r="54" spans="1:11">
      <c r="A54" s="339" t="s">
        <v>585</v>
      </c>
      <c r="B54" s="339"/>
      <c r="C54" s="339"/>
      <c r="D54" s="339"/>
      <c r="E54" s="339"/>
      <c r="F54" s="339"/>
      <c r="G54" s="339"/>
      <c r="H54" s="339"/>
      <c r="I54" s="339"/>
      <c r="J54" s="339"/>
      <c r="K54" s="339"/>
    </row>
    <row r="55" spans="1:11">
      <c r="A55" s="339" t="s">
        <v>586</v>
      </c>
      <c r="B55" s="339"/>
      <c r="C55" s="339"/>
      <c r="D55" s="339"/>
      <c r="E55" s="339"/>
      <c r="F55" s="339"/>
      <c r="G55" s="339"/>
      <c r="H55" s="339"/>
      <c r="I55" s="339"/>
      <c r="J55" s="339"/>
      <c r="K55" s="339"/>
    </row>
    <row r="56" spans="1:11">
      <c r="A56" s="339" t="s">
        <v>587</v>
      </c>
      <c r="B56" s="339"/>
      <c r="C56" s="339"/>
      <c r="D56" s="339"/>
      <c r="E56" s="339"/>
      <c r="F56" s="339"/>
      <c r="G56" s="339"/>
      <c r="H56" s="339"/>
      <c r="I56" s="339"/>
      <c r="J56" s="339"/>
      <c r="K56" s="339"/>
    </row>
    <row r="57" spans="1:11">
      <c r="A57" s="339" t="s">
        <v>588</v>
      </c>
      <c r="B57" s="339"/>
      <c r="C57" s="339"/>
      <c r="D57" s="339"/>
      <c r="E57" s="339"/>
      <c r="F57" s="339"/>
      <c r="G57" s="339"/>
      <c r="H57" s="339"/>
      <c r="I57" s="339"/>
      <c r="J57" s="339"/>
      <c r="K57" s="339"/>
    </row>
    <row r="58" spans="1:11">
      <c r="A58" s="339" t="s">
        <v>589</v>
      </c>
      <c r="B58" s="339"/>
      <c r="C58" s="339"/>
      <c r="D58" s="339"/>
      <c r="E58" s="339"/>
      <c r="F58" s="339"/>
      <c r="G58" s="339"/>
      <c r="H58" s="339"/>
      <c r="I58" s="339"/>
      <c r="J58" s="339"/>
      <c r="K58" s="339"/>
    </row>
    <row r="59" spans="1:11">
      <c r="A59" s="339" t="s">
        <v>590</v>
      </c>
      <c r="B59" s="339"/>
      <c r="C59" s="339"/>
      <c r="D59" s="339"/>
      <c r="E59" s="339"/>
      <c r="F59" s="339"/>
      <c r="G59" s="339"/>
      <c r="H59" s="339"/>
      <c r="I59" s="339"/>
      <c r="J59" s="339"/>
      <c r="K59" s="339"/>
    </row>
    <row r="60" spans="1:11">
      <c r="A60" s="339" t="s">
        <v>591</v>
      </c>
      <c r="B60" s="339"/>
      <c r="C60" s="339"/>
      <c r="D60" s="339"/>
      <c r="E60" s="339"/>
      <c r="F60" s="339"/>
      <c r="G60" s="339"/>
      <c r="H60" s="339"/>
      <c r="I60" s="339"/>
      <c r="J60" s="339"/>
      <c r="K60" s="339"/>
    </row>
    <row r="61" spans="1:11">
      <c r="A61" s="339" t="s">
        <v>592</v>
      </c>
      <c r="B61" s="339"/>
      <c r="C61" s="339"/>
      <c r="D61" s="339"/>
      <c r="E61" s="339"/>
      <c r="F61" s="339"/>
      <c r="G61" s="339"/>
      <c r="H61" s="339"/>
      <c r="I61" s="339"/>
      <c r="J61" s="339"/>
      <c r="K61" s="339"/>
    </row>
    <row r="62" spans="1:11">
      <c r="A62" s="339" t="s">
        <v>593</v>
      </c>
      <c r="B62" s="339"/>
      <c r="C62" s="339"/>
      <c r="D62" s="339"/>
      <c r="E62" s="339"/>
      <c r="F62" s="339"/>
      <c r="G62" s="339"/>
      <c r="H62" s="339"/>
      <c r="I62" s="339"/>
      <c r="J62" s="339"/>
      <c r="K62" s="339"/>
    </row>
    <row r="63" spans="1:11" ht="13.5" thickBot="1">
      <c r="A63" s="339"/>
      <c r="B63" s="339"/>
      <c r="C63" s="339"/>
      <c r="D63" s="339"/>
      <c r="E63" s="339"/>
      <c r="F63" s="339"/>
      <c r="G63" s="339"/>
      <c r="H63" s="339"/>
      <c r="I63" s="339"/>
      <c r="J63" s="339"/>
      <c r="K63" s="339"/>
    </row>
    <row r="64" spans="1:11" ht="15" thickBot="1">
      <c r="A64" s="1204" t="s">
        <v>2605</v>
      </c>
      <c r="B64" s="1213" t="s">
        <v>2606</v>
      </c>
      <c r="C64" s="1214"/>
      <c r="D64" s="1214"/>
      <c r="E64" s="1214"/>
      <c r="F64" s="1214"/>
      <c r="G64" s="1214"/>
      <c r="H64" s="1214"/>
      <c r="I64" s="1214"/>
      <c r="J64" s="1214"/>
      <c r="K64" s="1215"/>
    </row>
    <row r="65" spans="1:11" ht="16.5" thickBot="1">
      <c r="A65" s="1205"/>
      <c r="B65" s="1216" t="s">
        <v>2607</v>
      </c>
      <c r="C65" s="1217"/>
      <c r="D65" s="1217"/>
      <c r="E65" s="1217"/>
      <c r="F65" s="1217"/>
      <c r="G65" s="1217"/>
      <c r="H65" s="1217"/>
      <c r="I65" s="1217"/>
      <c r="J65" s="1217"/>
      <c r="K65" s="1218"/>
    </row>
    <row r="66" spans="1:11" ht="15.75">
      <c r="A66" s="273" t="s">
        <v>2608</v>
      </c>
      <c r="B66" s="274">
        <v>1</v>
      </c>
      <c r="C66" s="275">
        <v>2</v>
      </c>
      <c r="D66" s="274">
        <v>3</v>
      </c>
      <c r="E66" s="275">
        <v>4</v>
      </c>
      <c r="F66" s="274">
        <v>5</v>
      </c>
      <c r="G66" s="275">
        <v>6</v>
      </c>
      <c r="H66" s="274">
        <v>7</v>
      </c>
      <c r="I66" s="275">
        <v>8</v>
      </c>
      <c r="J66" s="274">
        <v>9</v>
      </c>
      <c r="K66" s="276">
        <v>10</v>
      </c>
    </row>
    <row r="67" spans="1:11" ht="15.75">
      <c r="A67" s="277">
        <v>3</v>
      </c>
      <c r="B67" s="278">
        <v>0.71255739248085614</v>
      </c>
      <c r="C67" s="278">
        <v>1.4251147849617123</v>
      </c>
      <c r="D67" s="278">
        <v>2.1376721774425684</v>
      </c>
      <c r="E67" s="278">
        <v>2.8502295699234246</v>
      </c>
      <c r="F67" s="278">
        <v>3.5627869624042807</v>
      </c>
      <c r="G67" s="278">
        <v>4.2753443548851369</v>
      </c>
      <c r="H67" s="278">
        <v>4.987901747365993</v>
      </c>
      <c r="I67" s="279">
        <v>5.7004591398468492</v>
      </c>
      <c r="J67" s="278">
        <v>6.4130165323277053</v>
      </c>
      <c r="K67" s="280">
        <v>7.1255739248085614</v>
      </c>
    </row>
    <row r="68" spans="1:11" ht="15.75">
      <c r="A68" s="277">
        <v>4</v>
      </c>
      <c r="B68" s="278">
        <v>1.2667686977437442</v>
      </c>
      <c r="C68" s="278">
        <v>2.5335373954874885</v>
      </c>
      <c r="D68" s="278">
        <v>3.8003060932312329</v>
      </c>
      <c r="E68" s="278">
        <v>5.0670747909749769</v>
      </c>
      <c r="F68" s="278">
        <v>6.3338434887187214</v>
      </c>
      <c r="G68" s="278">
        <v>7.6006121864624658</v>
      </c>
      <c r="H68" s="278">
        <v>8.8673808842062112</v>
      </c>
      <c r="I68" s="279">
        <v>10.134149581949954</v>
      </c>
      <c r="J68" s="278">
        <v>11.400918279693698</v>
      </c>
      <c r="K68" s="280">
        <v>12.667686977437443</v>
      </c>
    </row>
    <row r="69" spans="1:11" ht="15.75">
      <c r="A69" s="277">
        <v>5</v>
      </c>
      <c r="B69" s="278">
        <v>1.9793260902246004</v>
      </c>
      <c r="C69" s="278">
        <v>3.9586521804492008</v>
      </c>
      <c r="D69" s="278">
        <v>5.9379782706738009</v>
      </c>
      <c r="E69" s="278">
        <v>7.9173043608984015</v>
      </c>
      <c r="F69" s="278">
        <v>9.8966304511230021</v>
      </c>
      <c r="G69" s="278">
        <v>11.875956541347602</v>
      </c>
      <c r="H69" s="278">
        <v>13.855282631572203</v>
      </c>
      <c r="I69" s="279">
        <v>15.834608721796803</v>
      </c>
      <c r="J69" s="278">
        <v>17.813934812021404</v>
      </c>
      <c r="K69" s="280">
        <v>19.793260902246004</v>
      </c>
    </row>
    <row r="70" spans="1:11" ht="15.75">
      <c r="A70" s="277">
        <v>6</v>
      </c>
      <c r="B70" s="278">
        <v>2.8502295699234246</v>
      </c>
      <c r="C70" s="278">
        <v>5.7004591398468492</v>
      </c>
      <c r="D70" s="278">
        <v>8.5506887097702737</v>
      </c>
      <c r="E70" s="278">
        <v>11.400918279693698</v>
      </c>
      <c r="F70" s="278">
        <v>14.251147849617123</v>
      </c>
      <c r="G70" s="278">
        <v>17.101377419540547</v>
      </c>
      <c r="H70" s="278">
        <v>19.951606989463972</v>
      </c>
      <c r="I70" s="279">
        <v>22.801836559387397</v>
      </c>
      <c r="J70" s="278">
        <v>25.652066129310821</v>
      </c>
      <c r="K70" s="280">
        <v>28.502295699234246</v>
      </c>
    </row>
    <row r="71" spans="1:11" ht="15.75">
      <c r="A71" s="277">
        <v>7</v>
      </c>
      <c r="B71" s="278">
        <v>3.8794791368402177</v>
      </c>
      <c r="C71" s="278">
        <v>7.7589582736804354</v>
      </c>
      <c r="D71" s="278">
        <v>11.638437410520654</v>
      </c>
      <c r="E71" s="278">
        <v>15.517916547360871</v>
      </c>
      <c r="F71" s="278">
        <v>19.39739568420109</v>
      </c>
      <c r="G71" s="278">
        <v>23.276874821041307</v>
      </c>
      <c r="H71" s="278">
        <v>27.156353957881525</v>
      </c>
      <c r="I71" s="279">
        <v>31.035833094721742</v>
      </c>
      <c r="J71" s="278">
        <v>34.915312231561963</v>
      </c>
      <c r="K71" s="280">
        <v>38.79479136840218</v>
      </c>
    </row>
    <row r="72" spans="1:11" ht="15.75">
      <c r="A72" s="277">
        <v>8</v>
      </c>
      <c r="B72" s="278">
        <v>5.0670747909749769</v>
      </c>
      <c r="C72" s="278">
        <v>10.134149581949954</v>
      </c>
      <c r="D72" s="278">
        <v>15.201224372924932</v>
      </c>
      <c r="E72" s="278">
        <v>20.268299163899908</v>
      </c>
      <c r="F72" s="278">
        <v>25.335373954874886</v>
      </c>
      <c r="G72" s="278">
        <v>30.402448745849863</v>
      </c>
      <c r="H72" s="278">
        <v>35.469523536824845</v>
      </c>
      <c r="I72" s="279">
        <v>40.536598327799815</v>
      </c>
      <c r="J72" s="278">
        <v>45.603673118774793</v>
      </c>
      <c r="K72" s="280">
        <v>50.670747909749771</v>
      </c>
    </row>
    <row r="73" spans="1:11" ht="15.75">
      <c r="A73" s="277">
        <v>9</v>
      </c>
      <c r="B73" s="278">
        <v>6.4130165323277062</v>
      </c>
      <c r="C73" s="278">
        <v>12.826033064655412</v>
      </c>
      <c r="D73" s="278">
        <v>19.239049596983119</v>
      </c>
      <c r="E73" s="278">
        <v>25.652066129310825</v>
      </c>
      <c r="F73" s="278">
        <v>32.065082661638527</v>
      </c>
      <c r="G73" s="278">
        <v>38.478099193966237</v>
      </c>
      <c r="H73" s="278">
        <v>44.89111572629394</v>
      </c>
      <c r="I73" s="279">
        <v>51.304132258621649</v>
      </c>
      <c r="J73" s="278">
        <v>57.717148790949352</v>
      </c>
      <c r="K73" s="280">
        <v>64.130165323277055</v>
      </c>
    </row>
    <row r="74" spans="1:11" ht="16.5" thickBot="1">
      <c r="A74" s="281">
        <v>10</v>
      </c>
      <c r="B74" s="282">
        <v>7.9173043608984015</v>
      </c>
      <c r="C74" s="282">
        <v>15.834608721796803</v>
      </c>
      <c r="D74" s="282">
        <v>23.751913082695204</v>
      </c>
      <c r="E74" s="282">
        <v>31.669217443593606</v>
      </c>
      <c r="F74" s="282">
        <v>39.586521804492008</v>
      </c>
      <c r="G74" s="282">
        <v>47.503826165390407</v>
      </c>
      <c r="H74" s="282">
        <v>55.421130526288813</v>
      </c>
      <c r="I74" s="283">
        <v>63.338434887187212</v>
      </c>
      <c r="J74" s="282">
        <v>71.255739248085618</v>
      </c>
      <c r="K74" s="284">
        <v>79.173043608984017</v>
      </c>
    </row>
    <row r="75" spans="1:11">
      <c r="A75" s="521"/>
      <c r="B75" s="339"/>
      <c r="C75" s="339"/>
      <c r="D75" s="339"/>
      <c r="E75" s="339"/>
      <c r="F75" s="339"/>
      <c r="G75" s="339"/>
      <c r="H75" s="339"/>
      <c r="I75" s="339"/>
      <c r="J75" s="339"/>
      <c r="K75" s="339"/>
    </row>
    <row r="76" spans="1:11" ht="13.5" thickBot="1">
      <c r="A76" s="339"/>
      <c r="B76" s="339"/>
      <c r="C76" s="339"/>
      <c r="D76" s="339"/>
      <c r="E76" s="339"/>
      <c r="F76" s="339"/>
      <c r="G76" s="339"/>
      <c r="H76" s="339"/>
      <c r="I76" s="339"/>
      <c r="J76" s="339"/>
      <c r="K76" s="339"/>
    </row>
    <row r="77" spans="1:11" ht="13.5" thickBot="1">
      <c r="A77" s="1204" t="s">
        <v>2605</v>
      </c>
      <c r="B77" s="1206" t="s">
        <v>2609</v>
      </c>
      <c r="C77" s="1207"/>
      <c r="D77" s="1207"/>
      <c r="E77" s="1207"/>
      <c r="F77" s="1207"/>
      <c r="G77" s="1207"/>
      <c r="H77" s="1207"/>
      <c r="I77" s="1207"/>
      <c r="J77" s="1207"/>
      <c r="K77" s="1208"/>
    </row>
    <row r="78" spans="1:11" ht="16.5" thickBot="1">
      <c r="A78" s="1205"/>
      <c r="B78" s="1209" t="s">
        <v>2610</v>
      </c>
      <c r="C78" s="1210"/>
      <c r="D78" s="1210"/>
      <c r="E78" s="1210"/>
      <c r="F78" s="1210"/>
      <c r="G78" s="1210"/>
      <c r="H78" s="1210"/>
      <c r="I78" s="1210"/>
      <c r="J78" s="1210"/>
      <c r="K78" s="1211"/>
    </row>
    <row r="79" spans="1:11" ht="15.75">
      <c r="A79" s="285" t="s">
        <v>2608</v>
      </c>
      <c r="B79" s="286">
        <v>1</v>
      </c>
      <c r="C79" s="287">
        <v>2</v>
      </c>
      <c r="D79" s="286">
        <v>3</v>
      </c>
      <c r="E79" s="287">
        <v>4</v>
      </c>
      <c r="F79" s="286">
        <v>5</v>
      </c>
      <c r="G79" s="287">
        <v>6</v>
      </c>
      <c r="H79" s="286">
        <v>7</v>
      </c>
      <c r="I79" s="287">
        <v>8</v>
      </c>
      <c r="J79" s="286">
        <v>9</v>
      </c>
      <c r="K79" s="288">
        <v>10</v>
      </c>
    </row>
    <row r="80" spans="1:11" ht="15.75">
      <c r="A80" s="277">
        <v>2</v>
      </c>
      <c r="B80" s="278">
        <v>0.25</v>
      </c>
      <c r="C80" s="278">
        <f t="shared" ref="C80:C89" si="0">C$79*B80</f>
        <v>0.5</v>
      </c>
      <c r="D80" s="278">
        <f t="shared" ref="D80:D89" si="1">D$79*B80</f>
        <v>0.75</v>
      </c>
      <c r="E80" s="278">
        <f t="shared" ref="E80:E89" si="2">E$79*B80</f>
        <v>1</v>
      </c>
      <c r="F80" s="278">
        <f t="shared" ref="F80:F89" si="3">F$79*B80</f>
        <v>1.25</v>
      </c>
      <c r="G80" s="278">
        <f t="shared" ref="G80:G89" si="4">G$79*B80</f>
        <v>1.5</v>
      </c>
      <c r="H80" s="278">
        <f t="shared" ref="H80:H89" si="5">H$79*B80</f>
        <v>1.75</v>
      </c>
      <c r="I80" s="278">
        <f t="shared" ref="I80:I89" si="6">I$79*B80</f>
        <v>2</v>
      </c>
      <c r="J80" s="278">
        <f t="shared" ref="J80:J89" si="7">J$79*B80</f>
        <v>2.25</v>
      </c>
      <c r="K80" s="280">
        <f t="shared" ref="K80:K89" si="8">K$79*B80</f>
        <v>2.5</v>
      </c>
    </row>
    <row r="81" spans="1:11" ht="15.75">
      <c r="A81" s="277">
        <v>3</v>
      </c>
      <c r="B81" s="278">
        <v>0.56000000000000005</v>
      </c>
      <c r="C81" s="278">
        <f t="shared" si="0"/>
        <v>1.1200000000000001</v>
      </c>
      <c r="D81" s="278">
        <f t="shared" si="1"/>
        <v>1.6800000000000002</v>
      </c>
      <c r="E81" s="278">
        <f t="shared" si="2"/>
        <v>2.2400000000000002</v>
      </c>
      <c r="F81" s="278">
        <f t="shared" si="3"/>
        <v>2.8000000000000003</v>
      </c>
      <c r="G81" s="278">
        <f t="shared" si="4"/>
        <v>3.3600000000000003</v>
      </c>
      <c r="H81" s="278">
        <f t="shared" si="5"/>
        <v>3.9200000000000004</v>
      </c>
      <c r="I81" s="278">
        <f t="shared" si="6"/>
        <v>4.4800000000000004</v>
      </c>
      <c r="J81" s="278">
        <f t="shared" si="7"/>
        <v>5.0400000000000009</v>
      </c>
      <c r="K81" s="280">
        <f t="shared" si="8"/>
        <v>5.6000000000000005</v>
      </c>
    </row>
    <row r="82" spans="1:11" ht="15.75">
      <c r="A82" s="277">
        <v>4</v>
      </c>
      <c r="B82" s="278">
        <v>1</v>
      </c>
      <c r="C82" s="278">
        <f t="shared" si="0"/>
        <v>2</v>
      </c>
      <c r="D82" s="278">
        <f t="shared" si="1"/>
        <v>3</v>
      </c>
      <c r="E82" s="278">
        <f t="shared" si="2"/>
        <v>4</v>
      </c>
      <c r="F82" s="278">
        <f t="shared" si="3"/>
        <v>5</v>
      </c>
      <c r="G82" s="278">
        <f t="shared" si="4"/>
        <v>6</v>
      </c>
      <c r="H82" s="278">
        <f t="shared" si="5"/>
        <v>7</v>
      </c>
      <c r="I82" s="278">
        <f t="shared" si="6"/>
        <v>8</v>
      </c>
      <c r="J82" s="278">
        <f t="shared" si="7"/>
        <v>9</v>
      </c>
      <c r="K82" s="280">
        <f t="shared" si="8"/>
        <v>10</v>
      </c>
    </row>
    <row r="83" spans="1:11" ht="15.75">
      <c r="A83" s="277">
        <v>5</v>
      </c>
      <c r="B83" s="278">
        <v>1.56</v>
      </c>
      <c r="C83" s="278">
        <f t="shared" si="0"/>
        <v>3.12</v>
      </c>
      <c r="D83" s="278">
        <f t="shared" si="1"/>
        <v>4.68</v>
      </c>
      <c r="E83" s="278">
        <f t="shared" si="2"/>
        <v>6.24</v>
      </c>
      <c r="F83" s="278">
        <f t="shared" si="3"/>
        <v>7.8000000000000007</v>
      </c>
      <c r="G83" s="278">
        <f t="shared" si="4"/>
        <v>9.36</v>
      </c>
      <c r="H83" s="278">
        <f t="shared" si="5"/>
        <v>10.92</v>
      </c>
      <c r="I83" s="278">
        <f t="shared" si="6"/>
        <v>12.48</v>
      </c>
      <c r="J83" s="278">
        <f t="shared" si="7"/>
        <v>14.040000000000001</v>
      </c>
      <c r="K83" s="280">
        <f t="shared" si="8"/>
        <v>15.600000000000001</v>
      </c>
    </row>
    <row r="84" spans="1:11" ht="15.75">
      <c r="A84" s="277">
        <v>6</v>
      </c>
      <c r="B84" s="278">
        <v>2.2400000000000002</v>
      </c>
      <c r="C84" s="278">
        <f t="shared" si="0"/>
        <v>4.4800000000000004</v>
      </c>
      <c r="D84" s="278">
        <f t="shared" si="1"/>
        <v>6.7200000000000006</v>
      </c>
      <c r="E84" s="278">
        <f t="shared" si="2"/>
        <v>8.9600000000000009</v>
      </c>
      <c r="F84" s="278">
        <f t="shared" si="3"/>
        <v>11.200000000000001</v>
      </c>
      <c r="G84" s="278">
        <f t="shared" si="4"/>
        <v>13.440000000000001</v>
      </c>
      <c r="H84" s="278">
        <f t="shared" si="5"/>
        <v>15.680000000000001</v>
      </c>
      <c r="I84" s="278">
        <f t="shared" si="6"/>
        <v>17.920000000000002</v>
      </c>
      <c r="J84" s="278">
        <f t="shared" si="7"/>
        <v>20.160000000000004</v>
      </c>
      <c r="K84" s="280">
        <f t="shared" si="8"/>
        <v>22.400000000000002</v>
      </c>
    </row>
    <row r="85" spans="1:11" ht="15.75">
      <c r="A85" s="277">
        <v>7</v>
      </c>
      <c r="B85" s="278">
        <v>3.05</v>
      </c>
      <c r="C85" s="278">
        <f t="shared" si="0"/>
        <v>6.1</v>
      </c>
      <c r="D85" s="278">
        <f t="shared" si="1"/>
        <v>9.1499999999999986</v>
      </c>
      <c r="E85" s="278">
        <f t="shared" si="2"/>
        <v>12.2</v>
      </c>
      <c r="F85" s="278">
        <f t="shared" si="3"/>
        <v>15.25</v>
      </c>
      <c r="G85" s="278">
        <f t="shared" si="4"/>
        <v>18.299999999999997</v>
      </c>
      <c r="H85" s="278">
        <f t="shared" si="5"/>
        <v>21.349999999999998</v>
      </c>
      <c r="I85" s="278">
        <f t="shared" si="6"/>
        <v>24.4</v>
      </c>
      <c r="J85" s="278">
        <f t="shared" si="7"/>
        <v>27.45</v>
      </c>
      <c r="K85" s="280">
        <f t="shared" si="8"/>
        <v>30.5</v>
      </c>
    </row>
    <row r="86" spans="1:11" ht="15.75">
      <c r="A86" s="277">
        <v>8</v>
      </c>
      <c r="B86" s="278">
        <v>3.98</v>
      </c>
      <c r="C86" s="278">
        <f t="shared" si="0"/>
        <v>7.96</v>
      </c>
      <c r="D86" s="278">
        <f t="shared" si="1"/>
        <v>11.94</v>
      </c>
      <c r="E86" s="278">
        <f t="shared" si="2"/>
        <v>15.92</v>
      </c>
      <c r="F86" s="278">
        <f t="shared" si="3"/>
        <v>19.899999999999999</v>
      </c>
      <c r="G86" s="278">
        <f t="shared" si="4"/>
        <v>23.88</v>
      </c>
      <c r="H86" s="278">
        <f t="shared" si="5"/>
        <v>27.86</v>
      </c>
      <c r="I86" s="278">
        <f t="shared" si="6"/>
        <v>31.84</v>
      </c>
      <c r="J86" s="278">
        <f t="shared" si="7"/>
        <v>35.82</v>
      </c>
      <c r="K86" s="280">
        <f t="shared" si="8"/>
        <v>39.799999999999997</v>
      </c>
    </row>
    <row r="87" spans="1:11" ht="15.75">
      <c r="A87" s="277">
        <v>9</v>
      </c>
      <c r="B87" s="278">
        <v>5.0599999999999996</v>
      </c>
      <c r="C87" s="278">
        <f t="shared" si="0"/>
        <v>10.119999999999999</v>
      </c>
      <c r="D87" s="278">
        <f t="shared" si="1"/>
        <v>15.18</v>
      </c>
      <c r="E87" s="278">
        <f t="shared" si="2"/>
        <v>20.239999999999998</v>
      </c>
      <c r="F87" s="278">
        <f t="shared" si="3"/>
        <v>25.299999999999997</v>
      </c>
      <c r="G87" s="278">
        <f t="shared" si="4"/>
        <v>30.36</v>
      </c>
      <c r="H87" s="278">
        <f t="shared" si="5"/>
        <v>35.419999999999995</v>
      </c>
      <c r="I87" s="278">
        <f t="shared" si="6"/>
        <v>40.479999999999997</v>
      </c>
      <c r="J87" s="278">
        <f t="shared" si="7"/>
        <v>45.54</v>
      </c>
      <c r="K87" s="280">
        <f t="shared" si="8"/>
        <v>50.599999999999994</v>
      </c>
    </row>
    <row r="88" spans="1:11" ht="15.75">
      <c r="A88" s="277">
        <v>10</v>
      </c>
      <c r="B88" s="278">
        <v>6.4</v>
      </c>
      <c r="C88" s="278">
        <f t="shared" si="0"/>
        <v>12.8</v>
      </c>
      <c r="D88" s="278">
        <f t="shared" si="1"/>
        <v>19.200000000000003</v>
      </c>
      <c r="E88" s="278">
        <f t="shared" si="2"/>
        <v>25.6</v>
      </c>
      <c r="F88" s="278">
        <f t="shared" si="3"/>
        <v>32</v>
      </c>
      <c r="G88" s="278">
        <f t="shared" si="4"/>
        <v>38.400000000000006</v>
      </c>
      <c r="H88" s="278">
        <f t="shared" si="5"/>
        <v>44.800000000000004</v>
      </c>
      <c r="I88" s="278">
        <f t="shared" si="6"/>
        <v>51.2</v>
      </c>
      <c r="J88" s="278">
        <f t="shared" si="7"/>
        <v>57.6</v>
      </c>
      <c r="K88" s="280">
        <f t="shared" si="8"/>
        <v>64</v>
      </c>
    </row>
    <row r="89" spans="1:11" ht="16.5" thickBot="1">
      <c r="A89" s="289">
        <v>11</v>
      </c>
      <c r="B89" s="282">
        <v>7.91</v>
      </c>
      <c r="C89" s="282">
        <f t="shared" si="0"/>
        <v>15.82</v>
      </c>
      <c r="D89" s="282">
        <f t="shared" si="1"/>
        <v>23.73</v>
      </c>
      <c r="E89" s="282">
        <f t="shared" si="2"/>
        <v>31.64</v>
      </c>
      <c r="F89" s="282">
        <f t="shared" si="3"/>
        <v>39.549999999999997</v>
      </c>
      <c r="G89" s="282">
        <f t="shared" si="4"/>
        <v>47.46</v>
      </c>
      <c r="H89" s="282">
        <f t="shared" si="5"/>
        <v>55.370000000000005</v>
      </c>
      <c r="I89" s="282">
        <f t="shared" si="6"/>
        <v>63.28</v>
      </c>
      <c r="J89" s="282">
        <f t="shared" si="7"/>
        <v>71.19</v>
      </c>
      <c r="K89" s="284">
        <f t="shared" si="8"/>
        <v>79.099999999999994</v>
      </c>
    </row>
  </sheetData>
  <sheetProtection formatCells="0" formatColumns="0" formatRows="0" insertColumns="0" insertRows="0" insertHyperlinks="0" deleteColumns="0" deleteRows="0" sort="0" autoFilter="0" pivotTables="0"/>
  <mergeCells count="16">
    <mergeCell ref="A77:A78"/>
    <mergeCell ref="B77:K77"/>
    <mergeCell ref="B78:K78"/>
    <mergeCell ref="A1:K1"/>
    <mergeCell ref="A2:K2"/>
    <mergeCell ref="A3:K3"/>
    <mergeCell ref="A64:A65"/>
    <mergeCell ref="B64:K64"/>
    <mergeCell ref="B65:K65"/>
    <mergeCell ref="H23:I23"/>
    <mergeCell ref="A4:I4"/>
    <mergeCell ref="A5:I5"/>
    <mergeCell ref="A6:A7"/>
    <mergeCell ref="B6:C6"/>
    <mergeCell ref="F6:G6"/>
    <mergeCell ref="H6:I6"/>
  </mergeCells>
  <pageMargins left="0.7" right="0.7" top="0.75" bottom="0.75" header="0.3" footer="0.3"/>
  <pageSetup paperSize="9" scale="6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rgb="FFFFFF00"/>
  </sheetPr>
  <dimension ref="A1:F803"/>
  <sheetViews>
    <sheetView view="pageBreakPreview" zoomScaleNormal="100" zoomScaleSheetLayoutView="100" workbookViewId="0">
      <pane xSplit="1" ySplit="12" topLeftCell="B475" activePane="bottomRight" state="frozen"/>
      <selection activeCell="I10" sqref="I10"/>
      <selection pane="topRight" activeCell="I10" sqref="I10"/>
      <selection pane="bottomLeft" activeCell="I10" sqref="I10"/>
      <selection pane="bottomRight" activeCell="A2" sqref="A2:F2"/>
    </sheetView>
  </sheetViews>
  <sheetFormatPr baseColWidth="10" defaultColWidth="11.5703125" defaultRowHeight="12"/>
  <cols>
    <col min="1" max="1" width="11.5703125" style="134" customWidth="1"/>
    <col min="2" max="2" width="25.7109375" style="134" customWidth="1"/>
    <col min="3" max="3" width="16" style="134" customWidth="1"/>
    <col min="4" max="4" width="19.28515625" style="134" customWidth="1"/>
    <col min="5" max="5" width="26.28515625" style="134" customWidth="1"/>
    <col min="6" max="6" width="13.7109375" style="134" customWidth="1"/>
    <col min="7" max="16384" width="11.5703125" style="135"/>
  </cols>
  <sheetData>
    <row r="1" spans="1:6" s="133" customFormat="1" ht="42" customHeight="1">
      <c r="A1" s="1186" t="s">
        <v>3237</v>
      </c>
      <c r="B1" s="1187"/>
      <c r="C1" s="1187"/>
      <c r="D1" s="1187"/>
      <c r="E1" s="1187"/>
      <c r="F1" s="1188"/>
    </row>
    <row r="2" spans="1:6" s="133" customFormat="1" ht="21.6" customHeight="1">
      <c r="A2" s="1242" t="s">
        <v>790</v>
      </c>
      <c r="B2" s="1243"/>
      <c r="C2" s="1243"/>
      <c r="D2" s="1243"/>
      <c r="E2" s="1243"/>
      <c r="F2" s="1244"/>
    </row>
    <row r="3" spans="1:6" s="133" customFormat="1" ht="22.9" customHeight="1" thickBot="1">
      <c r="A3" s="1232" t="s">
        <v>2383</v>
      </c>
      <c r="B3" s="1232"/>
      <c r="C3" s="1232"/>
      <c r="D3" s="1232"/>
      <c r="E3" s="1232"/>
      <c r="F3" s="1232"/>
    </row>
    <row r="4" spans="1:6" ht="16.899999999999999" customHeight="1" thickTop="1">
      <c r="A4" s="517"/>
      <c r="B4" s="517"/>
      <c r="C4" s="517"/>
      <c r="D4" s="517"/>
      <c r="E4" s="517"/>
      <c r="F4" s="517"/>
    </row>
    <row r="5" spans="1:6">
      <c r="A5" s="1233" t="s">
        <v>791</v>
      </c>
      <c r="B5" s="1233"/>
      <c r="C5" s="1233"/>
      <c r="D5" s="1233"/>
      <c r="E5" s="1233"/>
      <c r="F5" s="1233"/>
    </row>
    <row r="6" spans="1:6" ht="15.75" customHeight="1">
      <c r="A6" s="1233" t="s">
        <v>792</v>
      </c>
      <c r="B6" s="1233"/>
      <c r="C6" s="1233"/>
      <c r="D6" s="1233"/>
      <c r="E6" s="1233"/>
      <c r="F6" s="1233"/>
    </row>
    <row r="7" spans="1:6">
      <c r="A7" s="1233" t="s">
        <v>793</v>
      </c>
      <c r="B7" s="1233"/>
      <c r="C7" s="1233"/>
      <c r="D7" s="1233"/>
      <c r="E7" s="1233"/>
      <c r="F7" s="1233"/>
    </row>
    <row r="8" spans="1:6" ht="15" customHeight="1">
      <c r="A8" s="518"/>
      <c r="B8" s="518"/>
      <c r="C8" s="518"/>
      <c r="D8" s="518"/>
      <c r="E8" s="518"/>
      <c r="F8" s="518"/>
    </row>
    <row r="9" spans="1:6" ht="15" customHeight="1" thickBot="1">
      <c r="A9" s="136" t="s">
        <v>794</v>
      </c>
      <c r="B9" s="136" t="s">
        <v>795</v>
      </c>
      <c r="C9" s="136" t="s">
        <v>796</v>
      </c>
      <c r="D9" s="136" t="s">
        <v>797</v>
      </c>
      <c r="E9" s="136" t="s">
        <v>798</v>
      </c>
      <c r="F9" s="137" t="s">
        <v>799</v>
      </c>
    </row>
    <row r="10" spans="1:6" ht="15" customHeight="1">
      <c r="A10" s="1234">
        <v>1954</v>
      </c>
      <c r="B10" s="180" t="s">
        <v>800</v>
      </c>
      <c r="C10" s="181" t="s">
        <v>801</v>
      </c>
      <c r="D10" s="181"/>
      <c r="E10" s="181"/>
      <c r="F10" s="182"/>
    </row>
    <row r="11" spans="1:6" ht="15" customHeight="1">
      <c r="A11" s="1235"/>
      <c r="B11" s="177" t="s">
        <v>802</v>
      </c>
      <c r="C11" s="179" t="s">
        <v>803</v>
      </c>
      <c r="D11" s="179" t="s">
        <v>804</v>
      </c>
      <c r="E11" s="179" t="s">
        <v>804</v>
      </c>
      <c r="F11" s="183"/>
    </row>
    <row r="12" spans="1:6">
      <c r="A12" s="1235"/>
      <c r="B12" s="177" t="s">
        <v>805</v>
      </c>
      <c r="C12" s="179" t="s">
        <v>806</v>
      </c>
      <c r="D12" s="179" t="s">
        <v>807</v>
      </c>
      <c r="E12" s="179" t="s">
        <v>808</v>
      </c>
      <c r="F12" s="183"/>
    </row>
    <row r="13" spans="1:6">
      <c r="A13" s="1235"/>
      <c r="B13" s="177" t="s">
        <v>809</v>
      </c>
      <c r="C13" s="179" t="s">
        <v>810</v>
      </c>
      <c r="D13" s="179" t="s">
        <v>811</v>
      </c>
      <c r="E13" s="179" t="s">
        <v>812</v>
      </c>
      <c r="F13" s="183"/>
    </row>
    <row r="14" spans="1:6">
      <c r="A14" s="1235"/>
      <c r="B14" s="177" t="s">
        <v>813</v>
      </c>
      <c r="C14" s="179" t="s">
        <v>814</v>
      </c>
      <c r="D14" s="179" t="s">
        <v>815</v>
      </c>
      <c r="E14" s="179" t="s">
        <v>816</v>
      </c>
      <c r="F14" s="183"/>
    </row>
    <row r="15" spans="1:6" ht="12.75" thickBot="1">
      <c r="A15" s="1236"/>
      <c r="B15" s="184" t="s">
        <v>817</v>
      </c>
      <c r="C15" s="185" t="s">
        <v>818</v>
      </c>
      <c r="D15" s="185" t="s">
        <v>819</v>
      </c>
      <c r="E15" s="185" t="s">
        <v>820</v>
      </c>
      <c r="F15" s="186"/>
    </row>
    <row r="16" spans="1:6">
      <c r="A16" s="1234">
        <v>1955</v>
      </c>
      <c r="B16" s="180" t="s">
        <v>821</v>
      </c>
      <c r="C16" s="181" t="s">
        <v>822</v>
      </c>
      <c r="D16" s="181" t="s">
        <v>823</v>
      </c>
      <c r="E16" s="181" t="s">
        <v>823</v>
      </c>
      <c r="F16" s="182"/>
    </row>
    <row r="17" spans="1:6">
      <c r="A17" s="1235"/>
      <c r="B17" s="177" t="s">
        <v>824</v>
      </c>
      <c r="C17" s="179" t="s">
        <v>825</v>
      </c>
      <c r="D17" s="179" t="s">
        <v>826</v>
      </c>
      <c r="E17" s="179" t="s">
        <v>827</v>
      </c>
      <c r="F17" s="183"/>
    </row>
    <row r="18" spans="1:6">
      <c r="A18" s="1235"/>
      <c r="B18" s="177" t="s">
        <v>828</v>
      </c>
      <c r="C18" s="179" t="s">
        <v>829</v>
      </c>
      <c r="D18" s="179" t="s">
        <v>830</v>
      </c>
      <c r="E18" s="179" t="s">
        <v>831</v>
      </c>
      <c r="F18" s="183"/>
    </row>
    <row r="19" spans="1:6">
      <c r="A19" s="1235"/>
      <c r="B19" s="177" t="s">
        <v>832</v>
      </c>
      <c r="C19" s="179" t="s">
        <v>833</v>
      </c>
      <c r="D19" s="179" t="s">
        <v>834</v>
      </c>
      <c r="E19" s="179" t="s">
        <v>835</v>
      </c>
      <c r="F19" s="183"/>
    </row>
    <row r="20" spans="1:6">
      <c r="A20" s="1235"/>
      <c r="B20" s="177" t="s">
        <v>836</v>
      </c>
      <c r="C20" s="179" t="s">
        <v>837</v>
      </c>
      <c r="D20" s="179" t="s">
        <v>838</v>
      </c>
      <c r="E20" s="179" t="s">
        <v>839</v>
      </c>
      <c r="F20" s="183"/>
    </row>
    <row r="21" spans="1:6">
      <c r="A21" s="1235"/>
      <c r="B21" s="177" t="s">
        <v>840</v>
      </c>
      <c r="C21" s="179" t="s">
        <v>841</v>
      </c>
      <c r="D21" s="179" t="s">
        <v>826</v>
      </c>
      <c r="E21" s="179" t="s">
        <v>842</v>
      </c>
      <c r="F21" s="183"/>
    </row>
    <row r="22" spans="1:6">
      <c r="A22" s="1235"/>
      <c r="B22" s="177" t="s">
        <v>800</v>
      </c>
      <c r="C22" s="179" t="s">
        <v>843</v>
      </c>
      <c r="D22" s="179" t="s">
        <v>827</v>
      </c>
      <c r="E22" s="179" t="s">
        <v>844</v>
      </c>
      <c r="F22" s="183" t="s">
        <v>845</v>
      </c>
    </row>
    <row r="23" spans="1:6">
      <c r="A23" s="1235"/>
      <c r="B23" s="177" t="s">
        <v>802</v>
      </c>
      <c r="C23" s="179" t="s">
        <v>846</v>
      </c>
      <c r="D23" s="179" t="s">
        <v>847</v>
      </c>
      <c r="E23" s="179" t="s">
        <v>848</v>
      </c>
      <c r="F23" s="183" t="s">
        <v>849</v>
      </c>
    </row>
    <row r="24" spans="1:6">
      <c r="A24" s="1235"/>
      <c r="B24" s="177" t="s">
        <v>805</v>
      </c>
      <c r="C24" s="179" t="s">
        <v>850</v>
      </c>
      <c r="D24" s="179" t="s">
        <v>851</v>
      </c>
      <c r="E24" s="179" t="s">
        <v>852</v>
      </c>
      <c r="F24" s="183" t="s">
        <v>853</v>
      </c>
    </row>
    <row r="25" spans="1:6">
      <c r="A25" s="1235"/>
      <c r="B25" s="177" t="s">
        <v>809</v>
      </c>
      <c r="C25" s="179" t="s">
        <v>854</v>
      </c>
      <c r="D25" s="179" t="s">
        <v>815</v>
      </c>
      <c r="E25" s="179" t="s">
        <v>855</v>
      </c>
      <c r="F25" s="183" t="s">
        <v>856</v>
      </c>
    </row>
    <row r="26" spans="1:6">
      <c r="A26" s="1235"/>
      <c r="B26" s="177" t="s">
        <v>813</v>
      </c>
      <c r="C26" s="179" t="s">
        <v>857</v>
      </c>
      <c r="D26" s="179" t="s">
        <v>858</v>
      </c>
      <c r="E26" s="179" t="s">
        <v>859</v>
      </c>
      <c r="F26" s="183" t="s">
        <v>860</v>
      </c>
    </row>
    <row r="27" spans="1:6" ht="12.75" thickBot="1">
      <c r="A27" s="1236"/>
      <c r="B27" s="184" t="s">
        <v>817</v>
      </c>
      <c r="C27" s="185" t="s">
        <v>861</v>
      </c>
      <c r="D27" s="185" t="s">
        <v>862</v>
      </c>
      <c r="E27" s="185" t="s">
        <v>863</v>
      </c>
      <c r="F27" s="186" t="s">
        <v>863</v>
      </c>
    </row>
    <row r="28" spans="1:6">
      <c r="A28" s="1234">
        <v>1956</v>
      </c>
      <c r="B28" s="180" t="s">
        <v>821</v>
      </c>
      <c r="C28" s="181" t="s">
        <v>864</v>
      </c>
      <c r="D28" s="181" t="s">
        <v>865</v>
      </c>
      <c r="E28" s="181" t="s">
        <v>865</v>
      </c>
      <c r="F28" s="182" t="s">
        <v>866</v>
      </c>
    </row>
    <row r="29" spans="1:6">
      <c r="A29" s="1235"/>
      <c r="B29" s="177" t="s">
        <v>824</v>
      </c>
      <c r="C29" s="179" t="s">
        <v>867</v>
      </c>
      <c r="D29" s="179" t="s">
        <v>868</v>
      </c>
      <c r="E29" s="179" t="s">
        <v>869</v>
      </c>
      <c r="F29" s="183" t="s">
        <v>870</v>
      </c>
    </row>
    <row r="30" spans="1:6">
      <c r="A30" s="1235"/>
      <c r="B30" s="177" t="s">
        <v>828</v>
      </c>
      <c r="C30" s="179" t="s">
        <v>871</v>
      </c>
      <c r="D30" s="179" t="s">
        <v>872</v>
      </c>
      <c r="E30" s="179" t="s">
        <v>873</v>
      </c>
      <c r="F30" s="183" t="s">
        <v>874</v>
      </c>
    </row>
    <row r="31" spans="1:6">
      <c r="A31" s="1235"/>
      <c r="B31" s="177" t="s">
        <v>832</v>
      </c>
      <c r="C31" s="179" t="s">
        <v>875</v>
      </c>
      <c r="D31" s="179" t="s">
        <v>876</v>
      </c>
      <c r="E31" s="179" t="s">
        <v>877</v>
      </c>
      <c r="F31" s="183" t="s">
        <v>878</v>
      </c>
    </row>
    <row r="32" spans="1:6">
      <c r="A32" s="1235"/>
      <c r="B32" s="177" t="s">
        <v>836</v>
      </c>
      <c r="C32" s="179" t="s">
        <v>879</v>
      </c>
      <c r="D32" s="179" t="s">
        <v>880</v>
      </c>
      <c r="E32" s="179" t="s">
        <v>881</v>
      </c>
      <c r="F32" s="183" t="s">
        <v>882</v>
      </c>
    </row>
    <row r="33" spans="1:6">
      <c r="A33" s="1235"/>
      <c r="B33" s="177" t="s">
        <v>840</v>
      </c>
      <c r="C33" s="179" t="s">
        <v>883</v>
      </c>
      <c r="D33" s="179" t="s">
        <v>884</v>
      </c>
      <c r="E33" s="179" t="s">
        <v>885</v>
      </c>
      <c r="F33" s="183" t="s">
        <v>886</v>
      </c>
    </row>
    <row r="34" spans="1:6">
      <c r="A34" s="1235"/>
      <c r="B34" s="177" t="s">
        <v>800</v>
      </c>
      <c r="C34" s="179" t="s">
        <v>887</v>
      </c>
      <c r="D34" s="179" t="s">
        <v>888</v>
      </c>
      <c r="E34" s="179" t="s">
        <v>889</v>
      </c>
      <c r="F34" s="183" t="s">
        <v>890</v>
      </c>
    </row>
    <row r="35" spans="1:6">
      <c r="A35" s="1235"/>
      <c r="B35" s="177" t="s">
        <v>802</v>
      </c>
      <c r="C35" s="179" t="s">
        <v>891</v>
      </c>
      <c r="D35" s="179" t="s">
        <v>892</v>
      </c>
      <c r="E35" s="179" t="s">
        <v>893</v>
      </c>
      <c r="F35" s="183" t="s">
        <v>894</v>
      </c>
    </row>
    <row r="36" spans="1:6">
      <c r="A36" s="1235"/>
      <c r="B36" s="177" t="s">
        <v>805</v>
      </c>
      <c r="C36" s="179" t="s">
        <v>895</v>
      </c>
      <c r="D36" s="179" t="s">
        <v>896</v>
      </c>
      <c r="E36" s="179" t="s">
        <v>897</v>
      </c>
      <c r="F36" s="183" t="s">
        <v>898</v>
      </c>
    </row>
    <row r="37" spans="1:6">
      <c r="A37" s="1235"/>
      <c r="B37" s="177" t="s">
        <v>809</v>
      </c>
      <c r="C37" s="179" t="s">
        <v>899</v>
      </c>
      <c r="D37" s="179" t="s">
        <v>900</v>
      </c>
      <c r="E37" s="179" t="s">
        <v>901</v>
      </c>
      <c r="F37" s="183" t="s">
        <v>902</v>
      </c>
    </row>
    <row r="38" spans="1:6">
      <c r="A38" s="1235"/>
      <c r="B38" s="177" t="s">
        <v>813</v>
      </c>
      <c r="C38" s="179" t="s">
        <v>903</v>
      </c>
      <c r="D38" s="179" t="s">
        <v>904</v>
      </c>
      <c r="E38" s="179" t="s">
        <v>905</v>
      </c>
      <c r="F38" s="183" t="s">
        <v>906</v>
      </c>
    </row>
    <row r="39" spans="1:6" ht="12.75" thickBot="1">
      <c r="A39" s="1236"/>
      <c r="B39" s="184" t="s">
        <v>817</v>
      </c>
      <c r="C39" s="185" t="s">
        <v>907</v>
      </c>
      <c r="D39" s="185" t="s">
        <v>815</v>
      </c>
      <c r="E39" s="185" t="s">
        <v>908</v>
      </c>
      <c r="F39" s="186" t="s">
        <v>908</v>
      </c>
    </row>
    <row r="40" spans="1:6">
      <c r="A40" s="1234">
        <v>1957</v>
      </c>
      <c r="B40" s="180" t="s">
        <v>821</v>
      </c>
      <c r="C40" s="181" t="s">
        <v>909</v>
      </c>
      <c r="D40" s="181" t="s">
        <v>910</v>
      </c>
      <c r="E40" s="181" t="s">
        <v>910</v>
      </c>
      <c r="F40" s="182" t="s">
        <v>911</v>
      </c>
    </row>
    <row r="41" spans="1:6">
      <c r="A41" s="1235"/>
      <c r="B41" s="177" t="s">
        <v>824</v>
      </c>
      <c r="C41" s="179" t="s">
        <v>912</v>
      </c>
      <c r="D41" s="179" t="s">
        <v>913</v>
      </c>
      <c r="E41" s="179" t="s">
        <v>914</v>
      </c>
      <c r="F41" s="183" t="s">
        <v>915</v>
      </c>
    </row>
    <row r="42" spans="1:6">
      <c r="A42" s="1235"/>
      <c r="B42" s="177" t="s">
        <v>828</v>
      </c>
      <c r="C42" s="179" t="s">
        <v>916</v>
      </c>
      <c r="D42" s="179" t="s">
        <v>917</v>
      </c>
      <c r="E42" s="179" t="s">
        <v>918</v>
      </c>
      <c r="F42" s="183" t="s">
        <v>919</v>
      </c>
    </row>
    <row r="43" spans="1:6">
      <c r="A43" s="1235"/>
      <c r="B43" s="177" t="s">
        <v>832</v>
      </c>
      <c r="C43" s="179" t="s">
        <v>920</v>
      </c>
      <c r="D43" s="179" t="s">
        <v>921</v>
      </c>
      <c r="E43" s="179" t="s">
        <v>922</v>
      </c>
      <c r="F43" s="183" t="s">
        <v>923</v>
      </c>
    </row>
    <row r="44" spans="1:6">
      <c r="A44" s="1235"/>
      <c r="B44" s="177" t="s">
        <v>836</v>
      </c>
      <c r="C44" s="179" t="s">
        <v>924</v>
      </c>
      <c r="D44" s="179" t="s">
        <v>925</v>
      </c>
      <c r="E44" s="179" t="s">
        <v>926</v>
      </c>
      <c r="F44" s="183" t="s">
        <v>927</v>
      </c>
    </row>
    <row r="45" spans="1:6">
      <c r="A45" s="1235"/>
      <c r="B45" s="177" t="s">
        <v>840</v>
      </c>
      <c r="C45" s="179" t="s">
        <v>928</v>
      </c>
      <c r="D45" s="179" t="s">
        <v>929</v>
      </c>
      <c r="E45" s="179" t="s">
        <v>930</v>
      </c>
      <c r="F45" s="183" t="s">
        <v>931</v>
      </c>
    </row>
    <row r="46" spans="1:6">
      <c r="A46" s="1235"/>
      <c r="B46" s="177" t="s">
        <v>800</v>
      </c>
      <c r="C46" s="179" t="s">
        <v>932</v>
      </c>
      <c r="D46" s="179" t="s">
        <v>933</v>
      </c>
      <c r="E46" s="179" t="s">
        <v>934</v>
      </c>
      <c r="F46" s="183" t="s">
        <v>935</v>
      </c>
    </row>
    <row r="47" spans="1:6">
      <c r="A47" s="1235"/>
      <c r="B47" s="177" t="s">
        <v>802</v>
      </c>
      <c r="C47" s="179" t="s">
        <v>936</v>
      </c>
      <c r="D47" s="179" t="s">
        <v>937</v>
      </c>
      <c r="E47" s="179" t="s">
        <v>938</v>
      </c>
      <c r="F47" s="183" t="s">
        <v>939</v>
      </c>
    </row>
    <row r="48" spans="1:6">
      <c r="A48" s="1235"/>
      <c r="B48" s="177" t="s">
        <v>805</v>
      </c>
      <c r="C48" s="179" t="s">
        <v>940</v>
      </c>
      <c r="D48" s="179" t="s">
        <v>941</v>
      </c>
      <c r="E48" s="179" t="s">
        <v>942</v>
      </c>
      <c r="F48" s="183" t="s">
        <v>943</v>
      </c>
    </row>
    <row r="49" spans="1:6">
      <c r="A49" s="1235"/>
      <c r="B49" s="177" t="s">
        <v>809</v>
      </c>
      <c r="C49" s="179" t="s">
        <v>944</v>
      </c>
      <c r="D49" s="179" t="s">
        <v>860</v>
      </c>
      <c r="E49" s="179" t="s">
        <v>945</v>
      </c>
      <c r="F49" s="183" t="s">
        <v>946</v>
      </c>
    </row>
    <row r="50" spans="1:6">
      <c r="A50" s="1235"/>
      <c r="B50" s="177" t="s">
        <v>813</v>
      </c>
      <c r="C50" s="179" t="s">
        <v>947</v>
      </c>
      <c r="D50" s="179" t="s">
        <v>948</v>
      </c>
      <c r="E50" s="179" t="s">
        <v>949</v>
      </c>
      <c r="F50" s="183" t="s">
        <v>950</v>
      </c>
    </row>
    <row r="51" spans="1:6" ht="12.75" thickBot="1">
      <c r="A51" s="1236"/>
      <c r="B51" s="187" t="s">
        <v>817</v>
      </c>
      <c r="C51" s="188" t="s">
        <v>951</v>
      </c>
      <c r="D51" s="188" t="s">
        <v>952</v>
      </c>
      <c r="E51" s="188" t="s">
        <v>953</v>
      </c>
      <c r="F51" s="189" t="s">
        <v>953</v>
      </c>
    </row>
    <row r="52" spans="1:6">
      <c r="A52" s="1234">
        <v>1958</v>
      </c>
      <c r="B52" s="180" t="s">
        <v>821</v>
      </c>
      <c r="C52" s="181" t="s">
        <v>954</v>
      </c>
      <c r="D52" s="181" t="s">
        <v>955</v>
      </c>
      <c r="E52" s="181" t="s">
        <v>955</v>
      </c>
      <c r="F52" s="182" t="s">
        <v>956</v>
      </c>
    </row>
    <row r="53" spans="1:6">
      <c r="A53" s="1235"/>
      <c r="B53" s="177" t="s">
        <v>824</v>
      </c>
      <c r="C53" s="179" t="s">
        <v>957</v>
      </c>
      <c r="D53" s="179" t="s">
        <v>958</v>
      </c>
      <c r="E53" s="179" t="s">
        <v>959</v>
      </c>
      <c r="F53" s="183" t="s">
        <v>960</v>
      </c>
    </row>
    <row r="54" spans="1:6">
      <c r="A54" s="1235"/>
      <c r="B54" s="177" t="s">
        <v>828</v>
      </c>
      <c r="C54" s="179" t="s">
        <v>961</v>
      </c>
      <c r="D54" s="179" t="s">
        <v>962</v>
      </c>
      <c r="E54" s="179" t="s">
        <v>877</v>
      </c>
      <c r="F54" s="183" t="s">
        <v>963</v>
      </c>
    </row>
    <row r="55" spans="1:6">
      <c r="A55" s="1235"/>
      <c r="B55" s="177" t="s">
        <v>832</v>
      </c>
      <c r="C55" s="179" t="s">
        <v>964</v>
      </c>
      <c r="D55" s="179" t="s">
        <v>965</v>
      </c>
      <c r="E55" s="179" t="s">
        <v>966</v>
      </c>
      <c r="F55" s="183" t="s">
        <v>967</v>
      </c>
    </row>
    <row r="56" spans="1:6">
      <c r="A56" s="1235"/>
      <c r="B56" s="177" t="s">
        <v>836</v>
      </c>
      <c r="C56" s="179" t="s">
        <v>968</v>
      </c>
      <c r="D56" s="179" t="s">
        <v>969</v>
      </c>
      <c r="E56" s="179" t="s">
        <v>970</v>
      </c>
      <c r="F56" s="183" t="s">
        <v>971</v>
      </c>
    </row>
    <row r="57" spans="1:6">
      <c r="A57" s="1235"/>
      <c r="B57" s="177" t="s">
        <v>840</v>
      </c>
      <c r="C57" s="179" t="s">
        <v>972</v>
      </c>
      <c r="D57" s="179" t="s">
        <v>839</v>
      </c>
      <c r="E57" s="179" t="s">
        <v>973</v>
      </c>
      <c r="F57" s="183" t="s">
        <v>974</v>
      </c>
    </row>
    <row r="58" spans="1:6">
      <c r="A58" s="1235"/>
      <c r="B58" s="177" t="s">
        <v>800</v>
      </c>
      <c r="C58" s="179" t="s">
        <v>975</v>
      </c>
      <c r="D58" s="179" t="s">
        <v>976</v>
      </c>
      <c r="E58" s="179" t="s">
        <v>977</v>
      </c>
      <c r="F58" s="183" t="s">
        <v>978</v>
      </c>
    </row>
    <row r="59" spans="1:6">
      <c r="A59" s="1235"/>
      <c r="B59" s="177" t="s">
        <v>802</v>
      </c>
      <c r="C59" s="179" t="s">
        <v>979</v>
      </c>
      <c r="D59" s="179" t="s">
        <v>980</v>
      </c>
      <c r="E59" s="179" t="s">
        <v>981</v>
      </c>
      <c r="F59" s="183" t="s">
        <v>982</v>
      </c>
    </row>
    <row r="60" spans="1:6">
      <c r="A60" s="1235"/>
      <c r="B60" s="177" t="s">
        <v>805</v>
      </c>
      <c r="C60" s="179" t="s">
        <v>983</v>
      </c>
      <c r="D60" s="179" t="s">
        <v>984</v>
      </c>
      <c r="E60" s="179" t="s">
        <v>985</v>
      </c>
      <c r="F60" s="183" t="s">
        <v>986</v>
      </c>
    </row>
    <row r="61" spans="1:6">
      <c r="A61" s="1235"/>
      <c r="B61" s="177" t="s">
        <v>809</v>
      </c>
      <c r="C61" s="179" t="s">
        <v>987</v>
      </c>
      <c r="D61" s="179" t="s">
        <v>988</v>
      </c>
      <c r="E61" s="179" t="s">
        <v>989</v>
      </c>
      <c r="F61" s="183" t="s">
        <v>990</v>
      </c>
    </row>
    <row r="62" spans="1:6">
      <c r="A62" s="1235"/>
      <c r="B62" s="177" t="s">
        <v>813</v>
      </c>
      <c r="C62" s="179" t="s">
        <v>991</v>
      </c>
      <c r="D62" s="179" t="s">
        <v>992</v>
      </c>
      <c r="E62" s="179" t="s">
        <v>993</v>
      </c>
      <c r="F62" s="183" t="s">
        <v>994</v>
      </c>
    </row>
    <row r="63" spans="1:6" ht="12.75" thickBot="1">
      <c r="A63" s="1236"/>
      <c r="B63" s="187" t="s">
        <v>817</v>
      </c>
      <c r="C63" s="188" t="s">
        <v>995</v>
      </c>
      <c r="D63" s="188" t="s">
        <v>996</v>
      </c>
      <c r="E63" s="188" t="s">
        <v>997</v>
      </c>
      <c r="F63" s="189" t="s">
        <v>997</v>
      </c>
    </row>
    <row r="64" spans="1:6">
      <c r="A64" s="1234">
        <v>1959</v>
      </c>
      <c r="B64" s="180" t="s">
        <v>821</v>
      </c>
      <c r="C64" s="181" t="s">
        <v>998</v>
      </c>
      <c r="D64" s="181" t="s">
        <v>999</v>
      </c>
      <c r="E64" s="181" t="s">
        <v>999</v>
      </c>
      <c r="F64" s="182" t="s">
        <v>1000</v>
      </c>
    </row>
    <row r="65" spans="1:6">
      <c r="A65" s="1235"/>
      <c r="B65" s="177" t="s">
        <v>824</v>
      </c>
      <c r="C65" s="179" t="s">
        <v>1001</v>
      </c>
      <c r="D65" s="179" t="s">
        <v>884</v>
      </c>
      <c r="E65" s="179" t="s">
        <v>1002</v>
      </c>
      <c r="F65" s="183" t="s">
        <v>1003</v>
      </c>
    </row>
    <row r="66" spans="1:6">
      <c r="A66" s="1235"/>
      <c r="B66" s="177" t="s">
        <v>828</v>
      </c>
      <c r="C66" s="179" t="s">
        <v>1004</v>
      </c>
      <c r="D66" s="179" t="s">
        <v>839</v>
      </c>
      <c r="E66" s="179" t="s">
        <v>1005</v>
      </c>
      <c r="F66" s="183" t="s">
        <v>1006</v>
      </c>
    </row>
    <row r="67" spans="1:6">
      <c r="A67" s="1235"/>
      <c r="B67" s="177" t="s">
        <v>832</v>
      </c>
      <c r="C67" s="179" t="s">
        <v>1007</v>
      </c>
      <c r="D67" s="179" t="s">
        <v>962</v>
      </c>
      <c r="E67" s="179" t="s">
        <v>1008</v>
      </c>
      <c r="F67" s="183" t="s">
        <v>1009</v>
      </c>
    </row>
    <row r="68" spans="1:6">
      <c r="A68" s="1235"/>
      <c r="B68" s="177" t="s">
        <v>836</v>
      </c>
      <c r="C68" s="179" t="s">
        <v>1010</v>
      </c>
      <c r="D68" s="179" t="s">
        <v>1011</v>
      </c>
      <c r="E68" s="179" t="s">
        <v>1012</v>
      </c>
      <c r="F68" s="183" t="s">
        <v>905</v>
      </c>
    </row>
    <row r="69" spans="1:6">
      <c r="A69" s="1235"/>
      <c r="B69" s="177" t="s">
        <v>840</v>
      </c>
      <c r="C69" s="179" t="s">
        <v>1013</v>
      </c>
      <c r="D69" s="179" t="s">
        <v>1014</v>
      </c>
      <c r="E69" s="179" t="s">
        <v>1015</v>
      </c>
      <c r="F69" s="183" t="s">
        <v>1016</v>
      </c>
    </row>
    <row r="70" spans="1:6">
      <c r="A70" s="1235"/>
      <c r="B70" s="177" t="s">
        <v>800</v>
      </c>
      <c r="C70" s="179" t="s">
        <v>1017</v>
      </c>
      <c r="D70" s="179" t="s">
        <v>1018</v>
      </c>
      <c r="E70" s="179" t="s">
        <v>1019</v>
      </c>
      <c r="F70" s="183" t="s">
        <v>1020</v>
      </c>
    </row>
    <row r="71" spans="1:6">
      <c r="A71" s="1235"/>
      <c r="B71" s="177" t="s">
        <v>802</v>
      </c>
      <c r="C71" s="179" t="s">
        <v>1021</v>
      </c>
      <c r="D71" s="179" t="s">
        <v>831</v>
      </c>
      <c r="E71" s="179" t="s">
        <v>1022</v>
      </c>
      <c r="F71" s="183" t="s">
        <v>1023</v>
      </c>
    </row>
    <row r="72" spans="1:6">
      <c r="A72" s="1235"/>
      <c r="B72" s="177" t="s">
        <v>805</v>
      </c>
      <c r="C72" s="179" t="s">
        <v>1024</v>
      </c>
      <c r="D72" s="179" t="s">
        <v>1025</v>
      </c>
      <c r="E72" s="179" t="s">
        <v>1026</v>
      </c>
      <c r="F72" s="183" t="s">
        <v>1027</v>
      </c>
    </row>
    <row r="73" spans="1:6">
      <c r="A73" s="1235"/>
      <c r="B73" s="177" t="s">
        <v>809</v>
      </c>
      <c r="C73" s="179" t="s">
        <v>1028</v>
      </c>
      <c r="D73" s="179" t="s">
        <v>1029</v>
      </c>
      <c r="E73" s="179" t="s">
        <v>1030</v>
      </c>
      <c r="F73" s="183" t="s">
        <v>1031</v>
      </c>
    </row>
    <row r="74" spans="1:6">
      <c r="A74" s="1235"/>
      <c r="B74" s="177" t="s">
        <v>813</v>
      </c>
      <c r="C74" s="179" t="s">
        <v>1032</v>
      </c>
      <c r="D74" s="179" t="s">
        <v>1033</v>
      </c>
      <c r="E74" s="179" t="s">
        <v>1034</v>
      </c>
      <c r="F74" s="183" t="s">
        <v>1035</v>
      </c>
    </row>
    <row r="75" spans="1:6" ht="12.75" thickBot="1">
      <c r="A75" s="1236"/>
      <c r="B75" s="187" t="s">
        <v>817</v>
      </c>
      <c r="C75" s="188" t="s">
        <v>1036</v>
      </c>
      <c r="D75" s="188" t="s">
        <v>1037</v>
      </c>
      <c r="E75" s="188" t="s">
        <v>1038</v>
      </c>
      <c r="F75" s="189" t="s">
        <v>1038</v>
      </c>
    </row>
    <row r="76" spans="1:6">
      <c r="A76" s="1234">
        <v>1960</v>
      </c>
      <c r="B76" s="180" t="s">
        <v>821</v>
      </c>
      <c r="C76" s="181" t="s">
        <v>1039</v>
      </c>
      <c r="D76" s="181" t="s">
        <v>1040</v>
      </c>
      <c r="E76" s="181" t="s">
        <v>1040</v>
      </c>
      <c r="F76" s="182" t="s">
        <v>1041</v>
      </c>
    </row>
    <row r="77" spans="1:6">
      <c r="A77" s="1235"/>
      <c r="B77" s="177" t="s">
        <v>824</v>
      </c>
      <c r="C77" s="179" t="s">
        <v>1042</v>
      </c>
      <c r="D77" s="179" t="s">
        <v>852</v>
      </c>
      <c r="E77" s="179" t="s">
        <v>1043</v>
      </c>
      <c r="F77" s="183" t="s">
        <v>1044</v>
      </c>
    </row>
    <row r="78" spans="1:6">
      <c r="A78" s="1235"/>
      <c r="B78" s="177" t="s">
        <v>828</v>
      </c>
      <c r="C78" s="179" t="s">
        <v>1045</v>
      </c>
      <c r="D78" s="179" t="s">
        <v>1046</v>
      </c>
      <c r="E78" s="179" t="s">
        <v>913</v>
      </c>
      <c r="F78" s="183" t="s">
        <v>1047</v>
      </c>
    </row>
    <row r="79" spans="1:6">
      <c r="A79" s="1235"/>
      <c r="B79" s="177" t="s">
        <v>832</v>
      </c>
      <c r="C79" s="179" t="s">
        <v>1048</v>
      </c>
      <c r="D79" s="179" t="s">
        <v>1049</v>
      </c>
      <c r="E79" s="179" t="s">
        <v>1050</v>
      </c>
      <c r="F79" s="183" t="s">
        <v>1051</v>
      </c>
    </row>
    <row r="80" spans="1:6">
      <c r="A80" s="1235"/>
      <c r="B80" s="177" t="s">
        <v>836</v>
      </c>
      <c r="C80" s="179" t="s">
        <v>1052</v>
      </c>
      <c r="D80" s="179" t="s">
        <v>980</v>
      </c>
      <c r="E80" s="179" t="s">
        <v>1053</v>
      </c>
      <c r="F80" s="183" t="s">
        <v>1054</v>
      </c>
    </row>
    <row r="81" spans="1:6">
      <c r="A81" s="1235"/>
      <c r="B81" s="177" t="s">
        <v>840</v>
      </c>
      <c r="C81" s="179" t="s">
        <v>1055</v>
      </c>
      <c r="D81" s="179" t="s">
        <v>847</v>
      </c>
      <c r="E81" s="179" t="s">
        <v>1056</v>
      </c>
      <c r="F81" s="183" t="s">
        <v>1057</v>
      </c>
    </row>
    <row r="82" spans="1:6">
      <c r="A82" s="1235"/>
      <c r="B82" s="177" t="s">
        <v>800</v>
      </c>
      <c r="C82" s="179" t="s">
        <v>1058</v>
      </c>
      <c r="D82" s="179" t="s">
        <v>941</v>
      </c>
      <c r="E82" s="179" t="s">
        <v>1059</v>
      </c>
      <c r="F82" s="183" t="s">
        <v>1060</v>
      </c>
    </row>
    <row r="83" spans="1:6">
      <c r="A83" s="1235"/>
      <c r="B83" s="177" t="s">
        <v>802</v>
      </c>
      <c r="C83" s="179" t="s">
        <v>1061</v>
      </c>
      <c r="D83" s="179" t="s">
        <v>988</v>
      </c>
      <c r="E83" s="179" t="s">
        <v>1062</v>
      </c>
      <c r="F83" s="183" t="s">
        <v>1063</v>
      </c>
    </row>
    <row r="84" spans="1:6">
      <c r="A84" s="1235"/>
      <c r="B84" s="177" t="s">
        <v>805</v>
      </c>
      <c r="C84" s="179" t="s">
        <v>1064</v>
      </c>
      <c r="D84" s="179" t="s">
        <v>848</v>
      </c>
      <c r="E84" s="179" t="s">
        <v>1065</v>
      </c>
      <c r="F84" s="183" t="s">
        <v>1066</v>
      </c>
    </row>
    <row r="85" spans="1:6">
      <c r="A85" s="1235"/>
      <c r="B85" s="177" t="s">
        <v>809</v>
      </c>
      <c r="C85" s="179" t="s">
        <v>1067</v>
      </c>
      <c r="D85" s="179" t="s">
        <v>856</v>
      </c>
      <c r="E85" s="179" t="s">
        <v>1068</v>
      </c>
      <c r="F85" s="183" t="s">
        <v>1069</v>
      </c>
    </row>
    <row r="86" spans="1:6">
      <c r="A86" s="1235"/>
      <c r="B86" s="177" t="s">
        <v>813</v>
      </c>
      <c r="C86" s="179" t="s">
        <v>1070</v>
      </c>
      <c r="D86" s="179" t="s">
        <v>1071</v>
      </c>
      <c r="E86" s="179" t="s">
        <v>1072</v>
      </c>
      <c r="F86" s="183" t="s">
        <v>1073</v>
      </c>
    </row>
    <row r="87" spans="1:6" ht="12.75" thickBot="1">
      <c r="A87" s="1236"/>
      <c r="B87" s="187" t="s">
        <v>817</v>
      </c>
      <c r="C87" s="188" t="s">
        <v>1074</v>
      </c>
      <c r="D87" s="188" t="s">
        <v>1075</v>
      </c>
      <c r="E87" s="188" t="s">
        <v>1076</v>
      </c>
      <c r="F87" s="189" t="s">
        <v>1076</v>
      </c>
    </row>
    <row r="88" spans="1:6">
      <c r="A88" s="1234">
        <v>1961</v>
      </c>
      <c r="B88" s="180" t="s">
        <v>821</v>
      </c>
      <c r="C88" s="181" t="s">
        <v>1077</v>
      </c>
      <c r="D88" s="181" t="s">
        <v>819</v>
      </c>
      <c r="E88" s="181" t="s">
        <v>819</v>
      </c>
      <c r="F88" s="182" t="s">
        <v>1078</v>
      </c>
    </row>
    <row r="89" spans="1:6">
      <c r="A89" s="1235"/>
      <c r="B89" s="177" t="s">
        <v>824</v>
      </c>
      <c r="C89" s="179" t="s">
        <v>1079</v>
      </c>
      <c r="D89" s="179" t="s">
        <v>1080</v>
      </c>
      <c r="E89" s="179" t="s">
        <v>1049</v>
      </c>
      <c r="F89" s="183" t="s">
        <v>1081</v>
      </c>
    </row>
    <row r="90" spans="1:6">
      <c r="A90" s="1235"/>
      <c r="B90" s="177" t="s">
        <v>828</v>
      </c>
      <c r="C90" s="179" t="s">
        <v>1082</v>
      </c>
      <c r="D90" s="179" t="s">
        <v>1083</v>
      </c>
      <c r="E90" s="179" t="s">
        <v>1084</v>
      </c>
      <c r="F90" s="183" t="s">
        <v>1085</v>
      </c>
    </row>
    <row r="91" spans="1:6">
      <c r="A91" s="1235"/>
      <c r="B91" s="177" t="s">
        <v>832</v>
      </c>
      <c r="C91" s="179" t="s">
        <v>1086</v>
      </c>
      <c r="D91" s="179" t="s">
        <v>1087</v>
      </c>
      <c r="E91" s="179" t="s">
        <v>1088</v>
      </c>
      <c r="F91" s="183" t="s">
        <v>1089</v>
      </c>
    </row>
    <row r="92" spans="1:6">
      <c r="A92" s="1235"/>
      <c r="B92" s="177" t="s">
        <v>836</v>
      </c>
      <c r="C92" s="179" t="s">
        <v>1090</v>
      </c>
      <c r="D92" s="179" t="s">
        <v>1091</v>
      </c>
      <c r="E92" s="179" t="s">
        <v>1092</v>
      </c>
      <c r="F92" s="183" t="s">
        <v>1093</v>
      </c>
    </row>
    <row r="93" spans="1:6">
      <c r="A93" s="1235"/>
      <c r="B93" s="177" t="s">
        <v>840</v>
      </c>
      <c r="C93" s="179" t="s">
        <v>1094</v>
      </c>
      <c r="D93" s="179" t="s">
        <v>844</v>
      </c>
      <c r="E93" s="179" t="s">
        <v>1095</v>
      </c>
      <c r="F93" s="183" t="s">
        <v>1096</v>
      </c>
    </row>
    <row r="94" spans="1:6">
      <c r="A94" s="1235"/>
      <c r="B94" s="177" t="s">
        <v>800</v>
      </c>
      <c r="C94" s="179" t="s">
        <v>1097</v>
      </c>
      <c r="D94" s="179" t="s">
        <v>1029</v>
      </c>
      <c r="E94" s="179" t="s">
        <v>1098</v>
      </c>
      <c r="F94" s="183" t="s">
        <v>1099</v>
      </c>
    </row>
    <row r="95" spans="1:6">
      <c r="A95" s="1235"/>
      <c r="B95" s="177" t="s">
        <v>802</v>
      </c>
      <c r="C95" s="179" t="s">
        <v>1100</v>
      </c>
      <c r="D95" s="179" t="s">
        <v>1101</v>
      </c>
      <c r="E95" s="179" t="s">
        <v>1102</v>
      </c>
      <c r="F95" s="183" t="s">
        <v>1103</v>
      </c>
    </row>
    <row r="96" spans="1:6">
      <c r="A96" s="1235"/>
      <c r="B96" s="177" t="s">
        <v>805</v>
      </c>
      <c r="C96" s="179" t="s">
        <v>1104</v>
      </c>
      <c r="D96" s="179" t="s">
        <v>1105</v>
      </c>
      <c r="E96" s="179" t="s">
        <v>1106</v>
      </c>
      <c r="F96" s="183" t="s">
        <v>1107</v>
      </c>
    </row>
    <row r="97" spans="1:6">
      <c r="A97" s="1235"/>
      <c r="B97" s="177" t="s">
        <v>809</v>
      </c>
      <c r="C97" s="179" t="s">
        <v>1108</v>
      </c>
      <c r="D97" s="179" t="s">
        <v>955</v>
      </c>
      <c r="E97" s="179" t="s">
        <v>1109</v>
      </c>
      <c r="F97" s="183" t="s">
        <v>1022</v>
      </c>
    </row>
    <row r="98" spans="1:6">
      <c r="A98" s="1235"/>
      <c r="B98" s="177" t="s">
        <v>813</v>
      </c>
      <c r="C98" s="179" t="s">
        <v>1110</v>
      </c>
      <c r="D98" s="179" t="s">
        <v>1111</v>
      </c>
      <c r="E98" s="179" t="s">
        <v>1112</v>
      </c>
      <c r="F98" s="183" t="s">
        <v>1113</v>
      </c>
    </row>
    <row r="99" spans="1:6" ht="12.75" thickBot="1">
      <c r="A99" s="1236"/>
      <c r="B99" s="187" t="s">
        <v>817</v>
      </c>
      <c r="C99" s="188" t="s">
        <v>1114</v>
      </c>
      <c r="D99" s="188" t="s">
        <v>1115</v>
      </c>
      <c r="E99" s="188" t="s">
        <v>1116</v>
      </c>
      <c r="F99" s="189" t="s">
        <v>1116</v>
      </c>
    </row>
    <row r="100" spans="1:6">
      <c r="A100" s="1234">
        <v>1962</v>
      </c>
      <c r="B100" s="180" t="s">
        <v>821</v>
      </c>
      <c r="C100" s="181" t="s">
        <v>1117</v>
      </c>
      <c r="D100" s="181" t="s">
        <v>1118</v>
      </c>
      <c r="E100" s="181" t="s">
        <v>1118</v>
      </c>
      <c r="F100" s="182" t="s">
        <v>1119</v>
      </c>
    </row>
    <row r="101" spans="1:6">
      <c r="A101" s="1235"/>
      <c r="B101" s="177" t="s">
        <v>824</v>
      </c>
      <c r="C101" s="179" t="s">
        <v>1120</v>
      </c>
      <c r="D101" s="179" t="s">
        <v>976</v>
      </c>
      <c r="E101" s="179" t="s">
        <v>1121</v>
      </c>
      <c r="F101" s="183" t="s">
        <v>1122</v>
      </c>
    </row>
    <row r="102" spans="1:6">
      <c r="A102" s="1235"/>
      <c r="B102" s="177" t="s">
        <v>828</v>
      </c>
      <c r="C102" s="179" t="s">
        <v>1123</v>
      </c>
      <c r="D102" s="179" t="s">
        <v>1124</v>
      </c>
      <c r="E102" s="179" t="s">
        <v>904</v>
      </c>
      <c r="F102" s="183" t="s">
        <v>1008</v>
      </c>
    </row>
    <row r="103" spans="1:6">
      <c r="A103" s="1235"/>
      <c r="B103" s="177" t="s">
        <v>832</v>
      </c>
      <c r="C103" s="179" t="s">
        <v>1125</v>
      </c>
      <c r="D103" s="179" t="s">
        <v>910</v>
      </c>
      <c r="E103" s="179" t="s">
        <v>881</v>
      </c>
      <c r="F103" s="183" t="s">
        <v>1126</v>
      </c>
    </row>
    <row r="104" spans="1:6">
      <c r="A104" s="1235"/>
      <c r="B104" s="177" t="s">
        <v>836</v>
      </c>
      <c r="C104" s="179" t="s">
        <v>1127</v>
      </c>
      <c r="D104" s="179" t="s">
        <v>976</v>
      </c>
      <c r="E104" s="179" t="s">
        <v>933</v>
      </c>
      <c r="F104" s="183" t="s">
        <v>1128</v>
      </c>
    </row>
    <row r="105" spans="1:6">
      <c r="A105" s="1235"/>
      <c r="B105" s="177" t="s">
        <v>840</v>
      </c>
      <c r="C105" s="179" t="s">
        <v>1129</v>
      </c>
      <c r="D105" s="179" t="s">
        <v>1130</v>
      </c>
      <c r="E105" s="179" t="s">
        <v>1131</v>
      </c>
      <c r="F105" s="183" t="s">
        <v>870</v>
      </c>
    </row>
    <row r="106" spans="1:6">
      <c r="A106" s="1235"/>
      <c r="B106" s="177" t="s">
        <v>800</v>
      </c>
      <c r="C106" s="179" t="s">
        <v>1132</v>
      </c>
      <c r="D106" s="179" t="s">
        <v>1049</v>
      </c>
      <c r="E106" s="179" t="s">
        <v>1133</v>
      </c>
      <c r="F106" s="183" t="s">
        <v>1134</v>
      </c>
    </row>
    <row r="107" spans="1:6">
      <c r="A107" s="1235"/>
      <c r="B107" s="177" t="s">
        <v>802</v>
      </c>
      <c r="C107" s="179" t="s">
        <v>1135</v>
      </c>
      <c r="D107" s="179" t="s">
        <v>1136</v>
      </c>
      <c r="E107" s="179" t="s">
        <v>1137</v>
      </c>
      <c r="F107" s="183" t="s">
        <v>1138</v>
      </c>
    </row>
    <row r="108" spans="1:6">
      <c r="A108" s="1235"/>
      <c r="B108" s="177" t="s">
        <v>805</v>
      </c>
      <c r="C108" s="179" t="s">
        <v>1139</v>
      </c>
      <c r="D108" s="179" t="s">
        <v>1140</v>
      </c>
      <c r="E108" s="179" t="s">
        <v>1141</v>
      </c>
      <c r="F108" s="183" t="s">
        <v>1142</v>
      </c>
    </row>
    <row r="109" spans="1:6">
      <c r="A109" s="1235"/>
      <c r="B109" s="177" t="s">
        <v>809</v>
      </c>
      <c r="C109" s="179" t="s">
        <v>1143</v>
      </c>
      <c r="D109" s="179" t="s">
        <v>948</v>
      </c>
      <c r="E109" s="179" t="s">
        <v>1144</v>
      </c>
      <c r="F109" s="183" t="s">
        <v>1145</v>
      </c>
    </row>
    <row r="110" spans="1:6">
      <c r="A110" s="1235"/>
      <c r="B110" s="177" t="s">
        <v>813</v>
      </c>
      <c r="C110" s="179" t="s">
        <v>1146</v>
      </c>
      <c r="D110" s="179" t="s">
        <v>876</v>
      </c>
      <c r="E110" s="179" t="s">
        <v>1147</v>
      </c>
      <c r="F110" s="183" t="s">
        <v>1148</v>
      </c>
    </row>
    <row r="111" spans="1:6" ht="12.75" thickBot="1">
      <c r="A111" s="1236"/>
      <c r="B111" s="184" t="s">
        <v>817</v>
      </c>
      <c r="C111" s="185" t="s">
        <v>1149</v>
      </c>
      <c r="D111" s="185" t="s">
        <v>1150</v>
      </c>
      <c r="E111" s="185" t="s">
        <v>1151</v>
      </c>
      <c r="F111" s="186" t="s">
        <v>1151</v>
      </c>
    </row>
    <row r="112" spans="1:6">
      <c r="A112" s="1237">
        <v>1963</v>
      </c>
      <c r="B112" s="500" t="s">
        <v>821</v>
      </c>
      <c r="C112" s="501" t="s">
        <v>1152</v>
      </c>
      <c r="D112" s="501" t="s">
        <v>1153</v>
      </c>
      <c r="E112" s="501" t="s">
        <v>1153</v>
      </c>
      <c r="F112" s="501" t="s">
        <v>1154</v>
      </c>
    </row>
    <row r="113" spans="1:6">
      <c r="A113" s="1238"/>
      <c r="B113" s="177" t="s">
        <v>824</v>
      </c>
      <c r="C113" s="179" t="s">
        <v>1155</v>
      </c>
      <c r="D113" s="179" t="s">
        <v>1156</v>
      </c>
      <c r="E113" s="179" t="s">
        <v>1099</v>
      </c>
      <c r="F113" s="179" t="s">
        <v>1157</v>
      </c>
    </row>
    <row r="114" spans="1:6">
      <c r="A114" s="1238"/>
      <c r="B114" s="177" t="s">
        <v>828</v>
      </c>
      <c r="C114" s="179" t="s">
        <v>1158</v>
      </c>
      <c r="D114" s="179" t="s">
        <v>1159</v>
      </c>
      <c r="E114" s="179" t="s">
        <v>1160</v>
      </c>
      <c r="F114" s="179" t="s">
        <v>1161</v>
      </c>
    </row>
    <row r="115" spans="1:6">
      <c r="A115" s="1238"/>
      <c r="B115" s="177" t="s">
        <v>832</v>
      </c>
      <c r="C115" s="179" t="s">
        <v>1162</v>
      </c>
      <c r="D115" s="179" t="s">
        <v>1106</v>
      </c>
      <c r="E115" s="179" t="s">
        <v>1163</v>
      </c>
      <c r="F115" s="179" t="s">
        <v>1164</v>
      </c>
    </row>
    <row r="116" spans="1:6">
      <c r="A116" s="1238"/>
      <c r="B116" s="177" t="s">
        <v>836</v>
      </c>
      <c r="C116" s="179" t="s">
        <v>1165</v>
      </c>
      <c r="D116" s="179" t="s">
        <v>1166</v>
      </c>
      <c r="E116" s="179" t="s">
        <v>1167</v>
      </c>
      <c r="F116" s="179" t="s">
        <v>1168</v>
      </c>
    </row>
    <row r="117" spans="1:6">
      <c r="A117" s="1238"/>
      <c r="B117" s="177" t="s">
        <v>840</v>
      </c>
      <c r="C117" s="179" t="s">
        <v>1169</v>
      </c>
      <c r="D117" s="179" t="s">
        <v>1170</v>
      </c>
      <c r="E117" s="179" t="s">
        <v>1171</v>
      </c>
      <c r="F117" s="179" t="s">
        <v>1172</v>
      </c>
    </row>
    <row r="118" spans="1:6">
      <c r="A118" s="1238"/>
      <c r="B118" s="177" t="s">
        <v>800</v>
      </c>
      <c r="C118" s="179" t="s">
        <v>1173</v>
      </c>
      <c r="D118" s="179" t="s">
        <v>856</v>
      </c>
      <c r="E118" s="179" t="s">
        <v>1174</v>
      </c>
      <c r="F118" s="179" t="s">
        <v>1175</v>
      </c>
    </row>
    <row r="119" spans="1:6">
      <c r="A119" s="1238"/>
      <c r="B119" s="177" t="s">
        <v>802</v>
      </c>
      <c r="C119" s="179" t="s">
        <v>1176</v>
      </c>
      <c r="D119" s="179" t="s">
        <v>1177</v>
      </c>
      <c r="E119" s="179" t="s">
        <v>1178</v>
      </c>
      <c r="F119" s="179" t="s">
        <v>1179</v>
      </c>
    </row>
    <row r="120" spans="1:6">
      <c r="A120" s="1238"/>
      <c r="B120" s="177" t="s">
        <v>805</v>
      </c>
      <c r="C120" s="179" t="s">
        <v>1180</v>
      </c>
      <c r="D120" s="179" t="s">
        <v>1181</v>
      </c>
      <c r="E120" s="179" t="s">
        <v>1182</v>
      </c>
      <c r="F120" s="179" t="s">
        <v>1183</v>
      </c>
    </row>
    <row r="121" spans="1:6">
      <c r="A121" s="1238"/>
      <c r="B121" s="177" t="s">
        <v>809</v>
      </c>
      <c r="C121" s="179" t="s">
        <v>1184</v>
      </c>
      <c r="D121" s="179" t="s">
        <v>1185</v>
      </c>
      <c r="E121" s="179" t="s">
        <v>1186</v>
      </c>
      <c r="F121" s="179" t="s">
        <v>1187</v>
      </c>
    </row>
    <row r="122" spans="1:6">
      <c r="A122" s="1238"/>
      <c r="B122" s="177" t="s">
        <v>813</v>
      </c>
      <c r="C122" s="179" t="s">
        <v>1188</v>
      </c>
      <c r="D122" s="179" t="s">
        <v>866</v>
      </c>
      <c r="E122" s="179" t="s">
        <v>1189</v>
      </c>
      <c r="F122" s="179" t="s">
        <v>1190</v>
      </c>
    </row>
    <row r="123" spans="1:6" ht="12.75" thickBot="1">
      <c r="A123" s="1239"/>
      <c r="B123" s="187" t="s">
        <v>817</v>
      </c>
      <c r="C123" s="188" t="s">
        <v>1191</v>
      </c>
      <c r="D123" s="188" t="s">
        <v>1192</v>
      </c>
      <c r="E123" s="188" t="s">
        <v>1193</v>
      </c>
      <c r="F123" s="188" t="s">
        <v>1193</v>
      </c>
    </row>
    <row r="124" spans="1:6">
      <c r="A124" s="1234">
        <v>1964</v>
      </c>
      <c r="B124" s="180" t="s">
        <v>821</v>
      </c>
      <c r="C124" s="181" t="s">
        <v>1194</v>
      </c>
      <c r="D124" s="181" t="s">
        <v>1195</v>
      </c>
      <c r="E124" s="181" t="s">
        <v>1195</v>
      </c>
      <c r="F124" s="182" t="s">
        <v>1196</v>
      </c>
    </row>
    <row r="125" spans="1:6">
      <c r="A125" s="1235"/>
      <c r="B125" s="177" t="s">
        <v>824</v>
      </c>
      <c r="C125" s="179" t="s">
        <v>1197</v>
      </c>
      <c r="D125" s="179" t="s">
        <v>1198</v>
      </c>
      <c r="E125" s="179" t="s">
        <v>1199</v>
      </c>
      <c r="F125" s="183" t="s">
        <v>1200</v>
      </c>
    </row>
    <row r="126" spans="1:6">
      <c r="A126" s="1235"/>
      <c r="B126" s="177" t="s">
        <v>828</v>
      </c>
      <c r="C126" s="179" t="s">
        <v>1201</v>
      </c>
      <c r="D126" s="179" t="s">
        <v>1202</v>
      </c>
      <c r="E126" s="179" t="s">
        <v>1203</v>
      </c>
      <c r="F126" s="183" t="s">
        <v>1204</v>
      </c>
    </row>
    <row r="127" spans="1:6">
      <c r="A127" s="1235"/>
      <c r="B127" s="177" t="s">
        <v>832</v>
      </c>
      <c r="C127" s="179" t="s">
        <v>1205</v>
      </c>
      <c r="D127" s="179" t="s">
        <v>1202</v>
      </c>
      <c r="E127" s="179" t="s">
        <v>1022</v>
      </c>
      <c r="F127" s="183" t="s">
        <v>1206</v>
      </c>
    </row>
    <row r="128" spans="1:6">
      <c r="A128" s="1235"/>
      <c r="B128" s="177" t="s">
        <v>836</v>
      </c>
      <c r="C128" s="179" t="s">
        <v>1207</v>
      </c>
      <c r="D128" s="179" t="s">
        <v>1056</v>
      </c>
      <c r="E128" s="179" t="s">
        <v>1208</v>
      </c>
      <c r="F128" s="183" t="s">
        <v>1209</v>
      </c>
    </row>
    <row r="129" spans="1:6">
      <c r="A129" s="1235"/>
      <c r="B129" s="177" t="s">
        <v>840</v>
      </c>
      <c r="C129" s="179" t="s">
        <v>1210</v>
      </c>
      <c r="D129" s="179" t="s">
        <v>1211</v>
      </c>
      <c r="E129" s="179" t="s">
        <v>1212</v>
      </c>
      <c r="F129" s="183" t="s">
        <v>1213</v>
      </c>
    </row>
    <row r="130" spans="1:6">
      <c r="A130" s="1235"/>
      <c r="B130" s="177" t="s">
        <v>800</v>
      </c>
      <c r="C130" s="179" t="s">
        <v>1214</v>
      </c>
      <c r="D130" s="179" t="s">
        <v>1215</v>
      </c>
      <c r="E130" s="179" t="s">
        <v>1216</v>
      </c>
      <c r="F130" s="183" t="s">
        <v>1217</v>
      </c>
    </row>
    <row r="131" spans="1:6">
      <c r="A131" s="1235"/>
      <c r="B131" s="177" t="s">
        <v>802</v>
      </c>
      <c r="C131" s="179" t="s">
        <v>1218</v>
      </c>
      <c r="D131" s="179" t="s">
        <v>1219</v>
      </c>
      <c r="E131" s="179" t="s">
        <v>1220</v>
      </c>
      <c r="F131" s="183" t="s">
        <v>1221</v>
      </c>
    </row>
    <row r="132" spans="1:6">
      <c r="A132" s="1235"/>
      <c r="B132" s="177" t="s">
        <v>805</v>
      </c>
      <c r="C132" s="179" t="s">
        <v>1222</v>
      </c>
      <c r="D132" s="179" t="s">
        <v>1223</v>
      </c>
      <c r="E132" s="179" t="s">
        <v>1224</v>
      </c>
      <c r="F132" s="183" t="s">
        <v>1225</v>
      </c>
    </row>
    <row r="133" spans="1:6">
      <c r="A133" s="1235"/>
      <c r="B133" s="177" t="s">
        <v>809</v>
      </c>
      <c r="C133" s="179" t="s">
        <v>1226</v>
      </c>
      <c r="D133" s="179" t="s">
        <v>1227</v>
      </c>
      <c r="E133" s="179" t="s">
        <v>1228</v>
      </c>
      <c r="F133" s="183" t="s">
        <v>1229</v>
      </c>
    </row>
    <row r="134" spans="1:6">
      <c r="A134" s="1235"/>
      <c r="B134" s="177" t="s">
        <v>813</v>
      </c>
      <c r="C134" s="179" t="s">
        <v>1230</v>
      </c>
      <c r="D134" s="179" t="s">
        <v>1231</v>
      </c>
      <c r="E134" s="179" t="s">
        <v>1232</v>
      </c>
      <c r="F134" s="183" t="s">
        <v>1233</v>
      </c>
    </row>
    <row r="135" spans="1:6" ht="12.75" thickBot="1">
      <c r="A135" s="1236"/>
      <c r="B135" s="184" t="s">
        <v>817</v>
      </c>
      <c r="C135" s="185" t="s">
        <v>1234</v>
      </c>
      <c r="D135" s="185" t="s">
        <v>831</v>
      </c>
      <c r="E135" s="185" t="s">
        <v>1235</v>
      </c>
      <c r="F135" s="186" t="s">
        <v>1235</v>
      </c>
    </row>
    <row r="136" spans="1:6">
      <c r="A136" s="1237">
        <v>1965</v>
      </c>
      <c r="B136" s="500" t="s">
        <v>821</v>
      </c>
      <c r="C136" s="501" t="s">
        <v>1236</v>
      </c>
      <c r="D136" s="501" t="s">
        <v>1237</v>
      </c>
      <c r="E136" s="501" t="s">
        <v>1237</v>
      </c>
      <c r="F136" s="501" t="s">
        <v>1238</v>
      </c>
    </row>
    <row r="137" spans="1:6">
      <c r="A137" s="1238"/>
      <c r="B137" s="177" t="s">
        <v>824</v>
      </c>
      <c r="C137" s="179" t="s">
        <v>1218</v>
      </c>
      <c r="D137" s="179" t="s">
        <v>1239</v>
      </c>
      <c r="E137" s="179" t="s">
        <v>839</v>
      </c>
      <c r="F137" s="179" t="s">
        <v>1240</v>
      </c>
    </row>
    <row r="138" spans="1:6">
      <c r="A138" s="1238"/>
      <c r="B138" s="177" t="s">
        <v>828</v>
      </c>
      <c r="C138" s="179" t="s">
        <v>1241</v>
      </c>
      <c r="D138" s="179" t="s">
        <v>904</v>
      </c>
      <c r="E138" s="179" t="s">
        <v>1242</v>
      </c>
      <c r="F138" s="179" t="s">
        <v>1243</v>
      </c>
    </row>
    <row r="139" spans="1:6">
      <c r="A139" s="1238"/>
      <c r="B139" s="177" t="s">
        <v>832</v>
      </c>
      <c r="C139" s="179" t="s">
        <v>1244</v>
      </c>
      <c r="D139" s="179" t="s">
        <v>1245</v>
      </c>
      <c r="E139" s="179" t="s">
        <v>1059</v>
      </c>
      <c r="F139" s="179" t="s">
        <v>1066</v>
      </c>
    </row>
    <row r="140" spans="1:6">
      <c r="A140" s="1238"/>
      <c r="B140" s="177" t="s">
        <v>836</v>
      </c>
      <c r="C140" s="179" t="s">
        <v>1246</v>
      </c>
      <c r="D140" s="179" t="s">
        <v>900</v>
      </c>
      <c r="E140" s="179" t="s">
        <v>1057</v>
      </c>
      <c r="F140" s="179" t="s">
        <v>1247</v>
      </c>
    </row>
    <row r="141" spans="1:6">
      <c r="A141" s="1238"/>
      <c r="B141" s="177" t="s">
        <v>840</v>
      </c>
      <c r="C141" s="179" t="s">
        <v>1248</v>
      </c>
      <c r="D141" s="179" t="s">
        <v>1249</v>
      </c>
      <c r="E141" s="179" t="s">
        <v>1250</v>
      </c>
      <c r="F141" s="179" t="s">
        <v>1251</v>
      </c>
    </row>
    <row r="142" spans="1:6">
      <c r="A142" s="1238"/>
      <c r="B142" s="177" t="s">
        <v>800</v>
      </c>
      <c r="C142" s="179" t="s">
        <v>1252</v>
      </c>
      <c r="D142" s="179" t="s">
        <v>1253</v>
      </c>
      <c r="E142" s="179" t="s">
        <v>1254</v>
      </c>
      <c r="F142" s="179" t="s">
        <v>1255</v>
      </c>
    </row>
    <row r="143" spans="1:6">
      <c r="A143" s="1238"/>
      <c r="B143" s="177" t="s">
        <v>802</v>
      </c>
      <c r="C143" s="179" t="s">
        <v>1256</v>
      </c>
      <c r="D143" s="179" t="s">
        <v>1257</v>
      </c>
      <c r="E143" s="179" t="s">
        <v>1258</v>
      </c>
      <c r="F143" s="179" t="s">
        <v>1259</v>
      </c>
    </row>
    <row r="144" spans="1:6">
      <c r="A144" s="1238"/>
      <c r="B144" s="177" t="s">
        <v>805</v>
      </c>
      <c r="C144" s="179" t="s">
        <v>1260</v>
      </c>
      <c r="D144" s="179" t="s">
        <v>884</v>
      </c>
      <c r="E144" s="179" t="s">
        <v>1038</v>
      </c>
      <c r="F144" s="179" t="s">
        <v>1261</v>
      </c>
    </row>
    <row r="145" spans="1:6">
      <c r="A145" s="1238"/>
      <c r="B145" s="177" t="s">
        <v>809</v>
      </c>
      <c r="C145" s="179" t="s">
        <v>1262</v>
      </c>
      <c r="D145" s="179" t="s">
        <v>1263</v>
      </c>
      <c r="E145" s="179" t="s">
        <v>986</v>
      </c>
      <c r="F145" s="179" t="s">
        <v>1264</v>
      </c>
    </row>
    <row r="146" spans="1:6">
      <c r="A146" s="1238"/>
      <c r="B146" s="177" t="s">
        <v>813</v>
      </c>
      <c r="C146" s="179" t="s">
        <v>1265</v>
      </c>
      <c r="D146" s="179" t="s">
        <v>1266</v>
      </c>
      <c r="E146" s="179" t="s">
        <v>1267</v>
      </c>
      <c r="F146" s="179" t="s">
        <v>1212</v>
      </c>
    </row>
    <row r="147" spans="1:6" ht="12.75" thickBot="1">
      <c r="A147" s="1239"/>
      <c r="B147" s="187" t="s">
        <v>817</v>
      </c>
      <c r="C147" s="188" t="s">
        <v>1268</v>
      </c>
      <c r="D147" s="188" t="s">
        <v>1269</v>
      </c>
      <c r="E147" s="188" t="s">
        <v>1270</v>
      </c>
      <c r="F147" s="188" t="s">
        <v>1270</v>
      </c>
    </row>
    <row r="148" spans="1:6">
      <c r="A148" s="1234">
        <v>1966</v>
      </c>
      <c r="B148" s="180" t="s">
        <v>821</v>
      </c>
      <c r="C148" s="181" t="s">
        <v>1271</v>
      </c>
      <c r="D148" s="181" t="s">
        <v>1046</v>
      </c>
      <c r="E148" s="181" t="s">
        <v>1046</v>
      </c>
      <c r="F148" s="182" t="s">
        <v>1272</v>
      </c>
    </row>
    <row r="149" spans="1:6">
      <c r="A149" s="1235"/>
      <c r="B149" s="177" t="s">
        <v>824</v>
      </c>
      <c r="C149" s="179" t="s">
        <v>1273</v>
      </c>
      <c r="D149" s="179" t="s">
        <v>925</v>
      </c>
      <c r="E149" s="179" t="s">
        <v>1084</v>
      </c>
      <c r="F149" s="183" t="s">
        <v>1274</v>
      </c>
    </row>
    <row r="150" spans="1:6">
      <c r="A150" s="1235"/>
      <c r="B150" s="177" t="s">
        <v>828</v>
      </c>
      <c r="C150" s="179" t="s">
        <v>1275</v>
      </c>
      <c r="D150" s="179" t="s">
        <v>1276</v>
      </c>
      <c r="E150" s="179" t="s">
        <v>1277</v>
      </c>
      <c r="F150" s="183" t="s">
        <v>1278</v>
      </c>
    </row>
    <row r="151" spans="1:6">
      <c r="A151" s="1235"/>
      <c r="B151" s="177" t="s">
        <v>832</v>
      </c>
      <c r="C151" s="179" t="s">
        <v>1279</v>
      </c>
      <c r="D151" s="179" t="s">
        <v>1280</v>
      </c>
      <c r="E151" s="179" t="s">
        <v>1281</v>
      </c>
      <c r="F151" s="183" t="s">
        <v>949</v>
      </c>
    </row>
    <row r="152" spans="1:6">
      <c r="A152" s="1235"/>
      <c r="B152" s="177" t="s">
        <v>836</v>
      </c>
      <c r="C152" s="179" t="s">
        <v>1282</v>
      </c>
      <c r="D152" s="179" t="s">
        <v>1071</v>
      </c>
      <c r="E152" s="179" t="s">
        <v>1283</v>
      </c>
      <c r="F152" s="183" t="s">
        <v>1284</v>
      </c>
    </row>
    <row r="153" spans="1:6">
      <c r="A153" s="1235"/>
      <c r="B153" s="177" t="s">
        <v>840</v>
      </c>
      <c r="C153" s="179" t="s">
        <v>1285</v>
      </c>
      <c r="D153" s="179" t="s">
        <v>1286</v>
      </c>
      <c r="E153" s="179" t="s">
        <v>1287</v>
      </c>
      <c r="F153" s="183" t="s">
        <v>1288</v>
      </c>
    </row>
    <row r="154" spans="1:6">
      <c r="A154" s="1235"/>
      <c r="B154" s="177" t="s">
        <v>800</v>
      </c>
      <c r="C154" s="179" t="s">
        <v>1289</v>
      </c>
      <c r="D154" s="179" t="s">
        <v>847</v>
      </c>
      <c r="E154" s="179" t="s">
        <v>1290</v>
      </c>
      <c r="F154" s="183" t="s">
        <v>1291</v>
      </c>
    </row>
    <row r="155" spans="1:6">
      <c r="A155" s="1235"/>
      <c r="B155" s="177" t="s">
        <v>802</v>
      </c>
      <c r="C155" s="179" t="s">
        <v>1292</v>
      </c>
      <c r="D155" s="179" t="s">
        <v>1293</v>
      </c>
      <c r="E155" s="179" t="s">
        <v>1294</v>
      </c>
      <c r="F155" s="183" t="s">
        <v>1295</v>
      </c>
    </row>
    <row r="156" spans="1:6">
      <c r="A156" s="1235"/>
      <c r="B156" s="177" t="s">
        <v>805</v>
      </c>
      <c r="C156" s="179" t="s">
        <v>1296</v>
      </c>
      <c r="D156" s="179" t="s">
        <v>1297</v>
      </c>
      <c r="E156" s="179" t="s">
        <v>1298</v>
      </c>
      <c r="F156" s="183" t="s">
        <v>967</v>
      </c>
    </row>
    <row r="157" spans="1:6">
      <c r="A157" s="1235"/>
      <c r="B157" s="177" t="s">
        <v>809</v>
      </c>
      <c r="C157" s="179" t="s">
        <v>1299</v>
      </c>
      <c r="D157" s="179" t="s">
        <v>1300</v>
      </c>
      <c r="E157" s="179" t="s">
        <v>1301</v>
      </c>
      <c r="F157" s="183" t="s">
        <v>1302</v>
      </c>
    </row>
    <row r="158" spans="1:6">
      <c r="A158" s="1235"/>
      <c r="B158" s="177" t="s">
        <v>813</v>
      </c>
      <c r="C158" s="179" t="s">
        <v>1303</v>
      </c>
      <c r="D158" s="179" t="s">
        <v>1177</v>
      </c>
      <c r="E158" s="179" t="s">
        <v>1304</v>
      </c>
      <c r="F158" s="183" t="s">
        <v>1305</v>
      </c>
    </row>
    <row r="159" spans="1:6" ht="12.75" thickBot="1">
      <c r="A159" s="1236"/>
      <c r="B159" s="184" t="s">
        <v>817</v>
      </c>
      <c r="C159" s="185" t="s">
        <v>1306</v>
      </c>
      <c r="D159" s="185" t="s">
        <v>853</v>
      </c>
      <c r="E159" s="185" t="s">
        <v>1307</v>
      </c>
      <c r="F159" s="186" t="s">
        <v>1307</v>
      </c>
    </row>
    <row r="160" spans="1:6">
      <c r="A160" s="1237">
        <v>1967</v>
      </c>
      <c r="B160" s="500" t="s">
        <v>821</v>
      </c>
      <c r="C160" s="501" t="s">
        <v>1308</v>
      </c>
      <c r="D160" s="501" t="s">
        <v>1111</v>
      </c>
      <c r="E160" s="501" t="s">
        <v>1111</v>
      </c>
      <c r="F160" s="501" t="s">
        <v>1309</v>
      </c>
    </row>
    <row r="161" spans="1:6">
      <c r="A161" s="1238"/>
      <c r="B161" s="177" t="s">
        <v>824</v>
      </c>
      <c r="C161" s="179" t="s">
        <v>1310</v>
      </c>
      <c r="D161" s="179" t="s">
        <v>1311</v>
      </c>
      <c r="E161" s="179" t="s">
        <v>1312</v>
      </c>
      <c r="F161" s="179" t="s">
        <v>1313</v>
      </c>
    </row>
    <row r="162" spans="1:6">
      <c r="A162" s="1238"/>
      <c r="B162" s="177" t="s">
        <v>828</v>
      </c>
      <c r="C162" s="179" t="s">
        <v>1314</v>
      </c>
      <c r="D162" s="179" t="s">
        <v>1297</v>
      </c>
      <c r="E162" s="179" t="s">
        <v>1315</v>
      </c>
      <c r="F162" s="179" t="s">
        <v>1233</v>
      </c>
    </row>
    <row r="163" spans="1:6">
      <c r="A163" s="1238"/>
      <c r="B163" s="177" t="s">
        <v>832</v>
      </c>
      <c r="C163" s="179" t="s">
        <v>1316</v>
      </c>
      <c r="D163" s="179" t="s">
        <v>868</v>
      </c>
      <c r="E163" s="179" t="s">
        <v>1269</v>
      </c>
      <c r="F163" s="179" t="s">
        <v>1317</v>
      </c>
    </row>
    <row r="164" spans="1:6">
      <c r="A164" s="1238"/>
      <c r="B164" s="177" t="s">
        <v>836</v>
      </c>
      <c r="C164" s="179" t="s">
        <v>1318</v>
      </c>
      <c r="D164" s="179" t="s">
        <v>1319</v>
      </c>
      <c r="E164" s="179" t="s">
        <v>1320</v>
      </c>
      <c r="F164" s="179" t="s">
        <v>1151</v>
      </c>
    </row>
    <row r="165" spans="1:6">
      <c r="A165" s="1238"/>
      <c r="B165" s="177" t="s">
        <v>840</v>
      </c>
      <c r="C165" s="179" t="s">
        <v>1321</v>
      </c>
      <c r="D165" s="179" t="s">
        <v>1322</v>
      </c>
      <c r="E165" s="179" t="s">
        <v>1323</v>
      </c>
      <c r="F165" s="179" t="s">
        <v>1324</v>
      </c>
    </row>
    <row r="166" spans="1:6">
      <c r="A166" s="1238"/>
      <c r="B166" s="177" t="s">
        <v>800</v>
      </c>
      <c r="C166" s="179" t="s">
        <v>1325</v>
      </c>
      <c r="D166" s="179" t="s">
        <v>955</v>
      </c>
      <c r="E166" s="179" t="s">
        <v>1326</v>
      </c>
      <c r="F166" s="179" t="s">
        <v>1327</v>
      </c>
    </row>
    <row r="167" spans="1:6">
      <c r="A167" s="1238"/>
      <c r="B167" s="177" t="s">
        <v>802</v>
      </c>
      <c r="C167" s="179" t="s">
        <v>1328</v>
      </c>
      <c r="D167" s="179" t="s">
        <v>1329</v>
      </c>
      <c r="E167" s="179" t="s">
        <v>1330</v>
      </c>
      <c r="F167" s="179" t="s">
        <v>1103</v>
      </c>
    </row>
    <row r="168" spans="1:6">
      <c r="A168" s="1238"/>
      <c r="B168" s="177" t="s">
        <v>805</v>
      </c>
      <c r="C168" s="179" t="s">
        <v>1331</v>
      </c>
      <c r="D168" s="179" t="s">
        <v>811</v>
      </c>
      <c r="E168" s="179" t="s">
        <v>1012</v>
      </c>
      <c r="F168" s="179" t="s">
        <v>1332</v>
      </c>
    </row>
    <row r="169" spans="1:6">
      <c r="A169" s="1238"/>
      <c r="B169" s="177" t="s">
        <v>809</v>
      </c>
      <c r="C169" s="179" t="s">
        <v>1333</v>
      </c>
      <c r="D169" s="179" t="s">
        <v>1334</v>
      </c>
      <c r="E169" s="179" t="s">
        <v>1069</v>
      </c>
      <c r="F169" s="179" t="s">
        <v>1335</v>
      </c>
    </row>
    <row r="170" spans="1:6">
      <c r="A170" s="1238"/>
      <c r="B170" s="177" t="s">
        <v>813</v>
      </c>
      <c r="C170" s="179" t="s">
        <v>1336</v>
      </c>
      <c r="D170" s="179" t="s">
        <v>1337</v>
      </c>
      <c r="E170" s="179" t="s">
        <v>1338</v>
      </c>
      <c r="F170" s="179" t="s">
        <v>1332</v>
      </c>
    </row>
    <row r="171" spans="1:6" ht="12.75" thickBot="1">
      <c r="A171" s="1239"/>
      <c r="B171" s="187" t="s">
        <v>817</v>
      </c>
      <c r="C171" s="188" t="s">
        <v>1339</v>
      </c>
      <c r="D171" s="188" t="s">
        <v>1118</v>
      </c>
      <c r="E171" s="188" t="s">
        <v>1340</v>
      </c>
      <c r="F171" s="188" t="s">
        <v>1340</v>
      </c>
    </row>
    <row r="172" spans="1:6">
      <c r="A172" s="1234">
        <v>1968</v>
      </c>
      <c r="B172" s="180" t="s">
        <v>821</v>
      </c>
      <c r="C172" s="181" t="s">
        <v>1341</v>
      </c>
      <c r="D172" s="181" t="s">
        <v>952</v>
      </c>
      <c r="E172" s="181" t="s">
        <v>952</v>
      </c>
      <c r="F172" s="182" t="s">
        <v>1342</v>
      </c>
    </row>
    <row r="173" spans="1:6">
      <c r="A173" s="1235"/>
      <c r="B173" s="177" t="s">
        <v>824</v>
      </c>
      <c r="C173" s="179" t="s">
        <v>1343</v>
      </c>
      <c r="D173" s="179" t="s">
        <v>849</v>
      </c>
      <c r="E173" s="179" t="s">
        <v>952</v>
      </c>
      <c r="F173" s="183" t="s">
        <v>985</v>
      </c>
    </row>
    <row r="174" spans="1:6">
      <c r="A174" s="1235"/>
      <c r="B174" s="177" t="s">
        <v>828</v>
      </c>
      <c r="C174" s="179" t="s">
        <v>1344</v>
      </c>
      <c r="D174" s="179" t="s">
        <v>1345</v>
      </c>
      <c r="E174" s="179" t="s">
        <v>1346</v>
      </c>
      <c r="F174" s="183" t="s">
        <v>1031</v>
      </c>
    </row>
    <row r="175" spans="1:6">
      <c r="A175" s="1235"/>
      <c r="B175" s="177" t="s">
        <v>832</v>
      </c>
      <c r="C175" s="179" t="s">
        <v>1347</v>
      </c>
      <c r="D175" s="179" t="s">
        <v>1185</v>
      </c>
      <c r="E175" s="179" t="s">
        <v>1348</v>
      </c>
      <c r="F175" s="183" t="s">
        <v>1349</v>
      </c>
    </row>
    <row r="176" spans="1:6">
      <c r="A176" s="1235"/>
      <c r="B176" s="177" t="s">
        <v>836</v>
      </c>
      <c r="C176" s="179" t="s">
        <v>1350</v>
      </c>
      <c r="D176" s="179" t="s">
        <v>1115</v>
      </c>
      <c r="E176" s="179" t="s">
        <v>1351</v>
      </c>
      <c r="F176" s="183" t="s">
        <v>1352</v>
      </c>
    </row>
    <row r="177" spans="1:6">
      <c r="A177" s="1235"/>
      <c r="B177" s="177" t="s">
        <v>840</v>
      </c>
      <c r="C177" s="179" t="s">
        <v>1353</v>
      </c>
      <c r="D177" s="179" t="s">
        <v>1354</v>
      </c>
      <c r="E177" s="179" t="s">
        <v>1355</v>
      </c>
      <c r="F177" s="183" t="s">
        <v>1356</v>
      </c>
    </row>
    <row r="178" spans="1:6">
      <c r="A178" s="1235"/>
      <c r="B178" s="177" t="s">
        <v>800</v>
      </c>
      <c r="C178" s="179" t="s">
        <v>1357</v>
      </c>
      <c r="D178" s="179" t="s">
        <v>1358</v>
      </c>
      <c r="E178" s="179" t="s">
        <v>1359</v>
      </c>
      <c r="F178" s="183" t="s">
        <v>1228</v>
      </c>
    </row>
    <row r="179" spans="1:6">
      <c r="A179" s="1235"/>
      <c r="B179" s="177" t="s">
        <v>802</v>
      </c>
      <c r="C179" s="179" t="s">
        <v>1360</v>
      </c>
      <c r="D179" s="179" t="s">
        <v>1361</v>
      </c>
      <c r="E179" s="179" t="s">
        <v>1362</v>
      </c>
      <c r="F179" s="183" t="s">
        <v>1363</v>
      </c>
    </row>
    <row r="180" spans="1:6">
      <c r="A180" s="1235"/>
      <c r="B180" s="177" t="s">
        <v>805</v>
      </c>
      <c r="C180" s="179" t="s">
        <v>1364</v>
      </c>
      <c r="D180" s="179" t="s">
        <v>844</v>
      </c>
      <c r="E180" s="179" t="s">
        <v>1365</v>
      </c>
      <c r="F180" s="183" t="s">
        <v>1366</v>
      </c>
    </row>
    <row r="181" spans="1:6">
      <c r="A181" s="1235"/>
      <c r="B181" s="177" t="s">
        <v>809</v>
      </c>
      <c r="C181" s="179" t="s">
        <v>1367</v>
      </c>
      <c r="D181" s="179" t="s">
        <v>1368</v>
      </c>
      <c r="E181" s="179" t="s">
        <v>1369</v>
      </c>
      <c r="F181" s="183" t="s">
        <v>1370</v>
      </c>
    </row>
    <row r="182" spans="1:6">
      <c r="A182" s="1235"/>
      <c r="B182" s="177" t="s">
        <v>813</v>
      </c>
      <c r="C182" s="179" t="s">
        <v>1371</v>
      </c>
      <c r="D182" s="179" t="s">
        <v>834</v>
      </c>
      <c r="E182" s="179" t="s">
        <v>1372</v>
      </c>
      <c r="F182" s="183" t="s">
        <v>1373</v>
      </c>
    </row>
    <row r="183" spans="1:6" ht="12.75" thickBot="1">
      <c r="A183" s="1236"/>
      <c r="B183" s="184" t="s">
        <v>817</v>
      </c>
      <c r="C183" s="185" t="s">
        <v>1374</v>
      </c>
      <c r="D183" s="185" t="s">
        <v>1375</v>
      </c>
      <c r="E183" s="185" t="s">
        <v>1376</v>
      </c>
      <c r="F183" s="186" t="s">
        <v>1376</v>
      </c>
    </row>
    <row r="184" spans="1:6">
      <c r="A184" s="1237">
        <v>1969</v>
      </c>
      <c r="B184" s="500" t="s">
        <v>821</v>
      </c>
      <c r="C184" s="501" t="s">
        <v>1377</v>
      </c>
      <c r="D184" s="501" t="s">
        <v>910</v>
      </c>
      <c r="E184" s="501" t="s">
        <v>910</v>
      </c>
      <c r="F184" s="501" t="s">
        <v>1338</v>
      </c>
    </row>
    <row r="185" spans="1:6">
      <c r="A185" s="1238"/>
      <c r="B185" s="177" t="s">
        <v>824</v>
      </c>
      <c r="C185" s="179" t="s">
        <v>1378</v>
      </c>
      <c r="D185" s="179" t="s">
        <v>1379</v>
      </c>
      <c r="E185" s="179" t="s">
        <v>1124</v>
      </c>
      <c r="F185" s="179" t="s">
        <v>1380</v>
      </c>
    </row>
    <row r="186" spans="1:6">
      <c r="A186" s="1238"/>
      <c r="B186" s="177" t="s">
        <v>828</v>
      </c>
      <c r="C186" s="179" t="s">
        <v>1381</v>
      </c>
      <c r="D186" s="179" t="s">
        <v>1037</v>
      </c>
      <c r="E186" s="179" t="s">
        <v>1382</v>
      </c>
      <c r="F186" s="179" t="s">
        <v>1383</v>
      </c>
    </row>
    <row r="187" spans="1:6">
      <c r="A187" s="1238"/>
      <c r="B187" s="177" t="s">
        <v>832</v>
      </c>
      <c r="C187" s="179" t="s">
        <v>1384</v>
      </c>
      <c r="D187" s="179" t="s">
        <v>1385</v>
      </c>
      <c r="E187" s="179" t="s">
        <v>1386</v>
      </c>
      <c r="F187" s="179" t="s">
        <v>1387</v>
      </c>
    </row>
    <row r="188" spans="1:6">
      <c r="A188" s="1238"/>
      <c r="B188" s="177" t="s">
        <v>836</v>
      </c>
      <c r="C188" s="179" t="s">
        <v>1388</v>
      </c>
      <c r="D188" s="179" t="s">
        <v>1124</v>
      </c>
      <c r="E188" s="179" t="s">
        <v>1106</v>
      </c>
      <c r="F188" s="179" t="s">
        <v>1389</v>
      </c>
    </row>
    <row r="189" spans="1:6">
      <c r="A189" s="1238"/>
      <c r="B189" s="177" t="s">
        <v>840</v>
      </c>
      <c r="C189" s="179" t="s">
        <v>1390</v>
      </c>
      <c r="D189" s="179" t="s">
        <v>819</v>
      </c>
      <c r="E189" s="179" t="s">
        <v>1391</v>
      </c>
      <c r="F189" s="179" t="s">
        <v>1392</v>
      </c>
    </row>
    <row r="190" spans="1:6">
      <c r="A190" s="1238"/>
      <c r="B190" s="177" t="s">
        <v>800</v>
      </c>
      <c r="C190" s="179" t="s">
        <v>1393</v>
      </c>
      <c r="D190" s="179" t="s">
        <v>830</v>
      </c>
      <c r="E190" s="179" t="s">
        <v>1394</v>
      </c>
      <c r="F190" s="179" t="s">
        <v>1243</v>
      </c>
    </row>
    <row r="191" spans="1:6">
      <c r="A191" s="1238"/>
      <c r="B191" s="177" t="s">
        <v>802</v>
      </c>
      <c r="C191" s="179" t="s">
        <v>1395</v>
      </c>
      <c r="D191" s="179" t="s">
        <v>842</v>
      </c>
      <c r="E191" s="179" t="s">
        <v>1396</v>
      </c>
      <c r="F191" s="179" t="s">
        <v>1022</v>
      </c>
    </row>
    <row r="192" spans="1:6">
      <c r="A192" s="1238"/>
      <c r="B192" s="177" t="s">
        <v>805</v>
      </c>
      <c r="C192" s="179" t="s">
        <v>1397</v>
      </c>
      <c r="D192" s="179" t="s">
        <v>876</v>
      </c>
      <c r="E192" s="179" t="s">
        <v>1398</v>
      </c>
      <c r="F192" s="179" t="s">
        <v>1076</v>
      </c>
    </row>
    <row r="193" spans="1:6">
      <c r="A193" s="1238"/>
      <c r="B193" s="177" t="s">
        <v>809</v>
      </c>
      <c r="C193" s="179" t="s">
        <v>1399</v>
      </c>
      <c r="D193" s="179" t="s">
        <v>1046</v>
      </c>
      <c r="E193" s="179" t="s">
        <v>1400</v>
      </c>
      <c r="F193" s="179" t="s">
        <v>1401</v>
      </c>
    </row>
    <row r="194" spans="1:6">
      <c r="A194" s="1238"/>
      <c r="B194" s="177" t="s">
        <v>813</v>
      </c>
      <c r="C194" s="179" t="s">
        <v>1402</v>
      </c>
      <c r="D194" s="179" t="s">
        <v>1403</v>
      </c>
      <c r="E194" s="179" t="s">
        <v>1404</v>
      </c>
      <c r="F194" s="179" t="s">
        <v>1405</v>
      </c>
    </row>
    <row r="195" spans="1:6" ht="12.75" thickBot="1">
      <c r="A195" s="1239"/>
      <c r="B195" s="187" t="s">
        <v>817</v>
      </c>
      <c r="C195" s="188" t="s">
        <v>1406</v>
      </c>
      <c r="D195" s="188" t="s">
        <v>1198</v>
      </c>
      <c r="E195" s="188" t="s">
        <v>1407</v>
      </c>
      <c r="F195" s="188" t="s">
        <v>1407</v>
      </c>
    </row>
    <row r="196" spans="1:6">
      <c r="A196" s="1234">
        <v>1970</v>
      </c>
      <c r="B196" s="180" t="s">
        <v>821</v>
      </c>
      <c r="C196" s="181" t="s">
        <v>1406</v>
      </c>
      <c r="D196" s="181" t="s">
        <v>1408</v>
      </c>
      <c r="E196" s="181" t="s">
        <v>1408</v>
      </c>
      <c r="F196" s="182" t="s">
        <v>1409</v>
      </c>
    </row>
    <row r="197" spans="1:6">
      <c r="A197" s="1235"/>
      <c r="B197" s="177" t="s">
        <v>824</v>
      </c>
      <c r="C197" s="179" t="s">
        <v>1410</v>
      </c>
      <c r="D197" s="179" t="s">
        <v>1043</v>
      </c>
      <c r="E197" s="179" t="s">
        <v>1043</v>
      </c>
      <c r="F197" s="183" t="s">
        <v>1411</v>
      </c>
    </row>
    <row r="198" spans="1:6">
      <c r="A198" s="1235"/>
      <c r="B198" s="177" t="s">
        <v>828</v>
      </c>
      <c r="C198" s="179" t="s">
        <v>1412</v>
      </c>
      <c r="D198" s="179" t="s">
        <v>1413</v>
      </c>
      <c r="E198" s="179" t="s">
        <v>835</v>
      </c>
      <c r="F198" s="183" t="s">
        <v>1414</v>
      </c>
    </row>
    <row r="199" spans="1:6">
      <c r="A199" s="1235"/>
      <c r="B199" s="177" t="s">
        <v>832</v>
      </c>
      <c r="C199" s="179" t="s">
        <v>1415</v>
      </c>
      <c r="D199" s="179" t="s">
        <v>1416</v>
      </c>
      <c r="E199" s="179" t="s">
        <v>1417</v>
      </c>
      <c r="F199" s="183" t="s">
        <v>1366</v>
      </c>
    </row>
    <row r="200" spans="1:6">
      <c r="A200" s="1235"/>
      <c r="B200" s="177" t="s">
        <v>836</v>
      </c>
      <c r="C200" s="179" t="s">
        <v>1418</v>
      </c>
      <c r="D200" s="179" t="s">
        <v>1419</v>
      </c>
      <c r="E200" s="179" t="s">
        <v>1420</v>
      </c>
      <c r="F200" s="183" t="s">
        <v>1421</v>
      </c>
    </row>
    <row r="201" spans="1:6">
      <c r="A201" s="1235"/>
      <c r="B201" s="177" t="s">
        <v>840</v>
      </c>
      <c r="C201" s="179" t="s">
        <v>1422</v>
      </c>
      <c r="D201" s="179" t="s">
        <v>1345</v>
      </c>
      <c r="E201" s="179" t="s">
        <v>1423</v>
      </c>
      <c r="F201" s="183" t="s">
        <v>1424</v>
      </c>
    </row>
    <row r="202" spans="1:6">
      <c r="A202" s="1235"/>
      <c r="B202" s="177" t="s">
        <v>800</v>
      </c>
      <c r="C202" s="179" t="s">
        <v>1425</v>
      </c>
      <c r="D202" s="179" t="s">
        <v>959</v>
      </c>
      <c r="E202" s="179" t="s">
        <v>1426</v>
      </c>
      <c r="F202" s="183" t="s">
        <v>1427</v>
      </c>
    </row>
    <row r="203" spans="1:6">
      <c r="A203" s="1235"/>
      <c r="B203" s="177" t="s">
        <v>802</v>
      </c>
      <c r="C203" s="179" t="s">
        <v>1428</v>
      </c>
      <c r="D203" s="179" t="s">
        <v>1429</v>
      </c>
      <c r="E203" s="179" t="s">
        <v>885</v>
      </c>
      <c r="F203" s="183" t="s">
        <v>1430</v>
      </c>
    </row>
    <row r="204" spans="1:6">
      <c r="A204" s="1235"/>
      <c r="B204" s="177" t="s">
        <v>805</v>
      </c>
      <c r="C204" s="179" t="s">
        <v>1431</v>
      </c>
      <c r="D204" s="179" t="s">
        <v>1011</v>
      </c>
      <c r="E204" s="179" t="s">
        <v>1432</v>
      </c>
      <c r="F204" s="183" t="s">
        <v>1376</v>
      </c>
    </row>
    <row r="205" spans="1:6">
      <c r="A205" s="1235"/>
      <c r="B205" s="177" t="s">
        <v>809</v>
      </c>
      <c r="C205" s="179" t="s">
        <v>1433</v>
      </c>
      <c r="D205" s="179" t="s">
        <v>1130</v>
      </c>
      <c r="E205" s="179" t="s">
        <v>889</v>
      </c>
      <c r="F205" s="183" t="s">
        <v>1434</v>
      </c>
    </row>
    <row r="206" spans="1:6">
      <c r="A206" s="1235"/>
      <c r="B206" s="177" t="s">
        <v>813</v>
      </c>
      <c r="C206" s="179" t="s">
        <v>1435</v>
      </c>
      <c r="D206" s="179" t="s">
        <v>862</v>
      </c>
      <c r="E206" s="179" t="s">
        <v>1365</v>
      </c>
      <c r="F206" s="183" t="s">
        <v>1069</v>
      </c>
    </row>
    <row r="207" spans="1:6" ht="12.75" thickBot="1">
      <c r="A207" s="1236"/>
      <c r="B207" s="184" t="s">
        <v>817</v>
      </c>
      <c r="C207" s="185" t="s">
        <v>1436</v>
      </c>
      <c r="D207" s="185" t="s">
        <v>1312</v>
      </c>
      <c r="E207" s="185" t="s">
        <v>1392</v>
      </c>
      <c r="F207" s="186" t="s">
        <v>1392</v>
      </c>
    </row>
    <row r="208" spans="1:6">
      <c r="A208" s="1237">
        <v>1971</v>
      </c>
      <c r="B208" s="500" t="s">
        <v>821</v>
      </c>
      <c r="C208" s="501" t="s">
        <v>1437</v>
      </c>
      <c r="D208" s="501" t="s">
        <v>962</v>
      </c>
      <c r="E208" s="501" t="s">
        <v>962</v>
      </c>
      <c r="F208" s="501" t="s">
        <v>1438</v>
      </c>
    </row>
    <row r="209" spans="1:6">
      <c r="A209" s="1238"/>
      <c r="B209" s="177" t="s">
        <v>824</v>
      </c>
      <c r="C209" s="179" t="s">
        <v>1439</v>
      </c>
      <c r="D209" s="179" t="s">
        <v>853</v>
      </c>
      <c r="E209" s="179" t="s">
        <v>1440</v>
      </c>
      <c r="F209" s="179" t="s">
        <v>1441</v>
      </c>
    </row>
    <row r="210" spans="1:6">
      <c r="A210" s="1238"/>
      <c r="B210" s="177" t="s">
        <v>828</v>
      </c>
      <c r="C210" s="179" t="s">
        <v>1442</v>
      </c>
      <c r="D210" s="179" t="s">
        <v>952</v>
      </c>
      <c r="E210" s="179" t="s">
        <v>1443</v>
      </c>
      <c r="F210" s="179" t="s">
        <v>911</v>
      </c>
    </row>
    <row r="211" spans="1:6">
      <c r="A211" s="1238"/>
      <c r="B211" s="177" t="s">
        <v>832</v>
      </c>
      <c r="C211" s="179" t="s">
        <v>1444</v>
      </c>
      <c r="D211" s="179" t="s">
        <v>1445</v>
      </c>
      <c r="E211" s="179" t="s">
        <v>1446</v>
      </c>
      <c r="F211" s="179" t="s">
        <v>1447</v>
      </c>
    </row>
    <row r="212" spans="1:6">
      <c r="A212" s="1238"/>
      <c r="B212" s="177" t="s">
        <v>836</v>
      </c>
      <c r="C212" s="179" t="s">
        <v>1448</v>
      </c>
      <c r="D212" s="179" t="s">
        <v>1449</v>
      </c>
      <c r="E212" s="179" t="s">
        <v>1450</v>
      </c>
      <c r="F212" s="179" t="s">
        <v>1451</v>
      </c>
    </row>
    <row r="213" spans="1:6">
      <c r="A213" s="1238"/>
      <c r="B213" s="177" t="s">
        <v>840</v>
      </c>
      <c r="C213" s="179" t="s">
        <v>1452</v>
      </c>
      <c r="D213" s="179" t="s">
        <v>1337</v>
      </c>
      <c r="E213" s="179" t="s">
        <v>1453</v>
      </c>
      <c r="F213" s="179" t="s">
        <v>1454</v>
      </c>
    </row>
    <row r="214" spans="1:6">
      <c r="A214" s="1238"/>
      <c r="B214" s="177" t="s">
        <v>800</v>
      </c>
      <c r="C214" s="179" t="s">
        <v>1455</v>
      </c>
      <c r="D214" s="179" t="s">
        <v>1456</v>
      </c>
      <c r="E214" s="179" t="s">
        <v>1457</v>
      </c>
      <c r="F214" s="179" t="s">
        <v>1458</v>
      </c>
    </row>
    <row r="215" spans="1:6">
      <c r="A215" s="1238"/>
      <c r="B215" s="177" t="s">
        <v>802</v>
      </c>
      <c r="C215" s="179" t="s">
        <v>1459</v>
      </c>
      <c r="D215" s="179" t="s">
        <v>1460</v>
      </c>
      <c r="E215" s="179" t="s">
        <v>1461</v>
      </c>
      <c r="F215" s="179" t="s">
        <v>1462</v>
      </c>
    </row>
    <row r="216" spans="1:6">
      <c r="A216" s="1238"/>
      <c r="B216" s="177" t="s">
        <v>805</v>
      </c>
      <c r="C216" s="179" t="s">
        <v>1463</v>
      </c>
      <c r="D216" s="179" t="s">
        <v>1231</v>
      </c>
      <c r="E216" s="179" t="s">
        <v>1464</v>
      </c>
      <c r="F216" s="179" t="s">
        <v>1465</v>
      </c>
    </row>
    <row r="217" spans="1:6">
      <c r="A217" s="1238"/>
      <c r="B217" s="177" t="s">
        <v>809</v>
      </c>
      <c r="C217" s="179" t="s">
        <v>1466</v>
      </c>
      <c r="D217" s="179" t="s">
        <v>1237</v>
      </c>
      <c r="E217" s="179" t="s">
        <v>1467</v>
      </c>
      <c r="F217" s="179" t="s">
        <v>1468</v>
      </c>
    </row>
    <row r="218" spans="1:6">
      <c r="A218" s="1238"/>
      <c r="B218" s="177" t="s">
        <v>813</v>
      </c>
      <c r="C218" s="179" t="s">
        <v>1469</v>
      </c>
      <c r="D218" s="179" t="s">
        <v>1460</v>
      </c>
      <c r="E218" s="179" t="s">
        <v>1470</v>
      </c>
      <c r="F218" s="179" t="s">
        <v>1471</v>
      </c>
    </row>
    <row r="219" spans="1:6" ht="12.75" thickBot="1">
      <c r="A219" s="1239"/>
      <c r="B219" s="187" t="s">
        <v>817</v>
      </c>
      <c r="C219" s="188" t="s">
        <v>1472</v>
      </c>
      <c r="D219" s="188" t="s">
        <v>1473</v>
      </c>
      <c r="E219" s="188" t="s">
        <v>1474</v>
      </c>
      <c r="F219" s="188" t="s">
        <v>1474</v>
      </c>
    </row>
    <row r="220" spans="1:6">
      <c r="A220" s="1234">
        <v>1972</v>
      </c>
      <c r="B220" s="180" t="s">
        <v>821</v>
      </c>
      <c r="C220" s="181" t="s">
        <v>1475</v>
      </c>
      <c r="D220" s="181" t="s">
        <v>1091</v>
      </c>
      <c r="E220" s="181" t="s">
        <v>1091</v>
      </c>
      <c r="F220" s="182" t="s">
        <v>1476</v>
      </c>
    </row>
    <row r="221" spans="1:6">
      <c r="A221" s="1235"/>
      <c r="B221" s="177" t="s">
        <v>824</v>
      </c>
      <c r="C221" s="179" t="s">
        <v>1477</v>
      </c>
      <c r="D221" s="179" t="s">
        <v>1478</v>
      </c>
      <c r="E221" s="179" t="s">
        <v>1417</v>
      </c>
      <c r="F221" s="183" t="s">
        <v>1479</v>
      </c>
    </row>
    <row r="222" spans="1:6">
      <c r="A222" s="1235"/>
      <c r="B222" s="177" t="s">
        <v>828</v>
      </c>
      <c r="C222" s="179" t="s">
        <v>1480</v>
      </c>
      <c r="D222" s="179" t="s">
        <v>1312</v>
      </c>
      <c r="E222" s="179" t="s">
        <v>1481</v>
      </c>
      <c r="F222" s="183" t="s">
        <v>1482</v>
      </c>
    </row>
    <row r="223" spans="1:6">
      <c r="A223" s="1235"/>
      <c r="B223" s="177" t="s">
        <v>832</v>
      </c>
      <c r="C223" s="179" t="s">
        <v>1483</v>
      </c>
      <c r="D223" s="179" t="s">
        <v>1484</v>
      </c>
      <c r="E223" s="179" t="s">
        <v>897</v>
      </c>
      <c r="F223" s="183" t="s">
        <v>1485</v>
      </c>
    </row>
    <row r="224" spans="1:6">
      <c r="A224" s="1235"/>
      <c r="B224" s="177" t="s">
        <v>836</v>
      </c>
      <c r="C224" s="179" t="s">
        <v>1486</v>
      </c>
      <c r="D224" s="179" t="s">
        <v>1358</v>
      </c>
      <c r="E224" s="179" t="s">
        <v>970</v>
      </c>
      <c r="F224" s="183" t="s">
        <v>1487</v>
      </c>
    </row>
    <row r="225" spans="1:6">
      <c r="A225" s="1235"/>
      <c r="B225" s="177" t="s">
        <v>840</v>
      </c>
      <c r="C225" s="179" t="s">
        <v>1488</v>
      </c>
      <c r="D225" s="179" t="s">
        <v>1345</v>
      </c>
      <c r="E225" s="179" t="s">
        <v>1489</v>
      </c>
      <c r="F225" s="183" t="s">
        <v>1490</v>
      </c>
    </row>
    <row r="226" spans="1:6">
      <c r="A226" s="1235"/>
      <c r="B226" s="177" t="s">
        <v>800</v>
      </c>
      <c r="C226" s="179" t="s">
        <v>1491</v>
      </c>
      <c r="D226" s="179" t="s">
        <v>1071</v>
      </c>
      <c r="E226" s="179" t="s">
        <v>1492</v>
      </c>
      <c r="F226" s="183" t="s">
        <v>1493</v>
      </c>
    </row>
    <row r="227" spans="1:6">
      <c r="A227" s="1235"/>
      <c r="B227" s="177" t="s">
        <v>802</v>
      </c>
      <c r="C227" s="179" t="s">
        <v>1494</v>
      </c>
      <c r="D227" s="179" t="s">
        <v>1495</v>
      </c>
      <c r="E227" s="179" t="s">
        <v>1496</v>
      </c>
      <c r="F227" s="183" t="s">
        <v>1497</v>
      </c>
    </row>
    <row r="228" spans="1:6">
      <c r="A228" s="1235"/>
      <c r="B228" s="177" t="s">
        <v>805</v>
      </c>
      <c r="C228" s="179" t="s">
        <v>1498</v>
      </c>
      <c r="D228" s="179" t="s">
        <v>1499</v>
      </c>
      <c r="E228" s="179" t="s">
        <v>1500</v>
      </c>
      <c r="F228" s="183" t="s">
        <v>1501</v>
      </c>
    </row>
    <row r="229" spans="1:6">
      <c r="A229" s="1235"/>
      <c r="B229" s="177" t="s">
        <v>809</v>
      </c>
      <c r="C229" s="179" t="s">
        <v>1502</v>
      </c>
      <c r="D229" s="179" t="s">
        <v>1503</v>
      </c>
      <c r="E229" s="179" t="s">
        <v>1504</v>
      </c>
      <c r="F229" s="183" t="s">
        <v>1505</v>
      </c>
    </row>
    <row r="230" spans="1:6">
      <c r="A230" s="1235"/>
      <c r="B230" s="177" t="s">
        <v>813</v>
      </c>
      <c r="C230" s="179" t="s">
        <v>1506</v>
      </c>
      <c r="D230" s="179" t="s">
        <v>1507</v>
      </c>
      <c r="E230" s="179" t="s">
        <v>1508</v>
      </c>
      <c r="F230" s="183" t="s">
        <v>1509</v>
      </c>
    </row>
    <row r="231" spans="1:6" ht="12.75" thickBot="1">
      <c r="A231" s="1236"/>
      <c r="B231" s="184" t="s">
        <v>817</v>
      </c>
      <c r="C231" s="185" t="s">
        <v>1510</v>
      </c>
      <c r="D231" s="185" t="s">
        <v>1511</v>
      </c>
      <c r="E231" s="185" t="s">
        <v>1512</v>
      </c>
      <c r="F231" s="186" t="s">
        <v>1512</v>
      </c>
    </row>
    <row r="232" spans="1:6">
      <c r="A232" s="1237">
        <v>1973</v>
      </c>
      <c r="B232" s="500" t="s">
        <v>821</v>
      </c>
      <c r="C232" s="501" t="s">
        <v>1513</v>
      </c>
      <c r="D232" s="501" t="s">
        <v>1460</v>
      </c>
      <c r="E232" s="501" t="s">
        <v>1460</v>
      </c>
      <c r="F232" s="501" t="s">
        <v>1514</v>
      </c>
    </row>
    <row r="233" spans="1:6">
      <c r="A233" s="1238"/>
      <c r="B233" s="177" t="s">
        <v>824</v>
      </c>
      <c r="C233" s="179" t="s">
        <v>1515</v>
      </c>
      <c r="D233" s="179" t="s">
        <v>1199</v>
      </c>
      <c r="E233" s="179" t="s">
        <v>1516</v>
      </c>
      <c r="F233" s="179" t="s">
        <v>1517</v>
      </c>
    </row>
    <row r="234" spans="1:6">
      <c r="A234" s="1238"/>
      <c r="B234" s="177" t="s">
        <v>828</v>
      </c>
      <c r="C234" s="179" t="s">
        <v>1518</v>
      </c>
      <c r="D234" s="179" t="s">
        <v>1519</v>
      </c>
      <c r="E234" s="179" t="s">
        <v>1520</v>
      </c>
      <c r="F234" s="179" t="s">
        <v>1521</v>
      </c>
    </row>
    <row r="235" spans="1:6">
      <c r="A235" s="1238"/>
      <c r="B235" s="177" t="s">
        <v>832</v>
      </c>
      <c r="C235" s="179" t="s">
        <v>1522</v>
      </c>
      <c r="D235" s="179" t="s">
        <v>1523</v>
      </c>
      <c r="E235" s="179" t="s">
        <v>1524</v>
      </c>
      <c r="F235" s="179" t="s">
        <v>1525</v>
      </c>
    </row>
    <row r="236" spans="1:6">
      <c r="A236" s="1238"/>
      <c r="B236" s="177" t="s">
        <v>836</v>
      </c>
      <c r="C236" s="179" t="s">
        <v>1526</v>
      </c>
      <c r="D236" s="179" t="s">
        <v>1527</v>
      </c>
      <c r="E236" s="179" t="s">
        <v>1528</v>
      </c>
      <c r="F236" s="179" t="s">
        <v>1529</v>
      </c>
    </row>
    <row r="237" spans="1:6">
      <c r="A237" s="1238"/>
      <c r="B237" s="177" t="s">
        <v>840</v>
      </c>
      <c r="C237" s="179" t="s">
        <v>1530</v>
      </c>
      <c r="D237" s="179" t="s">
        <v>1531</v>
      </c>
      <c r="E237" s="179" t="s">
        <v>1532</v>
      </c>
      <c r="F237" s="179" t="s">
        <v>1533</v>
      </c>
    </row>
    <row r="238" spans="1:6">
      <c r="A238" s="1238"/>
      <c r="B238" s="177" t="s">
        <v>800</v>
      </c>
      <c r="C238" s="179" t="s">
        <v>1534</v>
      </c>
      <c r="D238" s="179" t="s">
        <v>969</v>
      </c>
      <c r="E238" s="179" t="s">
        <v>1535</v>
      </c>
      <c r="F238" s="179" t="s">
        <v>1536</v>
      </c>
    </row>
    <row r="239" spans="1:6">
      <c r="A239" s="1238"/>
      <c r="B239" s="177" t="s">
        <v>802</v>
      </c>
      <c r="C239" s="179" t="s">
        <v>1537</v>
      </c>
      <c r="D239" s="179" t="s">
        <v>1538</v>
      </c>
      <c r="E239" s="179" t="s">
        <v>1521</v>
      </c>
      <c r="F239" s="179" t="s">
        <v>1539</v>
      </c>
    </row>
    <row r="240" spans="1:6">
      <c r="A240" s="1238"/>
      <c r="B240" s="177" t="s">
        <v>805</v>
      </c>
      <c r="C240" s="179" t="s">
        <v>1540</v>
      </c>
      <c r="D240" s="179" t="s">
        <v>1541</v>
      </c>
      <c r="E240" s="179" t="s">
        <v>1542</v>
      </c>
      <c r="F240" s="179" t="s">
        <v>1543</v>
      </c>
    </row>
    <row r="241" spans="1:6">
      <c r="A241" s="1238"/>
      <c r="B241" s="177" t="s">
        <v>809</v>
      </c>
      <c r="C241" s="179" t="s">
        <v>1544</v>
      </c>
      <c r="D241" s="179" t="s">
        <v>1198</v>
      </c>
      <c r="E241" s="179" t="s">
        <v>1545</v>
      </c>
      <c r="F241" s="179" t="s">
        <v>1546</v>
      </c>
    </row>
    <row r="242" spans="1:6">
      <c r="A242" s="1238"/>
      <c r="B242" s="177" t="s">
        <v>813</v>
      </c>
      <c r="C242" s="179" t="s">
        <v>1547</v>
      </c>
      <c r="D242" s="179" t="s">
        <v>1548</v>
      </c>
      <c r="E242" s="179" t="s">
        <v>1549</v>
      </c>
      <c r="F242" s="179" t="s">
        <v>1550</v>
      </c>
    </row>
    <row r="243" spans="1:6" ht="12.75" thickBot="1">
      <c r="A243" s="1239"/>
      <c r="B243" s="187" t="s">
        <v>817</v>
      </c>
      <c r="C243" s="188" t="s">
        <v>1551</v>
      </c>
      <c r="D243" s="188" t="s">
        <v>910</v>
      </c>
      <c r="E243" s="188" t="s">
        <v>1552</v>
      </c>
      <c r="F243" s="188" t="s">
        <v>1552</v>
      </c>
    </row>
    <row r="244" spans="1:6">
      <c r="A244" s="1234">
        <v>1974</v>
      </c>
      <c r="B244" s="180" t="s">
        <v>821</v>
      </c>
      <c r="C244" s="181" t="s">
        <v>1553</v>
      </c>
      <c r="D244" s="181" t="s">
        <v>1554</v>
      </c>
      <c r="E244" s="181" t="s">
        <v>1554</v>
      </c>
      <c r="F244" s="182" t="s">
        <v>1555</v>
      </c>
    </row>
    <row r="245" spans="1:6">
      <c r="A245" s="1235"/>
      <c r="B245" s="177" t="s">
        <v>824</v>
      </c>
      <c r="C245" s="179" t="s">
        <v>1556</v>
      </c>
      <c r="D245" s="179" t="s">
        <v>1557</v>
      </c>
      <c r="E245" s="179" t="s">
        <v>1558</v>
      </c>
      <c r="F245" s="183" t="s">
        <v>1559</v>
      </c>
    </row>
    <row r="246" spans="1:6">
      <c r="A246" s="1235"/>
      <c r="B246" s="177" t="s">
        <v>828</v>
      </c>
      <c r="C246" s="179" t="s">
        <v>1560</v>
      </c>
      <c r="D246" s="179" t="s">
        <v>1561</v>
      </c>
      <c r="E246" s="179" t="s">
        <v>1562</v>
      </c>
      <c r="F246" s="183" t="s">
        <v>1563</v>
      </c>
    </row>
    <row r="247" spans="1:6">
      <c r="A247" s="1235"/>
      <c r="B247" s="177" t="s">
        <v>832</v>
      </c>
      <c r="C247" s="179" t="s">
        <v>1564</v>
      </c>
      <c r="D247" s="179" t="s">
        <v>933</v>
      </c>
      <c r="E247" s="179" t="s">
        <v>1565</v>
      </c>
      <c r="F247" s="183" t="s">
        <v>1566</v>
      </c>
    </row>
    <row r="248" spans="1:6">
      <c r="A248" s="1235"/>
      <c r="B248" s="177" t="s">
        <v>836</v>
      </c>
      <c r="C248" s="179" t="s">
        <v>1567</v>
      </c>
      <c r="D248" s="179" t="s">
        <v>1568</v>
      </c>
      <c r="E248" s="179" t="s">
        <v>1569</v>
      </c>
      <c r="F248" s="183" t="s">
        <v>1570</v>
      </c>
    </row>
    <row r="249" spans="1:6">
      <c r="A249" s="1235"/>
      <c r="B249" s="177" t="s">
        <v>840</v>
      </c>
      <c r="C249" s="179" t="s">
        <v>1571</v>
      </c>
      <c r="D249" s="179" t="s">
        <v>1075</v>
      </c>
      <c r="E249" s="179" t="s">
        <v>1572</v>
      </c>
      <c r="F249" s="183" t="s">
        <v>1573</v>
      </c>
    </row>
    <row r="250" spans="1:6">
      <c r="A250" s="1235"/>
      <c r="B250" s="177" t="s">
        <v>800</v>
      </c>
      <c r="C250" s="179" t="s">
        <v>1574</v>
      </c>
      <c r="D250" s="179" t="s">
        <v>1575</v>
      </c>
      <c r="E250" s="179" t="s">
        <v>1576</v>
      </c>
      <c r="F250" s="183" t="s">
        <v>1577</v>
      </c>
    </row>
    <row r="251" spans="1:6">
      <c r="A251" s="1235"/>
      <c r="B251" s="177" t="s">
        <v>802</v>
      </c>
      <c r="C251" s="179" t="s">
        <v>1578</v>
      </c>
      <c r="D251" s="179" t="s">
        <v>1579</v>
      </c>
      <c r="E251" s="179" t="s">
        <v>1580</v>
      </c>
      <c r="F251" s="183" t="s">
        <v>1581</v>
      </c>
    </row>
    <row r="252" spans="1:6">
      <c r="A252" s="1235"/>
      <c r="B252" s="177" t="s">
        <v>805</v>
      </c>
      <c r="C252" s="179" t="s">
        <v>1582</v>
      </c>
      <c r="D252" s="179" t="s">
        <v>1583</v>
      </c>
      <c r="E252" s="179" t="s">
        <v>1584</v>
      </c>
      <c r="F252" s="183" t="s">
        <v>1585</v>
      </c>
    </row>
    <row r="253" spans="1:6">
      <c r="A253" s="1235"/>
      <c r="B253" s="177" t="s">
        <v>809</v>
      </c>
      <c r="C253" s="179" t="s">
        <v>1586</v>
      </c>
      <c r="D253" s="179" t="s">
        <v>1587</v>
      </c>
      <c r="E253" s="179" t="s">
        <v>1588</v>
      </c>
      <c r="F253" s="183" t="s">
        <v>1563</v>
      </c>
    </row>
    <row r="254" spans="1:6">
      <c r="A254" s="1235"/>
      <c r="B254" s="177" t="s">
        <v>813</v>
      </c>
      <c r="C254" s="179" t="s">
        <v>1589</v>
      </c>
      <c r="D254" s="179" t="s">
        <v>1590</v>
      </c>
      <c r="E254" s="179" t="s">
        <v>1591</v>
      </c>
      <c r="F254" s="183" t="s">
        <v>1592</v>
      </c>
    </row>
    <row r="255" spans="1:6" ht="12.75" thickBot="1">
      <c r="A255" s="1236"/>
      <c r="B255" s="184" t="s">
        <v>817</v>
      </c>
      <c r="C255" s="185" t="s">
        <v>1593</v>
      </c>
      <c r="D255" s="185" t="s">
        <v>1531</v>
      </c>
      <c r="E255" s="185" t="s">
        <v>1594</v>
      </c>
      <c r="F255" s="186" t="s">
        <v>1594</v>
      </c>
    </row>
    <row r="256" spans="1:6">
      <c r="A256" s="1237">
        <v>1975</v>
      </c>
      <c r="B256" s="500" t="s">
        <v>821</v>
      </c>
      <c r="C256" s="501" t="s">
        <v>1595</v>
      </c>
      <c r="D256" s="501" t="s">
        <v>1596</v>
      </c>
      <c r="E256" s="501" t="s">
        <v>1596</v>
      </c>
      <c r="F256" s="501" t="s">
        <v>1597</v>
      </c>
    </row>
    <row r="257" spans="1:6">
      <c r="A257" s="1238"/>
      <c r="B257" s="177" t="s">
        <v>824</v>
      </c>
      <c r="C257" s="179" t="s">
        <v>1598</v>
      </c>
      <c r="D257" s="179" t="s">
        <v>1599</v>
      </c>
      <c r="E257" s="179" t="s">
        <v>1600</v>
      </c>
      <c r="F257" s="179" t="s">
        <v>1601</v>
      </c>
    </row>
    <row r="258" spans="1:6">
      <c r="A258" s="1238"/>
      <c r="B258" s="177" t="s">
        <v>828</v>
      </c>
      <c r="C258" s="179" t="s">
        <v>1602</v>
      </c>
      <c r="D258" s="179" t="s">
        <v>1603</v>
      </c>
      <c r="E258" s="179" t="s">
        <v>1604</v>
      </c>
      <c r="F258" s="179" t="s">
        <v>1605</v>
      </c>
    </row>
    <row r="259" spans="1:6">
      <c r="A259" s="1238"/>
      <c r="B259" s="177" t="s">
        <v>832</v>
      </c>
      <c r="C259" s="179" t="s">
        <v>1606</v>
      </c>
      <c r="D259" s="179" t="s">
        <v>1607</v>
      </c>
      <c r="E259" s="179" t="s">
        <v>1608</v>
      </c>
      <c r="F259" s="179" t="s">
        <v>1609</v>
      </c>
    </row>
    <row r="260" spans="1:6">
      <c r="A260" s="1238"/>
      <c r="B260" s="177" t="s">
        <v>836</v>
      </c>
      <c r="C260" s="179" t="s">
        <v>1610</v>
      </c>
      <c r="D260" s="179" t="s">
        <v>1445</v>
      </c>
      <c r="E260" s="179" t="s">
        <v>1611</v>
      </c>
      <c r="F260" s="179" t="s">
        <v>1612</v>
      </c>
    </row>
    <row r="261" spans="1:6">
      <c r="A261" s="1238"/>
      <c r="B261" s="177" t="s">
        <v>840</v>
      </c>
      <c r="C261" s="179" t="s">
        <v>1613</v>
      </c>
      <c r="D261" s="179" t="s">
        <v>880</v>
      </c>
      <c r="E261" s="179" t="s">
        <v>1614</v>
      </c>
      <c r="F261" s="179" t="s">
        <v>1615</v>
      </c>
    </row>
    <row r="262" spans="1:6">
      <c r="A262" s="1238"/>
      <c r="B262" s="177" t="s">
        <v>800</v>
      </c>
      <c r="C262" s="179" t="s">
        <v>1616</v>
      </c>
      <c r="D262" s="179" t="s">
        <v>1140</v>
      </c>
      <c r="E262" s="179" t="s">
        <v>1617</v>
      </c>
      <c r="F262" s="179" t="s">
        <v>1618</v>
      </c>
    </row>
    <row r="263" spans="1:6">
      <c r="A263" s="1238"/>
      <c r="B263" s="177" t="s">
        <v>802</v>
      </c>
      <c r="C263" s="179" t="s">
        <v>1616</v>
      </c>
      <c r="D263" s="179" t="s">
        <v>1408</v>
      </c>
      <c r="E263" s="179" t="s">
        <v>1617</v>
      </c>
      <c r="F263" s="179" t="s">
        <v>1619</v>
      </c>
    </row>
    <row r="264" spans="1:6">
      <c r="A264" s="1238"/>
      <c r="B264" s="177" t="s">
        <v>805</v>
      </c>
      <c r="C264" s="179" t="s">
        <v>1620</v>
      </c>
      <c r="D264" s="179" t="s">
        <v>1621</v>
      </c>
      <c r="E264" s="179" t="s">
        <v>1622</v>
      </c>
      <c r="F264" s="179" t="s">
        <v>1623</v>
      </c>
    </row>
    <row r="265" spans="1:6">
      <c r="A265" s="1238"/>
      <c r="B265" s="177" t="s">
        <v>809</v>
      </c>
      <c r="C265" s="179" t="s">
        <v>1624</v>
      </c>
      <c r="D265" s="179" t="s">
        <v>1625</v>
      </c>
      <c r="E265" s="179" t="s">
        <v>1626</v>
      </c>
      <c r="F265" s="179" t="s">
        <v>1627</v>
      </c>
    </row>
    <row r="266" spans="1:6">
      <c r="A266" s="1238"/>
      <c r="B266" s="177" t="s">
        <v>813</v>
      </c>
      <c r="C266" s="179" t="s">
        <v>1628</v>
      </c>
      <c r="D266" s="179" t="s">
        <v>1629</v>
      </c>
      <c r="E266" s="179" t="s">
        <v>1630</v>
      </c>
      <c r="F266" s="179" t="s">
        <v>1631</v>
      </c>
    </row>
    <row r="267" spans="1:6" ht="12.75" thickBot="1">
      <c r="A267" s="1239"/>
      <c r="B267" s="187" t="s">
        <v>817</v>
      </c>
      <c r="C267" s="188" t="s">
        <v>1632</v>
      </c>
      <c r="D267" s="188" t="s">
        <v>1014</v>
      </c>
      <c r="E267" s="188" t="s">
        <v>1633</v>
      </c>
      <c r="F267" s="188" t="s">
        <v>1633</v>
      </c>
    </row>
    <row r="268" spans="1:6">
      <c r="A268" s="1234">
        <v>1976</v>
      </c>
      <c r="B268" s="180" t="s">
        <v>821</v>
      </c>
      <c r="C268" s="181" t="s">
        <v>1634</v>
      </c>
      <c r="D268" s="181" t="s">
        <v>1050</v>
      </c>
      <c r="E268" s="181" t="s">
        <v>1050</v>
      </c>
      <c r="F268" s="182" t="s">
        <v>1635</v>
      </c>
    </row>
    <row r="269" spans="1:6">
      <c r="A269" s="1235"/>
      <c r="B269" s="177" t="s">
        <v>824</v>
      </c>
      <c r="C269" s="179" t="s">
        <v>1636</v>
      </c>
      <c r="D269" s="179" t="s">
        <v>1637</v>
      </c>
      <c r="E269" s="179" t="s">
        <v>1638</v>
      </c>
      <c r="F269" s="183" t="s">
        <v>963</v>
      </c>
    </row>
    <row r="270" spans="1:6">
      <c r="A270" s="1235"/>
      <c r="B270" s="177" t="s">
        <v>828</v>
      </c>
      <c r="C270" s="179" t="s">
        <v>1639</v>
      </c>
      <c r="D270" s="179" t="s">
        <v>1640</v>
      </c>
      <c r="E270" s="179" t="s">
        <v>1641</v>
      </c>
      <c r="F270" s="183" t="s">
        <v>1642</v>
      </c>
    </row>
    <row r="271" spans="1:6">
      <c r="A271" s="1235"/>
      <c r="B271" s="177" t="s">
        <v>832</v>
      </c>
      <c r="C271" s="179" t="s">
        <v>1643</v>
      </c>
      <c r="D271" s="179" t="s">
        <v>1445</v>
      </c>
      <c r="E271" s="179" t="s">
        <v>1644</v>
      </c>
      <c r="F271" s="183" t="s">
        <v>1645</v>
      </c>
    </row>
    <row r="272" spans="1:6">
      <c r="A272" s="1235"/>
      <c r="B272" s="177" t="s">
        <v>836</v>
      </c>
      <c r="C272" s="179" t="s">
        <v>1646</v>
      </c>
      <c r="D272" s="179" t="s">
        <v>900</v>
      </c>
      <c r="E272" s="179" t="s">
        <v>1647</v>
      </c>
      <c r="F272" s="183" t="s">
        <v>1648</v>
      </c>
    </row>
    <row r="273" spans="1:6">
      <c r="A273" s="1235"/>
      <c r="B273" s="177" t="s">
        <v>840</v>
      </c>
      <c r="C273" s="179" t="s">
        <v>1649</v>
      </c>
      <c r="D273" s="179" t="s">
        <v>1607</v>
      </c>
      <c r="E273" s="179" t="s">
        <v>1650</v>
      </c>
      <c r="F273" s="183" t="s">
        <v>1651</v>
      </c>
    </row>
    <row r="274" spans="1:6">
      <c r="A274" s="1235"/>
      <c r="B274" s="177" t="s">
        <v>800</v>
      </c>
      <c r="C274" s="179" t="s">
        <v>1652</v>
      </c>
      <c r="D274" s="179" t="s">
        <v>1653</v>
      </c>
      <c r="E274" s="179" t="s">
        <v>1654</v>
      </c>
      <c r="F274" s="183" t="s">
        <v>1655</v>
      </c>
    </row>
    <row r="275" spans="1:6">
      <c r="A275" s="1235"/>
      <c r="B275" s="177" t="s">
        <v>802</v>
      </c>
      <c r="C275" s="179" t="s">
        <v>1656</v>
      </c>
      <c r="D275" s="179" t="s">
        <v>1499</v>
      </c>
      <c r="E275" s="179" t="s">
        <v>1657</v>
      </c>
      <c r="F275" s="183" t="s">
        <v>1658</v>
      </c>
    </row>
    <row r="276" spans="1:6">
      <c r="A276" s="1235"/>
      <c r="B276" s="177" t="s">
        <v>805</v>
      </c>
      <c r="C276" s="179" t="s">
        <v>1659</v>
      </c>
      <c r="D276" s="179" t="s">
        <v>1382</v>
      </c>
      <c r="E276" s="179" t="s">
        <v>1660</v>
      </c>
      <c r="F276" s="183" t="s">
        <v>1661</v>
      </c>
    </row>
    <row r="277" spans="1:6">
      <c r="A277" s="1235"/>
      <c r="B277" s="177" t="s">
        <v>809</v>
      </c>
      <c r="C277" s="179" t="s">
        <v>1662</v>
      </c>
      <c r="D277" s="179" t="s">
        <v>1083</v>
      </c>
      <c r="E277" s="179" t="s">
        <v>1663</v>
      </c>
      <c r="F277" s="183" t="s">
        <v>1664</v>
      </c>
    </row>
    <row r="278" spans="1:6">
      <c r="A278" s="1235"/>
      <c r="B278" s="177" t="s">
        <v>813</v>
      </c>
      <c r="C278" s="179" t="s">
        <v>1665</v>
      </c>
      <c r="D278" s="179" t="s">
        <v>1666</v>
      </c>
      <c r="E278" s="179" t="s">
        <v>1667</v>
      </c>
      <c r="F278" s="183" t="s">
        <v>1668</v>
      </c>
    </row>
    <row r="279" spans="1:6" ht="12.75" thickBot="1">
      <c r="A279" s="1236"/>
      <c r="B279" s="184" t="s">
        <v>817</v>
      </c>
      <c r="C279" s="185" t="s">
        <v>1669</v>
      </c>
      <c r="D279" s="185" t="s">
        <v>1181</v>
      </c>
      <c r="E279" s="185" t="s">
        <v>1670</v>
      </c>
      <c r="F279" s="186" t="s">
        <v>1670</v>
      </c>
    </row>
    <row r="280" spans="1:6">
      <c r="A280" s="1237">
        <v>1977</v>
      </c>
      <c r="B280" s="500" t="s">
        <v>821</v>
      </c>
      <c r="C280" s="501" t="s">
        <v>1671</v>
      </c>
      <c r="D280" s="501" t="s">
        <v>1672</v>
      </c>
      <c r="E280" s="501" t="s">
        <v>1672</v>
      </c>
      <c r="F280" s="501" t="s">
        <v>1673</v>
      </c>
    </row>
    <row r="281" spans="1:6">
      <c r="A281" s="1238"/>
      <c r="B281" s="177" t="s">
        <v>824</v>
      </c>
      <c r="C281" s="179" t="s">
        <v>1674</v>
      </c>
      <c r="D281" s="179" t="s">
        <v>1675</v>
      </c>
      <c r="E281" s="179" t="s">
        <v>1113</v>
      </c>
      <c r="F281" s="179" t="s">
        <v>1676</v>
      </c>
    </row>
    <row r="282" spans="1:6">
      <c r="A282" s="1238"/>
      <c r="B282" s="177" t="s">
        <v>828</v>
      </c>
      <c r="C282" s="179" t="s">
        <v>1677</v>
      </c>
      <c r="D282" s="179" t="s">
        <v>1678</v>
      </c>
      <c r="E282" s="179" t="s">
        <v>1679</v>
      </c>
      <c r="F282" s="179" t="s">
        <v>1680</v>
      </c>
    </row>
    <row r="283" spans="1:6">
      <c r="A283" s="1238"/>
      <c r="B283" s="177" t="s">
        <v>832</v>
      </c>
      <c r="C283" s="179" t="s">
        <v>1681</v>
      </c>
      <c r="D283" s="179" t="s">
        <v>1240</v>
      </c>
      <c r="E283" s="179" t="s">
        <v>1682</v>
      </c>
      <c r="F283" s="179" t="s">
        <v>1683</v>
      </c>
    </row>
    <row r="284" spans="1:6">
      <c r="A284" s="1238"/>
      <c r="B284" s="177" t="s">
        <v>836</v>
      </c>
      <c r="C284" s="179" t="s">
        <v>1684</v>
      </c>
      <c r="D284" s="179" t="s">
        <v>889</v>
      </c>
      <c r="E284" s="179" t="s">
        <v>1685</v>
      </c>
      <c r="F284" s="179" t="s">
        <v>1686</v>
      </c>
    </row>
    <row r="285" spans="1:6">
      <c r="A285" s="1238"/>
      <c r="B285" s="177" t="s">
        <v>840</v>
      </c>
      <c r="C285" s="179" t="s">
        <v>1687</v>
      </c>
      <c r="D285" s="179" t="s">
        <v>1688</v>
      </c>
      <c r="E285" s="179" t="s">
        <v>1689</v>
      </c>
      <c r="F285" s="179" t="s">
        <v>1690</v>
      </c>
    </row>
    <row r="286" spans="1:6">
      <c r="A286" s="1238"/>
      <c r="B286" s="177" t="s">
        <v>800</v>
      </c>
      <c r="C286" s="179" t="s">
        <v>1691</v>
      </c>
      <c r="D286" s="179" t="s">
        <v>1692</v>
      </c>
      <c r="E286" s="179" t="s">
        <v>1693</v>
      </c>
      <c r="F286" s="179" t="s">
        <v>1694</v>
      </c>
    </row>
    <row r="287" spans="1:6">
      <c r="A287" s="1238"/>
      <c r="B287" s="177" t="s">
        <v>802</v>
      </c>
      <c r="C287" s="179" t="s">
        <v>1695</v>
      </c>
      <c r="D287" s="179" t="s">
        <v>1696</v>
      </c>
      <c r="E287" s="179" t="s">
        <v>1697</v>
      </c>
      <c r="F287" s="179" t="s">
        <v>1698</v>
      </c>
    </row>
    <row r="288" spans="1:6">
      <c r="A288" s="1238"/>
      <c r="B288" s="177" t="s">
        <v>805</v>
      </c>
      <c r="C288" s="179" t="s">
        <v>1699</v>
      </c>
      <c r="D288" s="179" t="s">
        <v>1700</v>
      </c>
      <c r="E288" s="179" t="s">
        <v>1701</v>
      </c>
      <c r="F288" s="179" t="s">
        <v>1702</v>
      </c>
    </row>
    <row r="289" spans="1:6">
      <c r="A289" s="1238"/>
      <c r="B289" s="177" t="s">
        <v>809</v>
      </c>
      <c r="C289" s="179" t="s">
        <v>1703</v>
      </c>
      <c r="D289" s="179" t="s">
        <v>1361</v>
      </c>
      <c r="E289" s="179" t="s">
        <v>1704</v>
      </c>
      <c r="F289" s="179" t="s">
        <v>1705</v>
      </c>
    </row>
    <row r="290" spans="1:6">
      <c r="A290" s="1238"/>
      <c r="B290" s="177" t="s">
        <v>813</v>
      </c>
      <c r="C290" s="179" t="s">
        <v>1706</v>
      </c>
      <c r="D290" s="179" t="s">
        <v>1700</v>
      </c>
      <c r="E290" s="179" t="s">
        <v>1707</v>
      </c>
      <c r="F290" s="179" t="s">
        <v>1708</v>
      </c>
    </row>
    <row r="291" spans="1:6" ht="12.75" thickBot="1">
      <c r="A291" s="1239"/>
      <c r="B291" s="187" t="s">
        <v>817</v>
      </c>
      <c r="C291" s="188" t="s">
        <v>1709</v>
      </c>
      <c r="D291" s="188" t="s">
        <v>941</v>
      </c>
      <c r="E291" s="188" t="s">
        <v>1710</v>
      </c>
      <c r="F291" s="188" t="s">
        <v>1710</v>
      </c>
    </row>
    <row r="292" spans="1:6">
      <c r="A292" s="1234">
        <v>1978</v>
      </c>
      <c r="B292" s="180" t="s">
        <v>821</v>
      </c>
      <c r="C292" s="181" t="s">
        <v>1711</v>
      </c>
      <c r="D292" s="181" t="s">
        <v>1460</v>
      </c>
      <c r="E292" s="181" t="s">
        <v>1460</v>
      </c>
      <c r="F292" s="182" t="s">
        <v>1712</v>
      </c>
    </row>
    <row r="293" spans="1:6">
      <c r="A293" s="1235"/>
      <c r="B293" s="177" t="s">
        <v>824</v>
      </c>
      <c r="C293" s="179" t="s">
        <v>1713</v>
      </c>
      <c r="D293" s="179" t="s">
        <v>1195</v>
      </c>
      <c r="E293" s="179" t="s">
        <v>1557</v>
      </c>
      <c r="F293" s="183" t="s">
        <v>1618</v>
      </c>
    </row>
    <row r="294" spans="1:6">
      <c r="A294" s="1235"/>
      <c r="B294" s="177" t="s">
        <v>828</v>
      </c>
      <c r="C294" s="179" t="s">
        <v>1714</v>
      </c>
      <c r="D294" s="179" t="s">
        <v>1715</v>
      </c>
      <c r="E294" s="179" t="s">
        <v>1092</v>
      </c>
      <c r="F294" s="183" t="s">
        <v>1716</v>
      </c>
    </row>
    <row r="295" spans="1:6">
      <c r="A295" s="1235"/>
      <c r="B295" s="177" t="s">
        <v>832</v>
      </c>
      <c r="C295" s="179" t="s">
        <v>1717</v>
      </c>
      <c r="D295" s="179" t="s">
        <v>1718</v>
      </c>
      <c r="E295" s="179" t="s">
        <v>1719</v>
      </c>
      <c r="F295" s="183" t="s">
        <v>1720</v>
      </c>
    </row>
    <row r="296" spans="1:6">
      <c r="A296" s="1235"/>
      <c r="B296" s="177" t="s">
        <v>836</v>
      </c>
      <c r="C296" s="179" t="s">
        <v>1721</v>
      </c>
      <c r="D296" s="179" t="s">
        <v>1722</v>
      </c>
      <c r="E296" s="179" t="s">
        <v>1723</v>
      </c>
      <c r="F296" s="183" t="s">
        <v>1724</v>
      </c>
    </row>
    <row r="297" spans="1:6">
      <c r="A297" s="1235"/>
      <c r="B297" s="177" t="s">
        <v>840</v>
      </c>
      <c r="C297" s="179" t="s">
        <v>1725</v>
      </c>
      <c r="D297" s="179" t="s">
        <v>1557</v>
      </c>
      <c r="E297" s="179" t="s">
        <v>1726</v>
      </c>
      <c r="F297" s="183" t="s">
        <v>1727</v>
      </c>
    </row>
    <row r="298" spans="1:6">
      <c r="A298" s="1235"/>
      <c r="B298" s="177" t="s">
        <v>800</v>
      </c>
      <c r="C298" s="179" t="s">
        <v>1728</v>
      </c>
      <c r="D298" s="179" t="s">
        <v>1729</v>
      </c>
      <c r="E298" s="179" t="s">
        <v>1730</v>
      </c>
      <c r="F298" s="183" t="s">
        <v>1731</v>
      </c>
    </row>
    <row r="299" spans="1:6">
      <c r="A299" s="1235"/>
      <c r="B299" s="177" t="s">
        <v>802</v>
      </c>
      <c r="C299" s="179" t="s">
        <v>1732</v>
      </c>
      <c r="D299" s="179" t="s">
        <v>1700</v>
      </c>
      <c r="E299" s="179" t="s">
        <v>1733</v>
      </c>
      <c r="F299" s="183" t="s">
        <v>1569</v>
      </c>
    </row>
    <row r="300" spans="1:6">
      <c r="A300" s="1235"/>
      <c r="B300" s="177" t="s">
        <v>805</v>
      </c>
      <c r="C300" s="179" t="s">
        <v>1734</v>
      </c>
      <c r="D300" s="179" t="s">
        <v>1080</v>
      </c>
      <c r="E300" s="179" t="s">
        <v>1735</v>
      </c>
      <c r="F300" s="183" t="s">
        <v>1736</v>
      </c>
    </row>
    <row r="301" spans="1:6">
      <c r="A301" s="1235"/>
      <c r="B301" s="177" t="s">
        <v>809</v>
      </c>
      <c r="C301" s="179" t="s">
        <v>1737</v>
      </c>
      <c r="D301" s="179" t="s">
        <v>1738</v>
      </c>
      <c r="E301" s="179" t="s">
        <v>1739</v>
      </c>
      <c r="F301" s="183" t="s">
        <v>1740</v>
      </c>
    </row>
    <row r="302" spans="1:6">
      <c r="A302" s="1235"/>
      <c r="B302" s="177" t="s">
        <v>813</v>
      </c>
      <c r="C302" s="179" t="s">
        <v>1741</v>
      </c>
      <c r="D302" s="179" t="s">
        <v>1266</v>
      </c>
      <c r="E302" s="179" t="s">
        <v>1742</v>
      </c>
      <c r="F302" s="183" t="s">
        <v>1584</v>
      </c>
    </row>
    <row r="303" spans="1:6" ht="12.75" thickBot="1">
      <c r="A303" s="1236"/>
      <c r="B303" s="184" t="s">
        <v>817</v>
      </c>
      <c r="C303" s="185" t="s">
        <v>1743</v>
      </c>
      <c r="D303" s="185" t="s">
        <v>1590</v>
      </c>
      <c r="E303" s="185" t="s">
        <v>1744</v>
      </c>
      <c r="F303" s="186" t="s">
        <v>1744</v>
      </c>
    </row>
    <row r="304" spans="1:6">
      <c r="A304" s="1237">
        <v>1979</v>
      </c>
      <c r="B304" s="500" t="s">
        <v>821</v>
      </c>
      <c r="C304" s="501" t="s">
        <v>1745</v>
      </c>
      <c r="D304" s="501" t="s">
        <v>1134</v>
      </c>
      <c r="E304" s="501" t="s">
        <v>1134</v>
      </c>
      <c r="F304" s="501" t="s">
        <v>1746</v>
      </c>
    </row>
    <row r="305" spans="1:6">
      <c r="A305" s="1238"/>
      <c r="B305" s="177" t="s">
        <v>824</v>
      </c>
      <c r="C305" s="179" t="s">
        <v>1747</v>
      </c>
      <c r="D305" s="179" t="s">
        <v>1748</v>
      </c>
      <c r="E305" s="179" t="s">
        <v>1749</v>
      </c>
      <c r="F305" s="179" t="s">
        <v>1750</v>
      </c>
    </row>
    <row r="306" spans="1:6">
      <c r="A306" s="1238"/>
      <c r="B306" s="177" t="s">
        <v>828</v>
      </c>
      <c r="C306" s="179" t="s">
        <v>1751</v>
      </c>
      <c r="D306" s="179" t="s">
        <v>1752</v>
      </c>
      <c r="E306" s="179" t="s">
        <v>1283</v>
      </c>
      <c r="F306" s="179" t="s">
        <v>1753</v>
      </c>
    </row>
    <row r="307" spans="1:6">
      <c r="A307" s="1238"/>
      <c r="B307" s="177" t="s">
        <v>832</v>
      </c>
      <c r="C307" s="179" t="s">
        <v>1754</v>
      </c>
      <c r="D307" s="179" t="s">
        <v>1445</v>
      </c>
      <c r="E307" s="179" t="s">
        <v>1755</v>
      </c>
      <c r="F307" s="179" t="s">
        <v>1756</v>
      </c>
    </row>
    <row r="308" spans="1:6">
      <c r="A308" s="1238"/>
      <c r="B308" s="177" t="s">
        <v>836</v>
      </c>
      <c r="C308" s="179" t="s">
        <v>1757</v>
      </c>
      <c r="D308" s="179" t="s">
        <v>1758</v>
      </c>
      <c r="E308" s="179" t="s">
        <v>974</v>
      </c>
      <c r="F308" s="179" t="s">
        <v>1759</v>
      </c>
    </row>
    <row r="309" spans="1:6">
      <c r="A309" s="1238"/>
      <c r="B309" s="177" t="s">
        <v>840</v>
      </c>
      <c r="C309" s="179" t="s">
        <v>1760</v>
      </c>
      <c r="D309" s="179" t="s">
        <v>1599</v>
      </c>
      <c r="E309" s="179" t="s">
        <v>1761</v>
      </c>
      <c r="F309" s="179" t="s">
        <v>1762</v>
      </c>
    </row>
    <row r="310" spans="1:6">
      <c r="A310" s="1238"/>
      <c r="B310" s="177" t="s">
        <v>800</v>
      </c>
      <c r="C310" s="179" t="s">
        <v>1763</v>
      </c>
      <c r="D310" s="179" t="s">
        <v>1046</v>
      </c>
      <c r="E310" s="179" t="s">
        <v>1764</v>
      </c>
      <c r="F310" s="179" t="s">
        <v>1765</v>
      </c>
    </row>
    <row r="311" spans="1:6">
      <c r="A311" s="1238"/>
      <c r="B311" s="177" t="s">
        <v>802</v>
      </c>
      <c r="C311" s="179" t="s">
        <v>1766</v>
      </c>
      <c r="D311" s="179" t="s">
        <v>1767</v>
      </c>
      <c r="E311" s="179" t="s">
        <v>1768</v>
      </c>
      <c r="F311" s="179" t="s">
        <v>1769</v>
      </c>
    </row>
    <row r="312" spans="1:6">
      <c r="A312" s="1238"/>
      <c r="B312" s="177" t="s">
        <v>805</v>
      </c>
      <c r="C312" s="179" t="s">
        <v>1770</v>
      </c>
      <c r="D312" s="179" t="s">
        <v>1771</v>
      </c>
      <c r="E312" s="179" t="s">
        <v>1772</v>
      </c>
      <c r="F312" s="179" t="s">
        <v>1773</v>
      </c>
    </row>
    <row r="313" spans="1:6">
      <c r="A313" s="1238"/>
      <c r="B313" s="177" t="s">
        <v>809</v>
      </c>
      <c r="C313" s="179" t="s">
        <v>1774</v>
      </c>
      <c r="D313" s="179" t="s">
        <v>1416</v>
      </c>
      <c r="E313" s="179" t="s">
        <v>1775</v>
      </c>
      <c r="F313" s="179" t="s">
        <v>1776</v>
      </c>
    </row>
    <row r="314" spans="1:6">
      <c r="A314" s="1238"/>
      <c r="B314" s="177" t="s">
        <v>813</v>
      </c>
      <c r="C314" s="178">
        <v>100773</v>
      </c>
      <c r="D314" s="179" t="s">
        <v>1777</v>
      </c>
      <c r="E314" s="179" t="s">
        <v>1563</v>
      </c>
      <c r="F314" s="179" t="s">
        <v>1778</v>
      </c>
    </row>
    <row r="315" spans="1:6" ht="12.75" thickBot="1">
      <c r="A315" s="1239"/>
      <c r="B315" s="187" t="s">
        <v>817</v>
      </c>
      <c r="C315" s="504">
        <v>102443</v>
      </c>
      <c r="D315" s="188" t="s">
        <v>1385</v>
      </c>
      <c r="E315" s="188" t="s">
        <v>1779</v>
      </c>
      <c r="F315" s="188" t="s">
        <v>1779</v>
      </c>
    </row>
    <row r="316" spans="1:6">
      <c r="A316" s="1234">
        <v>1980</v>
      </c>
      <c r="B316" s="180" t="s">
        <v>821</v>
      </c>
      <c r="C316" s="506">
        <v>104830</v>
      </c>
      <c r="D316" s="181" t="s">
        <v>1780</v>
      </c>
      <c r="E316" s="181" t="s">
        <v>1780</v>
      </c>
      <c r="F316" s="182" t="s">
        <v>1781</v>
      </c>
    </row>
    <row r="317" spans="1:6">
      <c r="A317" s="1235"/>
      <c r="B317" s="177" t="s">
        <v>824</v>
      </c>
      <c r="C317" s="178">
        <v>105943</v>
      </c>
      <c r="D317" s="179" t="s">
        <v>1782</v>
      </c>
      <c r="E317" s="179" t="s">
        <v>1783</v>
      </c>
      <c r="F317" s="183" t="s">
        <v>1784</v>
      </c>
    </row>
    <row r="318" spans="1:6">
      <c r="A318" s="1235"/>
      <c r="B318" s="177" t="s">
        <v>828</v>
      </c>
      <c r="C318" s="178">
        <v>108170</v>
      </c>
      <c r="D318" s="179" t="s">
        <v>866</v>
      </c>
      <c r="E318" s="179" t="s">
        <v>1785</v>
      </c>
      <c r="F318" s="183" t="s">
        <v>1786</v>
      </c>
    </row>
    <row r="319" spans="1:6">
      <c r="A319" s="1235"/>
      <c r="B319" s="177" t="s">
        <v>832</v>
      </c>
      <c r="C319" s="178">
        <v>112306</v>
      </c>
      <c r="D319" s="179" t="s">
        <v>1137</v>
      </c>
      <c r="E319" s="179" t="s">
        <v>1787</v>
      </c>
      <c r="F319" s="183" t="s">
        <v>1788</v>
      </c>
    </row>
    <row r="320" spans="1:6">
      <c r="A320" s="1235"/>
      <c r="B320" s="177" t="s">
        <v>836</v>
      </c>
      <c r="C320" s="178">
        <v>116203</v>
      </c>
      <c r="D320" s="179" t="s">
        <v>1789</v>
      </c>
      <c r="E320" s="179" t="s">
        <v>1790</v>
      </c>
      <c r="F320" s="183" t="s">
        <v>1791</v>
      </c>
    </row>
    <row r="321" spans="1:6">
      <c r="A321" s="1235"/>
      <c r="B321" s="177" t="s">
        <v>840</v>
      </c>
      <c r="C321" s="178">
        <v>117635</v>
      </c>
      <c r="D321" s="179" t="s">
        <v>937</v>
      </c>
      <c r="E321" s="179" t="s">
        <v>1792</v>
      </c>
      <c r="F321" s="183" t="s">
        <v>1793</v>
      </c>
    </row>
    <row r="322" spans="1:6">
      <c r="A322" s="1235"/>
      <c r="B322" s="177" t="s">
        <v>800</v>
      </c>
      <c r="C322" s="178">
        <v>118828</v>
      </c>
      <c r="D322" s="179" t="s">
        <v>1692</v>
      </c>
      <c r="E322" s="179" t="s">
        <v>1794</v>
      </c>
      <c r="F322" s="183" t="s">
        <v>1795</v>
      </c>
    </row>
    <row r="323" spans="1:6">
      <c r="A323" s="1235"/>
      <c r="B323" s="177" t="s">
        <v>802</v>
      </c>
      <c r="C323" s="178">
        <v>119783</v>
      </c>
      <c r="D323" s="179" t="s">
        <v>1358</v>
      </c>
      <c r="E323" s="179" t="s">
        <v>1796</v>
      </c>
      <c r="F323" s="183" t="s">
        <v>1797</v>
      </c>
    </row>
    <row r="324" spans="1:6">
      <c r="A324" s="1235"/>
      <c r="B324" s="177" t="s">
        <v>805</v>
      </c>
      <c r="C324" s="178">
        <v>121771</v>
      </c>
      <c r="D324" s="179" t="s">
        <v>1385</v>
      </c>
      <c r="E324" s="179" t="s">
        <v>1798</v>
      </c>
      <c r="F324" s="183" t="s">
        <v>1799</v>
      </c>
    </row>
    <row r="325" spans="1:6">
      <c r="A325" s="1235"/>
      <c r="B325" s="177" t="s">
        <v>809</v>
      </c>
      <c r="C325" s="178">
        <v>124475</v>
      </c>
      <c r="D325" s="179" t="s">
        <v>1170</v>
      </c>
      <c r="E325" s="179" t="s">
        <v>1800</v>
      </c>
      <c r="F325" s="183" t="s">
        <v>1168</v>
      </c>
    </row>
    <row r="326" spans="1:6">
      <c r="A326" s="1235"/>
      <c r="B326" s="177" t="s">
        <v>813</v>
      </c>
      <c r="C326" s="178">
        <v>127179</v>
      </c>
      <c r="D326" s="179" t="s">
        <v>1548</v>
      </c>
      <c r="E326" s="179" t="s">
        <v>1801</v>
      </c>
      <c r="F326" s="183" t="s">
        <v>1802</v>
      </c>
    </row>
    <row r="327" spans="1:6" ht="12.75" thickBot="1">
      <c r="A327" s="1236"/>
      <c r="B327" s="184" t="s">
        <v>817</v>
      </c>
      <c r="C327" s="507">
        <v>128929</v>
      </c>
      <c r="D327" s="185" t="s">
        <v>1456</v>
      </c>
      <c r="E327" s="185" t="s">
        <v>1803</v>
      </c>
      <c r="F327" s="186" t="s">
        <v>1803</v>
      </c>
    </row>
    <row r="328" spans="1:6">
      <c r="A328" s="1237">
        <v>1981</v>
      </c>
      <c r="B328" s="500" t="s">
        <v>821</v>
      </c>
      <c r="C328" s="505">
        <v>131737</v>
      </c>
      <c r="D328" s="501" t="s">
        <v>1804</v>
      </c>
      <c r="E328" s="501" t="s">
        <v>1804</v>
      </c>
      <c r="F328" s="501" t="s">
        <v>1805</v>
      </c>
    </row>
    <row r="329" spans="1:6">
      <c r="A329" s="1238"/>
      <c r="B329" s="177" t="s">
        <v>824</v>
      </c>
      <c r="C329" s="178">
        <v>135602</v>
      </c>
      <c r="D329" s="179" t="s">
        <v>1806</v>
      </c>
      <c r="E329" s="179" t="s">
        <v>1807</v>
      </c>
      <c r="F329" s="179" t="s">
        <v>1808</v>
      </c>
    </row>
    <row r="330" spans="1:6">
      <c r="A330" s="1238"/>
      <c r="B330" s="177" t="s">
        <v>828</v>
      </c>
      <c r="C330" s="178">
        <v>139341</v>
      </c>
      <c r="D330" s="179" t="s">
        <v>1809</v>
      </c>
      <c r="E330" s="179" t="s">
        <v>997</v>
      </c>
      <c r="F330" s="179" t="s">
        <v>1810</v>
      </c>
    </row>
    <row r="331" spans="1:6">
      <c r="A331" s="1238"/>
      <c r="B331" s="177" t="s">
        <v>832</v>
      </c>
      <c r="C331" s="178">
        <v>142681</v>
      </c>
      <c r="D331" s="179" t="s">
        <v>1811</v>
      </c>
      <c r="E331" s="179" t="s">
        <v>1812</v>
      </c>
      <c r="F331" s="179" t="s">
        <v>1813</v>
      </c>
    </row>
    <row r="332" spans="1:6">
      <c r="A332" s="1238"/>
      <c r="B332" s="177" t="s">
        <v>836</v>
      </c>
      <c r="C332" s="178">
        <v>146435</v>
      </c>
      <c r="D332" s="179" t="s">
        <v>1128</v>
      </c>
      <c r="E332" s="179" t="s">
        <v>1814</v>
      </c>
      <c r="F332" s="179" t="s">
        <v>1815</v>
      </c>
    </row>
    <row r="333" spans="1:6">
      <c r="A333" s="1238"/>
      <c r="B333" s="177" t="s">
        <v>840</v>
      </c>
      <c r="C333" s="178">
        <v>150420</v>
      </c>
      <c r="D333" s="179" t="s">
        <v>933</v>
      </c>
      <c r="E333" s="179" t="s">
        <v>1816</v>
      </c>
      <c r="F333" s="179" t="s">
        <v>1817</v>
      </c>
    </row>
    <row r="334" spans="1:6">
      <c r="A334" s="1238"/>
      <c r="B334" s="177" t="s">
        <v>800</v>
      </c>
      <c r="C334" s="178">
        <v>153204</v>
      </c>
      <c r="D334" s="179" t="s">
        <v>1242</v>
      </c>
      <c r="E334" s="179" t="s">
        <v>1818</v>
      </c>
      <c r="F334" s="179" t="s">
        <v>1819</v>
      </c>
    </row>
    <row r="335" spans="1:6">
      <c r="A335" s="1238"/>
      <c r="B335" s="177" t="s">
        <v>802</v>
      </c>
      <c r="C335" s="178">
        <v>155145</v>
      </c>
      <c r="D335" s="179" t="s">
        <v>1820</v>
      </c>
      <c r="E335" s="179" t="s">
        <v>1821</v>
      </c>
      <c r="F335" s="179" t="s">
        <v>1822</v>
      </c>
    </row>
    <row r="336" spans="1:6">
      <c r="A336" s="1238"/>
      <c r="B336" s="177" t="s">
        <v>805</v>
      </c>
      <c r="C336" s="178">
        <v>156266</v>
      </c>
      <c r="D336" s="179" t="s">
        <v>1823</v>
      </c>
      <c r="E336" s="179" t="s">
        <v>1824</v>
      </c>
      <c r="F336" s="179" t="s">
        <v>1825</v>
      </c>
    </row>
    <row r="337" spans="1:6">
      <c r="A337" s="1238"/>
      <c r="B337" s="177" t="s">
        <v>809</v>
      </c>
      <c r="C337" s="178">
        <v>158207</v>
      </c>
      <c r="D337" s="179" t="s">
        <v>1166</v>
      </c>
      <c r="E337" s="179" t="s">
        <v>1759</v>
      </c>
      <c r="F337" s="179" t="s">
        <v>1826</v>
      </c>
    </row>
    <row r="338" spans="1:6">
      <c r="A338" s="1238"/>
      <c r="B338" s="177" t="s">
        <v>813</v>
      </c>
      <c r="C338" s="178">
        <v>160696</v>
      </c>
      <c r="D338" s="179" t="s">
        <v>1827</v>
      </c>
      <c r="E338" s="179" t="s">
        <v>1828</v>
      </c>
      <c r="F338" s="179" t="s">
        <v>1594</v>
      </c>
    </row>
    <row r="339" spans="1:6" ht="12.75" thickBot="1">
      <c r="A339" s="1239"/>
      <c r="B339" s="187" t="s">
        <v>817</v>
      </c>
      <c r="C339" s="504">
        <v>163043</v>
      </c>
      <c r="D339" s="188" t="s">
        <v>1195</v>
      </c>
      <c r="E339" s="188" t="s">
        <v>1597</v>
      </c>
      <c r="F339" s="188" t="s">
        <v>1597</v>
      </c>
    </row>
    <row r="340" spans="1:6">
      <c r="A340" s="1234">
        <v>1982</v>
      </c>
      <c r="B340" s="180" t="s">
        <v>821</v>
      </c>
      <c r="C340" s="506">
        <v>166033</v>
      </c>
      <c r="D340" s="181" t="s">
        <v>1445</v>
      </c>
      <c r="E340" s="181" t="s">
        <v>1445</v>
      </c>
      <c r="F340" s="182" t="s">
        <v>1829</v>
      </c>
    </row>
    <row r="341" spans="1:6">
      <c r="A341" s="1235"/>
      <c r="B341" s="177" t="s">
        <v>824</v>
      </c>
      <c r="C341" s="178">
        <v>169644</v>
      </c>
      <c r="D341" s="179" t="s">
        <v>1548</v>
      </c>
      <c r="E341" s="179" t="s">
        <v>1830</v>
      </c>
      <c r="F341" s="183" t="s">
        <v>1831</v>
      </c>
    </row>
    <row r="342" spans="1:6">
      <c r="A342" s="1235"/>
      <c r="B342" s="177" t="s">
        <v>828</v>
      </c>
      <c r="C342" s="178">
        <v>173549</v>
      </c>
      <c r="D342" s="179" t="s">
        <v>1722</v>
      </c>
      <c r="E342" s="179" t="s">
        <v>1026</v>
      </c>
      <c r="F342" s="183" t="s">
        <v>1832</v>
      </c>
    </row>
    <row r="343" spans="1:6">
      <c r="A343" s="1235"/>
      <c r="B343" s="177" t="s">
        <v>832</v>
      </c>
      <c r="C343" s="178">
        <v>178027</v>
      </c>
      <c r="D343" s="179" t="s">
        <v>1833</v>
      </c>
      <c r="E343" s="179" t="s">
        <v>1834</v>
      </c>
      <c r="F343" s="183" t="s">
        <v>1835</v>
      </c>
    </row>
    <row r="344" spans="1:6">
      <c r="A344" s="1235"/>
      <c r="B344" s="177" t="s">
        <v>836</v>
      </c>
      <c r="C344" s="178">
        <v>182728</v>
      </c>
      <c r="D344" s="179" t="s">
        <v>1836</v>
      </c>
      <c r="E344" s="179" t="s">
        <v>1837</v>
      </c>
      <c r="F344" s="183" t="s">
        <v>1536</v>
      </c>
    </row>
    <row r="345" spans="1:6">
      <c r="A345" s="1235"/>
      <c r="B345" s="177" t="s">
        <v>840</v>
      </c>
      <c r="C345" s="178">
        <v>186808</v>
      </c>
      <c r="D345" s="179" t="s">
        <v>1838</v>
      </c>
      <c r="E345" s="179" t="s">
        <v>1839</v>
      </c>
      <c r="F345" s="183" t="s">
        <v>1840</v>
      </c>
    </row>
    <row r="346" spans="1:6">
      <c r="A346" s="1235"/>
      <c r="B346" s="177" t="s">
        <v>800</v>
      </c>
      <c r="C346" s="178">
        <v>189266</v>
      </c>
      <c r="D346" s="179" t="s">
        <v>913</v>
      </c>
      <c r="E346" s="179" t="s">
        <v>1841</v>
      </c>
      <c r="F346" s="183" t="s">
        <v>1842</v>
      </c>
    </row>
    <row r="347" spans="1:6">
      <c r="A347" s="1235"/>
      <c r="B347" s="177" t="s">
        <v>802</v>
      </c>
      <c r="C347" s="178">
        <v>191541</v>
      </c>
      <c r="D347" s="179" t="s">
        <v>1449</v>
      </c>
      <c r="E347" s="179" t="s">
        <v>1843</v>
      </c>
      <c r="F347" s="183" t="s">
        <v>1844</v>
      </c>
    </row>
    <row r="348" spans="1:6">
      <c r="A348" s="1235"/>
      <c r="B348" s="177" t="s">
        <v>805</v>
      </c>
      <c r="C348" s="178">
        <v>194587</v>
      </c>
      <c r="D348" s="179" t="s">
        <v>1845</v>
      </c>
      <c r="E348" s="179" t="s">
        <v>1846</v>
      </c>
      <c r="F348" s="183" t="s">
        <v>1847</v>
      </c>
    </row>
    <row r="349" spans="1:6">
      <c r="A349" s="1235"/>
      <c r="B349" s="177" t="s">
        <v>809</v>
      </c>
      <c r="C349" s="178">
        <v>198174</v>
      </c>
      <c r="D349" s="179" t="s">
        <v>1748</v>
      </c>
      <c r="E349" s="179" t="s">
        <v>1848</v>
      </c>
      <c r="F349" s="183" t="s">
        <v>1849</v>
      </c>
    </row>
    <row r="350" spans="1:6">
      <c r="A350" s="1235"/>
      <c r="B350" s="177" t="s">
        <v>813</v>
      </c>
      <c r="C350" s="178">
        <v>200528</v>
      </c>
      <c r="D350" s="179" t="s">
        <v>1568</v>
      </c>
      <c r="E350" s="179" t="s">
        <v>1850</v>
      </c>
      <c r="F350" s="183" t="s">
        <v>1851</v>
      </c>
    </row>
    <row r="351" spans="1:6" ht="12.75" thickBot="1">
      <c r="A351" s="1236"/>
      <c r="B351" s="184" t="s">
        <v>817</v>
      </c>
      <c r="C351" s="507">
        <v>202222</v>
      </c>
      <c r="D351" s="185" t="s">
        <v>853</v>
      </c>
      <c r="E351" s="185" t="s">
        <v>1852</v>
      </c>
      <c r="F351" s="186" t="s">
        <v>1852</v>
      </c>
    </row>
    <row r="352" spans="1:6">
      <c r="A352" s="1237">
        <v>1983</v>
      </c>
      <c r="B352" s="500" t="s">
        <v>821</v>
      </c>
      <c r="C352" s="505">
        <v>204346</v>
      </c>
      <c r="D352" s="501" t="s">
        <v>1345</v>
      </c>
      <c r="E352" s="501" t="s">
        <v>1345</v>
      </c>
      <c r="F352" s="501" t="s">
        <v>1853</v>
      </c>
    </row>
    <row r="353" spans="1:6">
      <c r="A353" s="1238"/>
      <c r="B353" s="177" t="s">
        <v>824</v>
      </c>
      <c r="C353" s="178">
        <v>206764</v>
      </c>
      <c r="D353" s="179" t="s">
        <v>910</v>
      </c>
      <c r="E353" s="179" t="s">
        <v>1672</v>
      </c>
      <c r="F353" s="179" t="s">
        <v>1854</v>
      </c>
    </row>
    <row r="354" spans="1:6">
      <c r="A354" s="1238"/>
      <c r="B354" s="177" t="s">
        <v>828</v>
      </c>
      <c r="C354" s="178">
        <v>211465</v>
      </c>
      <c r="D354" s="179" t="s">
        <v>1417</v>
      </c>
      <c r="E354" s="179" t="s">
        <v>1255</v>
      </c>
      <c r="F354" s="179" t="s">
        <v>1855</v>
      </c>
    </row>
    <row r="355" spans="1:6">
      <c r="A355" s="1238"/>
      <c r="B355" s="177" t="s">
        <v>832</v>
      </c>
      <c r="C355" s="178">
        <v>217939</v>
      </c>
      <c r="D355" s="179" t="s">
        <v>1053</v>
      </c>
      <c r="E355" s="179" t="s">
        <v>1856</v>
      </c>
      <c r="F355" s="179" t="s">
        <v>1857</v>
      </c>
    </row>
    <row r="356" spans="1:6">
      <c r="A356" s="1238"/>
      <c r="B356" s="177" t="s">
        <v>836</v>
      </c>
      <c r="C356" s="178">
        <v>223435</v>
      </c>
      <c r="D356" s="179" t="s">
        <v>914</v>
      </c>
      <c r="E356" s="179" t="s">
        <v>1858</v>
      </c>
      <c r="F356" s="179" t="s">
        <v>1859</v>
      </c>
    </row>
    <row r="357" spans="1:6">
      <c r="A357" s="1238"/>
      <c r="B357" s="177" t="s">
        <v>840</v>
      </c>
      <c r="C357" s="178">
        <v>225034</v>
      </c>
      <c r="D357" s="179" t="s">
        <v>1823</v>
      </c>
      <c r="E357" s="179" t="s">
        <v>1860</v>
      </c>
      <c r="F357" s="179" t="s">
        <v>1861</v>
      </c>
    </row>
    <row r="358" spans="1:6">
      <c r="A358" s="1238"/>
      <c r="B358" s="177" t="s">
        <v>800</v>
      </c>
      <c r="C358" s="178">
        <v>226783</v>
      </c>
      <c r="D358" s="179" t="s">
        <v>888</v>
      </c>
      <c r="E358" s="179" t="s">
        <v>1862</v>
      </c>
      <c r="F358" s="179" t="s">
        <v>1863</v>
      </c>
    </row>
    <row r="359" spans="1:6">
      <c r="A359" s="1238"/>
      <c r="B359" s="177" t="s">
        <v>802</v>
      </c>
      <c r="C359" s="178">
        <v>226624</v>
      </c>
      <c r="D359" s="179" t="s">
        <v>1864</v>
      </c>
      <c r="E359" s="179" t="s">
        <v>1837</v>
      </c>
      <c r="F359" s="179" t="s">
        <v>1865</v>
      </c>
    </row>
    <row r="360" spans="1:6">
      <c r="A360" s="1238"/>
      <c r="B360" s="177" t="s">
        <v>805</v>
      </c>
      <c r="C360" s="178">
        <v>228494</v>
      </c>
      <c r="D360" s="179" t="s">
        <v>1231</v>
      </c>
      <c r="E360" s="179" t="s">
        <v>1866</v>
      </c>
      <c r="F360" s="179" t="s">
        <v>1867</v>
      </c>
    </row>
    <row r="361" spans="1:6">
      <c r="A361" s="1238"/>
      <c r="B361" s="177" t="s">
        <v>809</v>
      </c>
      <c r="C361" s="178">
        <v>232264</v>
      </c>
      <c r="D361" s="179" t="s">
        <v>1868</v>
      </c>
      <c r="E361" s="179" t="s">
        <v>1869</v>
      </c>
      <c r="F361" s="179" t="s">
        <v>1870</v>
      </c>
    </row>
    <row r="362" spans="1:6">
      <c r="A362" s="1238"/>
      <c r="B362" s="177" t="s">
        <v>813</v>
      </c>
      <c r="C362" s="178">
        <v>234705</v>
      </c>
      <c r="D362" s="179" t="s">
        <v>1345</v>
      </c>
      <c r="E362" s="179" t="s">
        <v>1871</v>
      </c>
      <c r="F362" s="179" t="s">
        <v>1295</v>
      </c>
    </row>
    <row r="363" spans="1:6" ht="12.75" thickBot="1">
      <c r="A363" s="1239"/>
      <c r="B363" s="187" t="s">
        <v>817</v>
      </c>
      <c r="C363" s="504">
        <v>235867</v>
      </c>
      <c r="D363" s="188" t="s">
        <v>1872</v>
      </c>
      <c r="E363" s="188" t="s">
        <v>1873</v>
      </c>
      <c r="F363" s="188" t="s">
        <v>1873</v>
      </c>
    </row>
    <row r="364" spans="1:6">
      <c r="A364" s="1234">
        <v>1984</v>
      </c>
      <c r="B364" s="180" t="s">
        <v>821</v>
      </c>
      <c r="C364" s="506">
        <v>239136</v>
      </c>
      <c r="D364" s="181" t="s">
        <v>1416</v>
      </c>
      <c r="E364" s="181" t="s">
        <v>1416</v>
      </c>
      <c r="F364" s="182" t="s">
        <v>1874</v>
      </c>
    </row>
    <row r="365" spans="1:6">
      <c r="A365" s="1235"/>
      <c r="B365" s="177" t="s">
        <v>824</v>
      </c>
      <c r="C365" s="178">
        <v>242333</v>
      </c>
      <c r="D365" s="179" t="s">
        <v>1875</v>
      </c>
      <c r="E365" s="179" t="s">
        <v>1603</v>
      </c>
      <c r="F365" s="183" t="s">
        <v>1870</v>
      </c>
    </row>
    <row r="366" spans="1:6">
      <c r="A366" s="1235"/>
      <c r="B366" s="177" t="s">
        <v>828</v>
      </c>
      <c r="C366" s="178">
        <v>246644</v>
      </c>
      <c r="D366" s="179" t="s">
        <v>1876</v>
      </c>
      <c r="E366" s="179" t="s">
        <v>1255</v>
      </c>
      <c r="F366" s="183" t="s">
        <v>1873</v>
      </c>
    </row>
    <row r="367" spans="1:6">
      <c r="A367" s="1235"/>
      <c r="B367" s="177" t="s">
        <v>832</v>
      </c>
      <c r="C367" s="178">
        <v>251543</v>
      </c>
      <c r="D367" s="179" t="s">
        <v>969</v>
      </c>
      <c r="E367" s="179" t="s">
        <v>1372</v>
      </c>
      <c r="F367" s="183" t="s">
        <v>1877</v>
      </c>
    </row>
    <row r="368" spans="1:6">
      <c r="A368" s="1235"/>
      <c r="B368" s="177" t="s">
        <v>836</v>
      </c>
      <c r="C368" s="178">
        <v>255075</v>
      </c>
      <c r="D368" s="179" t="s">
        <v>1266</v>
      </c>
      <c r="E368" s="179" t="s">
        <v>1878</v>
      </c>
      <c r="F368" s="183" t="s">
        <v>1879</v>
      </c>
    </row>
    <row r="369" spans="1:6">
      <c r="A369" s="1235"/>
      <c r="B369" s="177" t="s">
        <v>840</v>
      </c>
      <c r="C369" s="178">
        <v>259171</v>
      </c>
      <c r="D369" s="179" t="s">
        <v>1083</v>
      </c>
      <c r="E369" s="179" t="s">
        <v>1880</v>
      </c>
      <c r="F369" s="183" t="s">
        <v>1881</v>
      </c>
    </row>
    <row r="370" spans="1:6">
      <c r="A370" s="1235"/>
      <c r="B370" s="177" t="s">
        <v>800</v>
      </c>
      <c r="C370" s="178">
        <v>262328</v>
      </c>
      <c r="D370" s="179" t="s">
        <v>1882</v>
      </c>
      <c r="E370" s="179" t="s">
        <v>1883</v>
      </c>
      <c r="F370" s="183" t="s">
        <v>1884</v>
      </c>
    </row>
    <row r="371" spans="1:6">
      <c r="A371" s="1235"/>
      <c r="B371" s="177" t="s">
        <v>802</v>
      </c>
      <c r="C371" s="178">
        <v>263315</v>
      </c>
      <c r="D371" s="179" t="s">
        <v>1354</v>
      </c>
      <c r="E371" s="179" t="s">
        <v>1301</v>
      </c>
      <c r="F371" s="183" t="s">
        <v>1885</v>
      </c>
    </row>
    <row r="372" spans="1:6">
      <c r="A372" s="1235"/>
      <c r="B372" s="177" t="s">
        <v>805</v>
      </c>
      <c r="C372" s="178">
        <v>266218</v>
      </c>
      <c r="D372" s="179" t="s">
        <v>1091</v>
      </c>
      <c r="E372" s="179" t="s">
        <v>1886</v>
      </c>
      <c r="F372" s="183" t="s">
        <v>1887</v>
      </c>
    </row>
    <row r="373" spans="1:6">
      <c r="A373" s="1235"/>
      <c r="B373" s="177" t="s">
        <v>809</v>
      </c>
      <c r="C373" s="178">
        <v>267729</v>
      </c>
      <c r="D373" s="179" t="s">
        <v>1888</v>
      </c>
      <c r="E373" s="179" t="s">
        <v>1889</v>
      </c>
      <c r="F373" s="183" t="s">
        <v>1890</v>
      </c>
    </row>
    <row r="374" spans="1:6">
      <c r="A374" s="1235"/>
      <c r="B374" s="177" t="s">
        <v>813</v>
      </c>
      <c r="C374" s="178">
        <v>273185</v>
      </c>
      <c r="D374" s="179" t="s">
        <v>1087</v>
      </c>
      <c r="E374" s="179" t="s">
        <v>1891</v>
      </c>
      <c r="F374" s="183" t="s">
        <v>1892</v>
      </c>
    </row>
    <row r="375" spans="1:6" ht="12.75" thickBot="1">
      <c r="A375" s="1236"/>
      <c r="B375" s="184" t="s">
        <v>817</v>
      </c>
      <c r="C375" s="507">
        <v>278991</v>
      </c>
      <c r="D375" s="185" t="s">
        <v>1893</v>
      </c>
      <c r="E375" s="185" t="s">
        <v>1894</v>
      </c>
      <c r="F375" s="186" t="s">
        <v>1894</v>
      </c>
    </row>
    <row r="376" spans="1:6">
      <c r="A376" s="1237">
        <v>1985</v>
      </c>
      <c r="B376" s="500" t="s">
        <v>821</v>
      </c>
      <c r="C376" s="505">
        <v>285227</v>
      </c>
      <c r="D376" s="501" t="s">
        <v>921</v>
      </c>
      <c r="E376" s="501" t="s">
        <v>921</v>
      </c>
      <c r="F376" s="501" t="s">
        <v>1895</v>
      </c>
    </row>
    <row r="377" spans="1:6">
      <c r="A377" s="1238"/>
      <c r="B377" s="177" t="s">
        <v>824</v>
      </c>
      <c r="C377" s="178">
        <v>293793</v>
      </c>
      <c r="D377" s="179" t="s">
        <v>1896</v>
      </c>
      <c r="E377" s="179" t="s">
        <v>1394</v>
      </c>
      <c r="F377" s="179" t="s">
        <v>1897</v>
      </c>
    </row>
    <row r="378" spans="1:6">
      <c r="A378" s="1238"/>
      <c r="B378" s="177" t="s">
        <v>828</v>
      </c>
      <c r="C378" s="178">
        <v>302916</v>
      </c>
      <c r="D378" s="179" t="s">
        <v>1516</v>
      </c>
      <c r="E378" s="179" t="s">
        <v>1898</v>
      </c>
      <c r="F378" s="179" t="s">
        <v>1899</v>
      </c>
    </row>
    <row r="379" spans="1:6">
      <c r="A379" s="1238"/>
      <c r="B379" s="177" t="s">
        <v>832</v>
      </c>
      <c r="C379" s="178">
        <v>311442</v>
      </c>
      <c r="D379" s="179" t="s">
        <v>1900</v>
      </c>
      <c r="E379" s="179" t="s">
        <v>1901</v>
      </c>
      <c r="F379" s="179" t="s">
        <v>1902</v>
      </c>
    </row>
    <row r="380" spans="1:6">
      <c r="A380" s="1238"/>
      <c r="B380" s="177" t="s">
        <v>836</v>
      </c>
      <c r="C380" s="178">
        <v>325505</v>
      </c>
      <c r="D380" s="179" t="s">
        <v>1903</v>
      </c>
      <c r="E380" s="179" t="s">
        <v>1904</v>
      </c>
      <c r="F380" s="179" t="s">
        <v>1905</v>
      </c>
    </row>
    <row r="381" spans="1:6">
      <c r="A381" s="1238"/>
      <c r="B381" s="177" t="s">
        <v>840</v>
      </c>
      <c r="C381" s="178">
        <v>331510</v>
      </c>
      <c r="D381" s="179" t="s">
        <v>1748</v>
      </c>
      <c r="E381" s="179" t="s">
        <v>1906</v>
      </c>
      <c r="F381" s="179" t="s">
        <v>1907</v>
      </c>
    </row>
    <row r="382" spans="1:6">
      <c r="A382" s="1238"/>
      <c r="B382" s="177" t="s">
        <v>800</v>
      </c>
      <c r="C382" s="178">
        <v>329577</v>
      </c>
      <c r="D382" s="179" t="s">
        <v>1429</v>
      </c>
      <c r="E382" s="179" t="s">
        <v>1908</v>
      </c>
      <c r="F382" s="179" t="s">
        <v>1909</v>
      </c>
    </row>
    <row r="383" spans="1:6">
      <c r="A383" s="1238"/>
      <c r="B383" s="177" t="s">
        <v>802</v>
      </c>
      <c r="C383" s="178">
        <v>328264</v>
      </c>
      <c r="D383" s="179" t="s">
        <v>1910</v>
      </c>
      <c r="E383" s="179" t="s">
        <v>1911</v>
      </c>
      <c r="F383" s="179" t="s">
        <v>1912</v>
      </c>
    </row>
    <row r="384" spans="1:6">
      <c r="A384" s="1238"/>
      <c r="B384" s="177" t="s">
        <v>805</v>
      </c>
      <c r="C384" s="178">
        <v>331176</v>
      </c>
      <c r="D384" s="179" t="s">
        <v>1124</v>
      </c>
      <c r="E384" s="179" t="s">
        <v>1913</v>
      </c>
      <c r="F384" s="179" t="s">
        <v>1914</v>
      </c>
    </row>
    <row r="385" spans="1:6">
      <c r="A385" s="1238"/>
      <c r="B385" s="177" t="s">
        <v>809</v>
      </c>
      <c r="C385" s="178">
        <v>334047</v>
      </c>
      <c r="D385" s="179" t="s">
        <v>835</v>
      </c>
      <c r="E385" s="179" t="s">
        <v>1915</v>
      </c>
      <c r="F385" s="179" t="s">
        <v>1835</v>
      </c>
    </row>
    <row r="386" spans="1:6">
      <c r="A386" s="1238"/>
      <c r="B386" s="177" t="s">
        <v>813</v>
      </c>
      <c r="C386" s="178">
        <v>337363</v>
      </c>
      <c r="D386" s="179" t="s">
        <v>952</v>
      </c>
      <c r="E386" s="179" t="s">
        <v>1916</v>
      </c>
      <c r="F386" s="179" t="s">
        <v>1917</v>
      </c>
    </row>
    <row r="387" spans="1:6" ht="12.75" thickBot="1">
      <c r="A387" s="1239"/>
      <c r="B387" s="187" t="s">
        <v>817</v>
      </c>
      <c r="C387" s="504">
        <v>341627</v>
      </c>
      <c r="D387" s="188" t="s">
        <v>1918</v>
      </c>
      <c r="E387" s="188" t="s">
        <v>1573</v>
      </c>
      <c r="F387" s="188" t="s">
        <v>1573</v>
      </c>
    </row>
    <row r="388" spans="1:6">
      <c r="A388" s="1234">
        <v>1986</v>
      </c>
      <c r="B388" s="180" t="s">
        <v>821</v>
      </c>
      <c r="C388" s="506">
        <v>352388</v>
      </c>
      <c r="D388" s="181" t="s">
        <v>1919</v>
      </c>
      <c r="E388" s="181" t="s">
        <v>1919</v>
      </c>
      <c r="F388" s="182" t="s">
        <v>1920</v>
      </c>
    </row>
    <row r="389" spans="1:6">
      <c r="A389" s="1235"/>
      <c r="B389" s="177" t="s">
        <v>824</v>
      </c>
      <c r="C389" s="178">
        <v>363491</v>
      </c>
      <c r="D389" s="179" t="s">
        <v>1919</v>
      </c>
      <c r="E389" s="179" t="s">
        <v>1921</v>
      </c>
      <c r="F389" s="183" t="s">
        <v>1922</v>
      </c>
    </row>
    <row r="390" spans="1:6">
      <c r="A390" s="1235"/>
      <c r="B390" s="177" t="s">
        <v>828</v>
      </c>
      <c r="C390" s="178">
        <v>371525</v>
      </c>
      <c r="D390" s="179" t="s">
        <v>1923</v>
      </c>
      <c r="E390" s="179" t="s">
        <v>1238</v>
      </c>
      <c r="F390" s="183" t="s">
        <v>1924</v>
      </c>
    </row>
    <row r="391" spans="1:6">
      <c r="A391" s="1235"/>
      <c r="B391" s="177" t="s">
        <v>832</v>
      </c>
      <c r="C391" s="178">
        <v>381650</v>
      </c>
      <c r="D391" s="179" t="s">
        <v>1925</v>
      </c>
      <c r="E391" s="179" t="s">
        <v>1926</v>
      </c>
      <c r="F391" s="183" t="s">
        <v>1927</v>
      </c>
    </row>
    <row r="392" spans="1:6">
      <c r="A392" s="1235"/>
      <c r="B392" s="177" t="s">
        <v>836</v>
      </c>
      <c r="C392" s="178">
        <v>378898</v>
      </c>
      <c r="D392" s="179" t="s">
        <v>1928</v>
      </c>
      <c r="E392" s="179" t="s">
        <v>1929</v>
      </c>
      <c r="F392" s="183" t="s">
        <v>1930</v>
      </c>
    </row>
    <row r="393" spans="1:6">
      <c r="A393" s="1235"/>
      <c r="B393" s="177" t="s">
        <v>840</v>
      </c>
      <c r="C393" s="178">
        <v>376130</v>
      </c>
      <c r="D393" s="179" t="s">
        <v>1931</v>
      </c>
      <c r="E393" s="179" t="s">
        <v>1932</v>
      </c>
      <c r="F393" s="183" t="s">
        <v>1485</v>
      </c>
    </row>
    <row r="394" spans="1:6">
      <c r="A394" s="1235"/>
      <c r="B394" s="177" t="s">
        <v>800</v>
      </c>
      <c r="C394" s="178">
        <v>376074</v>
      </c>
      <c r="D394" s="179" t="s">
        <v>849</v>
      </c>
      <c r="E394" s="179" t="s">
        <v>1933</v>
      </c>
      <c r="F394" s="183" t="s">
        <v>1934</v>
      </c>
    </row>
    <row r="395" spans="1:6">
      <c r="A395" s="1235"/>
      <c r="B395" s="177" t="s">
        <v>802</v>
      </c>
      <c r="C395" s="178">
        <v>381339</v>
      </c>
      <c r="D395" s="179" t="s">
        <v>1266</v>
      </c>
      <c r="E395" s="179" t="s">
        <v>1935</v>
      </c>
      <c r="F395" s="183" t="s">
        <v>1936</v>
      </c>
    </row>
    <row r="396" spans="1:6">
      <c r="A396" s="1235"/>
      <c r="B396" s="177" t="s">
        <v>805</v>
      </c>
      <c r="C396" s="178">
        <v>386780</v>
      </c>
      <c r="D396" s="179" t="s">
        <v>1937</v>
      </c>
      <c r="E396" s="179" t="s">
        <v>1938</v>
      </c>
      <c r="F396" s="183" t="s">
        <v>1939</v>
      </c>
    </row>
    <row r="397" spans="1:6">
      <c r="A397" s="1235"/>
      <c r="B397" s="177" t="s">
        <v>809</v>
      </c>
      <c r="C397" s="178">
        <v>394741</v>
      </c>
      <c r="D397" s="179" t="s">
        <v>1940</v>
      </c>
      <c r="E397" s="179" t="s">
        <v>1941</v>
      </c>
      <c r="F397" s="183" t="s">
        <v>1942</v>
      </c>
    </row>
    <row r="398" spans="1:6">
      <c r="A398" s="1235"/>
      <c r="B398" s="177" t="s">
        <v>813</v>
      </c>
      <c r="C398" s="178">
        <v>403292</v>
      </c>
      <c r="D398" s="179" t="s">
        <v>1548</v>
      </c>
      <c r="E398" s="179" t="s">
        <v>960</v>
      </c>
      <c r="F398" s="183" t="s">
        <v>1943</v>
      </c>
    </row>
    <row r="399" spans="1:6" ht="12.75" thickBot="1">
      <c r="A399" s="1236"/>
      <c r="B399" s="184" t="s">
        <v>817</v>
      </c>
      <c r="C399" s="507">
        <v>413186</v>
      </c>
      <c r="D399" s="185" t="s">
        <v>1276</v>
      </c>
      <c r="E399" s="185" t="s">
        <v>1944</v>
      </c>
      <c r="F399" s="186" t="s">
        <v>1944</v>
      </c>
    </row>
    <row r="400" spans="1:6">
      <c r="A400" s="1237">
        <v>1987</v>
      </c>
      <c r="B400" s="500" t="s">
        <v>821</v>
      </c>
      <c r="C400" s="505">
        <v>426691</v>
      </c>
      <c r="D400" s="501" t="s">
        <v>1481</v>
      </c>
      <c r="E400" s="501" t="s">
        <v>1481</v>
      </c>
      <c r="F400" s="501" t="s">
        <v>1945</v>
      </c>
    </row>
    <row r="401" spans="1:6">
      <c r="A401" s="1238"/>
      <c r="B401" s="177" t="s">
        <v>824</v>
      </c>
      <c r="C401" s="178">
        <v>435361</v>
      </c>
      <c r="D401" s="179" t="s">
        <v>863</v>
      </c>
      <c r="E401" s="179" t="s">
        <v>1946</v>
      </c>
      <c r="F401" s="179" t="s">
        <v>1947</v>
      </c>
    </row>
    <row r="402" spans="1:6">
      <c r="A402" s="1238"/>
      <c r="B402" s="177" t="s">
        <v>828</v>
      </c>
      <c r="C402" s="178">
        <v>447156</v>
      </c>
      <c r="D402" s="179" t="s">
        <v>1948</v>
      </c>
      <c r="E402" s="179" t="s">
        <v>1949</v>
      </c>
      <c r="F402" s="179" t="s">
        <v>1950</v>
      </c>
    </row>
    <row r="403" spans="1:6">
      <c r="A403" s="1238"/>
      <c r="B403" s="177" t="s">
        <v>832</v>
      </c>
      <c r="C403" s="178">
        <v>457234</v>
      </c>
      <c r="D403" s="179" t="s">
        <v>1672</v>
      </c>
      <c r="E403" s="179" t="s">
        <v>1951</v>
      </c>
      <c r="F403" s="179" t="s">
        <v>1952</v>
      </c>
    </row>
    <row r="404" spans="1:6">
      <c r="A404" s="1238"/>
      <c r="B404" s="177" t="s">
        <v>836</v>
      </c>
      <c r="C404" s="178">
        <v>465012</v>
      </c>
      <c r="D404" s="179" t="s">
        <v>965</v>
      </c>
      <c r="E404" s="179" t="s">
        <v>1953</v>
      </c>
      <c r="F404" s="179" t="s">
        <v>1954</v>
      </c>
    </row>
    <row r="405" spans="1:6">
      <c r="A405" s="1238"/>
      <c r="B405" s="177" t="s">
        <v>840</v>
      </c>
      <c r="C405" s="178">
        <v>469458</v>
      </c>
      <c r="D405" s="179" t="s">
        <v>1049</v>
      </c>
      <c r="E405" s="179" t="s">
        <v>1955</v>
      </c>
      <c r="F405" s="179" t="s">
        <v>1956</v>
      </c>
    </row>
    <row r="406" spans="1:6">
      <c r="A406" s="1238"/>
      <c r="B406" s="177" t="s">
        <v>800</v>
      </c>
      <c r="C406" s="178">
        <v>476314</v>
      </c>
      <c r="D406" s="179" t="s">
        <v>1195</v>
      </c>
      <c r="E406" s="179" t="s">
        <v>1957</v>
      </c>
      <c r="F406" s="179" t="s">
        <v>1958</v>
      </c>
    </row>
    <row r="407" spans="1:6">
      <c r="A407" s="1238"/>
      <c r="B407" s="177" t="s">
        <v>802</v>
      </c>
      <c r="C407" s="178">
        <v>477706</v>
      </c>
      <c r="D407" s="179" t="s">
        <v>869</v>
      </c>
      <c r="E407" s="179" t="s">
        <v>1959</v>
      </c>
      <c r="F407" s="179" t="s">
        <v>1960</v>
      </c>
    </row>
    <row r="408" spans="1:6">
      <c r="A408" s="1238"/>
      <c r="B408" s="177" t="s">
        <v>805</v>
      </c>
      <c r="C408" s="178">
        <v>483520</v>
      </c>
      <c r="D408" s="179" t="s">
        <v>1882</v>
      </c>
      <c r="E408" s="179" t="s">
        <v>1874</v>
      </c>
      <c r="F408" s="179" t="s">
        <v>1961</v>
      </c>
    </row>
    <row r="409" spans="1:6">
      <c r="A409" s="1238"/>
      <c r="B409" s="177" t="s">
        <v>809</v>
      </c>
      <c r="C409" s="178">
        <v>492627</v>
      </c>
      <c r="D409" s="179" t="s">
        <v>1962</v>
      </c>
      <c r="E409" s="179" t="s">
        <v>1963</v>
      </c>
      <c r="F409" s="179" t="s">
        <v>1615</v>
      </c>
    </row>
    <row r="410" spans="1:6">
      <c r="A410" s="1238"/>
      <c r="B410" s="177" t="s">
        <v>813</v>
      </c>
      <c r="C410" s="178">
        <v>503023</v>
      </c>
      <c r="D410" s="179" t="s">
        <v>1640</v>
      </c>
      <c r="E410" s="179" t="s">
        <v>1964</v>
      </c>
      <c r="F410" s="179" t="s">
        <v>1965</v>
      </c>
    </row>
    <row r="411" spans="1:6" ht="12.75" thickBot="1">
      <c r="A411" s="1239"/>
      <c r="B411" s="187" t="s">
        <v>817</v>
      </c>
      <c r="C411" s="504">
        <v>512440</v>
      </c>
      <c r="D411" s="188" t="s">
        <v>1966</v>
      </c>
      <c r="E411" s="188" t="s">
        <v>1967</v>
      </c>
      <c r="F411" s="188" t="s">
        <v>1967</v>
      </c>
    </row>
    <row r="412" spans="1:6">
      <c r="A412" s="1234">
        <v>1988</v>
      </c>
      <c r="B412" s="180" t="s">
        <v>821</v>
      </c>
      <c r="C412" s="506">
        <v>527838</v>
      </c>
      <c r="D412" s="181" t="s">
        <v>1896</v>
      </c>
      <c r="E412" s="181" t="s">
        <v>1896</v>
      </c>
      <c r="F412" s="182" t="s">
        <v>1775</v>
      </c>
    </row>
    <row r="413" spans="1:6">
      <c r="A413" s="1235"/>
      <c r="B413" s="177" t="s">
        <v>824</v>
      </c>
      <c r="C413" s="178">
        <v>549122</v>
      </c>
      <c r="D413" s="179" t="s">
        <v>1968</v>
      </c>
      <c r="E413" s="179" t="s">
        <v>1969</v>
      </c>
      <c r="F413" s="183" t="s">
        <v>1797</v>
      </c>
    </row>
    <row r="414" spans="1:6">
      <c r="A414" s="1235"/>
      <c r="B414" s="177" t="s">
        <v>828</v>
      </c>
      <c r="C414" s="178">
        <v>565014</v>
      </c>
      <c r="D414" s="179" t="s">
        <v>1970</v>
      </c>
      <c r="E414" s="179" t="s">
        <v>1971</v>
      </c>
      <c r="F414" s="183" t="s">
        <v>1597</v>
      </c>
    </row>
    <row r="415" spans="1:6">
      <c r="A415" s="1235"/>
      <c r="B415" s="177" t="s">
        <v>832</v>
      </c>
      <c r="C415" s="178">
        <v>587117</v>
      </c>
      <c r="D415" s="179" t="s">
        <v>1972</v>
      </c>
      <c r="E415" s="179" t="s">
        <v>1973</v>
      </c>
      <c r="F415" s="183" t="s">
        <v>1974</v>
      </c>
    </row>
    <row r="416" spans="1:6">
      <c r="A416" s="1235"/>
      <c r="B416" s="177" t="s">
        <v>836</v>
      </c>
      <c r="C416" s="178">
        <v>597258</v>
      </c>
      <c r="D416" s="179" t="s">
        <v>1975</v>
      </c>
      <c r="E416" s="179" t="s">
        <v>1976</v>
      </c>
      <c r="F416" s="183" t="s">
        <v>1977</v>
      </c>
    </row>
    <row r="417" spans="1:6">
      <c r="A417" s="1235"/>
      <c r="B417" s="177" t="s">
        <v>840</v>
      </c>
      <c r="C417" s="178">
        <v>611575</v>
      </c>
      <c r="D417" s="179" t="s">
        <v>1978</v>
      </c>
      <c r="E417" s="179" t="s">
        <v>1846</v>
      </c>
      <c r="F417" s="183" t="s">
        <v>1979</v>
      </c>
    </row>
    <row r="418" spans="1:6">
      <c r="A418" s="1235"/>
      <c r="B418" s="177" t="s">
        <v>800</v>
      </c>
      <c r="C418" s="178">
        <v>620435</v>
      </c>
      <c r="D418" s="179" t="s">
        <v>1499</v>
      </c>
      <c r="E418" s="179" t="s">
        <v>1980</v>
      </c>
      <c r="F418" s="183" t="s">
        <v>1981</v>
      </c>
    </row>
    <row r="419" spans="1:6">
      <c r="A419" s="1235"/>
      <c r="B419" s="177" t="s">
        <v>802</v>
      </c>
      <c r="C419" s="178">
        <v>619338</v>
      </c>
      <c r="D419" s="179" t="s">
        <v>1982</v>
      </c>
      <c r="E419" s="179" t="s">
        <v>1983</v>
      </c>
      <c r="F419" s="183" t="s">
        <v>1186</v>
      </c>
    </row>
    <row r="420" spans="1:6">
      <c r="A420" s="1235"/>
      <c r="B420" s="177" t="s">
        <v>805</v>
      </c>
      <c r="C420" s="178">
        <v>623720</v>
      </c>
      <c r="D420" s="179" t="s">
        <v>1984</v>
      </c>
      <c r="E420" s="179" t="s">
        <v>1985</v>
      </c>
      <c r="F420" s="183" t="s">
        <v>1986</v>
      </c>
    </row>
    <row r="421" spans="1:6">
      <c r="A421" s="1235"/>
      <c r="B421" s="177" t="s">
        <v>809</v>
      </c>
      <c r="C421" s="178">
        <v>633479</v>
      </c>
      <c r="D421" s="179" t="s">
        <v>1987</v>
      </c>
      <c r="E421" s="179" t="s">
        <v>1988</v>
      </c>
      <c r="F421" s="183" t="s">
        <v>1989</v>
      </c>
    </row>
    <row r="422" spans="1:6">
      <c r="A422" s="1235"/>
      <c r="B422" s="177" t="s">
        <v>813</v>
      </c>
      <c r="C422" s="178">
        <v>642260</v>
      </c>
      <c r="D422" s="179" t="s">
        <v>1416</v>
      </c>
      <c r="E422" s="179" t="s">
        <v>1990</v>
      </c>
      <c r="F422" s="183" t="s">
        <v>1991</v>
      </c>
    </row>
    <row r="423" spans="1:6" ht="12.75" thickBot="1">
      <c r="A423" s="1236"/>
      <c r="B423" s="184" t="s">
        <v>817</v>
      </c>
      <c r="C423" s="507">
        <v>656561</v>
      </c>
      <c r="D423" s="185" t="s">
        <v>1838</v>
      </c>
      <c r="E423" s="185" t="s">
        <v>1992</v>
      </c>
      <c r="F423" s="186" t="s">
        <v>1992</v>
      </c>
    </row>
    <row r="424" spans="1:6">
      <c r="A424" s="1237">
        <v>1989</v>
      </c>
      <c r="B424" s="500" t="s">
        <v>821</v>
      </c>
      <c r="C424" s="505">
        <v>675162</v>
      </c>
      <c r="D424" s="501" t="s">
        <v>1993</v>
      </c>
      <c r="E424" s="501" t="s">
        <v>1993</v>
      </c>
      <c r="F424" s="501" t="s">
        <v>1907</v>
      </c>
    </row>
    <row r="425" spans="1:6">
      <c r="A425" s="1238"/>
      <c r="B425" s="177" t="s">
        <v>824</v>
      </c>
      <c r="C425" s="178">
        <v>697606</v>
      </c>
      <c r="D425" s="179" t="s">
        <v>1994</v>
      </c>
      <c r="E425" s="179" t="s">
        <v>1072</v>
      </c>
      <c r="F425" s="179" t="s">
        <v>1995</v>
      </c>
    </row>
    <row r="426" spans="1:6">
      <c r="A426" s="1238"/>
      <c r="B426" s="177" t="s">
        <v>828</v>
      </c>
      <c r="C426" s="178">
        <v>714929</v>
      </c>
      <c r="D426" s="179" t="s">
        <v>1269</v>
      </c>
      <c r="E426" s="179" t="s">
        <v>1996</v>
      </c>
      <c r="F426" s="179" t="s">
        <v>1997</v>
      </c>
    </row>
    <row r="427" spans="1:6">
      <c r="A427" s="1238"/>
      <c r="B427" s="177" t="s">
        <v>832</v>
      </c>
      <c r="C427" s="178">
        <v>733039</v>
      </c>
      <c r="D427" s="179" t="s">
        <v>1998</v>
      </c>
      <c r="E427" s="179" t="s">
        <v>1301</v>
      </c>
      <c r="F427" s="179" t="s">
        <v>1999</v>
      </c>
    </row>
    <row r="428" spans="1:6">
      <c r="A428" s="1238"/>
      <c r="B428" s="177" t="s">
        <v>836</v>
      </c>
      <c r="C428" s="178">
        <v>745882</v>
      </c>
      <c r="D428" s="179" t="s">
        <v>1245</v>
      </c>
      <c r="E428" s="179" t="s">
        <v>1501</v>
      </c>
      <c r="F428" s="179" t="s">
        <v>2000</v>
      </c>
    </row>
    <row r="429" spans="1:6">
      <c r="A429" s="1238"/>
      <c r="B429" s="177" t="s">
        <v>840</v>
      </c>
      <c r="C429" s="178">
        <v>756154</v>
      </c>
      <c r="D429" s="179" t="s">
        <v>1456</v>
      </c>
      <c r="E429" s="179" t="s">
        <v>2001</v>
      </c>
      <c r="F429" s="179" t="s">
        <v>2002</v>
      </c>
    </row>
    <row r="430" spans="1:6">
      <c r="A430" s="1238"/>
      <c r="B430" s="177" t="s">
        <v>800</v>
      </c>
      <c r="C430" s="178">
        <v>767871</v>
      </c>
      <c r="D430" s="179" t="s">
        <v>999</v>
      </c>
      <c r="E430" s="179" t="s">
        <v>2003</v>
      </c>
      <c r="F430" s="179" t="s">
        <v>2004</v>
      </c>
    </row>
    <row r="431" spans="1:6">
      <c r="A431" s="1238"/>
      <c r="B431" s="177" t="s">
        <v>802</v>
      </c>
      <c r="C431" s="178">
        <v>778474</v>
      </c>
      <c r="D431" s="179" t="s">
        <v>1541</v>
      </c>
      <c r="E431" s="179" t="s">
        <v>2005</v>
      </c>
      <c r="F431" s="179" t="s">
        <v>2006</v>
      </c>
    </row>
    <row r="432" spans="1:6">
      <c r="A432" s="1238"/>
      <c r="B432" s="177" t="s">
        <v>805</v>
      </c>
      <c r="C432" s="178">
        <v>789330</v>
      </c>
      <c r="D432" s="179" t="s">
        <v>1416</v>
      </c>
      <c r="E432" s="179" t="s">
        <v>2007</v>
      </c>
      <c r="F432" s="179" t="s">
        <v>2008</v>
      </c>
    </row>
    <row r="433" spans="1:6">
      <c r="A433" s="1238"/>
      <c r="B433" s="177" t="s">
        <v>809</v>
      </c>
      <c r="C433" s="178">
        <v>802000</v>
      </c>
      <c r="D433" s="179" t="s">
        <v>2009</v>
      </c>
      <c r="E433" s="179" t="s">
        <v>2010</v>
      </c>
      <c r="F433" s="179" t="s">
        <v>2011</v>
      </c>
    </row>
    <row r="434" spans="1:6">
      <c r="A434" s="1238"/>
      <c r="B434" s="177" t="s">
        <v>813</v>
      </c>
      <c r="C434" s="178">
        <v>816289</v>
      </c>
      <c r="D434" s="179" t="s">
        <v>1876</v>
      </c>
      <c r="E434" s="179" t="s">
        <v>2012</v>
      </c>
      <c r="F434" s="179" t="s">
        <v>2013</v>
      </c>
    </row>
    <row r="435" spans="1:6" ht="12.75" thickBot="1">
      <c r="A435" s="1239"/>
      <c r="B435" s="187" t="s">
        <v>817</v>
      </c>
      <c r="C435" s="504">
        <v>828074</v>
      </c>
      <c r="D435" s="188" t="s">
        <v>860</v>
      </c>
      <c r="E435" s="188" t="s">
        <v>2014</v>
      </c>
      <c r="F435" s="188" t="s">
        <v>2014</v>
      </c>
    </row>
    <row r="436" spans="1:6">
      <c r="A436" s="1234">
        <v>1990</v>
      </c>
      <c r="B436" s="180" t="s">
        <v>821</v>
      </c>
      <c r="C436" s="506">
        <v>855420</v>
      </c>
      <c r="D436" s="181" t="s">
        <v>1134</v>
      </c>
      <c r="E436" s="181" t="s">
        <v>1134</v>
      </c>
      <c r="F436" s="182" t="s">
        <v>2015</v>
      </c>
    </row>
    <row r="437" spans="1:6">
      <c r="A437" s="1235"/>
      <c r="B437" s="177" t="s">
        <v>824</v>
      </c>
      <c r="C437" s="178">
        <v>886809</v>
      </c>
      <c r="D437" s="179" t="s">
        <v>1126</v>
      </c>
      <c r="E437" s="179" t="s">
        <v>2016</v>
      </c>
      <c r="F437" s="183" t="s">
        <v>2017</v>
      </c>
    </row>
    <row r="438" spans="1:6">
      <c r="A438" s="1235"/>
      <c r="B438" s="177" t="s">
        <v>828</v>
      </c>
      <c r="C438" s="178">
        <v>912522</v>
      </c>
      <c r="D438" s="179" t="s">
        <v>1970</v>
      </c>
      <c r="E438" s="179" t="s">
        <v>2018</v>
      </c>
      <c r="F438" s="183" t="s">
        <v>2019</v>
      </c>
    </row>
    <row r="439" spans="1:6">
      <c r="A439" s="1235"/>
      <c r="B439" s="177" t="s">
        <v>832</v>
      </c>
      <c r="C439" s="178">
        <v>938194</v>
      </c>
      <c r="D439" s="179" t="s">
        <v>1900</v>
      </c>
      <c r="E439" s="179" t="s">
        <v>2020</v>
      </c>
      <c r="F439" s="183" t="s">
        <v>2021</v>
      </c>
    </row>
    <row r="440" spans="1:6">
      <c r="A440" s="1235"/>
      <c r="B440" s="177" t="s">
        <v>836</v>
      </c>
      <c r="C440" s="178">
        <v>956530</v>
      </c>
      <c r="D440" s="179" t="s">
        <v>2022</v>
      </c>
      <c r="E440" s="179" t="s">
        <v>2023</v>
      </c>
      <c r="F440" s="183" t="s">
        <v>2024</v>
      </c>
    </row>
    <row r="441" spans="1:6">
      <c r="A441" s="1235"/>
      <c r="B441" s="177" t="s">
        <v>840</v>
      </c>
      <c r="C441" s="178">
        <v>975235</v>
      </c>
      <c r="D441" s="179" t="s">
        <v>2022</v>
      </c>
      <c r="E441" s="179" t="s">
        <v>1633</v>
      </c>
      <c r="F441" s="183" t="s">
        <v>2025</v>
      </c>
    </row>
    <row r="442" spans="1:6">
      <c r="A442" s="1235"/>
      <c r="B442" s="177" t="s">
        <v>800</v>
      </c>
      <c r="C442" s="178">
        <v>988464</v>
      </c>
      <c r="D442" s="179" t="s">
        <v>1621</v>
      </c>
      <c r="E442" s="179" t="s">
        <v>2026</v>
      </c>
      <c r="F442" s="183" t="s">
        <v>2027</v>
      </c>
    </row>
    <row r="443" spans="1:6">
      <c r="A443" s="1235"/>
      <c r="B443" s="177" t="s">
        <v>802</v>
      </c>
      <c r="C443" s="178">
        <v>1004149</v>
      </c>
      <c r="D443" s="179" t="s">
        <v>962</v>
      </c>
      <c r="E443" s="179" t="s">
        <v>2028</v>
      </c>
      <c r="F443" s="183" t="s">
        <v>2029</v>
      </c>
    </row>
    <row r="444" spans="1:6">
      <c r="A444" s="1235"/>
      <c r="B444" s="177" t="s">
        <v>805</v>
      </c>
      <c r="C444" s="178">
        <v>1028040</v>
      </c>
      <c r="D444" s="179" t="s">
        <v>2030</v>
      </c>
      <c r="E444" s="179" t="s">
        <v>2031</v>
      </c>
      <c r="F444" s="183" t="s">
        <v>2032</v>
      </c>
    </row>
    <row r="445" spans="1:6">
      <c r="A445" s="1235"/>
      <c r="B445" s="177" t="s">
        <v>809</v>
      </c>
      <c r="C445" s="178">
        <v>1047846</v>
      </c>
      <c r="D445" s="179" t="s">
        <v>2033</v>
      </c>
      <c r="E445" s="179" t="s">
        <v>2034</v>
      </c>
      <c r="F445" s="183" t="s">
        <v>2035</v>
      </c>
    </row>
    <row r="446" spans="1:6">
      <c r="A446" s="1235"/>
      <c r="B446" s="177" t="s">
        <v>813</v>
      </c>
      <c r="C446" s="178">
        <v>1069138</v>
      </c>
      <c r="D446" s="179" t="s">
        <v>863</v>
      </c>
      <c r="E446" s="179" t="s">
        <v>2036</v>
      </c>
      <c r="F446" s="183" t="s">
        <v>2037</v>
      </c>
    </row>
    <row r="447" spans="1:6" ht="12.75" thickBot="1">
      <c r="A447" s="1236"/>
      <c r="B447" s="184" t="s">
        <v>817</v>
      </c>
      <c r="C447" s="507">
        <v>1096102</v>
      </c>
      <c r="D447" s="185" t="s">
        <v>914</v>
      </c>
      <c r="E447" s="185" t="s">
        <v>2038</v>
      </c>
      <c r="F447" s="186" t="s">
        <v>2038</v>
      </c>
    </row>
    <row r="448" spans="1:6">
      <c r="A448" s="1237">
        <v>1991</v>
      </c>
      <c r="B448" s="500" t="s">
        <v>821</v>
      </c>
      <c r="C448" s="505">
        <v>1129026</v>
      </c>
      <c r="D448" s="501" t="s">
        <v>1896</v>
      </c>
      <c r="E448" s="501" t="s">
        <v>1896</v>
      </c>
      <c r="F448" s="501" t="s">
        <v>2039</v>
      </c>
    </row>
    <row r="449" spans="1:6">
      <c r="A449" s="1238"/>
      <c r="B449" s="177" t="s">
        <v>824</v>
      </c>
      <c r="C449" s="178">
        <v>1167557</v>
      </c>
      <c r="D449" s="179" t="s">
        <v>1386</v>
      </c>
      <c r="E449" s="179" t="s">
        <v>1376</v>
      </c>
      <c r="F449" s="179" t="s">
        <v>2040</v>
      </c>
    </row>
    <row r="450" spans="1:6">
      <c r="A450" s="1238"/>
      <c r="B450" s="177" t="s">
        <v>828</v>
      </c>
      <c r="C450" s="178">
        <v>1197091</v>
      </c>
      <c r="D450" s="179" t="s">
        <v>914</v>
      </c>
      <c r="E450" s="179" t="s">
        <v>2041</v>
      </c>
      <c r="F450" s="179" t="s">
        <v>2042</v>
      </c>
    </row>
    <row r="451" spans="1:6">
      <c r="A451" s="1238"/>
      <c r="B451" s="177" t="s">
        <v>832</v>
      </c>
      <c r="C451" s="178">
        <v>1230614</v>
      </c>
      <c r="D451" s="179" t="s">
        <v>2043</v>
      </c>
      <c r="E451" s="179" t="s">
        <v>2044</v>
      </c>
      <c r="F451" s="179" t="s">
        <v>2045</v>
      </c>
    </row>
    <row r="452" spans="1:6">
      <c r="A452" s="1238"/>
      <c r="B452" s="177" t="s">
        <v>836</v>
      </c>
      <c r="C452" s="178">
        <v>1257743</v>
      </c>
      <c r="D452" s="179" t="s">
        <v>2046</v>
      </c>
      <c r="E452" s="179" t="s">
        <v>2047</v>
      </c>
      <c r="F452" s="179" t="s">
        <v>2048</v>
      </c>
    </row>
    <row r="453" spans="1:6">
      <c r="A453" s="1238"/>
      <c r="B453" s="177" t="s">
        <v>840</v>
      </c>
      <c r="C453" s="178">
        <v>1277647</v>
      </c>
      <c r="D453" s="179" t="s">
        <v>962</v>
      </c>
      <c r="E453" s="179" t="s">
        <v>2049</v>
      </c>
      <c r="F453" s="179" t="s">
        <v>2050</v>
      </c>
    </row>
    <row r="454" spans="1:6">
      <c r="A454" s="1238"/>
      <c r="B454" s="177" t="s">
        <v>800</v>
      </c>
      <c r="C454" s="178">
        <v>1300867</v>
      </c>
      <c r="D454" s="179" t="s">
        <v>2051</v>
      </c>
      <c r="E454" s="179" t="s">
        <v>2052</v>
      </c>
      <c r="F454" s="179" t="s">
        <v>2053</v>
      </c>
    </row>
    <row r="455" spans="1:6">
      <c r="A455" s="1238"/>
      <c r="B455" s="177" t="s">
        <v>802</v>
      </c>
      <c r="C455" s="178">
        <v>1317446</v>
      </c>
      <c r="D455" s="179" t="s">
        <v>1820</v>
      </c>
      <c r="E455" s="179" t="s">
        <v>2054</v>
      </c>
      <c r="F455" s="179" t="s">
        <v>2055</v>
      </c>
    </row>
    <row r="456" spans="1:6">
      <c r="A456" s="1238"/>
      <c r="B456" s="177" t="s">
        <v>805</v>
      </c>
      <c r="C456" s="178">
        <v>1336596</v>
      </c>
      <c r="D456" s="179" t="s">
        <v>1499</v>
      </c>
      <c r="E456" s="179" t="s">
        <v>2056</v>
      </c>
      <c r="F456" s="179" t="s">
        <v>2057</v>
      </c>
    </row>
    <row r="457" spans="1:6">
      <c r="A457" s="1238"/>
      <c r="B457" s="177" t="s">
        <v>809</v>
      </c>
      <c r="C457" s="178">
        <v>1354350</v>
      </c>
      <c r="D457" s="179" t="s">
        <v>913</v>
      </c>
      <c r="E457" s="179" t="s">
        <v>2058</v>
      </c>
      <c r="F457" s="179" t="s">
        <v>2059</v>
      </c>
    </row>
    <row r="458" spans="1:6">
      <c r="A458" s="1238"/>
      <c r="B458" s="177" t="s">
        <v>813</v>
      </c>
      <c r="C458" s="178">
        <v>1370884</v>
      </c>
      <c r="D458" s="179" t="s">
        <v>1882</v>
      </c>
      <c r="E458" s="179" t="s">
        <v>2060</v>
      </c>
      <c r="F458" s="179" t="s">
        <v>2061</v>
      </c>
    </row>
    <row r="459" spans="1:6" ht="12.75" thickBot="1">
      <c r="A459" s="1239"/>
      <c r="B459" s="187" t="s">
        <v>817</v>
      </c>
      <c r="C459" s="504">
        <v>1390118</v>
      </c>
      <c r="D459" s="188" t="s">
        <v>1266</v>
      </c>
      <c r="E459" s="188" t="s">
        <v>2062</v>
      </c>
      <c r="F459" s="188" t="s">
        <v>2062</v>
      </c>
    </row>
    <row r="460" spans="1:6">
      <c r="A460" s="1234">
        <v>1992</v>
      </c>
      <c r="B460" s="180" t="s">
        <v>821</v>
      </c>
      <c r="C460" s="506">
        <v>1438760</v>
      </c>
      <c r="D460" s="181" t="s">
        <v>2063</v>
      </c>
      <c r="E460" s="181" t="s">
        <v>2063</v>
      </c>
      <c r="F460" s="182" t="s">
        <v>2064</v>
      </c>
    </row>
    <row r="461" spans="1:6">
      <c r="A461" s="1235"/>
      <c r="B461" s="177" t="s">
        <v>824</v>
      </c>
      <c r="C461" s="178">
        <v>1486891</v>
      </c>
      <c r="D461" s="179" t="s">
        <v>2065</v>
      </c>
      <c r="E461" s="179" t="s">
        <v>2066</v>
      </c>
      <c r="F461" s="183" t="s">
        <v>2067</v>
      </c>
    </row>
    <row r="462" spans="1:6">
      <c r="A462" s="1235"/>
      <c r="B462" s="177" t="s">
        <v>828</v>
      </c>
      <c r="C462" s="178">
        <v>1521327</v>
      </c>
      <c r="D462" s="179" t="s">
        <v>1637</v>
      </c>
      <c r="E462" s="179" t="s">
        <v>1287</v>
      </c>
      <c r="F462" s="183" t="s">
        <v>2068</v>
      </c>
    </row>
    <row r="463" spans="1:6">
      <c r="A463" s="1235"/>
      <c r="B463" s="177" t="s">
        <v>832</v>
      </c>
      <c r="C463" s="178">
        <v>1564749</v>
      </c>
      <c r="D463" s="179" t="s">
        <v>1554</v>
      </c>
      <c r="E463" s="179" t="s">
        <v>2069</v>
      </c>
      <c r="F463" s="183" t="s">
        <v>2070</v>
      </c>
    </row>
    <row r="464" spans="1:6">
      <c r="A464" s="1235"/>
      <c r="B464" s="177" t="s">
        <v>836</v>
      </c>
      <c r="C464" s="178">
        <v>1601203</v>
      </c>
      <c r="D464" s="179" t="s">
        <v>1202</v>
      </c>
      <c r="E464" s="179" t="s">
        <v>2071</v>
      </c>
      <c r="F464" s="183" t="s">
        <v>2072</v>
      </c>
    </row>
    <row r="465" spans="1:6">
      <c r="A465" s="1235"/>
      <c r="B465" s="177" t="s">
        <v>840</v>
      </c>
      <c r="C465" s="178">
        <v>1637142</v>
      </c>
      <c r="D465" s="179" t="s">
        <v>921</v>
      </c>
      <c r="E465" s="179" t="s">
        <v>2073</v>
      </c>
      <c r="F465" s="183" t="s">
        <v>1707</v>
      </c>
    </row>
    <row r="466" spans="1:6">
      <c r="A466" s="1235"/>
      <c r="B466" s="177" t="s">
        <v>800</v>
      </c>
      <c r="C466" s="178">
        <v>1669878</v>
      </c>
      <c r="D466" s="179" t="s">
        <v>969</v>
      </c>
      <c r="E466" s="179" t="s">
        <v>2074</v>
      </c>
      <c r="F466" s="183" t="s">
        <v>2075</v>
      </c>
    </row>
    <row r="467" spans="1:6">
      <c r="A467" s="1235"/>
      <c r="B467" s="177" t="s">
        <v>802</v>
      </c>
      <c r="C467" s="178">
        <v>1682458</v>
      </c>
      <c r="D467" s="179" t="s">
        <v>2076</v>
      </c>
      <c r="E467" s="179" t="s">
        <v>2077</v>
      </c>
      <c r="F467" s="183" t="s">
        <v>2078</v>
      </c>
    </row>
    <row r="468" spans="1:6">
      <c r="A468" s="1235"/>
      <c r="B468" s="177" t="s">
        <v>805</v>
      </c>
      <c r="C468" s="178">
        <v>1696424</v>
      </c>
      <c r="D468" s="179" t="s">
        <v>1037</v>
      </c>
      <c r="E468" s="179" t="s">
        <v>2079</v>
      </c>
      <c r="F468" s="183" t="s">
        <v>2080</v>
      </c>
    </row>
    <row r="469" spans="1:6">
      <c r="A469" s="1235"/>
      <c r="B469" s="177" t="s">
        <v>809</v>
      </c>
      <c r="C469" s="178">
        <v>1710844</v>
      </c>
      <c r="D469" s="179" t="s">
        <v>1413</v>
      </c>
      <c r="E469" s="179" t="s">
        <v>2081</v>
      </c>
      <c r="F469" s="183" t="s">
        <v>2082</v>
      </c>
    </row>
    <row r="470" spans="1:6">
      <c r="A470" s="1235"/>
      <c r="B470" s="177" t="s">
        <v>813</v>
      </c>
      <c r="C470" s="178">
        <v>1723304</v>
      </c>
      <c r="D470" s="179" t="s">
        <v>1823</v>
      </c>
      <c r="E470" s="179" t="s">
        <v>1591</v>
      </c>
      <c r="F470" s="183" t="s">
        <v>2083</v>
      </c>
    </row>
    <row r="471" spans="1:6" ht="12.75" thickBot="1">
      <c r="A471" s="1236"/>
      <c r="B471" s="184" t="s">
        <v>817</v>
      </c>
      <c r="C471" s="507">
        <v>1739507</v>
      </c>
      <c r="D471" s="185" t="s">
        <v>858</v>
      </c>
      <c r="E471" s="185" t="s">
        <v>2084</v>
      </c>
      <c r="F471" s="186" t="s">
        <v>2084</v>
      </c>
    </row>
    <row r="472" spans="1:6">
      <c r="A472" s="1237">
        <v>1993</v>
      </c>
      <c r="B472" s="500" t="s">
        <v>821</v>
      </c>
      <c r="C472" s="505">
        <v>1795876</v>
      </c>
      <c r="D472" s="501" t="s">
        <v>2085</v>
      </c>
      <c r="E472" s="501" t="s">
        <v>2085</v>
      </c>
      <c r="F472" s="501" t="s">
        <v>2086</v>
      </c>
    </row>
    <row r="473" spans="1:6">
      <c r="A473" s="1238"/>
      <c r="B473" s="177" t="s">
        <v>824</v>
      </c>
      <c r="C473" s="178">
        <v>1854379</v>
      </c>
      <c r="D473" s="179" t="s">
        <v>2087</v>
      </c>
      <c r="E473" s="179" t="s">
        <v>1450</v>
      </c>
      <c r="F473" s="179" t="s">
        <v>2088</v>
      </c>
    </row>
    <row r="474" spans="1:6">
      <c r="A474" s="1238"/>
      <c r="B474" s="177" t="s">
        <v>828</v>
      </c>
      <c r="C474" s="178">
        <v>1889219</v>
      </c>
      <c r="D474" s="179" t="s">
        <v>1966</v>
      </c>
      <c r="E474" s="179" t="s">
        <v>2089</v>
      </c>
      <c r="F474" s="179" t="s">
        <v>2090</v>
      </c>
    </row>
    <row r="475" spans="1:6">
      <c r="A475" s="1238"/>
      <c r="B475" s="177" t="s">
        <v>832</v>
      </c>
      <c r="C475" s="178">
        <v>1925924</v>
      </c>
      <c r="D475" s="179" t="s">
        <v>2091</v>
      </c>
      <c r="E475" s="179" t="s">
        <v>2092</v>
      </c>
      <c r="F475" s="179" t="s">
        <v>1853</v>
      </c>
    </row>
    <row r="476" spans="1:6">
      <c r="A476" s="1238"/>
      <c r="B476" s="177" t="s">
        <v>836</v>
      </c>
      <c r="C476" s="178">
        <v>1956896</v>
      </c>
      <c r="D476" s="179" t="s">
        <v>2009</v>
      </c>
      <c r="E476" s="179" t="s">
        <v>2093</v>
      </c>
      <c r="F476" s="179" t="s">
        <v>2094</v>
      </c>
    </row>
    <row r="477" spans="1:6">
      <c r="A477" s="1238"/>
      <c r="B477" s="177" t="s">
        <v>840</v>
      </c>
      <c r="C477" s="178">
        <v>1987209</v>
      </c>
      <c r="D477" s="179" t="s">
        <v>999</v>
      </c>
      <c r="E477" s="179" t="s">
        <v>2095</v>
      </c>
      <c r="F477" s="179" t="s">
        <v>2096</v>
      </c>
    </row>
    <row r="478" spans="1:6">
      <c r="A478" s="1238"/>
      <c r="B478" s="177" t="s">
        <v>800</v>
      </c>
      <c r="C478" s="178">
        <v>2011685</v>
      </c>
      <c r="D478" s="179" t="s">
        <v>937</v>
      </c>
      <c r="E478" s="179" t="s">
        <v>2097</v>
      </c>
      <c r="F478" s="179" t="s">
        <v>1861</v>
      </c>
    </row>
    <row r="479" spans="1:6">
      <c r="A479" s="1238"/>
      <c r="B479" s="177" t="s">
        <v>802</v>
      </c>
      <c r="C479" s="178">
        <v>2037014</v>
      </c>
      <c r="D479" s="179" t="s">
        <v>900</v>
      </c>
      <c r="E479" s="179" t="s">
        <v>2098</v>
      </c>
      <c r="F479" s="179" t="s">
        <v>1980</v>
      </c>
    </row>
    <row r="480" spans="1:6">
      <c r="A480" s="1238"/>
      <c r="B480" s="177" t="s">
        <v>805</v>
      </c>
      <c r="C480" s="178">
        <v>2059974</v>
      </c>
      <c r="D480" s="179" t="s">
        <v>862</v>
      </c>
      <c r="E480" s="179" t="s">
        <v>1744</v>
      </c>
      <c r="F480" s="179" t="s">
        <v>939</v>
      </c>
    </row>
    <row r="481" spans="1:6">
      <c r="A481" s="1238"/>
      <c r="B481" s="177" t="s">
        <v>809</v>
      </c>
      <c r="C481" s="178">
        <v>2081995</v>
      </c>
      <c r="D481" s="179" t="s">
        <v>1782</v>
      </c>
      <c r="E481" s="179" t="s">
        <v>2099</v>
      </c>
      <c r="F481" s="179" t="s">
        <v>2100</v>
      </c>
    </row>
    <row r="482" spans="1:6">
      <c r="A482" s="1238"/>
      <c r="B482" s="177" t="s">
        <v>813</v>
      </c>
      <c r="C482" s="178">
        <v>2108857</v>
      </c>
      <c r="D482" s="179" t="s">
        <v>1046</v>
      </c>
      <c r="E482" s="179" t="s">
        <v>2101</v>
      </c>
      <c r="F482" s="179" t="s">
        <v>2102</v>
      </c>
    </row>
    <row r="483" spans="1:6" ht="12.75" thickBot="1">
      <c r="A483" s="1239"/>
      <c r="B483" s="187" t="s">
        <v>817</v>
      </c>
      <c r="C483" s="504">
        <v>2132774</v>
      </c>
      <c r="D483" s="188" t="s">
        <v>1507</v>
      </c>
      <c r="E483" s="188" t="s">
        <v>2103</v>
      </c>
      <c r="F483" s="188" t="s">
        <v>2103</v>
      </c>
    </row>
    <row r="484" spans="1:6">
      <c r="A484" s="1234">
        <v>1994</v>
      </c>
      <c r="B484" s="180" t="s">
        <v>821</v>
      </c>
      <c r="C484" s="506">
        <v>2200035</v>
      </c>
      <c r="D484" s="181" t="s">
        <v>1919</v>
      </c>
      <c r="E484" s="181" t="s">
        <v>1919</v>
      </c>
      <c r="F484" s="182" t="s">
        <v>2104</v>
      </c>
    </row>
    <row r="485" spans="1:6">
      <c r="A485" s="1235"/>
      <c r="B485" s="177" t="s">
        <v>824</v>
      </c>
      <c r="C485" s="178">
        <v>2281129</v>
      </c>
      <c r="D485" s="179" t="s">
        <v>2105</v>
      </c>
      <c r="E485" s="179" t="s">
        <v>2106</v>
      </c>
      <c r="F485" s="183" t="s">
        <v>2107</v>
      </c>
    </row>
    <row r="486" spans="1:6">
      <c r="A486" s="1235"/>
      <c r="B486" s="177" t="s">
        <v>828</v>
      </c>
      <c r="C486" s="178">
        <v>2331653</v>
      </c>
      <c r="D486" s="179" t="s">
        <v>1923</v>
      </c>
      <c r="E486" s="179" t="s">
        <v>2108</v>
      </c>
      <c r="F486" s="183" t="s">
        <v>2109</v>
      </c>
    </row>
    <row r="487" spans="1:6">
      <c r="A487" s="1235"/>
      <c r="B487" s="177" t="s">
        <v>832</v>
      </c>
      <c r="C487" s="178">
        <v>2387024</v>
      </c>
      <c r="D487" s="179" t="s">
        <v>2030</v>
      </c>
      <c r="E487" s="179" t="s">
        <v>2110</v>
      </c>
      <c r="F487" s="183" t="s">
        <v>2111</v>
      </c>
    </row>
    <row r="488" spans="1:6">
      <c r="A488" s="1235"/>
      <c r="B488" s="177" t="s">
        <v>836</v>
      </c>
      <c r="C488" s="178">
        <v>2423993</v>
      </c>
      <c r="D488" s="179" t="s">
        <v>999</v>
      </c>
      <c r="E488" s="179" t="s">
        <v>2112</v>
      </c>
      <c r="F488" s="183" t="s">
        <v>2113</v>
      </c>
    </row>
    <row r="489" spans="1:6">
      <c r="A489" s="1235"/>
      <c r="B489" s="177" t="s">
        <v>840</v>
      </c>
      <c r="C489" s="178">
        <v>2445975</v>
      </c>
      <c r="D489" s="179" t="s">
        <v>859</v>
      </c>
      <c r="E489" s="179" t="s">
        <v>2114</v>
      </c>
      <c r="F489" s="183" t="s">
        <v>1853</v>
      </c>
    </row>
    <row r="490" spans="1:6">
      <c r="A490" s="1235"/>
      <c r="B490" s="177" t="s">
        <v>800</v>
      </c>
      <c r="C490" s="178">
        <v>2468334</v>
      </c>
      <c r="D490" s="179" t="s">
        <v>872</v>
      </c>
      <c r="E490" s="179" t="s">
        <v>1160</v>
      </c>
      <c r="F490" s="183" t="s">
        <v>2115</v>
      </c>
    </row>
    <row r="491" spans="1:6">
      <c r="A491" s="1235"/>
      <c r="B491" s="177" t="s">
        <v>802</v>
      </c>
      <c r="C491" s="178">
        <v>2492484</v>
      </c>
      <c r="D491" s="179" t="s">
        <v>1625</v>
      </c>
      <c r="E491" s="179" t="s">
        <v>2116</v>
      </c>
      <c r="F491" s="183" t="s">
        <v>2117</v>
      </c>
    </row>
    <row r="492" spans="1:6">
      <c r="A492" s="1235"/>
      <c r="B492" s="177" t="s">
        <v>805</v>
      </c>
      <c r="C492" s="178">
        <v>2519700</v>
      </c>
      <c r="D492" s="179" t="s">
        <v>1297</v>
      </c>
      <c r="E492" s="179" t="s">
        <v>2118</v>
      </c>
      <c r="F492" s="183" t="s">
        <v>2119</v>
      </c>
    </row>
    <row r="493" spans="1:6">
      <c r="A493" s="1235"/>
      <c r="B493" s="177" t="s">
        <v>809</v>
      </c>
      <c r="C493" s="178">
        <v>2547853</v>
      </c>
      <c r="D493" s="179" t="s">
        <v>2120</v>
      </c>
      <c r="E493" s="179" t="s">
        <v>956</v>
      </c>
      <c r="F493" s="183" t="s">
        <v>2102</v>
      </c>
    </row>
    <row r="494" spans="1:6">
      <c r="A494" s="1235"/>
      <c r="B494" s="177" t="s">
        <v>813</v>
      </c>
      <c r="C494" s="178">
        <v>2576272</v>
      </c>
      <c r="D494" s="179" t="s">
        <v>2120</v>
      </c>
      <c r="E494" s="179" t="s">
        <v>2121</v>
      </c>
      <c r="F494" s="183" t="s">
        <v>2122</v>
      </c>
    </row>
    <row r="495" spans="1:6" ht="12.75" thickBot="1">
      <c r="A495" s="1236"/>
      <c r="B495" s="184" t="s">
        <v>817</v>
      </c>
      <c r="C495" s="507">
        <v>2614692</v>
      </c>
      <c r="D495" s="185" t="s">
        <v>1484</v>
      </c>
      <c r="E495" s="185" t="s">
        <v>2123</v>
      </c>
      <c r="F495" s="508" t="s">
        <v>2123</v>
      </c>
    </row>
    <row r="496" spans="1:6">
      <c r="A496" s="1237">
        <v>1995</v>
      </c>
      <c r="B496" s="500" t="s">
        <v>821</v>
      </c>
      <c r="C496" s="505">
        <v>2663043</v>
      </c>
      <c r="D496" s="501" t="s">
        <v>1748</v>
      </c>
      <c r="E496" s="501" t="s">
        <v>1748</v>
      </c>
      <c r="F496" s="501" t="s">
        <v>1746</v>
      </c>
    </row>
    <row r="497" spans="1:6">
      <c r="A497" s="1238"/>
      <c r="B497" s="177" t="s">
        <v>824</v>
      </c>
      <c r="C497" s="178">
        <v>2756985</v>
      </c>
      <c r="D497" s="179" t="s">
        <v>2124</v>
      </c>
      <c r="E497" s="179" t="s">
        <v>2125</v>
      </c>
      <c r="F497" s="179" t="s">
        <v>1983</v>
      </c>
    </row>
    <row r="498" spans="1:6">
      <c r="A498" s="1238"/>
      <c r="B498" s="177" t="s">
        <v>828</v>
      </c>
      <c r="C498" s="178">
        <v>2829186</v>
      </c>
      <c r="D498" s="179" t="s">
        <v>1653</v>
      </c>
      <c r="E498" s="179" t="s">
        <v>2126</v>
      </c>
      <c r="F498" s="179" t="s">
        <v>2127</v>
      </c>
    </row>
    <row r="499" spans="1:6">
      <c r="A499" s="1238"/>
      <c r="B499" s="177" t="s">
        <v>832</v>
      </c>
      <c r="C499" s="178">
        <v>2892475</v>
      </c>
      <c r="D499" s="179" t="s">
        <v>1838</v>
      </c>
      <c r="E499" s="179" t="s">
        <v>2128</v>
      </c>
      <c r="F499" s="179" t="s">
        <v>946</v>
      </c>
    </row>
    <row r="500" spans="1:6">
      <c r="A500" s="1238"/>
      <c r="B500" s="177" t="s">
        <v>836</v>
      </c>
      <c r="C500" s="178">
        <v>2940409</v>
      </c>
      <c r="D500" s="179" t="s">
        <v>1868</v>
      </c>
      <c r="E500" s="179" t="s">
        <v>2129</v>
      </c>
      <c r="F500" s="179" t="s">
        <v>2130</v>
      </c>
    </row>
    <row r="501" spans="1:6">
      <c r="A501" s="1238"/>
      <c r="B501" s="177" t="s">
        <v>840</v>
      </c>
      <c r="C501" s="178">
        <v>2975967</v>
      </c>
      <c r="D501" s="179" t="s">
        <v>1449</v>
      </c>
      <c r="E501" s="179" t="s">
        <v>2131</v>
      </c>
      <c r="F501" s="179" t="s">
        <v>2132</v>
      </c>
    </row>
    <row r="502" spans="1:6">
      <c r="A502" s="1238"/>
      <c r="B502" s="177" t="s">
        <v>800</v>
      </c>
      <c r="C502" s="178">
        <v>2999151</v>
      </c>
      <c r="D502" s="179" t="s">
        <v>856</v>
      </c>
      <c r="E502" s="179" t="s">
        <v>1305</v>
      </c>
      <c r="F502" s="179" t="s">
        <v>2133</v>
      </c>
    </row>
    <row r="503" spans="1:6">
      <c r="A503" s="1238"/>
      <c r="B503" s="177" t="s">
        <v>802</v>
      </c>
      <c r="C503" s="178">
        <v>3018243</v>
      </c>
      <c r="D503" s="179" t="s">
        <v>1319</v>
      </c>
      <c r="E503" s="179" t="s">
        <v>2134</v>
      </c>
      <c r="F503" s="179" t="s">
        <v>1945</v>
      </c>
    </row>
    <row r="504" spans="1:6">
      <c r="A504" s="1238"/>
      <c r="B504" s="177" t="s">
        <v>805</v>
      </c>
      <c r="C504" s="178">
        <v>3043686</v>
      </c>
      <c r="D504" s="179" t="s">
        <v>853</v>
      </c>
      <c r="E504" s="179" t="s">
        <v>1930</v>
      </c>
      <c r="F504" s="179" t="s">
        <v>2121</v>
      </c>
    </row>
    <row r="505" spans="1:6">
      <c r="A505" s="1238"/>
      <c r="B505" s="177" t="s">
        <v>809</v>
      </c>
      <c r="C505" s="178">
        <v>3070715</v>
      </c>
      <c r="D505" s="179" t="s">
        <v>896</v>
      </c>
      <c r="E505" s="179" t="s">
        <v>2135</v>
      </c>
      <c r="F505" s="179" t="s">
        <v>2136</v>
      </c>
    </row>
    <row r="506" spans="1:6">
      <c r="A506" s="1238"/>
      <c r="B506" s="177" t="s">
        <v>813</v>
      </c>
      <c r="C506" s="178">
        <v>3095091</v>
      </c>
      <c r="D506" s="179" t="s">
        <v>888</v>
      </c>
      <c r="E506" s="179" t="s">
        <v>2137</v>
      </c>
      <c r="F506" s="179" t="s">
        <v>2138</v>
      </c>
    </row>
    <row r="507" spans="1:6" ht="12.75" thickBot="1">
      <c r="A507" s="1239"/>
      <c r="B507" s="187" t="s">
        <v>817</v>
      </c>
      <c r="C507" s="504">
        <v>3123709</v>
      </c>
      <c r="D507" s="188" t="s">
        <v>884</v>
      </c>
      <c r="E507" s="188" t="s">
        <v>956</v>
      </c>
      <c r="F507" s="508" t="s">
        <v>956</v>
      </c>
    </row>
    <row r="508" spans="1:6">
      <c r="A508" s="1234">
        <v>1996</v>
      </c>
      <c r="B508" s="180" t="s">
        <v>821</v>
      </c>
      <c r="C508" s="506">
        <v>3202244</v>
      </c>
      <c r="D508" s="181" t="s">
        <v>1607</v>
      </c>
      <c r="E508" s="181" t="s">
        <v>1607</v>
      </c>
      <c r="F508" s="182" t="s">
        <v>1821</v>
      </c>
    </row>
    <row r="509" spans="1:6">
      <c r="A509" s="1235"/>
      <c r="B509" s="177" t="s">
        <v>824</v>
      </c>
      <c r="C509" s="178">
        <v>3330729</v>
      </c>
      <c r="D509" s="179" t="s">
        <v>1678</v>
      </c>
      <c r="E509" s="179" t="s">
        <v>2139</v>
      </c>
      <c r="F509" s="183" t="s">
        <v>2140</v>
      </c>
    </row>
    <row r="510" spans="1:6">
      <c r="A510" s="1235"/>
      <c r="B510" s="177" t="s">
        <v>828</v>
      </c>
      <c r="C510" s="178">
        <v>3400939</v>
      </c>
      <c r="D510" s="179" t="s">
        <v>866</v>
      </c>
      <c r="E510" s="179" t="s">
        <v>2141</v>
      </c>
      <c r="F510" s="183" t="s">
        <v>2142</v>
      </c>
    </row>
    <row r="511" spans="1:6">
      <c r="A511" s="1235"/>
      <c r="B511" s="177" t="s">
        <v>832</v>
      </c>
      <c r="C511" s="178">
        <v>3468176</v>
      </c>
      <c r="D511" s="179" t="s">
        <v>1503</v>
      </c>
      <c r="E511" s="179" t="s">
        <v>2143</v>
      </c>
      <c r="F511" s="183" t="s">
        <v>2144</v>
      </c>
    </row>
    <row r="512" spans="1:6">
      <c r="A512" s="1235"/>
      <c r="B512" s="177" t="s">
        <v>836</v>
      </c>
      <c r="C512" s="178">
        <v>3522039</v>
      </c>
      <c r="D512" s="179" t="s">
        <v>1583</v>
      </c>
      <c r="E512" s="179" t="s">
        <v>2145</v>
      </c>
      <c r="F512" s="183" t="s">
        <v>2146</v>
      </c>
    </row>
    <row r="513" spans="1:6">
      <c r="A513" s="1235"/>
      <c r="B513" s="177" t="s">
        <v>840</v>
      </c>
      <c r="C513" s="178">
        <v>3562416</v>
      </c>
      <c r="D513" s="179" t="s">
        <v>1590</v>
      </c>
      <c r="E513" s="179" t="s">
        <v>2147</v>
      </c>
      <c r="F513" s="183" t="s">
        <v>2148</v>
      </c>
    </row>
    <row r="514" spans="1:6">
      <c r="A514" s="1235"/>
      <c r="B514" s="177" t="s">
        <v>800</v>
      </c>
      <c r="C514" s="178">
        <v>3616228</v>
      </c>
      <c r="D514" s="179" t="s">
        <v>1211</v>
      </c>
      <c r="E514" s="179" t="s">
        <v>2149</v>
      </c>
      <c r="F514" s="183" t="s">
        <v>2150</v>
      </c>
    </row>
    <row r="515" spans="1:6">
      <c r="A515" s="1235"/>
      <c r="B515" s="177" t="s">
        <v>802</v>
      </c>
      <c r="C515" s="178">
        <v>3656130</v>
      </c>
      <c r="D515" s="179" t="s">
        <v>1091</v>
      </c>
      <c r="E515" s="179" t="s">
        <v>1295</v>
      </c>
      <c r="F515" s="183" t="s">
        <v>2151</v>
      </c>
    </row>
    <row r="516" spans="1:6">
      <c r="A516" s="1235"/>
      <c r="B516" s="177" t="s">
        <v>805</v>
      </c>
      <c r="C516" s="178">
        <v>3699661</v>
      </c>
      <c r="D516" s="179" t="s">
        <v>1568</v>
      </c>
      <c r="E516" s="179" t="s">
        <v>2152</v>
      </c>
      <c r="F516" s="183" t="s">
        <v>1848</v>
      </c>
    </row>
    <row r="517" spans="1:6">
      <c r="A517" s="1235"/>
      <c r="B517" s="177" t="s">
        <v>809</v>
      </c>
      <c r="C517" s="178">
        <v>3742344</v>
      </c>
      <c r="D517" s="179" t="s">
        <v>1478</v>
      </c>
      <c r="E517" s="179" t="s">
        <v>1952</v>
      </c>
      <c r="F517" s="183" t="s">
        <v>2153</v>
      </c>
    </row>
    <row r="518" spans="1:6">
      <c r="A518" s="1235"/>
      <c r="B518" s="177" t="s">
        <v>813</v>
      </c>
      <c r="C518" s="178">
        <v>3772398</v>
      </c>
      <c r="D518" s="179" t="s">
        <v>1358</v>
      </c>
      <c r="E518" s="179" t="s">
        <v>2154</v>
      </c>
      <c r="F518" s="183" t="s">
        <v>1854</v>
      </c>
    </row>
    <row r="519" spans="1:6" ht="12.75" thickBot="1">
      <c r="A519" s="1236"/>
      <c r="B519" s="184" t="s">
        <v>817</v>
      </c>
      <c r="C519" s="507">
        <v>3799651</v>
      </c>
      <c r="D519" s="185" t="s">
        <v>1823</v>
      </c>
      <c r="E519" s="185" t="s">
        <v>2155</v>
      </c>
      <c r="F519" s="508" t="s">
        <v>2155</v>
      </c>
    </row>
    <row r="520" spans="1:6">
      <c r="A520" s="1237">
        <v>1997</v>
      </c>
      <c r="B520" s="500" t="s">
        <v>821</v>
      </c>
      <c r="C520" s="505">
        <v>3862612</v>
      </c>
      <c r="D520" s="501" t="s">
        <v>1868</v>
      </c>
      <c r="E520" s="501" t="s">
        <v>1868</v>
      </c>
      <c r="F520" s="501" t="s">
        <v>2156</v>
      </c>
    </row>
    <row r="521" spans="1:6">
      <c r="A521" s="1238"/>
      <c r="B521" s="177" t="s">
        <v>824</v>
      </c>
      <c r="C521" s="178">
        <v>3983103</v>
      </c>
      <c r="D521" s="179" t="s">
        <v>1516</v>
      </c>
      <c r="E521" s="179" t="s">
        <v>1355</v>
      </c>
      <c r="F521" s="179" t="s">
        <v>1213</v>
      </c>
    </row>
    <row r="522" spans="1:6">
      <c r="A522" s="1238"/>
      <c r="B522" s="177" t="s">
        <v>828</v>
      </c>
      <c r="C522" s="178">
        <v>4045016</v>
      </c>
      <c r="D522" s="179" t="s">
        <v>1583</v>
      </c>
      <c r="E522" s="179" t="s">
        <v>2157</v>
      </c>
      <c r="F522" s="179" t="s">
        <v>2158</v>
      </c>
    </row>
    <row r="523" spans="1:6">
      <c r="A523" s="1238"/>
      <c r="B523" s="177" t="s">
        <v>832</v>
      </c>
      <c r="C523" s="178">
        <v>4110718</v>
      </c>
      <c r="D523" s="179" t="s">
        <v>1718</v>
      </c>
      <c r="E523" s="179" t="s">
        <v>2159</v>
      </c>
      <c r="F523" s="179" t="s">
        <v>2160</v>
      </c>
    </row>
    <row r="524" spans="1:6">
      <c r="A524" s="1238"/>
      <c r="B524" s="177" t="s">
        <v>836</v>
      </c>
      <c r="C524" s="178">
        <v>4177435</v>
      </c>
      <c r="D524" s="179" t="s">
        <v>1718</v>
      </c>
      <c r="E524" s="179" t="s">
        <v>2161</v>
      </c>
      <c r="F524" s="179" t="s">
        <v>2162</v>
      </c>
    </row>
    <row r="525" spans="1:6">
      <c r="A525" s="1238"/>
      <c r="B525" s="177" t="s">
        <v>840</v>
      </c>
      <c r="C525" s="178">
        <v>4227692</v>
      </c>
      <c r="D525" s="179" t="s">
        <v>1449</v>
      </c>
      <c r="E525" s="179" t="s">
        <v>2163</v>
      </c>
      <c r="F525" s="179" t="s">
        <v>2164</v>
      </c>
    </row>
    <row r="526" spans="1:6">
      <c r="A526" s="1238"/>
      <c r="B526" s="177" t="s">
        <v>800</v>
      </c>
      <c r="C526" s="178">
        <v>4263010</v>
      </c>
      <c r="D526" s="179" t="s">
        <v>1037</v>
      </c>
      <c r="E526" s="179" t="s">
        <v>2165</v>
      </c>
      <c r="F526" s="179" t="s">
        <v>2166</v>
      </c>
    </row>
    <row r="527" spans="1:6">
      <c r="A527" s="1238"/>
      <c r="B527" s="177" t="s">
        <v>802</v>
      </c>
      <c r="C527" s="178">
        <v>4311990</v>
      </c>
      <c r="D527" s="179" t="s">
        <v>1590</v>
      </c>
      <c r="E527" s="179" t="s">
        <v>1814</v>
      </c>
      <c r="F527" s="179" t="s">
        <v>2167</v>
      </c>
    </row>
    <row r="528" spans="1:6">
      <c r="A528" s="1238"/>
      <c r="B528" s="177" t="s">
        <v>805</v>
      </c>
      <c r="C528" s="178">
        <v>4366319</v>
      </c>
      <c r="D528" s="179" t="s">
        <v>1918</v>
      </c>
      <c r="E528" s="179" t="s">
        <v>2168</v>
      </c>
      <c r="F528" s="179" t="s">
        <v>2169</v>
      </c>
    </row>
    <row r="529" spans="1:6">
      <c r="A529" s="1238"/>
      <c r="B529" s="177" t="s">
        <v>809</v>
      </c>
      <c r="C529" s="178">
        <v>4408496</v>
      </c>
      <c r="D529" s="179" t="s">
        <v>1049</v>
      </c>
      <c r="E529" s="179" t="s">
        <v>2170</v>
      </c>
      <c r="F529" s="179" t="s">
        <v>2171</v>
      </c>
    </row>
    <row r="530" spans="1:6">
      <c r="A530" s="1238"/>
      <c r="B530" s="177" t="s">
        <v>813</v>
      </c>
      <c r="C530" s="178">
        <v>4444339</v>
      </c>
      <c r="D530" s="179" t="s">
        <v>1150</v>
      </c>
      <c r="E530" s="179" t="s">
        <v>2172</v>
      </c>
      <c r="F530" s="179" t="s">
        <v>2173</v>
      </c>
    </row>
    <row r="531" spans="1:6" ht="12.75" thickBot="1">
      <c r="A531" s="1239"/>
      <c r="B531" s="187" t="s">
        <v>817</v>
      </c>
      <c r="C531" s="504">
        <v>4471589</v>
      </c>
      <c r="D531" s="188" t="s">
        <v>2174</v>
      </c>
      <c r="E531" s="188" t="s">
        <v>2175</v>
      </c>
      <c r="F531" s="508" t="s">
        <v>2175</v>
      </c>
    </row>
    <row r="532" spans="1:6">
      <c r="A532" s="1234">
        <v>1998</v>
      </c>
      <c r="B532" s="180" t="s">
        <v>821</v>
      </c>
      <c r="C532" s="506">
        <v>4551778</v>
      </c>
      <c r="D532" s="181" t="s">
        <v>1767</v>
      </c>
      <c r="E532" s="181" t="s">
        <v>1767</v>
      </c>
      <c r="F532" s="182" t="s">
        <v>2176</v>
      </c>
    </row>
    <row r="533" spans="1:6">
      <c r="A533" s="1235"/>
      <c r="B533" s="177" t="s">
        <v>824</v>
      </c>
      <c r="C533" s="178">
        <v>4701282</v>
      </c>
      <c r="D533" s="179" t="s">
        <v>2177</v>
      </c>
      <c r="E533" s="179" t="s">
        <v>2178</v>
      </c>
      <c r="F533" s="183" t="s">
        <v>2179</v>
      </c>
    </row>
    <row r="534" spans="1:6">
      <c r="A534" s="1235"/>
      <c r="B534" s="177" t="s">
        <v>828</v>
      </c>
      <c r="C534" s="178">
        <v>4823588</v>
      </c>
      <c r="D534" s="179" t="s">
        <v>2180</v>
      </c>
      <c r="E534" s="179" t="s">
        <v>1016</v>
      </c>
      <c r="F534" s="183" t="s">
        <v>2181</v>
      </c>
    </row>
    <row r="535" spans="1:6">
      <c r="A535" s="1235"/>
      <c r="B535" s="177" t="s">
        <v>832</v>
      </c>
      <c r="C535" s="178">
        <v>4963681</v>
      </c>
      <c r="D535" s="179" t="s">
        <v>2182</v>
      </c>
      <c r="E535" s="179" t="s">
        <v>2183</v>
      </c>
      <c r="F535" s="183" t="s">
        <v>2184</v>
      </c>
    </row>
    <row r="536" spans="1:6">
      <c r="A536" s="1235"/>
      <c r="B536" s="177" t="s">
        <v>836</v>
      </c>
      <c r="C536" s="178">
        <v>5041245</v>
      </c>
      <c r="D536" s="179" t="s">
        <v>1987</v>
      </c>
      <c r="E536" s="179" t="s">
        <v>2185</v>
      </c>
      <c r="F536" s="183" t="s">
        <v>2186</v>
      </c>
    </row>
    <row r="537" spans="1:6">
      <c r="A537" s="1235"/>
      <c r="B537" s="177" t="s">
        <v>840</v>
      </c>
      <c r="C537" s="178">
        <v>5102799</v>
      </c>
      <c r="D537" s="179" t="s">
        <v>1882</v>
      </c>
      <c r="E537" s="179" t="s">
        <v>1934</v>
      </c>
      <c r="F537" s="183" t="s">
        <v>953</v>
      </c>
    </row>
    <row r="538" spans="1:6">
      <c r="A538" s="1235"/>
      <c r="B538" s="177" t="s">
        <v>800</v>
      </c>
      <c r="C538" s="178">
        <v>5127197</v>
      </c>
      <c r="D538" s="179" t="s">
        <v>996</v>
      </c>
      <c r="E538" s="179" t="s">
        <v>2187</v>
      </c>
      <c r="F538" s="183" t="s">
        <v>2188</v>
      </c>
    </row>
    <row r="539" spans="1:6">
      <c r="A539" s="1235"/>
      <c r="B539" s="177" t="s">
        <v>802</v>
      </c>
      <c r="C539" s="178">
        <v>5128861</v>
      </c>
      <c r="D539" s="179" t="s">
        <v>2189</v>
      </c>
      <c r="E539" s="179" t="s">
        <v>2190</v>
      </c>
      <c r="F539" s="183" t="s">
        <v>2191</v>
      </c>
    </row>
    <row r="540" spans="1:6">
      <c r="A540" s="1235"/>
      <c r="B540" s="177" t="s">
        <v>805</v>
      </c>
      <c r="C540" s="178">
        <v>5143735</v>
      </c>
      <c r="D540" s="179" t="s">
        <v>869</v>
      </c>
      <c r="E540" s="179" t="s">
        <v>2192</v>
      </c>
      <c r="F540" s="183" t="s">
        <v>2171</v>
      </c>
    </row>
    <row r="541" spans="1:6">
      <c r="A541" s="1235"/>
      <c r="B541" s="177" t="s">
        <v>809</v>
      </c>
      <c r="C541" s="178">
        <v>5162089</v>
      </c>
      <c r="D541" s="179" t="s">
        <v>1368</v>
      </c>
      <c r="E541" s="179" t="s">
        <v>2193</v>
      </c>
      <c r="F541" s="183" t="s">
        <v>1742</v>
      </c>
    </row>
    <row r="542" spans="1:6">
      <c r="A542" s="1235"/>
      <c r="B542" s="177" t="s">
        <v>813</v>
      </c>
      <c r="C542" s="178">
        <v>5171247</v>
      </c>
      <c r="D542" s="179" t="s">
        <v>831</v>
      </c>
      <c r="E542" s="179" t="s">
        <v>2097</v>
      </c>
      <c r="F542" s="183" t="s">
        <v>1645</v>
      </c>
    </row>
    <row r="543" spans="1:6" ht="12.75" thickBot="1">
      <c r="A543" s="1236"/>
      <c r="B543" s="184" t="s">
        <v>817</v>
      </c>
      <c r="C543" s="507">
        <v>5218481</v>
      </c>
      <c r="D543" s="185" t="s">
        <v>872</v>
      </c>
      <c r="E543" s="185" t="s">
        <v>2194</v>
      </c>
      <c r="F543" s="508" t="s">
        <v>2194</v>
      </c>
    </row>
    <row r="544" spans="1:6">
      <c r="A544" s="1237">
        <v>1999</v>
      </c>
      <c r="B544" s="500" t="s">
        <v>821</v>
      </c>
      <c r="C544" s="505">
        <v>5333761</v>
      </c>
      <c r="D544" s="501" t="s">
        <v>1923</v>
      </c>
      <c r="E544" s="501" t="s">
        <v>1923</v>
      </c>
      <c r="F544" s="501" t="s">
        <v>2195</v>
      </c>
    </row>
    <row r="545" spans="1:6">
      <c r="A545" s="1238"/>
      <c r="B545" s="177" t="s">
        <v>824</v>
      </c>
      <c r="C545" s="178">
        <v>5424344</v>
      </c>
      <c r="D545" s="179" t="s">
        <v>965</v>
      </c>
      <c r="E545" s="179" t="s">
        <v>2196</v>
      </c>
      <c r="F545" s="179" t="s">
        <v>2197</v>
      </c>
    </row>
    <row r="546" spans="1:6">
      <c r="A546" s="1238"/>
      <c r="B546" s="177" t="s">
        <v>828</v>
      </c>
      <c r="C546" s="178">
        <v>5475222</v>
      </c>
      <c r="D546" s="179" t="s">
        <v>858</v>
      </c>
      <c r="E546" s="179" t="s">
        <v>2198</v>
      </c>
      <c r="F546" s="179" t="s">
        <v>1889</v>
      </c>
    </row>
    <row r="547" spans="1:6">
      <c r="A547" s="1238"/>
      <c r="B547" s="177" t="s">
        <v>832</v>
      </c>
      <c r="C547" s="178">
        <v>5518137</v>
      </c>
      <c r="D547" s="179" t="s">
        <v>1334</v>
      </c>
      <c r="E547" s="179" t="s">
        <v>1116</v>
      </c>
      <c r="F547" s="179" t="s">
        <v>2199</v>
      </c>
    </row>
    <row r="548" spans="1:6">
      <c r="A548" s="1238"/>
      <c r="B548" s="177" t="s">
        <v>836</v>
      </c>
      <c r="C548" s="178">
        <v>5544543</v>
      </c>
      <c r="D548" s="179" t="s">
        <v>1473</v>
      </c>
      <c r="E548" s="179" t="s">
        <v>1072</v>
      </c>
      <c r="F548" s="179" t="s">
        <v>2200</v>
      </c>
    </row>
    <row r="549" spans="1:6">
      <c r="A549" s="1238"/>
      <c r="B549" s="177" t="s">
        <v>840</v>
      </c>
      <c r="C549" s="178">
        <v>5560033</v>
      </c>
      <c r="D549" s="179" t="s">
        <v>959</v>
      </c>
      <c r="E549" s="179" t="s">
        <v>2201</v>
      </c>
      <c r="F549" s="179" t="s">
        <v>1009</v>
      </c>
    </row>
    <row r="550" spans="1:6">
      <c r="A550" s="1238"/>
      <c r="B550" s="177" t="s">
        <v>800</v>
      </c>
      <c r="C550" s="178">
        <v>5577382</v>
      </c>
      <c r="D550" s="179" t="s">
        <v>948</v>
      </c>
      <c r="E550" s="179" t="s">
        <v>2202</v>
      </c>
      <c r="F550" s="179" t="s">
        <v>2203</v>
      </c>
    </row>
    <row r="551" spans="1:6">
      <c r="A551" s="1238"/>
      <c r="B551" s="177" t="s">
        <v>802</v>
      </c>
      <c r="C551" s="178">
        <v>5604996</v>
      </c>
      <c r="D551" s="179" t="s">
        <v>1419</v>
      </c>
      <c r="E551" s="179" t="s">
        <v>2204</v>
      </c>
      <c r="F551" s="179" t="s">
        <v>2205</v>
      </c>
    </row>
    <row r="552" spans="1:6">
      <c r="A552" s="1238"/>
      <c r="B552" s="177" t="s">
        <v>805</v>
      </c>
      <c r="C552" s="178">
        <v>5623539</v>
      </c>
      <c r="D552" s="179" t="s">
        <v>988</v>
      </c>
      <c r="E552" s="179" t="s">
        <v>1400</v>
      </c>
      <c r="F552" s="179" t="s">
        <v>2206</v>
      </c>
    </row>
    <row r="553" spans="1:6">
      <c r="A553" s="1238"/>
      <c r="B553" s="177" t="s">
        <v>809</v>
      </c>
      <c r="C553" s="178">
        <v>5643202</v>
      </c>
      <c r="D553" s="179" t="s">
        <v>1368</v>
      </c>
      <c r="E553" s="179" t="s">
        <v>1878</v>
      </c>
      <c r="F553" s="179" t="s">
        <v>2108</v>
      </c>
    </row>
    <row r="554" spans="1:6">
      <c r="A554" s="1238"/>
      <c r="B554" s="177" t="s">
        <v>813</v>
      </c>
      <c r="C554" s="178">
        <v>5670225</v>
      </c>
      <c r="D554" s="179" t="s">
        <v>1473</v>
      </c>
      <c r="E554" s="179" t="s">
        <v>2207</v>
      </c>
      <c r="F554" s="179" t="s">
        <v>2208</v>
      </c>
    </row>
    <row r="555" spans="1:6" ht="12.75" thickBot="1">
      <c r="A555" s="1239"/>
      <c r="B555" s="187" t="s">
        <v>817</v>
      </c>
      <c r="C555" s="504">
        <v>5700236</v>
      </c>
      <c r="D555" s="188" t="s">
        <v>1121</v>
      </c>
      <c r="E555" s="188" t="s">
        <v>2209</v>
      </c>
      <c r="F555" s="508" t="s">
        <v>2209</v>
      </c>
    </row>
    <row r="556" spans="1:6">
      <c r="A556" s="1234">
        <v>2000</v>
      </c>
      <c r="B556" s="180" t="s">
        <v>821</v>
      </c>
      <c r="C556" s="506">
        <v>5773729</v>
      </c>
      <c r="D556" s="181" t="s">
        <v>1046</v>
      </c>
      <c r="E556" s="181" t="s">
        <v>1046</v>
      </c>
      <c r="F556" s="182" t="s">
        <v>2210</v>
      </c>
    </row>
    <row r="557" spans="1:6">
      <c r="A557" s="1235"/>
      <c r="B557" s="177" t="s">
        <v>824</v>
      </c>
      <c r="C557" s="178">
        <v>5906643</v>
      </c>
      <c r="D557" s="179" t="s">
        <v>1722</v>
      </c>
      <c r="E557" s="179" t="s">
        <v>2211</v>
      </c>
      <c r="F557" s="183" t="s">
        <v>1996</v>
      </c>
    </row>
    <row r="558" spans="1:6">
      <c r="A558" s="1235"/>
      <c r="B558" s="177" t="s">
        <v>828</v>
      </c>
      <c r="C558" s="178">
        <v>6007697</v>
      </c>
      <c r="D558" s="179" t="s">
        <v>2212</v>
      </c>
      <c r="E558" s="179" t="s">
        <v>2213</v>
      </c>
      <c r="F558" s="183" t="s">
        <v>2214</v>
      </c>
    </row>
    <row r="559" spans="1:6">
      <c r="A559" s="1235"/>
      <c r="B559" s="177" t="s">
        <v>832</v>
      </c>
      <c r="C559" s="178">
        <v>6067541</v>
      </c>
      <c r="D559" s="179" t="s">
        <v>2215</v>
      </c>
      <c r="E559" s="179" t="s">
        <v>1026</v>
      </c>
      <c r="F559" s="183" t="s">
        <v>2216</v>
      </c>
    </row>
    <row r="560" spans="1:6">
      <c r="A560" s="1235"/>
      <c r="B560" s="177" t="s">
        <v>836</v>
      </c>
      <c r="C560" s="178">
        <v>6099170</v>
      </c>
      <c r="D560" s="179" t="s">
        <v>1111</v>
      </c>
      <c r="E560" s="179" t="s">
        <v>981</v>
      </c>
      <c r="F560" s="183" t="s">
        <v>1454</v>
      </c>
    </row>
    <row r="561" spans="1:6">
      <c r="A561" s="1235"/>
      <c r="B561" s="177" t="s">
        <v>840</v>
      </c>
      <c r="C561" s="178">
        <v>6097989</v>
      </c>
      <c r="D561" s="179" t="s">
        <v>2217</v>
      </c>
      <c r="E561" s="179" t="s">
        <v>2218</v>
      </c>
      <c r="F561" s="183" t="s">
        <v>2219</v>
      </c>
    </row>
    <row r="562" spans="1:6">
      <c r="A562" s="1235"/>
      <c r="B562" s="177" t="s">
        <v>800</v>
      </c>
      <c r="C562" s="178">
        <v>6095620</v>
      </c>
      <c r="D562" s="179" t="s">
        <v>855</v>
      </c>
      <c r="E562" s="179" t="s">
        <v>2220</v>
      </c>
      <c r="F562" s="183" t="s">
        <v>2221</v>
      </c>
    </row>
    <row r="563" spans="1:6">
      <c r="A563" s="1235"/>
      <c r="B563" s="177" t="s">
        <v>802</v>
      </c>
      <c r="C563" s="178">
        <v>6114860</v>
      </c>
      <c r="D563" s="179" t="s">
        <v>1040</v>
      </c>
      <c r="E563" s="179" t="s">
        <v>2222</v>
      </c>
      <c r="F563" s="183" t="s">
        <v>2223</v>
      </c>
    </row>
    <row r="564" spans="1:6">
      <c r="A564" s="1235"/>
      <c r="B564" s="177" t="s">
        <v>805</v>
      </c>
      <c r="C564" s="178">
        <v>6140907</v>
      </c>
      <c r="D564" s="179" t="s">
        <v>839</v>
      </c>
      <c r="E564" s="179" t="s">
        <v>1228</v>
      </c>
      <c r="F564" s="183" t="s">
        <v>2224</v>
      </c>
    </row>
    <row r="565" spans="1:6">
      <c r="A565" s="1235"/>
      <c r="B565" s="177" t="s">
        <v>809</v>
      </c>
      <c r="C565" s="178">
        <v>6150305</v>
      </c>
      <c r="D565" s="179" t="s">
        <v>955</v>
      </c>
      <c r="E565" s="179" t="s">
        <v>2225</v>
      </c>
      <c r="F565" s="183" t="s">
        <v>2226</v>
      </c>
    </row>
    <row r="566" spans="1:6">
      <c r="A566" s="1235"/>
      <c r="B566" s="177" t="s">
        <v>813</v>
      </c>
      <c r="C566" s="178">
        <v>6170503</v>
      </c>
      <c r="D566" s="179" t="s">
        <v>988</v>
      </c>
      <c r="E566" s="179" t="s">
        <v>2210</v>
      </c>
      <c r="F566" s="183" t="s">
        <v>2227</v>
      </c>
    </row>
    <row r="567" spans="1:6" ht="12.75" thickBot="1">
      <c r="A567" s="1236"/>
      <c r="B567" s="184" t="s">
        <v>817</v>
      </c>
      <c r="C567" s="507">
        <v>6198903</v>
      </c>
      <c r="D567" s="185" t="s">
        <v>941</v>
      </c>
      <c r="E567" s="185" t="s">
        <v>1238</v>
      </c>
      <c r="F567" s="509" t="s">
        <v>1238</v>
      </c>
    </row>
    <row r="568" spans="1:6">
      <c r="A568" s="1237">
        <v>2001</v>
      </c>
      <c r="B568" s="500" t="s">
        <v>821</v>
      </c>
      <c r="C568" s="505">
        <v>6264044</v>
      </c>
      <c r="D568" s="501" t="s">
        <v>1345</v>
      </c>
      <c r="E568" s="501" t="s">
        <v>1345</v>
      </c>
      <c r="F568" s="501" t="s">
        <v>2228</v>
      </c>
    </row>
    <row r="569" spans="1:6">
      <c r="A569" s="1238"/>
      <c r="B569" s="177" t="s">
        <v>824</v>
      </c>
      <c r="C569" s="178">
        <v>6382616</v>
      </c>
      <c r="D569" s="179" t="s">
        <v>2229</v>
      </c>
      <c r="E569" s="179" t="s">
        <v>2230</v>
      </c>
      <c r="F569" s="179" t="s">
        <v>2231</v>
      </c>
    </row>
    <row r="570" spans="1:6">
      <c r="A570" s="1238"/>
      <c r="B570" s="177" t="s">
        <v>828</v>
      </c>
      <c r="C570" s="178">
        <v>6477157</v>
      </c>
      <c r="D570" s="179" t="s">
        <v>2232</v>
      </c>
      <c r="E570" s="179" t="s">
        <v>2233</v>
      </c>
      <c r="F570" s="179" t="s">
        <v>1038</v>
      </c>
    </row>
    <row r="571" spans="1:6">
      <c r="A571" s="1238"/>
      <c r="B571" s="177" t="s">
        <v>832</v>
      </c>
      <c r="C571" s="178">
        <v>6551484</v>
      </c>
      <c r="D571" s="179" t="s">
        <v>1478</v>
      </c>
      <c r="E571" s="179" t="s">
        <v>2234</v>
      </c>
      <c r="F571" s="179" t="s">
        <v>997</v>
      </c>
    </row>
    <row r="572" spans="1:6">
      <c r="A572" s="1238"/>
      <c r="B572" s="177" t="s">
        <v>836</v>
      </c>
      <c r="C572" s="178">
        <v>6578895</v>
      </c>
      <c r="D572" s="179" t="s">
        <v>1080</v>
      </c>
      <c r="E572" s="179" t="s">
        <v>1113</v>
      </c>
      <c r="F572" s="179" t="s">
        <v>1016</v>
      </c>
    </row>
    <row r="573" spans="1:6">
      <c r="A573" s="1238"/>
      <c r="B573" s="177" t="s">
        <v>840</v>
      </c>
      <c r="C573" s="178">
        <v>6581547</v>
      </c>
      <c r="D573" s="179" t="s">
        <v>1136</v>
      </c>
      <c r="E573" s="179" t="s">
        <v>1383</v>
      </c>
      <c r="F573" s="179" t="s">
        <v>2235</v>
      </c>
    </row>
    <row r="574" spans="1:6">
      <c r="A574" s="1238"/>
      <c r="B574" s="177" t="s">
        <v>800</v>
      </c>
      <c r="C574" s="178">
        <v>6588726</v>
      </c>
      <c r="D574" s="179" t="s">
        <v>2236</v>
      </c>
      <c r="E574" s="179" t="s">
        <v>2237</v>
      </c>
      <c r="F574" s="179" t="s">
        <v>2238</v>
      </c>
    </row>
    <row r="575" spans="1:6">
      <c r="A575" s="1238"/>
      <c r="B575" s="177" t="s">
        <v>802</v>
      </c>
      <c r="C575" s="178">
        <v>6605898</v>
      </c>
      <c r="D575" s="179" t="s">
        <v>1177</v>
      </c>
      <c r="E575" s="179" t="s">
        <v>2239</v>
      </c>
      <c r="F575" s="179" t="s">
        <v>2240</v>
      </c>
    </row>
    <row r="576" spans="1:6">
      <c r="A576" s="1238"/>
      <c r="B576" s="177" t="s">
        <v>805</v>
      </c>
      <c r="C576" s="178">
        <v>6630408</v>
      </c>
      <c r="D576" s="179" t="s">
        <v>842</v>
      </c>
      <c r="E576" s="179" t="s">
        <v>2066</v>
      </c>
      <c r="F576" s="179" t="s">
        <v>2241</v>
      </c>
    </row>
    <row r="577" spans="1:6">
      <c r="A577" s="1238"/>
      <c r="B577" s="177" t="s">
        <v>809</v>
      </c>
      <c r="C577" s="178">
        <v>6642691</v>
      </c>
      <c r="D577" s="179" t="s">
        <v>2242</v>
      </c>
      <c r="E577" s="179" t="s">
        <v>1969</v>
      </c>
      <c r="F577" s="179" t="s">
        <v>1492</v>
      </c>
    </row>
    <row r="578" spans="1:6">
      <c r="A578" s="1238"/>
      <c r="B578" s="177" t="s">
        <v>813</v>
      </c>
      <c r="C578" s="178">
        <v>6650455</v>
      </c>
      <c r="D578" s="179" t="s">
        <v>958</v>
      </c>
      <c r="E578" s="179" t="s">
        <v>1335</v>
      </c>
      <c r="F578" s="179" t="s">
        <v>1023</v>
      </c>
    </row>
    <row r="579" spans="1:6" ht="12.75" thickBot="1">
      <c r="A579" s="1239"/>
      <c r="B579" s="187" t="s">
        <v>817</v>
      </c>
      <c r="C579" s="504">
        <v>6672893</v>
      </c>
      <c r="D579" s="188" t="s">
        <v>811</v>
      </c>
      <c r="E579" s="188" t="s">
        <v>1363</v>
      </c>
      <c r="F579" s="508" t="s">
        <v>1363</v>
      </c>
    </row>
    <row r="580" spans="1:6">
      <c r="A580" s="1234">
        <v>2002</v>
      </c>
      <c r="B580" s="180" t="s">
        <v>821</v>
      </c>
      <c r="C580" s="506">
        <v>6726002</v>
      </c>
      <c r="D580" s="181" t="s">
        <v>1358</v>
      </c>
      <c r="E580" s="181" t="s">
        <v>1358</v>
      </c>
      <c r="F580" s="182" t="s">
        <v>2243</v>
      </c>
    </row>
    <row r="581" spans="1:6">
      <c r="A581" s="1235"/>
      <c r="B581" s="177" t="s">
        <v>824</v>
      </c>
      <c r="C581" s="178">
        <v>6810520</v>
      </c>
      <c r="D581" s="179" t="s">
        <v>1918</v>
      </c>
      <c r="E581" s="179" t="s">
        <v>1940</v>
      </c>
      <c r="F581" s="183" t="s">
        <v>2244</v>
      </c>
    </row>
    <row r="582" spans="1:6">
      <c r="A582" s="1235"/>
      <c r="B582" s="177" t="s">
        <v>828</v>
      </c>
      <c r="C582" s="178">
        <v>6858761</v>
      </c>
      <c r="D582" s="179" t="s">
        <v>1984</v>
      </c>
      <c r="E582" s="179" t="s">
        <v>1131</v>
      </c>
      <c r="F582" s="183" t="s">
        <v>2245</v>
      </c>
    </row>
    <row r="583" spans="1:6">
      <c r="A583" s="1235"/>
      <c r="B583" s="177" t="s">
        <v>832</v>
      </c>
      <c r="C583" s="178">
        <v>6921518</v>
      </c>
      <c r="D583" s="179" t="s">
        <v>884</v>
      </c>
      <c r="E583" s="179" t="s">
        <v>1348</v>
      </c>
      <c r="F583" s="183" t="s">
        <v>970</v>
      </c>
    </row>
    <row r="584" spans="1:6">
      <c r="A584" s="1235"/>
      <c r="B584" s="177" t="s">
        <v>836</v>
      </c>
      <c r="C584" s="178">
        <v>6962961</v>
      </c>
      <c r="D584" s="179" t="s">
        <v>1140</v>
      </c>
      <c r="E584" s="179" t="s">
        <v>2246</v>
      </c>
      <c r="F584" s="183" t="s">
        <v>2247</v>
      </c>
    </row>
    <row r="585" spans="1:6">
      <c r="A585" s="1235"/>
      <c r="B585" s="177" t="s">
        <v>840</v>
      </c>
      <c r="C585" s="178">
        <v>6992820</v>
      </c>
      <c r="D585" s="179" t="s">
        <v>839</v>
      </c>
      <c r="E585" s="179" t="s">
        <v>1060</v>
      </c>
      <c r="F585" s="183" t="s">
        <v>1072</v>
      </c>
    </row>
    <row r="586" spans="1:6">
      <c r="A586" s="1235"/>
      <c r="B586" s="177" t="s">
        <v>800</v>
      </c>
      <c r="C586" s="178">
        <v>6994400</v>
      </c>
      <c r="D586" s="179" t="s">
        <v>1043</v>
      </c>
      <c r="E586" s="179" t="s">
        <v>1355</v>
      </c>
      <c r="F586" s="183" t="s">
        <v>1243</v>
      </c>
    </row>
    <row r="587" spans="1:6">
      <c r="A587" s="1235"/>
      <c r="B587" s="177" t="s">
        <v>802</v>
      </c>
      <c r="C587" s="178">
        <v>7001001</v>
      </c>
      <c r="D587" s="179" t="s">
        <v>976</v>
      </c>
      <c r="E587" s="179" t="s">
        <v>2198</v>
      </c>
      <c r="F587" s="183" t="s">
        <v>2248</v>
      </c>
    </row>
    <row r="588" spans="1:6">
      <c r="A588" s="1235"/>
      <c r="B588" s="177" t="s">
        <v>805</v>
      </c>
      <c r="C588" s="178">
        <v>7026220</v>
      </c>
      <c r="D588" s="179" t="s">
        <v>2249</v>
      </c>
      <c r="E588" s="179" t="s">
        <v>1012</v>
      </c>
      <c r="F588" s="183" t="s">
        <v>1095</v>
      </c>
    </row>
    <row r="589" spans="1:6">
      <c r="A589" s="1235"/>
      <c r="B589" s="177" t="s">
        <v>809</v>
      </c>
      <c r="C589" s="178">
        <v>7065505</v>
      </c>
      <c r="D589" s="179" t="s">
        <v>1337</v>
      </c>
      <c r="E589" s="179" t="s">
        <v>2250</v>
      </c>
      <c r="F589" s="183" t="s">
        <v>1259</v>
      </c>
    </row>
    <row r="590" spans="1:6">
      <c r="A590" s="1235"/>
      <c r="B590" s="177" t="s">
        <v>813</v>
      </c>
      <c r="C590" s="178">
        <v>7120492</v>
      </c>
      <c r="D590" s="179" t="s">
        <v>1334</v>
      </c>
      <c r="E590" s="179" t="s">
        <v>1338</v>
      </c>
      <c r="F590" s="183" t="s">
        <v>2251</v>
      </c>
    </row>
    <row r="591" spans="1:6" ht="12.75" thickBot="1">
      <c r="A591" s="1236"/>
      <c r="B591" s="184" t="s">
        <v>817</v>
      </c>
      <c r="C591" s="507">
        <v>7139513</v>
      </c>
      <c r="D591" s="185" t="s">
        <v>815</v>
      </c>
      <c r="E591" s="185" t="s">
        <v>2252</v>
      </c>
      <c r="F591" s="509" t="s">
        <v>2252</v>
      </c>
    </row>
    <row r="592" spans="1:6">
      <c r="A592" s="1237">
        <v>2003</v>
      </c>
      <c r="B592" s="500" t="s">
        <v>821</v>
      </c>
      <c r="C592" s="505">
        <v>7223341</v>
      </c>
      <c r="D592" s="501" t="s">
        <v>1071</v>
      </c>
      <c r="E592" s="501" t="s">
        <v>1071</v>
      </c>
      <c r="F592" s="501" t="s">
        <v>2253</v>
      </c>
    </row>
    <row r="593" spans="1:6">
      <c r="A593" s="1238"/>
      <c r="B593" s="177" t="s">
        <v>824</v>
      </c>
      <c r="C593" s="178">
        <v>7303558</v>
      </c>
      <c r="D593" s="179" t="s">
        <v>2120</v>
      </c>
      <c r="E593" s="179" t="s">
        <v>1722</v>
      </c>
      <c r="F593" s="179" t="s">
        <v>2254</v>
      </c>
    </row>
    <row r="594" spans="1:6">
      <c r="A594" s="1238"/>
      <c r="B594" s="177" t="s">
        <v>828</v>
      </c>
      <c r="C594" s="178">
        <v>7380035</v>
      </c>
      <c r="D594" s="179" t="s">
        <v>1345</v>
      </c>
      <c r="E594" s="179" t="s">
        <v>2255</v>
      </c>
      <c r="F594" s="179" t="s">
        <v>1332</v>
      </c>
    </row>
    <row r="595" spans="1:6">
      <c r="A595" s="1238"/>
      <c r="B595" s="177" t="s">
        <v>832</v>
      </c>
      <c r="C595" s="178">
        <v>7464728</v>
      </c>
      <c r="D595" s="179" t="s">
        <v>1478</v>
      </c>
      <c r="E595" s="179" t="s">
        <v>2256</v>
      </c>
      <c r="F595" s="179" t="s">
        <v>2257</v>
      </c>
    </row>
    <row r="596" spans="1:6">
      <c r="A596" s="1238"/>
      <c r="B596" s="177" t="s">
        <v>836</v>
      </c>
      <c r="C596" s="178">
        <v>7501296</v>
      </c>
      <c r="D596" s="179" t="s">
        <v>1872</v>
      </c>
      <c r="E596" s="179" t="s">
        <v>2258</v>
      </c>
      <c r="F596" s="179" t="s">
        <v>1228</v>
      </c>
    </row>
    <row r="597" spans="1:6">
      <c r="A597" s="1238"/>
      <c r="B597" s="177" t="s">
        <v>840</v>
      </c>
      <c r="C597" s="178">
        <v>7497195</v>
      </c>
      <c r="D597" s="179" t="s">
        <v>992</v>
      </c>
      <c r="E597" s="179" t="s">
        <v>2259</v>
      </c>
      <c r="F597" s="179" t="s">
        <v>2260</v>
      </c>
    </row>
    <row r="598" spans="1:6">
      <c r="A598" s="1238"/>
      <c r="B598" s="177" t="s">
        <v>800</v>
      </c>
      <c r="C598" s="178">
        <v>7486465</v>
      </c>
      <c r="D598" s="179" t="s">
        <v>2261</v>
      </c>
      <c r="E598" s="179" t="s">
        <v>2262</v>
      </c>
      <c r="F598" s="179" t="s">
        <v>1356</v>
      </c>
    </row>
    <row r="599" spans="1:6">
      <c r="A599" s="1238"/>
      <c r="B599" s="177" t="s">
        <v>802</v>
      </c>
      <c r="C599" s="178">
        <v>7509591</v>
      </c>
      <c r="D599" s="179" t="s">
        <v>948</v>
      </c>
      <c r="E599" s="179" t="s">
        <v>1159</v>
      </c>
      <c r="F599" s="179" t="s">
        <v>898</v>
      </c>
    </row>
    <row r="600" spans="1:6">
      <c r="A600" s="1238"/>
      <c r="B600" s="177" t="s">
        <v>805</v>
      </c>
      <c r="C600" s="178">
        <v>7526122</v>
      </c>
      <c r="D600" s="179" t="s">
        <v>1033</v>
      </c>
      <c r="E600" s="179" t="s">
        <v>2263</v>
      </c>
      <c r="F600" s="179" t="s">
        <v>2264</v>
      </c>
    </row>
    <row r="601" spans="1:6">
      <c r="A601" s="1238"/>
      <c r="B601" s="177" t="s">
        <v>809</v>
      </c>
      <c r="C601" s="178">
        <v>7530658</v>
      </c>
      <c r="D601" s="179" t="s">
        <v>2265</v>
      </c>
      <c r="E601" s="179" t="s">
        <v>2266</v>
      </c>
      <c r="F601" s="179" t="s">
        <v>1392</v>
      </c>
    </row>
    <row r="602" spans="1:6">
      <c r="A602" s="1238"/>
      <c r="B602" s="177" t="s">
        <v>813</v>
      </c>
      <c r="C602" s="178">
        <v>7556889</v>
      </c>
      <c r="D602" s="179" t="s">
        <v>1368</v>
      </c>
      <c r="E602" s="179" t="s">
        <v>1142</v>
      </c>
      <c r="F602" s="179" t="s">
        <v>1113</v>
      </c>
    </row>
    <row r="603" spans="1:6" ht="12.75" thickBot="1">
      <c r="A603" s="1239"/>
      <c r="B603" s="187" t="s">
        <v>817</v>
      </c>
      <c r="C603" s="504">
        <v>7602913</v>
      </c>
      <c r="D603" s="188" t="s">
        <v>2174</v>
      </c>
      <c r="E603" s="188" t="s">
        <v>2267</v>
      </c>
      <c r="F603" s="508" t="s">
        <v>2267</v>
      </c>
    </row>
    <row r="604" spans="1:6">
      <c r="A604" s="1234">
        <v>2004</v>
      </c>
      <c r="B604" s="180" t="s">
        <v>821</v>
      </c>
      <c r="C604" s="506">
        <v>7670288</v>
      </c>
      <c r="D604" s="181" t="s">
        <v>1124</v>
      </c>
      <c r="E604" s="181" t="s">
        <v>1124</v>
      </c>
      <c r="F604" s="182" t="s">
        <v>2268</v>
      </c>
    </row>
    <row r="605" spans="1:6">
      <c r="A605" s="1235"/>
      <c r="B605" s="177" t="s">
        <v>824</v>
      </c>
      <c r="C605" s="178">
        <v>7762288</v>
      </c>
      <c r="D605" s="179" t="s">
        <v>1449</v>
      </c>
      <c r="E605" s="179" t="s">
        <v>866</v>
      </c>
      <c r="F605" s="183" t="s">
        <v>2269</v>
      </c>
    </row>
    <row r="606" spans="1:6">
      <c r="A606" s="1235"/>
      <c r="B606" s="177" t="s">
        <v>828</v>
      </c>
      <c r="C606" s="178">
        <v>7838691</v>
      </c>
      <c r="D606" s="179" t="s">
        <v>1312</v>
      </c>
      <c r="E606" s="179" t="s">
        <v>874</v>
      </c>
      <c r="F606" s="183" t="s">
        <v>2270</v>
      </c>
    </row>
    <row r="607" spans="1:6">
      <c r="A607" s="1235"/>
      <c r="B607" s="177" t="s">
        <v>832</v>
      </c>
      <c r="C607" s="178">
        <v>7874445</v>
      </c>
      <c r="D607" s="179" t="s">
        <v>941</v>
      </c>
      <c r="E607" s="179" t="s">
        <v>2271</v>
      </c>
      <c r="F607" s="183" t="s">
        <v>1051</v>
      </c>
    </row>
    <row r="608" spans="1:6">
      <c r="A608" s="1235"/>
      <c r="B608" s="177" t="s">
        <v>836</v>
      </c>
      <c r="C608" s="178">
        <v>7904433</v>
      </c>
      <c r="D608" s="179" t="s">
        <v>1354</v>
      </c>
      <c r="E608" s="179" t="s">
        <v>2272</v>
      </c>
      <c r="F608" s="183" t="s">
        <v>1946</v>
      </c>
    </row>
    <row r="609" spans="1:6">
      <c r="A609" s="1235"/>
      <c r="B609" s="177" t="s">
        <v>840</v>
      </c>
      <c r="C609" s="178">
        <v>7952133</v>
      </c>
      <c r="D609" s="179" t="s">
        <v>1140</v>
      </c>
      <c r="E609" s="179" t="s">
        <v>2273</v>
      </c>
      <c r="F609" s="183" t="s">
        <v>2274</v>
      </c>
    </row>
    <row r="610" spans="1:6">
      <c r="A610" s="1235"/>
      <c r="B610" s="177" t="s">
        <v>800</v>
      </c>
      <c r="C610" s="178">
        <v>7949675</v>
      </c>
      <c r="D610" s="179" t="s">
        <v>2275</v>
      </c>
      <c r="E610" s="179" t="s">
        <v>2256</v>
      </c>
      <c r="F610" s="183" t="s">
        <v>2268</v>
      </c>
    </row>
    <row r="611" spans="1:6">
      <c r="A611" s="1235"/>
      <c r="B611" s="177" t="s">
        <v>802</v>
      </c>
      <c r="C611" s="178">
        <v>7952074</v>
      </c>
      <c r="D611" s="179" t="s">
        <v>2189</v>
      </c>
      <c r="E611" s="179" t="s">
        <v>2273</v>
      </c>
      <c r="F611" s="183" t="s">
        <v>2245</v>
      </c>
    </row>
    <row r="612" spans="1:6">
      <c r="A612" s="1235"/>
      <c r="B612" s="177" t="s">
        <v>805</v>
      </c>
      <c r="C612" s="178">
        <v>7975630</v>
      </c>
      <c r="D612" s="179" t="s">
        <v>1579</v>
      </c>
      <c r="E612" s="179" t="s">
        <v>2276</v>
      </c>
      <c r="F612" s="183" t="s">
        <v>1095</v>
      </c>
    </row>
    <row r="613" spans="1:6">
      <c r="A613" s="1235"/>
      <c r="B613" s="177" t="s">
        <v>809</v>
      </c>
      <c r="C613" s="178">
        <v>7974837</v>
      </c>
      <c r="D613" s="179" t="s">
        <v>849</v>
      </c>
      <c r="E613" s="179" t="s">
        <v>1391</v>
      </c>
      <c r="F613" s="183" t="s">
        <v>2277</v>
      </c>
    </row>
    <row r="614" spans="1:6">
      <c r="A614" s="1235"/>
      <c r="B614" s="177" t="s">
        <v>813</v>
      </c>
      <c r="C614" s="178">
        <v>7996987</v>
      </c>
      <c r="D614" s="179" t="s">
        <v>959</v>
      </c>
      <c r="E614" s="179" t="s">
        <v>1159</v>
      </c>
      <c r="F614" s="183" t="s">
        <v>2278</v>
      </c>
    </row>
    <row r="615" spans="1:6" ht="12.75" thickBot="1">
      <c r="A615" s="1236"/>
      <c r="B615" s="184" t="s">
        <v>817</v>
      </c>
      <c r="C615" s="507">
        <v>8020885</v>
      </c>
      <c r="D615" s="185" t="s">
        <v>1579</v>
      </c>
      <c r="E615" s="185" t="s">
        <v>2279</v>
      </c>
      <c r="F615" s="509" t="s">
        <v>2279</v>
      </c>
    </row>
    <row r="616" spans="1:6">
      <c r="A616" s="1237">
        <v>2005</v>
      </c>
      <c r="B616" s="500" t="s">
        <v>821</v>
      </c>
      <c r="C616" s="505">
        <v>8086822</v>
      </c>
      <c r="D616" s="501" t="s">
        <v>1231</v>
      </c>
      <c r="E616" s="501" t="s">
        <v>1231</v>
      </c>
      <c r="F616" s="501" t="s">
        <v>2280</v>
      </c>
    </row>
    <row r="617" spans="1:6">
      <c r="A617" s="1238"/>
      <c r="B617" s="177" t="s">
        <v>824</v>
      </c>
      <c r="C617" s="178">
        <v>8169507</v>
      </c>
      <c r="D617" s="179" t="s">
        <v>2281</v>
      </c>
      <c r="E617" s="179" t="s">
        <v>1242</v>
      </c>
      <c r="F617" s="179" t="s">
        <v>2282</v>
      </c>
    </row>
    <row r="618" spans="1:6">
      <c r="A618" s="1238"/>
      <c r="B618" s="177" t="s">
        <v>828</v>
      </c>
      <c r="C618" s="178">
        <v>8232699</v>
      </c>
      <c r="D618" s="179" t="s">
        <v>856</v>
      </c>
      <c r="E618" s="179" t="s">
        <v>1836</v>
      </c>
      <c r="F618" s="179" t="s">
        <v>2283</v>
      </c>
    </row>
    <row r="619" spans="1:6">
      <c r="A619" s="1238"/>
      <c r="B619" s="177" t="s">
        <v>832</v>
      </c>
      <c r="C619" s="178">
        <v>8268815</v>
      </c>
      <c r="D619" s="179" t="s">
        <v>1118</v>
      </c>
      <c r="E619" s="179" t="s">
        <v>1688</v>
      </c>
      <c r="F619" s="179" t="s">
        <v>2259</v>
      </c>
    </row>
    <row r="620" spans="1:6">
      <c r="A620" s="1238"/>
      <c r="B620" s="177" t="s">
        <v>836</v>
      </c>
      <c r="C620" s="178">
        <v>8302540</v>
      </c>
      <c r="D620" s="179" t="s">
        <v>2284</v>
      </c>
      <c r="E620" s="179" t="s">
        <v>1523</v>
      </c>
      <c r="F620" s="179" t="s">
        <v>1112</v>
      </c>
    </row>
    <row r="621" spans="1:6">
      <c r="A621" s="1238"/>
      <c r="B621" s="177" t="s">
        <v>840</v>
      </c>
      <c r="C621" s="178">
        <v>8335831</v>
      </c>
      <c r="D621" s="179" t="s">
        <v>830</v>
      </c>
      <c r="E621" s="179" t="s">
        <v>2285</v>
      </c>
      <c r="F621" s="179" t="s">
        <v>2286</v>
      </c>
    </row>
    <row r="622" spans="1:6">
      <c r="A622" s="1238"/>
      <c r="B622" s="177" t="s">
        <v>800</v>
      </c>
      <c r="C622" s="178">
        <v>8339888</v>
      </c>
      <c r="D622" s="179" t="s">
        <v>2287</v>
      </c>
      <c r="E622" s="179" t="s">
        <v>2288</v>
      </c>
      <c r="F622" s="179" t="s">
        <v>2289</v>
      </c>
    </row>
    <row r="623" spans="1:6">
      <c r="A623" s="1238"/>
      <c r="B623" s="177" t="s">
        <v>802</v>
      </c>
      <c r="C623" s="178">
        <v>8340016</v>
      </c>
      <c r="D623" s="179" t="s">
        <v>1408</v>
      </c>
      <c r="E623" s="179" t="s">
        <v>2288</v>
      </c>
      <c r="F623" s="179" t="s">
        <v>2290</v>
      </c>
    </row>
    <row r="624" spans="1:6">
      <c r="A624" s="1238"/>
      <c r="B624" s="177" t="s">
        <v>805</v>
      </c>
      <c r="C624" s="178">
        <v>8375696</v>
      </c>
      <c r="D624" s="179" t="s">
        <v>839</v>
      </c>
      <c r="E624" s="179" t="s">
        <v>1351</v>
      </c>
      <c r="F624" s="179" t="s">
        <v>1068</v>
      </c>
    </row>
    <row r="625" spans="1:6">
      <c r="A625" s="1238"/>
      <c r="B625" s="177" t="s">
        <v>809</v>
      </c>
      <c r="C625" s="178">
        <v>8394967</v>
      </c>
      <c r="D625" s="179" t="s">
        <v>848</v>
      </c>
      <c r="E625" s="179" t="s">
        <v>2291</v>
      </c>
      <c r="F625" s="179" t="s">
        <v>2292</v>
      </c>
    </row>
    <row r="626" spans="1:6">
      <c r="A626" s="1238"/>
      <c r="B626" s="177" t="s">
        <v>813</v>
      </c>
      <c r="C626" s="178">
        <v>8404563</v>
      </c>
      <c r="D626" s="179" t="s">
        <v>2236</v>
      </c>
      <c r="E626" s="179" t="s">
        <v>2293</v>
      </c>
      <c r="F626" s="179" t="s">
        <v>1277</v>
      </c>
    </row>
    <row r="627" spans="1:6" ht="12.75" thickBot="1">
      <c r="A627" s="1239"/>
      <c r="B627" s="187" t="s">
        <v>817</v>
      </c>
      <c r="C627" s="504">
        <v>8410291</v>
      </c>
      <c r="D627" s="188" t="s">
        <v>1130</v>
      </c>
      <c r="E627" s="188" t="s">
        <v>2294</v>
      </c>
      <c r="F627" s="508" t="s">
        <v>2294</v>
      </c>
    </row>
    <row r="628" spans="1:6">
      <c r="A628" s="1234">
        <v>2006</v>
      </c>
      <c r="B628" s="180" t="s">
        <v>821</v>
      </c>
      <c r="C628" s="506">
        <v>8455834</v>
      </c>
      <c r="D628" s="181" t="s">
        <v>819</v>
      </c>
      <c r="E628" s="181" t="s">
        <v>819</v>
      </c>
      <c r="F628" s="182" t="s">
        <v>2256</v>
      </c>
    </row>
    <row r="629" spans="1:6">
      <c r="A629" s="1235"/>
      <c r="B629" s="177" t="s">
        <v>824</v>
      </c>
      <c r="C629" s="178">
        <v>8511449</v>
      </c>
      <c r="D629" s="179" t="s">
        <v>1014</v>
      </c>
      <c r="E629" s="179" t="s">
        <v>1449</v>
      </c>
      <c r="F629" s="183" t="s">
        <v>2295</v>
      </c>
    </row>
    <row r="630" spans="1:6">
      <c r="A630" s="1235"/>
      <c r="B630" s="177" t="s">
        <v>828</v>
      </c>
      <c r="C630" s="178">
        <v>8571228</v>
      </c>
      <c r="D630" s="179" t="s">
        <v>834</v>
      </c>
      <c r="E630" s="179" t="s">
        <v>2296</v>
      </c>
      <c r="F630" s="183" t="s">
        <v>2297</v>
      </c>
    </row>
    <row r="631" spans="1:6">
      <c r="A631" s="1235"/>
      <c r="B631" s="177" t="s">
        <v>832</v>
      </c>
      <c r="C631" s="178">
        <v>8609607</v>
      </c>
      <c r="D631" s="179" t="s">
        <v>1311</v>
      </c>
      <c r="E631" s="179" t="s">
        <v>2030</v>
      </c>
      <c r="F631" s="183" t="s">
        <v>2298</v>
      </c>
    </row>
    <row r="632" spans="1:6">
      <c r="A632" s="1235"/>
      <c r="B632" s="177" t="s">
        <v>836</v>
      </c>
      <c r="C632" s="178">
        <v>8637832</v>
      </c>
      <c r="D632" s="179" t="s">
        <v>988</v>
      </c>
      <c r="E632" s="179" t="s">
        <v>1948</v>
      </c>
      <c r="F632" s="183" t="s">
        <v>2299</v>
      </c>
    </row>
    <row r="633" spans="1:6">
      <c r="A633" s="1235"/>
      <c r="B633" s="177" t="s">
        <v>840</v>
      </c>
      <c r="C633" s="178">
        <v>8664117</v>
      </c>
      <c r="D633" s="179" t="s">
        <v>1579</v>
      </c>
      <c r="E633" s="179" t="s">
        <v>2300</v>
      </c>
      <c r="F633" s="183" t="s">
        <v>2196</v>
      </c>
    </row>
    <row r="634" spans="1:6">
      <c r="A634" s="1235"/>
      <c r="B634" s="177" t="s">
        <v>800</v>
      </c>
      <c r="C634" s="178">
        <v>8699909</v>
      </c>
      <c r="D634" s="179" t="s">
        <v>2284</v>
      </c>
      <c r="E634" s="179" t="s">
        <v>2301</v>
      </c>
      <c r="F634" s="183" t="s">
        <v>2302</v>
      </c>
    </row>
    <row r="635" spans="1:6">
      <c r="A635" s="1235"/>
      <c r="B635" s="177" t="s">
        <v>802</v>
      </c>
      <c r="C635" s="178">
        <v>8734044</v>
      </c>
      <c r="D635" s="179" t="s">
        <v>868</v>
      </c>
      <c r="E635" s="179" t="s">
        <v>2303</v>
      </c>
      <c r="F635" s="183" t="s">
        <v>2304</v>
      </c>
    </row>
    <row r="636" spans="1:6">
      <c r="A636" s="1235"/>
      <c r="B636" s="177" t="s">
        <v>805</v>
      </c>
      <c r="C636" s="178">
        <v>8759040</v>
      </c>
      <c r="D636" s="179" t="s">
        <v>869</v>
      </c>
      <c r="E636" s="179" t="s">
        <v>2305</v>
      </c>
      <c r="F636" s="183" t="s">
        <v>1600</v>
      </c>
    </row>
    <row r="637" spans="1:6">
      <c r="A637" s="1235"/>
      <c r="B637" s="177" t="s">
        <v>809</v>
      </c>
      <c r="C637" s="178">
        <v>8746374</v>
      </c>
      <c r="D637" s="179" t="s">
        <v>2261</v>
      </c>
      <c r="E637" s="179" t="s">
        <v>2306</v>
      </c>
      <c r="F637" s="183" t="s">
        <v>2295</v>
      </c>
    </row>
    <row r="638" spans="1:6">
      <c r="A638" s="1235"/>
      <c r="B638" s="177" t="s">
        <v>813</v>
      </c>
      <c r="C638" s="178">
        <v>8767102</v>
      </c>
      <c r="D638" s="179" t="s">
        <v>1029</v>
      </c>
      <c r="E638" s="179" t="s">
        <v>2307</v>
      </c>
      <c r="F638" s="183" t="s">
        <v>1432</v>
      </c>
    </row>
    <row r="639" spans="1:6" ht="12.75" thickBot="1">
      <c r="A639" s="1236"/>
      <c r="B639" s="184" t="s">
        <v>817</v>
      </c>
      <c r="C639" s="507">
        <v>8786896</v>
      </c>
      <c r="D639" s="185" t="s">
        <v>848</v>
      </c>
      <c r="E639" s="185" t="s">
        <v>2308</v>
      </c>
      <c r="F639" s="509" t="s">
        <v>2308</v>
      </c>
    </row>
    <row r="640" spans="1:6">
      <c r="A640" s="1237">
        <v>2007</v>
      </c>
      <c r="B640" s="500" t="s">
        <v>821</v>
      </c>
      <c r="C640" s="505">
        <v>8854252</v>
      </c>
      <c r="D640" s="501" t="s">
        <v>856</v>
      </c>
      <c r="E640" s="501" t="s">
        <v>856</v>
      </c>
      <c r="F640" s="501" t="s">
        <v>2309</v>
      </c>
    </row>
    <row r="641" spans="1:6">
      <c r="A641" s="1238"/>
      <c r="B641" s="177" t="s">
        <v>824</v>
      </c>
      <c r="C641" s="178">
        <v>8958025</v>
      </c>
      <c r="D641" s="179" t="s">
        <v>1071</v>
      </c>
      <c r="E641" s="179" t="s">
        <v>2022</v>
      </c>
      <c r="F641" s="179" t="s">
        <v>2282</v>
      </c>
    </row>
    <row r="642" spans="1:6">
      <c r="A642" s="1238"/>
      <c r="B642" s="177" t="s">
        <v>828</v>
      </c>
      <c r="C642" s="178">
        <v>9066685</v>
      </c>
      <c r="D642" s="179" t="s">
        <v>873</v>
      </c>
      <c r="E642" s="179" t="s">
        <v>2310</v>
      </c>
      <c r="F642" s="179" t="s">
        <v>2311</v>
      </c>
    </row>
    <row r="643" spans="1:6">
      <c r="A643" s="1238"/>
      <c r="B643" s="177" t="s">
        <v>832</v>
      </c>
      <c r="C643" s="178">
        <v>9148253</v>
      </c>
      <c r="D643" s="179" t="s">
        <v>859</v>
      </c>
      <c r="E643" s="179" t="s">
        <v>2297</v>
      </c>
      <c r="F643" s="179" t="s">
        <v>2312</v>
      </c>
    </row>
    <row r="644" spans="1:6">
      <c r="A644" s="1238"/>
      <c r="B644" s="177" t="s">
        <v>836</v>
      </c>
      <c r="C644" s="178">
        <v>9175661</v>
      </c>
      <c r="D644" s="179" t="s">
        <v>1579</v>
      </c>
      <c r="E644" s="179" t="s">
        <v>1351</v>
      </c>
      <c r="F644" s="179" t="s">
        <v>1098</v>
      </c>
    </row>
    <row r="645" spans="1:6">
      <c r="A645" s="1238"/>
      <c r="B645" s="177" t="s">
        <v>840</v>
      </c>
      <c r="C645" s="178">
        <v>9186894</v>
      </c>
      <c r="D645" s="179" t="s">
        <v>958</v>
      </c>
      <c r="E645" s="179" t="s">
        <v>1138</v>
      </c>
      <c r="F645" s="179" t="s">
        <v>2313</v>
      </c>
    </row>
    <row r="646" spans="1:6">
      <c r="A646" s="1238"/>
      <c r="B646" s="177" t="s">
        <v>800</v>
      </c>
      <c r="C646" s="178">
        <v>9202048</v>
      </c>
      <c r="D646" s="179" t="s">
        <v>831</v>
      </c>
      <c r="E646" s="179" t="s">
        <v>2304</v>
      </c>
      <c r="F646" s="179" t="s">
        <v>2314</v>
      </c>
    </row>
    <row r="647" spans="1:6">
      <c r="A647" s="1238"/>
      <c r="B647" s="177" t="s">
        <v>802</v>
      </c>
      <c r="C647" s="178">
        <v>9189765</v>
      </c>
      <c r="D647" s="179" t="s">
        <v>1375</v>
      </c>
      <c r="E647" s="179" t="s">
        <v>1600</v>
      </c>
      <c r="F647" s="179" t="s">
        <v>1434</v>
      </c>
    </row>
    <row r="648" spans="1:6">
      <c r="A648" s="1238"/>
      <c r="B648" s="177" t="s">
        <v>805</v>
      </c>
      <c r="C648" s="178">
        <v>9197430</v>
      </c>
      <c r="D648" s="179" t="s">
        <v>1253</v>
      </c>
      <c r="E648" s="179" t="s">
        <v>2315</v>
      </c>
      <c r="F648" s="179" t="s">
        <v>2259</v>
      </c>
    </row>
    <row r="649" spans="1:6">
      <c r="A649" s="1238"/>
      <c r="B649" s="177" t="s">
        <v>809</v>
      </c>
      <c r="C649" s="178">
        <v>9197976</v>
      </c>
      <c r="D649" s="179" t="s">
        <v>2316</v>
      </c>
      <c r="E649" s="179" t="s">
        <v>1088</v>
      </c>
      <c r="F649" s="179" t="s">
        <v>2317</v>
      </c>
    </row>
    <row r="650" spans="1:6">
      <c r="A650" s="1238"/>
      <c r="B650" s="177" t="s">
        <v>813</v>
      </c>
      <c r="C650" s="178">
        <v>9241584</v>
      </c>
      <c r="D650" s="179" t="s">
        <v>996</v>
      </c>
      <c r="E650" s="179" t="s">
        <v>2318</v>
      </c>
      <c r="F650" s="179" t="s">
        <v>1362</v>
      </c>
    </row>
    <row r="651" spans="1:6" ht="12.75" thickBot="1">
      <c r="A651" s="1239"/>
      <c r="B651" s="187" t="s">
        <v>817</v>
      </c>
      <c r="C651" s="504">
        <v>9287228</v>
      </c>
      <c r="D651" s="188" t="s">
        <v>1872</v>
      </c>
      <c r="E651" s="188" t="s">
        <v>2234</v>
      </c>
      <c r="F651" s="508" t="s">
        <v>2234</v>
      </c>
    </row>
    <row r="652" spans="1:6">
      <c r="A652" s="1234">
        <v>2008</v>
      </c>
      <c r="B652" s="180" t="s">
        <v>821</v>
      </c>
      <c r="C652" s="506">
        <v>9385245</v>
      </c>
      <c r="D652" s="181" t="s">
        <v>1782</v>
      </c>
      <c r="E652" s="181" t="s">
        <v>1782</v>
      </c>
      <c r="F652" s="182" t="s">
        <v>1015</v>
      </c>
    </row>
    <row r="653" spans="1:6">
      <c r="A653" s="1235"/>
      <c r="B653" s="177" t="s">
        <v>824</v>
      </c>
      <c r="C653" s="178">
        <v>9527039</v>
      </c>
      <c r="D653" s="179" t="s">
        <v>1211</v>
      </c>
      <c r="E653" s="179" t="s">
        <v>1833</v>
      </c>
      <c r="F653" s="183" t="s">
        <v>2319</v>
      </c>
    </row>
    <row r="654" spans="1:6">
      <c r="A654" s="1235"/>
      <c r="B654" s="177" t="s">
        <v>828</v>
      </c>
      <c r="C654" s="178">
        <v>9603972</v>
      </c>
      <c r="D654" s="179" t="s">
        <v>1150</v>
      </c>
      <c r="E654" s="179" t="s">
        <v>1386</v>
      </c>
      <c r="F654" s="183" t="s">
        <v>2320</v>
      </c>
    </row>
    <row r="655" spans="1:6">
      <c r="A655" s="1235"/>
      <c r="B655" s="177" t="s">
        <v>832</v>
      </c>
      <c r="C655" s="178">
        <v>9672265</v>
      </c>
      <c r="D655" s="179" t="s">
        <v>1984</v>
      </c>
      <c r="E655" s="179" t="s">
        <v>2305</v>
      </c>
      <c r="F655" s="183" t="s">
        <v>2321</v>
      </c>
    </row>
    <row r="656" spans="1:6">
      <c r="A656" s="1235"/>
      <c r="B656" s="177" t="s">
        <v>836</v>
      </c>
      <c r="C656" s="178">
        <v>9762382</v>
      </c>
      <c r="D656" s="179" t="s">
        <v>1192</v>
      </c>
      <c r="E656" s="179" t="s">
        <v>2322</v>
      </c>
      <c r="F656" s="183" t="s">
        <v>1398</v>
      </c>
    </row>
    <row r="657" spans="1:6">
      <c r="A657" s="1235"/>
      <c r="B657" s="177" t="s">
        <v>840</v>
      </c>
      <c r="C657" s="178">
        <v>9846550</v>
      </c>
      <c r="D657" s="179" t="s">
        <v>2323</v>
      </c>
      <c r="E657" s="179" t="s">
        <v>2324</v>
      </c>
      <c r="F657" s="183" t="s">
        <v>985</v>
      </c>
    </row>
    <row r="658" spans="1:6">
      <c r="A658" s="1235"/>
      <c r="B658" s="177" t="s">
        <v>800</v>
      </c>
      <c r="C658" s="178">
        <v>9894005</v>
      </c>
      <c r="D658" s="179" t="s">
        <v>1473</v>
      </c>
      <c r="E658" s="179" t="s">
        <v>1250</v>
      </c>
      <c r="F658" s="183" t="s">
        <v>2325</v>
      </c>
    </row>
    <row r="659" spans="1:6">
      <c r="A659" s="1235"/>
      <c r="B659" s="177" t="s">
        <v>802</v>
      </c>
      <c r="C659" s="178">
        <v>9912932</v>
      </c>
      <c r="D659" s="179" t="s">
        <v>2242</v>
      </c>
      <c r="E659" s="179" t="s">
        <v>2326</v>
      </c>
      <c r="F659" s="183" t="s">
        <v>1016</v>
      </c>
    </row>
    <row r="660" spans="1:6">
      <c r="A660" s="1235"/>
      <c r="B660" s="177" t="s">
        <v>805</v>
      </c>
      <c r="C660" s="178">
        <v>9894017</v>
      </c>
      <c r="D660" s="179" t="s">
        <v>2327</v>
      </c>
      <c r="E660" s="179" t="s">
        <v>1250</v>
      </c>
      <c r="F660" s="183" t="s">
        <v>2328</v>
      </c>
    </row>
    <row r="661" spans="1:6">
      <c r="A661" s="1235"/>
      <c r="B661" s="177" t="s">
        <v>809</v>
      </c>
      <c r="C661" s="178">
        <v>9928265</v>
      </c>
      <c r="D661" s="179" t="s">
        <v>1368</v>
      </c>
      <c r="E661" s="179" t="s">
        <v>2329</v>
      </c>
      <c r="F661" s="183" t="s">
        <v>2330</v>
      </c>
    </row>
    <row r="662" spans="1:6">
      <c r="A662" s="1235"/>
      <c r="B662" s="177" t="s">
        <v>813</v>
      </c>
      <c r="C662" s="178">
        <v>9955967</v>
      </c>
      <c r="D662" s="179" t="s">
        <v>959</v>
      </c>
      <c r="E662" s="179" t="s">
        <v>1453</v>
      </c>
      <c r="F662" s="183" t="s">
        <v>1228</v>
      </c>
    </row>
    <row r="663" spans="1:6" ht="12.75" thickBot="1">
      <c r="A663" s="1236"/>
      <c r="B663" s="184" t="s">
        <v>817</v>
      </c>
      <c r="C663" s="507">
        <v>10000000</v>
      </c>
      <c r="D663" s="185" t="s">
        <v>1118</v>
      </c>
      <c r="E663" s="185" t="s">
        <v>2331</v>
      </c>
      <c r="F663" s="509" t="s">
        <v>2331</v>
      </c>
    </row>
    <row r="664" spans="1:6">
      <c r="A664" s="1237">
        <v>2009</v>
      </c>
      <c r="B664" s="500" t="s">
        <v>821</v>
      </c>
      <c r="C664" s="505">
        <v>10058933</v>
      </c>
      <c r="D664" s="501" t="s">
        <v>1018</v>
      </c>
      <c r="E664" s="501" t="s">
        <v>1018</v>
      </c>
      <c r="F664" s="501" t="s">
        <v>985</v>
      </c>
    </row>
    <row r="665" spans="1:6">
      <c r="A665" s="1238"/>
      <c r="B665" s="177" t="s">
        <v>824</v>
      </c>
      <c r="C665" s="178">
        <v>10143129</v>
      </c>
      <c r="D665" s="179" t="s">
        <v>853</v>
      </c>
      <c r="E665" s="179" t="s">
        <v>1937</v>
      </c>
      <c r="F665" s="179" t="s">
        <v>2332</v>
      </c>
    </row>
    <row r="666" spans="1:6">
      <c r="A666" s="1238"/>
      <c r="B666" s="177" t="s">
        <v>828</v>
      </c>
      <c r="C666" s="178">
        <v>10193732</v>
      </c>
      <c r="D666" s="179" t="s">
        <v>1419</v>
      </c>
      <c r="E666" s="179" t="s">
        <v>2091</v>
      </c>
      <c r="F666" s="179" t="s">
        <v>1047</v>
      </c>
    </row>
    <row r="667" spans="1:6">
      <c r="A667" s="1238"/>
      <c r="B667" s="177" t="s">
        <v>832</v>
      </c>
      <c r="C667" s="178">
        <v>10226473</v>
      </c>
      <c r="D667" s="179" t="s">
        <v>1040</v>
      </c>
      <c r="E667" s="179" t="s">
        <v>2333</v>
      </c>
      <c r="F667" s="179" t="s">
        <v>2321</v>
      </c>
    </row>
    <row r="668" spans="1:6">
      <c r="A668" s="1238"/>
      <c r="B668" s="177" t="s">
        <v>836</v>
      </c>
      <c r="C668" s="178">
        <v>10227913</v>
      </c>
      <c r="D668" s="179" t="s">
        <v>2316</v>
      </c>
      <c r="E668" s="179" t="s">
        <v>2334</v>
      </c>
      <c r="F668" s="179" t="s">
        <v>2335</v>
      </c>
    </row>
    <row r="669" spans="1:6">
      <c r="A669" s="1238"/>
      <c r="B669" s="177" t="s">
        <v>840</v>
      </c>
      <c r="C669" s="178">
        <v>10222182</v>
      </c>
      <c r="D669" s="179" t="s">
        <v>1286</v>
      </c>
      <c r="E669" s="179" t="s">
        <v>1170</v>
      </c>
      <c r="F669" s="179" t="s">
        <v>2336</v>
      </c>
    </row>
    <row r="670" spans="1:6">
      <c r="A670" s="1238"/>
      <c r="B670" s="177" t="s">
        <v>800</v>
      </c>
      <c r="C670" s="178">
        <v>10218207</v>
      </c>
      <c r="D670" s="179" t="s">
        <v>855</v>
      </c>
      <c r="E670" s="179" t="s">
        <v>1771</v>
      </c>
      <c r="F670" s="179" t="s">
        <v>2177</v>
      </c>
    </row>
    <row r="671" spans="1:6">
      <c r="A671" s="1238"/>
      <c r="B671" s="177" t="s">
        <v>802</v>
      </c>
      <c r="C671" s="178">
        <v>10222713</v>
      </c>
      <c r="D671" s="179" t="s">
        <v>1136</v>
      </c>
      <c r="E671" s="179" t="s">
        <v>1838</v>
      </c>
      <c r="F671" s="179" t="s">
        <v>1320</v>
      </c>
    </row>
    <row r="672" spans="1:6">
      <c r="A672" s="1238"/>
      <c r="B672" s="177" t="s">
        <v>805</v>
      </c>
      <c r="C672" s="178">
        <v>10211512</v>
      </c>
      <c r="D672" s="179" t="s">
        <v>2337</v>
      </c>
      <c r="E672" s="179" t="s">
        <v>2338</v>
      </c>
      <c r="F672" s="179" t="s">
        <v>2339</v>
      </c>
    </row>
    <row r="673" spans="1:6">
      <c r="A673" s="1238"/>
      <c r="B673" s="177" t="s">
        <v>809</v>
      </c>
      <c r="C673" s="178">
        <v>10198473</v>
      </c>
      <c r="D673" s="179" t="s">
        <v>1375</v>
      </c>
      <c r="E673" s="179" t="s">
        <v>2340</v>
      </c>
      <c r="F673" s="179" t="s">
        <v>933</v>
      </c>
    </row>
    <row r="674" spans="1:6">
      <c r="A674" s="1238"/>
      <c r="B674" s="177" t="s">
        <v>813</v>
      </c>
      <c r="C674" s="178">
        <v>10191776</v>
      </c>
      <c r="D674" s="179" t="s">
        <v>826</v>
      </c>
      <c r="E674" s="179" t="s">
        <v>2033</v>
      </c>
      <c r="F674" s="179" t="s">
        <v>2030</v>
      </c>
    </row>
    <row r="675" spans="1:6" ht="12.75" thickBot="1">
      <c r="A675" s="1239"/>
      <c r="B675" s="187" t="s">
        <v>817</v>
      </c>
      <c r="C675" s="504">
        <v>10200181</v>
      </c>
      <c r="D675" s="188" t="s">
        <v>1253</v>
      </c>
      <c r="E675" s="188" t="s">
        <v>2341</v>
      </c>
      <c r="F675" s="508" t="s">
        <v>2341</v>
      </c>
    </row>
    <row r="676" spans="1:6">
      <c r="A676" s="1234">
        <v>2010</v>
      </c>
      <c r="B676" s="180" t="s">
        <v>821</v>
      </c>
      <c r="C676" s="506">
        <v>10270133</v>
      </c>
      <c r="D676" s="181" t="s">
        <v>2342</v>
      </c>
      <c r="E676" s="181" t="s">
        <v>2342</v>
      </c>
      <c r="F676" s="182" t="s">
        <v>866</v>
      </c>
    </row>
    <row r="677" spans="1:6">
      <c r="A677" s="1235"/>
      <c r="B677" s="177" t="s">
        <v>824</v>
      </c>
      <c r="C677" s="178">
        <v>10355215</v>
      </c>
      <c r="D677" s="179" t="s">
        <v>1037</v>
      </c>
      <c r="E677" s="179" t="s">
        <v>1249</v>
      </c>
      <c r="F677" s="183" t="s">
        <v>1804</v>
      </c>
    </row>
    <row r="678" spans="1:6">
      <c r="A678" s="1235"/>
      <c r="B678" s="177" t="s">
        <v>828</v>
      </c>
      <c r="C678" s="178">
        <v>10381247</v>
      </c>
      <c r="D678" s="179" t="s">
        <v>1403</v>
      </c>
      <c r="E678" s="179" t="s">
        <v>1876</v>
      </c>
      <c r="F678" s="183" t="s">
        <v>1748</v>
      </c>
    </row>
    <row r="679" spans="1:6">
      <c r="A679" s="1235"/>
      <c r="B679" s="177" t="s">
        <v>832</v>
      </c>
      <c r="C679" s="178">
        <v>10429044</v>
      </c>
      <c r="D679" s="179" t="s">
        <v>941</v>
      </c>
      <c r="E679" s="179" t="s">
        <v>921</v>
      </c>
      <c r="F679" s="183" t="s">
        <v>2340</v>
      </c>
    </row>
    <row r="680" spans="1:6">
      <c r="A680" s="1235"/>
      <c r="B680" s="177" t="s">
        <v>836</v>
      </c>
      <c r="C680" s="178">
        <v>10439815</v>
      </c>
      <c r="D680" s="179" t="s">
        <v>847</v>
      </c>
      <c r="E680" s="179" t="s">
        <v>2343</v>
      </c>
      <c r="F680" s="183" t="s">
        <v>1738</v>
      </c>
    </row>
    <row r="681" spans="1:6">
      <c r="A681" s="1235"/>
      <c r="B681" s="177" t="s">
        <v>840</v>
      </c>
      <c r="C681" s="178">
        <v>10451684</v>
      </c>
      <c r="D681" s="179" t="s">
        <v>2236</v>
      </c>
      <c r="E681" s="179" t="s">
        <v>1002</v>
      </c>
      <c r="F681" s="183" t="s">
        <v>1672</v>
      </c>
    </row>
    <row r="682" spans="1:6">
      <c r="A682" s="1235"/>
      <c r="B682" s="177" t="s">
        <v>800</v>
      </c>
      <c r="C682" s="178">
        <v>10447279</v>
      </c>
      <c r="D682" s="179" t="s">
        <v>855</v>
      </c>
      <c r="E682" s="179" t="s">
        <v>1777</v>
      </c>
      <c r="F682" s="183" t="s">
        <v>921</v>
      </c>
    </row>
    <row r="683" spans="1:6">
      <c r="A683" s="1235"/>
      <c r="B683" s="177" t="s">
        <v>802</v>
      </c>
      <c r="C683" s="178">
        <v>10459005</v>
      </c>
      <c r="D683" s="179" t="s">
        <v>2236</v>
      </c>
      <c r="E683" s="179" t="s">
        <v>1557</v>
      </c>
      <c r="F683" s="183" t="s">
        <v>1637</v>
      </c>
    </row>
    <row r="684" spans="1:6">
      <c r="A684" s="1235"/>
      <c r="B684" s="177" t="s">
        <v>805</v>
      </c>
      <c r="C684" s="178">
        <v>10444808</v>
      </c>
      <c r="D684" s="179" t="s">
        <v>2261</v>
      </c>
      <c r="E684" s="179" t="s">
        <v>1978</v>
      </c>
      <c r="F684" s="183" t="s">
        <v>2334</v>
      </c>
    </row>
    <row r="685" spans="1:6">
      <c r="A685" s="1235"/>
      <c r="B685" s="177" t="s">
        <v>809</v>
      </c>
      <c r="C685" s="178">
        <v>10435595</v>
      </c>
      <c r="D685" s="179" t="s">
        <v>2344</v>
      </c>
      <c r="E685" s="179" t="s">
        <v>1637</v>
      </c>
      <c r="F685" s="183" t="s">
        <v>1780</v>
      </c>
    </row>
    <row r="686" spans="1:6">
      <c r="A686" s="1235"/>
      <c r="B686" s="177" t="s">
        <v>813</v>
      </c>
      <c r="C686" s="178">
        <v>10455843</v>
      </c>
      <c r="D686" s="179" t="s">
        <v>2242</v>
      </c>
      <c r="E686" s="179" t="s">
        <v>1607</v>
      </c>
      <c r="F686" s="183" t="s">
        <v>1084</v>
      </c>
    </row>
    <row r="687" spans="1:6" ht="12.75" thickBot="1">
      <c r="A687" s="1236"/>
      <c r="B687" s="184" t="s">
        <v>817</v>
      </c>
      <c r="C687" s="507">
        <v>10523651</v>
      </c>
      <c r="D687" s="185" t="s">
        <v>876</v>
      </c>
      <c r="E687" s="185" t="s">
        <v>1056</v>
      </c>
      <c r="F687" s="509" t="s">
        <v>1056</v>
      </c>
    </row>
    <row r="688" spans="1:6">
      <c r="A688" s="1237">
        <v>2011</v>
      </c>
      <c r="B688" s="500" t="s">
        <v>821</v>
      </c>
      <c r="C688" s="505">
        <v>10619253</v>
      </c>
      <c r="D688" s="501" t="s">
        <v>872</v>
      </c>
      <c r="E688" s="501" t="s">
        <v>872</v>
      </c>
      <c r="F688" s="501" t="s">
        <v>2345</v>
      </c>
    </row>
    <row r="689" spans="1:6">
      <c r="A689" s="1238"/>
      <c r="B689" s="177" t="s">
        <v>824</v>
      </c>
      <c r="C689" s="178">
        <v>10683242</v>
      </c>
      <c r="D689" s="179" t="s">
        <v>1140</v>
      </c>
      <c r="E689" s="179" t="s">
        <v>1249</v>
      </c>
      <c r="F689" s="179" t="s">
        <v>1056</v>
      </c>
    </row>
    <row r="690" spans="1:6">
      <c r="A690" s="1238"/>
      <c r="B690" s="177" t="s">
        <v>828</v>
      </c>
      <c r="C690" s="178">
        <v>10712039</v>
      </c>
      <c r="D690" s="179" t="s">
        <v>815</v>
      </c>
      <c r="E690" s="179" t="s">
        <v>1767</v>
      </c>
      <c r="F690" s="179" t="s">
        <v>2346</v>
      </c>
    </row>
    <row r="691" spans="1:6">
      <c r="A691" s="1238"/>
      <c r="B691" s="177" t="s">
        <v>832</v>
      </c>
      <c r="C691" s="178">
        <v>10724806</v>
      </c>
      <c r="D691" s="179" t="s">
        <v>958</v>
      </c>
      <c r="E691" s="179" t="s">
        <v>2296</v>
      </c>
      <c r="F691" s="179" t="s">
        <v>2347</v>
      </c>
    </row>
    <row r="692" spans="1:6">
      <c r="A692" s="1238"/>
      <c r="B692" s="177" t="s">
        <v>836</v>
      </c>
      <c r="C692" s="178">
        <v>10755352</v>
      </c>
      <c r="D692" s="179" t="s">
        <v>959</v>
      </c>
      <c r="E692" s="179" t="s">
        <v>2046</v>
      </c>
      <c r="F692" s="179" t="s">
        <v>2300</v>
      </c>
    </row>
    <row r="693" spans="1:6">
      <c r="A693" s="1238"/>
      <c r="B693" s="177" t="s">
        <v>840</v>
      </c>
      <c r="C693" s="178">
        <v>10789544</v>
      </c>
      <c r="D693" s="179" t="s">
        <v>1040</v>
      </c>
      <c r="E693" s="179" t="s">
        <v>1998</v>
      </c>
      <c r="F693" s="179" t="s">
        <v>2348</v>
      </c>
    </row>
    <row r="694" spans="1:6">
      <c r="A694" s="1238"/>
      <c r="B694" s="177" t="s">
        <v>800</v>
      </c>
      <c r="C694" s="178">
        <v>10804537</v>
      </c>
      <c r="D694" s="179" t="s">
        <v>1700</v>
      </c>
      <c r="E694" s="179" t="s">
        <v>2349</v>
      </c>
      <c r="F694" s="179" t="s">
        <v>1783</v>
      </c>
    </row>
    <row r="695" spans="1:6">
      <c r="A695" s="1238"/>
      <c r="B695" s="177" t="s">
        <v>802</v>
      </c>
      <c r="C695" s="178">
        <v>10801191</v>
      </c>
      <c r="D695" s="179" t="s">
        <v>2275</v>
      </c>
      <c r="E695" s="179" t="s">
        <v>1836</v>
      </c>
      <c r="F695" s="179" t="s">
        <v>1481</v>
      </c>
    </row>
    <row r="696" spans="1:6">
      <c r="A696" s="1238"/>
      <c r="B696" s="177" t="s">
        <v>805</v>
      </c>
      <c r="C696" s="178">
        <v>10834540</v>
      </c>
      <c r="D696" s="179" t="s">
        <v>948</v>
      </c>
      <c r="E696" s="179" t="s">
        <v>2350</v>
      </c>
      <c r="F696" s="179" t="s">
        <v>1348</v>
      </c>
    </row>
    <row r="697" spans="1:6">
      <c r="A697" s="1238"/>
      <c r="B697" s="177" t="s">
        <v>809</v>
      </c>
      <c r="C697" s="178">
        <v>10855100</v>
      </c>
      <c r="D697" s="179" t="s">
        <v>2242</v>
      </c>
      <c r="E697" s="179" t="s">
        <v>1919</v>
      </c>
      <c r="F697" s="179" t="s">
        <v>2351</v>
      </c>
    </row>
    <row r="698" spans="1:6">
      <c r="A698" s="1238"/>
      <c r="B698" s="177" t="s">
        <v>813</v>
      </c>
      <c r="C698" s="178">
        <v>10870205</v>
      </c>
      <c r="D698" s="179" t="s">
        <v>1700</v>
      </c>
      <c r="E698" s="179" t="s">
        <v>1561</v>
      </c>
      <c r="F698" s="179" t="s">
        <v>2352</v>
      </c>
    </row>
    <row r="699" spans="1:6" ht="12.75" thickBot="1">
      <c r="A699" s="1239"/>
      <c r="B699" s="187" t="s">
        <v>817</v>
      </c>
      <c r="C699" s="504">
        <v>10915740</v>
      </c>
      <c r="D699" s="188" t="s">
        <v>1080</v>
      </c>
      <c r="E699" s="188" t="s">
        <v>1348</v>
      </c>
      <c r="F699" s="508" t="s">
        <v>1348</v>
      </c>
    </row>
    <row r="700" spans="1:6">
      <c r="A700" s="1234">
        <v>2012</v>
      </c>
      <c r="B700" s="180" t="s">
        <v>821</v>
      </c>
      <c r="C700" s="506">
        <v>10995503</v>
      </c>
      <c r="D700" s="181" t="s">
        <v>1011</v>
      </c>
      <c r="E700" s="181" t="s">
        <v>1011</v>
      </c>
      <c r="F700" s="182" t="s">
        <v>2353</v>
      </c>
    </row>
    <row r="701" spans="1:6">
      <c r="A701" s="1235"/>
      <c r="B701" s="177" t="s">
        <v>824</v>
      </c>
      <c r="C701" s="178">
        <v>11062660</v>
      </c>
      <c r="D701" s="179" t="s">
        <v>2174</v>
      </c>
      <c r="E701" s="179" t="s">
        <v>1621</v>
      </c>
      <c r="F701" s="183" t="s">
        <v>2354</v>
      </c>
    </row>
    <row r="702" spans="1:6">
      <c r="A702" s="1235"/>
      <c r="B702" s="177" t="s">
        <v>828</v>
      </c>
      <c r="C702" s="178">
        <v>11076164</v>
      </c>
      <c r="D702" s="179" t="s">
        <v>958</v>
      </c>
      <c r="E702" s="179" t="s">
        <v>2355</v>
      </c>
      <c r="F702" s="183" t="s">
        <v>2345</v>
      </c>
    </row>
    <row r="703" spans="1:6">
      <c r="A703" s="1235"/>
      <c r="B703" s="177" t="s">
        <v>832</v>
      </c>
      <c r="C703" s="178">
        <v>11092154</v>
      </c>
      <c r="D703" s="179" t="s">
        <v>1700</v>
      </c>
      <c r="E703" s="179" t="s">
        <v>1718</v>
      </c>
      <c r="F703" s="183" t="s">
        <v>2356</v>
      </c>
    </row>
    <row r="704" spans="1:6">
      <c r="A704" s="1235"/>
      <c r="B704" s="177" t="s">
        <v>836</v>
      </c>
      <c r="C704" s="178">
        <v>11125436</v>
      </c>
      <c r="D704" s="179" t="s">
        <v>1579</v>
      </c>
      <c r="E704" s="179" t="s">
        <v>2033</v>
      </c>
      <c r="F704" s="183" t="s">
        <v>2301</v>
      </c>
    </row>
    <row r="705" spans="1:6">
      <c r="A705" s="1235"/>
      <c r="B705" s="177" t="s">
        <v>840</v>
      </c>
      <c r="C705" s="178">
        <v>11134646</v>
      </c>
      <c r="D705" s="179" t="s">
        <v>1253</v>
      </c>
      <c r="E705" s="179" t="s">
        <v>2357</v>
      </c>
      <c r="F705" s="183" t="s">
        <v>1715</v>
      </c>
    </row>
    <row r="706" spans="1:6">
      <c r="A706" s="1235"/>
      <c r="B706" s="177" t="s">
        <v>800</v>
      </c>
      <c r="C706" s="178">
        <v>11132241</v>
      </c>
      <c r="D706" s="179" t="s">
        <v>2217</v>
      </c>
      <c r="E706" s="179" t="s">
        <v>2340</v>
      </c>
      <c r="F706" s="183" t="s">
        <v>2358</v>
      </c>
    </row>
    <row r="707" spans="1:6">
      <c r="A707" s="1235"/>
      <c r="B707" s="177" t="s">
        <v>802</v>
      </c>
      <c r="C707" s="178">
        <v>11136807</v>
      </c>
      <c r="D707" s="179" t="s">
        <v>1136</v>
      </c>
      <c r="E707" s="179" t="s">
        <v>863</v>
      </c>
      <c r="F707" s="183" t="s">
        <v>1516</v>
      </c>
    </row>
    <row r="708" spans="1:6">
      <c r="A708" s="1235"/>
      <c r="B708" s="177" t="s">
        <v>805</v>
      </c>
      <c r="C708" s="178">
        <v>11168694</v>
      </c>
      <c r="D708" s="179" t="s">
        <v>869</v>
      </c>
      <c r="E708" s="179" t="s">
        <v>1202</v>
      </c>
      <c r="F708" s="183" t="s">
        <v>2359</v>
      </c>
    </row>
    <row r="709" spans="1:6">
      <c r="A709" s="1235"/>
      <c r="B709" s="177" t="s">
        <v>809</v>
      </c>
      <c r="C709" s="178">
        <v>11186942</v>
      </c>
      <c r="D709" s="179" t="s">
        <v>984</v>
      </c>
      <c r="E709" s="179" t="s">
        <v>1269</v>
      </c>
      <c r="F709" s="183" t="s">
        <v>1053</v>
      </c>
    </row>
    <row r="710" spans="1:6">
      <c r="A710" s="1235"/>
      <c r="B710" s="177" t="s">
        <v>813</v>
      </c>
      <c r="C710" s="178">
        <v>11171648</v>
      </c>
      <c r="D710" s="179" t="s">
        <v>2261</v>
      </c>
      <c r="E710" s="179" t="s">
        <v>2360</v>
      </c>
      <c r="F710" s="183" t="s">
        <v>2361</v>
      </c>
    </row>
    <row r="711" spans="1:6" ht="12.75" thickBot="1">
      <c r="A711" s="1236"/>
      <c r="B711" s="184" t="s">
        <v>817</v>
      </c>
      <c r="C711" s="507">
        <v>11181576</v>
      </c>
      <c r="D711" s="185" t="s">
        <v>976</v>
      </c>
      <c r="E711" s="185" t="s">
        <v>1666</v>
      </c>
      <c r="F711" s="509" t="s">
        <v>1666</v>
      </c>
    </row>
    <row r="712" spans="1:6">
      <c r="A712" s="1237">
        <v>2013</v>
      </c>
      <c r="B712" s="500" t="s">
        <v>821</v>
      </c>
      <c r="C712" s="505">
        <v>11214896</v>
      </c>
      <c r="D712" s="501" t="s">
        <v>1579</v>
      </c>
      <c r="E712" s="501" t="s">
        <v>1579</v>
      </c>
      <c r="F712" s="501" t="s">
        <v>2341</v>
      </c>
    </row>
    <row r="713" spans="1:6">
      <c r="A713" s="1238"/>
      <c r="B713" s="177" t="s">
        <v>824</v>
      </c>
      <c r="C713" s="178">
        <v>11264705</v>
      </c>
      <c r="D713" s="179" t="s">
        <v>1118</v>
      </c>
      <c r="E713" s="179" t="s">
        <v>880</v>
      </c>
      <c r="F713" s="179" t="s">
        <v>1445</v>
      </c>
    </row>
    <row r="714" spans="1:6">
      <c r="A714" s="1238"/>
      <c r="B714" s="177" t="s">
        <v>828</v>
      </c>
      <c r="C714" s="178">
        <v>11287881</v>
      </c>
      <c r="D714" s="179" t="s">
        <v>1257</v>
      </c>
      <c r="E714" s="179" t="s">
        <v>1575</v>
      </c>
      <c r="F714" s="179" t="s">
        <v>2296</v>
      </c>
    </row>
    <row r="715" spans="1:6">
      <c r="A715" s="1238"/>
      <c r="B715" s="177" t="s">
        <v>832</v>
      </c>
      <c r="C715" s="178">
        <v>11316432</v>
      </c>
      <c r="D715" s="179" t="s">
        <v>1403</v>
      </c>
      <c r="E715" s="179" t="s">
        <v>873</v>
      </c>
      <c r="F715" s="179" t="s">
        <v>1199</v>
      </c>
    </row>
    <row r="716" spans="1:6">
      <c r="A716" s="1238"/>
      <c r="B716" s="177" t="s">
        <v>836</v>
      </c>
      <c r="C716" s="178">
        <v>11347973</v>
      </c>
      <c r="D716" s="179" t="s">
        <v>959</v>
      </c>
      <c r="E716" s="179" t="s">
        <v>1484</v>
      </c>
      <c r="F716" s="179" t="s">
        <v>2341</v>
      </c>
    </row>
    <row r="717" spans="1:6">
      <c r="A717" s="1238"/>
      <c r="B717" s="177" t="s">
        <v>840</v>
      </c>
      <c r="C717" s="178">
        <v>11374622</v>
      </c>
      <c r="D717" s="179" t="s">
        <v>848</v>
      </c>
      <c r="E717" s="179" t="s">
        <v>1975</v>
      </c>
      <c r="F717" s="179" t="s">
        <v>1263</v>
      </c>
    </row>
    <row r="718" spans="1:6">
      <c r="A718" s="1238"/>
      <c r="B718" s="177" t="s">
        <v>800</v>
      </c>
      <c r="C718" s="178">
        <v>11379727</v>
      </c>
      <c r="D718" s="179" t="s">
        <v>1136</v>
      </c>
      <c r="E718" s="179" t="s">
        <v>2362</v>
      </c>
      <c r="F718" s="179" t="s">
        <v>1170</v>
      </c>
    </row>
    <row r="719" spans="1:6">
      <c r="A719" s="1238"/>
      <c r="B719" s="177" t="s">
        <v>802</v>
      </c>
      <c r="C719" s="178">
        <v>11389218</v>
      </c>
      <c r="D719" s="179" t="s">
        <v>1253</v>
      </c>
      <c r="E719" s="179" t="s">
        <v>877</v>
      </c>
      <c r="F719" s="179" t="s">
        <v>1417</v>
      </c>
    </row>
    <row r="720" spans="1:6">
      <c r="A720" s="1238"/>
      <c r="B720" s="177" t="s">
        <v>805</v>
      </c>
      <c r="C720" s="178">
        <v>11422579</v>
      </c>
      <c r="D720" s="179" t="s">
        <v>869</v>
      </c>
      <c r="E720" s="179" t="s">
        <v>1263</v>
      </c>
      <c r="F720" s="179" t="s">
        <v>1417</v>
      </c>
    </row>
    <row r="721" spans="1:6">
      <c r="A721" s="1238"/>
      <c r="B721" s="177" t="s">
        <v>809</v>
      </c>
      <c r="C721" s="178">
        <v>11392928</v>
      </c>
      <c r="D721" s="179" t="s">
        <v>1293</v>
      </c>
      <c r="E721" s="179" t="s">
        <v>2229</v>
      </c>
      <c r="F721" s="179" t="s">
        <v>1748</v>
      </c>
    </row>
    <row r="722" spans="1:6">
      <c r="A722" s="1238"/>
      <c r="B722" s="177" t="s">
        <v>813</v>
      </c>
      <c r="C722" s="178">
        <v>11368292</v>
      </c>
      <c r="D722" s="179" t="s">
        <v>2363</v>
      </c>
      <c r="E722" s="179" t="s">
        <v>1599</v>
      </c>
      <c r="F722" s="179" t="s">
        <v>1322</v>
      </c>
    </row>
    <row r="723" spans="1:6" ht="12.75" thickBot="1">
      <c r="A723" s="1239"/>
      <c r="B723" s="187" t="s">
        <v>817</v>
      </c>
      <c r="C723" s="504">
        <v>11398254</v>
      </c>
      <c r="D723" s="188" t="s">
        <v>1177</v>
      </c>
      <c r="E723" s="188" t="s">
        <v>2091</v>
      </c>
      <c r="F723" s="508" t="s">
        <v>2091</v>
      </c>
    </row>
    <row r="724" spans="1:6">
      <c r="A724" s="1234">
        <v>2014</v>
      </c>
      <c r="B724" s="180" t="s">
        <v>821</v>
      </c>
      <c r="C724" s="506">
        <v>11453678</v>
      </c>
      <c r="D724" s="181" t="s">
        <v>1872</v>
      </c>
      <c r="E724" s="181" t="s">
        <v>1872</v>
      </c>
      <c r="F724" s="182" t="s">
        <v>1893</v>
      </c>
    </row>
    <row r="725" spans="1:6">
      <c r="A725" s="1235"/>
      <c r="B725" s="177" t="s">
        <v>824</v>
      </c>
      <c r="C725" s="178">
        <v>11525924</v>
      </c>
      <c r="D725" s="179" t="s">
        <v>1319</v>
      </c>
      <c r="E725" s="179" t="s">
        <v>862</v>
      </c>
      <c r="F725" s="183" t="s">
        <v>1202</v>
      </c>
    </row>
    <row r="726" spans="1:6">
      <c r="A726" s="1235"/>
      <c r="B726" s="177" t="s">
        <v>828</v>
      </c>
      <c r="C726" s="178">
        <v>11571358</v>
      </c>
      <c r="D726" s="179" t="s">
        <v>868</v>
      </c>
      <c r="E726" s="179" t="s">
        <v>1249</v>
      </c>
      <c r="F726" s="183" t="s">
        <v>1607</v>
      </c>
    </row>
    <row r="727" spans="1:6">
      <c r="A727" s="1235"/>
      <c r="B727" s="177" t="s">
        <v>832</v>
      </c>
      <c r="C727" s="178">
        <v>11624321</v>
      </c>
      <c r="D727" s="179" t="s">
        <v>941</v>
      </c>
      <c r="E727" s="179" t="s">
        <v>2340</v>
      </c>
      <c r="F727" s="183" t="s">
        <v>933</v>
      </c>
    </row>
    <row r="728" spans="1:6">
      <c r="A728" s="1235"/>
      <c r="B728" s="177" t="s">
        <v>836</v>
      </c>
      <c r="C728" s="178">
        <v>11680555</v>
      </c>
      <c r="D728" s="179" t="s">
        <v>1473</v>
      </c>
      <c r="E728" s="179" t="s">
        <v>1269</v>
      </c>
      <c r="F728" s="183" t="s">
        <v>1806</v>
      </c>
    </row>
    <row r="729" spans="1:6">
      <c r="A729" s="1235"/>
      <c r="B729" s="177" t="s">
        <v>840</v>
      </c>
      <c r="C729" s="178">
        <v>11691441</v>
      </c>
      <c r="D729" s="179" t="s">
        <v>976</v>
      </c>
      <c r="E729" s="179" t="s">
        <v>870</v>
      </c>
      <c r="F729" s="183" t="s">
        <v>1131</v>
      </c>
    </row>
    <row r="730" spans="1:6">
      <c r="A730" s="1235"/>
      <c r="B730" s="177" t="s">
        <v>800</v>
      </c>
      <c r="C730" s="178">
        <v>11709130</v>
      </c>
      <c r="D730" s="179" t="s">
        <v>955</v>
      </c>
      <c r="E730" s="179" t="s">
        <v>1925</v>
      </c>
      <c r="F730" s="183" t="s">
        <v>1970</v>
      </c>
    </row>
    <row r="731" spans="1:6">
      <c r="A731" s="1235"/>
      <c r="B731" s="177" t="s">
        <v>802</v>
      </c>
      <c r="C731" s="178">
        <v>11732919</v>
      </c>
      <c r="D731" s="179" t="s">
        <v>1511</v>
      </c>
      <c r="E731" s="179" t="s">
        <v>2364</v>
      </c>
      <c r="F731" s="183" t="s">
        <v>2300</v>
      </c>
    </row>
    <row r="732" spans="1:6">
      <c r="A732" s="1235"/>
      <c r="B732" s="177" t="s">
        <v>805</v>
      </c>
      <c r="C732" s="178">
        <v>11748858</v>
      </c>
      <c r="D732" s="179" t="s">
        <v>1700</v>
      </c>
      <c r="E732" s="179" t="s">
        <v>2359</v>
      </c>
      <c r="F732" s="183" t="s">
        <v>1596</v>
      </c>
    </row>
    <row r="733" spans="1:6">
      <c r="A733" s="1235"/>
      <c r="B733" s="177" t="s">
        <v>809</v>
      </c>
      <c r="C733" s="178">
        <v>11768219</v>
      </c>
      <c r="D733" s="179" t="s">
        <v>984</v>
      </c>
      <c r="E733" s="179" t="s">
        <v>2087</v>
      </c>
      <c r="F733" s="183" t="s">
        <v>1561</v>
      </c>
    </row>
    <row r="734" spans="1:6">
      <c r="A734" s="1235"/>
      <c r="B734" s="177" t="s">
        <v>813</v>
      </c>
      <c r="C734" s="178">
        <v>11783730</v>
      </c>
      <c r="D734" s="179" t="s">
        <v>844</v>
      </c>
      <c r="E734" s="179" t="s">
        <v>2365</v>
      </c>
      <c r="F734" s="183" t="s">
        <v>2366</v>
      </c>
    </row>
    <row r="735" spans="1:6" ht="12.75" thickBot="1">
      <c r="A735" s="1236"/>
      <c r="B735" s="184" t="s">
        <v>817</v>
      </c>
      <c r="C735" s="507">
        <v>11815166</v>
      </c>
      <c r="D735" s="185" t="s">
        <v>815</v>
      </c>
      <c r="E735" s="185" t="s">
        <v>1126</v>
      </c>
      <c r="F735" s="509" t="s">
        <v>1126</v>
      </c>
    </row>
    <row r="736" spans="1:6">
      <c r="A736" s="1237">
        <v>2015</v>
      </c>
      <c r="B736" s="500" t="s">
        <v>821</v>
      </c>
      <c r="C736" s="505">
        <v>11891289</v>
      </c>
      <c r="D736" s="501" t="s">
        <v>2367</v>
      </c>
      <c r="E736" s="501" t="s">
        <v>2367</v>
      </c>
      <c r="F736" s="501" t="s">
        <v>1137</v>
      </c>
    </row>
    <row r="737" spans="1:6">
      <c r="A737" s="1238"/>
      <c r="B737" s="177" t="s">
        <v>824</v>
      </c>
      <c r="C737" s="178">
        <v>12027993</v>
      </c>
      <c r="D737" s="179" t="s">
        <v>1478</v>
      </c>
      <c r="E737" s="179" t="s">
        <v>2368</v>
      </c>
      <c r="F737" s="179" t="s">
        <v>2369</v>
      </c>
    </row>
    <row r="738" spans="1:6">
      <c r="A738" s="1238"/>
      <c r="B738" s="177" t="s">
        <v>828</v>
      </c>
      <c r="C738" s="178">
        <v>12098456</v>
      </c>
      <c r="D738" s="179" t="s">
        <v>1018</v>
      </c>
      <c r="E738" s="179" t="s">
        <v>1978</v>
      </c>
      <c r="F738" s="179" t="s">
        <v>2256</v>
      </c>
    </row>
    <row r="739" spans="1:6">
      <c r="A739" s="1238"/>
      <c r="B739" s="177" t="s">
        <v>832</v>
      </c>
      <c r="C739" s="178">
        <v>12163437</v>
      </c>
      <c r="D739" s="179" t="s">
        <v>819</v>
      </c>
      <c r="E739" s="179" t="s">
        <v>2350</v>
      </c>
      <c r="F739" s="179" t="s">
        <v>2370</v>
      </c>
    </row>
    <row r="740" spans="1:6">
      <c r="A740" s="1238"/>
      <c r="B740" s="177" t="s">
        <v>836</v>
      </c>
      <c r="C740" s="178">
        <v>12195433</v>
      </c>
      <c r="D740" s="179" t="s">
        <v>1177</v>
      </c>
      <c r="E740" s="179" t="s">
        <v>2371</v>
      </c>
      <c r="F740" s="179" t="s">
        <v>2372</v>
      </c>
    </row>
    <row r="741" spans="1:6">
      <c r="A741" s="1238"/>
      <c r="B741" s="177" t="s">
        <v>840</v>
      </c>
      <c r="C741" s="178">
        <v>12208236</v>
      </c>
      <c r="D741" s="179" t="s">
        <v>847</v>
      </c>
      <c r="E741" s="179" t="s">
        <v>2373</v>
      </c>
      <c r="F741" s="179" t="s">
        <v>1351</v>
      </c>
    </row>
    <row r="742" spans="1:6">
      <c r="A742" s="1238"/>
      <c r="B742" s="177" t="s">
        <v>800</v>
      </c>
      <c r="C742" s="178">
        <v>12230851</v>
      </c>
      <c r="D742" s="179" t="s">
        <v>2242</v>
      </c>
      <c r="E742" s="179" t="s">
        <v>2124</v>
      </c>
      <c r="F742" s="179" t="s">
        <v>2374</v>
      </c>
    </row>
    <row r="743" spans="1:6">
      <c r="A743" s="1238"/>
      <c r="B743" s="177" t="s">
        <v>802</v>
      </c>
      <c r="C743" s="178">
        <v>12289561</v>
      </c>
      <c r="D743" s="179" t="s">
        <v>1473</v>
      </c>
      <c r="E743" s="179" t="s">
        <v>2351</v>
      </c>
      <c r="F743" s="179" t="s">
        <v>2375</v>
      </c>
    </row>
    <row r="744" spans="1:6">
      <c r="A744" s="1238"/>
      <c r="B744" s="177" t="s">
        <v>805</v>
      </c>
      <c r="C744" s="178">
        <v>12377501</v>
      </c>
      <c r="D744" s="179" t="s">
        <v>1823</v>
      </c>
      <c r="E744" s="179" t="s">
        <v>1144</v>
      </c>
      <c r="F744" s="179" t="s">
        <v>2376</v>
      </c>
    </row>
    <row r="745" spans="1:6">
      <c r="A745" s="1238"/>
      <c r="B745" s="177" t="s">
        <v>809</v>
      </c>
      <c r="C745" s="178">
        <v>12461929</v>
      </c>
      <c r="D745" s="179" t="s">
        <v>1495</v>
      </c>
      <c r="E745" s="179" t="s">
        <v>2377</v>
      </c>
      <c r="F745" s="179" t="s">
        <v>2245</v>
      </c>
    </row>
    <row r="746" spans="1:6">
      <c r="A746" s="1238"/>
      <c r="B746" s="177" t="s">
        <v>813</v>
      </c>
      <c r="C746" s="178">
        <v>12537075</v>
      </c>
      <c r="D746" s="179" t="s">
        <v>1140</v>
      </c>
      <c r="E746" s="179" t="s">
        <v>901</v>
      </c>
      <c r="F746" s="179" t="s">
        <v>1398</v>
      </c>
    </row>
    <row r="747" spans="1:6" ht="12.75" thickBot="1">
      <c r="A747" s="1239"/>
      <c r="B747" s="187" t="s">
        <v>817</v>
      </c>
      <c r="C747" s="504">
        <v>12614945</v>
      </c>
      <c r="D747" s="188" t="s">
        <v>2378</v>
      </c>
      <c r="E747" s="188" t="s">
        <v>2379</v>
      </c>
      <c r="F747" s="508" t="s">
        <v>2379</v>
      </c>
    </row>
    <row r="748" spans="1:6">
      <c r="A748" s="1234">
        <v>2016</v>
      </c>
      <c r="B748" s="180" t="s">
        <v>821</v>
      </c>
      <c r="C748" s="506">
        <v>12777754</v>
      </c>
      <c r="D748" s="181" t="s">
        <v>1046</v>
      </c>
      <c r="E748" s="181" t="s">
        <v>1046</v>
      </c>
      <c r="F748" s="182" t="s">
        <v>1604</v>
      </c>
    </row>
    <row r="749" spans="1:6">
      <c r="A749" s="1235"/>
      <c r="B749" s="177" t="s">
        <v>824</v>
      </c>
      <c r="C749" s="178">
        <v>12941261</v>
      </c>
      <c r="D749" s="179" t="s">
        <v>925</v>
      </c>
      <c r="E749" s="179" t="s">
        <v>1084</v>
      </c>
      <c r="F749" s="183" t="s">
        <v>1078</v>
      </c>
    </row>
    <row r="750" spans="1:6">
      <c r="A750" s="1235"/>
      <c r="B750" s="177" t="s">
        <v>828</v>
      </c>
      <c r="C750" s="178">
        <v>13063385</v>
      </c>
      <c r="D750" s="179" t="s">
        <v>858</v>
      </c>
      <c r="E750" s="179" t="s">
        <v>2354</v>
      </c>
      <c r="F750" s="183" t="s">
        <v>997</v>
      </c>
    </row>
    <row r="751" spans="1:6">
      <c r="A751" s="1235"/>
      <c r="B751" s="177" t="s">
        <v>832</v>
      </c>
      <c r="C751" s="337">
        <v>13.128192</v>
      </c>
      <c r="D751" s="503">
        <v>5.0000000000000001E-3</v>
      </c>
      <c r="E751" s="503">
        <v>4.07E-2</v>
      </c>
      <c r="F751" s="510">
        <v>7.9299999999999995E-2</v>
      </c>
    </row>
    <row r="752" spans="1:6">
      <c r="A752" s="1235"/>
      <c r="B752" s="177" t="s">
        <v>836</v>
      </c>
      <c r="C752" s="337">
        <v>13.195119</v>
      </c>
      <c r="D752" s="503">
        <v>5.1000000000000004E-3</v>
      </c>
      <c r="E752" s="503">
        <v>4.5999999999999999E-2</v>
      </c>
      <c r="F752" s="510">
        <v>8.2000000000000003E-2</v>
      </c>
    </row>
    <row r="753" spans="1:6">
      <c r="A753" s="1235"/>
      <c r="B753" s="177" t="s">
        <v>840</v>
      </c>
      <c r="C753" s="337">
        <v>13.258412</v>
      </c>
      <c r="D753" s="503">
        <v>4.7999999999999996E-3</v>
      </c>
      <c r="E753" s="503">
        <v>5.0999999999999997E-2</v>
      </c>
      <c r="F753" s="510">
        <v>8.5999999999999993E-2</v>
      </c>
    </row>
    <row r="754" spans="1:6">
      <c r="A754" s="1235"/>
      <c r="B754" s="177" t="s">
        <v>800</v>
      </c>
      <c r="C754" s="337">
        <v>13.327351999999999</v>
      </c>
      <c r="D754" s="503">
        <v>5.1999999999999998E-3</v>
      </c>
      <c r="E754" s="503">
        <v>5.6500000000000002E-2</v>
      </c>
      <c r="F754" s="510">
        <v>8.9700000000000002E-2</v>
      </c>
    </row>
    <row r="755" spans="1:6">
      <c r="A755" s="1235"/>
      <c r="B755" s="177" t="s">
        <v>802</v>
      </c>
      <c r="C755" s="337">
        <v>13.284716</v>
      </c>
      <c r="D755" s="503">
        <v>-3.2000000000000002E-3</v>
      </c>
      <c r="E755" s="503">
        <v>5.3100000000000001E-2</v>
      </c>
      <c r="F755" s="510">
        <v>8.1000000000000003E-2</v>
      </c>
    </row>
    <row r="756" spans="1:6">
      <c r="A756" s="1235"/>
      <c r="B756" s="177" t="s">
        <v>805</v>
      </c>
      <c r="C756" s="337">
        <v>13.277698000000001</v>
      </c>
      <c r="D756" s="503">
        <v>-5.0000000000000001E-4</v>
      </c>
      <c r="E756" s="503">
        <v>5.2499999999999998E-2</v>
      </c>
      <c r="F756" s="510">
        <v>7.2700000000000001E-2</v>
      </c>
    </row>
    <row r="757" spans="1:6">
      <c r="A757" s="1235"/>
      <c r="B757" s="177" t="s">
        <v>809</v>
      </c>
      <c r="C757" s="337">
        <v>13.269743999999999</v>
      </c>
      <c r="D757" s="503">
        <v>-5.9999999999999995E-4</v>
      </c>
      <c r="E757" s="503">
        <v>5.1900000000000002E-2</v>
      </c>
      <c r="F757" s="510">
        <v>6.4799999999999996E-2</v>
      </c>
    </row>
    <row r="758" spans="1:6">
      <c r="A758" s="1235"/>
      <c r="B758" s="177" t="s">
        <v>813</v>
      </c>
      <c r="C758" s="337">
        <v>13.284598000000001</v>
      </c>
      <c r="D758" s="503">
        <v>1.1000000000000001E-3</v>
      </c>
      <c r="E758" s="503">
        <v>5.3100000000000001E-2</v>
      </c>
      <c r="F758" s="510">
        <v>5.96E-2</v>
      </c>
    </row>
    <row r="759" spans="1:6" ht="12.75" thickBot="1">
      <c r="A759" s="1236"/>
      <c r="B759" s="184" t="s">
        <v>817</v>
      </c>
      <c r="C759" s="511">
        <v>13.339976999999999</v>
      </c>
      <c r="D759" s="512">
        <v>4.1999999999999997E-3</v>
      </c>
      <c r="E759" s="512">
        <v>5.7500000000000002E-2</v>
      </c>
      <c r="F759" s="513">
        <v>5.7500000000000002E-2</v>
      </c>
    </row>
    <row r="760" spans="1:6">
      <c r="A760" s="1234">
        <v>2017</v>
      </c>
      <c r="B760" s="180" t="s">
        <v>821</v>
      </c>
      <c r="C760" s="514">
        <v>134.76593800000001</v>
      </c>
      <c r="D760" s="515">
        <v>1.0241139999999999E-2</v>
      </c>
      <c r="E760" s="515">
        <v>1.0241139999999999E-2</v>
      </c>
      <c r="F760" s="516">
        <v>5.469189E-2</v>
      </c>
    </row>
    <row r="761" spans="1:6">
      <c r="A761" s="1235"/>
      <c r="B761" s="177" t="s">
        <v>824</v>
      </c>
      <c r="C761" s="337">
        <v>136.121332</v>
      </c>
      <c r="D761" s="503">
        <v>1.0057389999999999E-2</v>
      </c>
      <c r="E761" s="503">
        <v>2.0401530000000001E-2</v>
      </c>
      <c r="F761" s="510">
        <v>5.1839799999999998E-2</v>
      </c>
    </row>
    <row r="762" spans="1:6">
      <c r="A762" s="1235"/>
      <c r="B762" s="177" t="s">
        <v>828</v>
      </c>
      <c r="C762" s="337">
        <v>136.755426</v>
      </c>
      <c r="D762" s="503">
        <v>4.6582999999999998E-3</v>
      </c>
      <c r="E762" s="503">
        <v>2.5154869999999999E-2</v>
      </c>
      <c r="F762" s="510">
        <v>4.6860569999999997E-2</v>
      </c>
    </row>
    <row r="763" spans="1:6">
      <c r="A763" s="1235"/>
      <c r="B763" s="177" t="s">
        <v>832</v>
      </c>
      <c r="C763" s="337">
        <v>137.40326899999999</v>
      </c>
      <c r="D763" s="503">
        <v>4.7372300000000003E-3</v>
      </c>
      <c r="E763" s="503">
        <v>3.0011260000000001E-2</v>
      </c>
      <c r="F763" s="510">
        <v>4.6627490000000001E-2</v>
      </c>
    </row>
    <row r="764" spans="1:6">
      <c r="A764" s="1235"/>
      <c r="B764" s="177" t="s">
        <v>836</v>
      </c>
      <c r="C764" s="337">
        <v>137.712863</v>
      </c>
      <c r="D764" s="503">
        <v>2.25318E-3</v>
      </c>
      <c r="E764" s="503">
        <v>3.2332060000000003E-2</v>
      </c>
      <c r="F764" s="510">
        <v>4.3665219999999998E-2</v>
      </c>
    </row>
    <row r="765" spans="1:6">
      <c r="A765" s="1235"/>
      <c r="B765" s="177" t="s">
        <v>840</v>
      </c>
      <c r="C765" s="337">
        <v>137.87073799999999</v>
      </c>
      <c r="D765" s="503">
        <v>1.1464100000000001E-3</v>
      </c>
      <c r="E765" s="503">
        <v>3.3515540000000003E-2</v>
      </c>
      <c r="F765" s="510">
        <v>3.9873730000000003E-2</v>
      </c>
    </row>
    <row r="766" spans="1:6">
      <c r="A766" s="1235"/>
      <c r="B766" s="177" t="s">
        <v>800</v>
      </c>
      <c r="C766" s="337">
        <v>137.80021500000001</v>
      </c>
      <c r="D766" s="503">
        <v>-5.1150999999999996E-4</v>
      </c>
      <c r="E766" s="503">
        <v>3.2986880000000003E-2</v>
      </c>
      <c r="F766" s="510">
        <v>3.3965420000000003E-2</v>
      </c>
    </row>
    <row r="767" spans="1:6">
      <c r="A767" s="1235"/>
      <c r="B767" s="177" t="s">
        <v>802</v>
      </c>
      <c r="C767" s="337">
        <v>137.993213</v>
      </c>
      <c r="D767" s="503">
        <v>1.4005700000000001E-3</v>
      </c>
      <c r="E767" s="503">
        <v>3.4433650000000003E-2</v>
      </c>
      <c r="F767" s="510">
        <v>3.8736630000000001E-2</v>
      </c>
    </row>
    <row r="768" spans="1:6">
      <c r="A768" s="1235"/>
      <c r="B768" s="177" t="s">
        <v>805</v>
      </c>
      <c r="C768" s="337">
        <v>138.04879</v>
      </c>
      <c r="D768" s="503">
        <v>4.0275E-4</v>
      </c>
      <c r="E768" s="503">
        <v>3.4850260000000001E-2</v>
      </c>
      <c r="F768" s="510">
        <v>3.9704259999999998E-2</v>
      </c>
    </row>
    <row r="769" spans="1:6">
      <c r="A769" s="1235"/>
      <c r="B769" s="177" t="s">
        <v>809</v>
      </c>
      <c r="C769" s="337">
        <v>138.07187099999999</v>
      </c>
      <c r="D769" s="503">
        <v>1.672E-4</v>
      </c>
      <c r="E769" s="503">
        <v>3.5023289999999999E-2</v>
      </c>
      <c r="F769" s="510">
        <v>4.050136E-2</v>
      </c>
    </row>
    <row r="770" spans="1:6">
      <c r="A770" s="1235"/>
      <c r="B770" s="177" t="s">
        <v>813</v>
      </c>
      <c r="C770" s="337">
        <v>138.32155800000001</v>
      </c>
      <c r="D770" s="503">
        <v>1.8083800000000001E-3</v>
      </c>
      <c r="E770" s="503">
        <v>3.6894999999999997E-2</v>
      </c>
      <c r="F770" s="510">
        <v>4.1217490000000002E-2</v>
      </c>
    </row>
    <row r="771" spans="1:6" ht="12.75" thickBot="1">
      <c r="A771" s="1236"/>
      <c r="B771" s="184" t="s">
        <v>817</v>
      </c>
      <c r="C771" s="511">
        <v>138.85398499999999</v>
      </c>
      <c r="D771" s="512">
        <v>3.8492000000000001E-3</v>
      </c>
      <c r="E771" s="512">
        <v>4.0886220000000001E-2</v>
      </c>
      <c r="F771" s="513">
        <v>4.0886220000000001E-2</v>
      </c>
    </row>
    <row r="772" spans="1:6">
      <c r="A772" s="1234">
        <v>2018</v>
      </c>
      <c r="B772" s="669" t="s">
        <v>821</v>
      </c>
      <c r="C772" s="675">
        <v>97.527634566693607</v>
      </c>
      <c r="D772" s="515">
        <v>6.2706400000000001E-3</v>
      </c>
      <c r="E772" s="515">
        <v>6.2706400000000001E-3</v>
      </c>
      <c r="F772" s="516">
        <v>3.679528E-2</v>
      </c>
    </row>
    <row r="773" spans="1:6">
      <c r="A773" s="1235"/>
      <c r="B773" s="670" t="s">
        <v>824</v>
      </c>
      <c r="C773" s="676">
        <v>98.216431436722701</v>
      </c>
      <c r="D773" s="503">
        <v>7.0625799999999997E-3</v>
      </c>
      <c r="E773" s="503">
        <v>1.337751E-2</v>
      </c>
      <c r="F773" s="510">
        <v>3.3721189999999998E-2</v>
      </c>
    </row>
    <row r="774" spans="1:6">
      <c r="A774" s="1235"/>
      <c r="B774" s="670" t="s">
        <v>828</v>
      </c>
      <c r="C774" s="676">
        <v>98.452250258793498</v>
      </c>
      <c r="D774" s="503">
        <v>2.4010099999999999E-3</v>
      </c>
      <c r="E774" s="503">
        <v>1.5810640000000001E-2</v>
      </c>
      <c r="F774" s="510">
        <v>3.1398589999999997E-2</v>
      </c>
    </row>
    <row r="775" spans="1:6">
      <c r="A775" s="1235"/>
      <c r="B775" s="670" t="s">
        <v>832</v>
      </c>
      <c r="C775" s="676">
        <v>98.906895825372402</v>
      </c>
      <c r="D775" s="503">
        <v>4.6179300000000001E-3</v>
      </c>
      <c r="E775" s="503">
        <v>2.0501579999999998E-2</v>
      </c>
      <c r="F775" s="510">
        <v>3.1276129999999999E-2</v>
      </c>
    </row>
    <row r="776" spans="1:6">
      <c r="A776" s="1235"/>
      <c r="B776" s="670" t="s">
        <v>836</v>
      </c>
      <c r="C776" s="676">
        <v>99.157791416887306</v>
      </c>
      <c r="D776" s="503">
        <v>2.5366799999999999E-3</v>
      </c>
      <c r="E776" s="503">
        <v>2.309027E-2</v>
      </c>
      <c r="F776" s="510">
        <v>3.1567850000000001E-2</v>
      </c>
    </row>
    <row r="777" spans="1:6">
      <c r="A777" s="1235"/>
      <c r="B777" s="670" t="s">
        <v>840</v>
      </c>
      <c r="C777" s="676">
        <v>99.3111507800769</v>
      </c>
      <c r="D777" s="503">
        <v>1.5466200000000001E-3</v>
      </c>
      <c r="E777" s="503">
        <v>2.4672610000000001E-2</v>
      </c>
      <c r="F777" s="510">
        <v>3.1980219999999997E-2</v>
      </c>
    </row>
    <row r="778" spans="1:6">
      <c r="A778" s="1235"/>
      <c r="B778" s="670" t="s">
        <v>800</v>
      </c>
      <c r="C778" s="676">
        <v>99.184494050769601</v>
      </c>
      <c r="D778" s="503">
        <v>-1.27535E-3</v>
      </c>
      <c r="E778" s="503">
        <v>2.3365790000000001E-2</v>
      </c>
      <c r="F778" s="510">
        <v>3.1191549999999998E-2</v>
      </c>
    </row>
    <row r="779" spans="1:6">
      <c r="A779" s="1235"/>
      <c r="B779" s="670" t="s">
        <v>802</v>
      </c>
      <c r="C779" s="676">
        <v>99.303264094060694</v>
      </c>
      <c r="D779" s="503">
        <v>1.19747E-3</v>
      </c>
      <c r="E779" s="503">
        <v>2.4591229999999999E-2</v>
      </c>
      <c r="F779" s="510">
        <v>3.0982409999999998E-2</v>
      </c>
    </row>
    <row r="780" spans="1:6">
      <c r="A780" s="1235"/>
      <c r="B780" s="670" t="s">
        <v>805</v>
      </c>
      <c r="C780" s="676">
        <v>99.467112979991498</v>
      </c>
      <c r="D780" s="503">
        <v>1.6499799999999999E-3</v>
      </c>
      <c r="E780" s="503">
        <v>2.6281789999999999E-2</v>
      </c>
      <c r="F780" s="510">
        <v>3.2267759999999999E-2</v>
      </c>
    </row>
    <row r="781" spans="1:6">
      <c r="A781" s="1235"/>
      <c r="B781" s="670" t="s">
        <v>809</v>
      </c>
      <c r="C781" s="676">
        <v>99.586837885347407</v>
      </c>
      <c r="D781" s="503">
        <v>1.20367E-3</v>
      </c>
      <c r="E781" s="503">
        <v>2.7517090000000001E-2</v>
      </c>
      <c r="F781" s="510">
        <v>3.3337499999999999E-2</v>
      </c>
    </row>
    <row r="782" spans="1:6">
      <c r="A782" s="1235"/>
      <c r="B782" s="670" t="s">
        <v>813</v>
      </c>
      <c r="C782" s="676">
        <v>99.703542550824395</v>
      </c>
      <c r="D782" s="503">
        <v>1.1718900000000001E-3</v>
      </c>
      <c r="E782" s="503">
        <v>2.872123E-2</v>
      </c>
      <c r="F782" s="510">
        <v>3.2680969999999997E-2</v>
      </c>
    </row>
    <row r="783" spans="1:6" ht="12.75" thickBot="1">
      <c r="A783" s="1236"/>
      <c r="B783" s="671" t="s">
        <v>817</v>
      </c>
      <c r="C783" s="677">
        <v>100</v>
      </c>
      <c r="D783" s="512">
        <v>2.9733899999999998E-3</v>
      </c>
      <c r="E783" s="512">
        <v>3.1780009999999997E-2</v>
      </c>
      <c r="F783" s="513">
        <v>3.1780009999999997E-2</v>
      </c>
    </row>
    <row r="784" spans="1:6">
      <c r="A784" s="1234">
        <v>2019</v>
      </c>
      <c r="B784" s="180" t="s">
        <v>821</v>
      </c>
      <c r="C784" s="672">
        <v>100.598577066</v>
      </c>
      <c r="D784" s="673">
        <v>5.9854000000000001E-3</v>
      </c>
      <c r="E784" s="673">
        <v>5.9854000000000001E-3</v>
      </c>
      <c r="F784" s="674">
        <v>3.14875453662651E-2</v>
      </c>
    </row>
    <row r="785" spans="1:6">
      <c r="A785" s="1235"/>
      <c r="B785" s="177" t="s">
        <v>824</v>
      </c>
      <c r="C785" s="337">
        <v>101.17675</v>
      </c>
      <c r="D785" s="503">
        <v>5.7473271577259703E-3</v>
      </c>
      <c r="E785" s="503">
        <v>1.17674999999999E-2</v>
      </c>
      <c r="F785" s="510">
        <v>3.0140766875494499E-2</v>
      </c>
    </row>
    <row r="786" spans="1:6">
      <c r="A786" s="1235"/>
      <c r="B786" s="177" t="s">
        <v>828</v>
      </c>
      <c r="C786" s="666"/>
      <c r="D786" s="667"/>
      <c r="E786" s="667"/>
      <c r="F786" s="668"/>
    </row>
    <row r="787" spans="1:6">
      <c r="A787" s="1235"/>
      <c r="B787" s="177" t="s">
        <v>832</v>
      </c>
      <c r="C787" s="666"/>
      <c r="D787" s="667"/>
      <c r="E787" s="667"/>
      <c r="F787" s="668"/>
    </row>
    <row r="788" spans="1:6">
      <c r="A788" s="1235"/>
      <c r="B788" s="177" t="s">
        <v>836</v>
      </c>
      <c r="C788" s="666"/>
      <c r="D788" s="667"/>
      <c r="E788" s="667"/>
      <c r="F788" s="668"/>
    </row>
    <row r="789" spans="1:6">
      <c r="A789" s="1235"/>
      <c r="B789" s="177" t="s">
        <v>840</v>
      </c>
      <c r="C789" s="666"/>
      <c r="D789" s="667"/>
      <c r="E789" s="667"/>
      <c r="F789" s="668"/>
    </row>
    <row r="790" spans="1:6">
      <c r="A790" s="1235"/>
      <c r="B790" s="177" t="s">
        <v>800</v>
      </c>
      <c r="C790" s="666"/>
      <c r="D790" s="667"/>
      <c r="E790" s="667"/>
      <c r="F790" s="668"/>
    </row>
    <row r="791" spans="1:6">
      <c r="A791" s="1235"/>
      <c r="B791" s="177" t="s">
        <v>802</v>
      </c>
      <c r="C791" s="666"/>
      <c r="D791" s="667"/>
      <c r="E791" s="667"/>
      <c r="F791" s="668"/>
    </row>
    <row r="792" spans="1:6">
      <c r="A792" s="1235"/>
      <c r="B792" s="177" t="s">
        <v>805</v>
      </c>
      <c r="C792" s="666"/>
      <c r="D792" s="667"/>
      <c r="E792" s="667"/>
      <c r="F792" s="668"/>
    </row>
    <row r="793" spans="1:6">
      <c r="A793" s="1235"/>
      <c r="B793" s="177" t="s">
        <v>809</v>
      </c>
      <c r="C793" s="666"/>
      <c r="D793" s="667"/>
      <c r="E793" s="667"/>
      <c r="F793" s="668"/>
    </row>
    <row r="794" spans="1:6">
      <c r="A794" s="1235"/>
      <c r="B794" s="177" t="s">
        <v>813</v>
      </c>
      <c r="C794" s="666"/>
      <c r="D794" s="667"/>
      <c r="E794" s="667"/>
      <c r="F794" s="668"/>
    </row>
    <row r="795" spans="1:6" ht="12.75" thickBot="1">
      <c r="A795" s="1236"/>
      <c r="B795" s="184" t="s">
        <v>817</v>
      </c>
      <c r="C795" s="666"/>
      <c r="D795" s="667"/>
      <c r="E795" s="667"/>
      <c r="F795" s="668"/>
    </row>
    <row r="796" spans="1:6">
      <c r="A796" s="1241" t="s">
        <v>2380</v>
      </c>
      <c r="B796" s="1241"/>
      <c r="C796" s="1241"/>
      <c r="D796" s="1241"/>
      <c r="E796" s="1241"/>
      <c r="F796" s="1241"/>
    </row>
    <row r="797" spans="1:6">
      <c r="A797" s="1240"/>
      <c r="B797" s="1240"/>
      <c r="C797" s="1240"/>
      <c r="D797" s="1240"/>
      <c r="E797" s="1240"/>
      <c r="F797" s="1240"/>
    </row>
    <row r="798" spans="1:6">
      <c r="A798" s="1245" t="s">
        <v>2381</v>
      </c>
      <c r="B798" s="1245"/>
      <c r="C798" s="1245"/>
      <c r="D798" s="1245"/>
      <c r="E798" s="1245"/>
      <c r="F798" s="1245"/>
    </row>
    <row r="799" spans="1:6" ht="10.15" customHeight="1">
      <c r="A799" s="1240"/>
      <c r="B799" s="1240"/>
      <c r="C799" s="1240"/>
      <c r="D799" s="1240"/>
      <c r="E799" s="1240"/>
      <c r="F799" s="1240"/>
    </row>
    <row r="800" spans="1:6">
      <c r="A800" s="1241" t="s">
        <v>2382</v>
      </c>
      <c r="B800" s="1241"/>
      <c r="C800" s="1241"/>
      <c r="D800" s="1241"/>
      <c r="E800" s="1241"/>
      <c r="F800" s="1241"/>
    </row>
    <row r="801" ht="52.9" customHeight="1"/>
    <row r="803" ht="10.15" customHeight="1"/>
  </sheetData>
  <sheetProtection formatCells="0" formatColumns="0" formatRows="0" insertColumns="0" insertRows="0" insertHyperlinks="0" deleteColumns="0" deleteRows="0" sort="0" autoFilter="0" pivotTables="0"/>
  <mergeCells count="77">
    <mergeCell ref="A800:F800"/>
    <mergeCell ref="A1:F1"/>
    <mergeCell ref="A2:F2"/>
    <mergeCell ref="A712:A723"/>
    <mergeCell ref="A724:A735"/>
    <mergeCell ref="A592:A603"/>
    <mergeCell ref="A604:A615"/>
    <mergeCell ref="A616:A627"/>
    <mergeCell ref="A628:A639"/>
    <mergeCell ref="A736:A747"/>
    <mergeCell ref="A688:A699"/>
    <mergeCell ref="A700:A711"/>
    <mergeCell ref="A798:F798"/>
    <mergeCell ref="A799:F799"/>
    <mergeCell ref="A796:F796"/>
    <mergeCell ref="A664:A675"/>
    <mergeCell ref="A797:F797"/>
    <mergeCell ref="A748:A759"/>
    <mergeCell ref="A760:A771"/>
    <mergeCell ref="A772:A783"/>
    <mergeCell ref="A784:A795"/>
    <mergeCell ref="A532:A543"/>
    <mergeCell ref="A544:A555"/>
    <mergeCell ref="A556:A567"/>
    <mergeCell ref="A568:A579"/>
    <mergeCell ref="A676:A687"/>
    <mergeCell ref="A376:A387"/>
    <mergeCell ref="A388:A399"/>
    <mergeCell ref="A400:A411"/>
    <mergeCell ref="A412:A423"/>
    <mergeCell ref="A652:A663"/>
    <mergeCell ref="A424:A435"/>
    <mergeCell ref="A436:A447"/>
    <mergeCell ref="A448:A459"/>
    <mergeCell ref="A460:A471"/>
    <mergeCell ref="A472:A483"/>
    <mergeCell ref="A580:A591"/>
    <mergeCell ref="A484:A495"/>
    <mergeCell ref="A496:A507"/>
    <mergeCell ref="A508:A519"/>
    <mergeCell ref="A640:A651"/>
    <mergeCell ref="A520:A531"/>
    <mergeCell ref="A316:A327"/>
    <mergeCell ref="A328:A339"/>
    <mergeCell ref="A340:A351"/>
    <mergeCell ref="A352:A363"/>
    <mergeCell ref="A364:A375"/>
    <mergeCell ref="A256:A267"/>
    <mergeCell ref="A268:A279"/>
    <mergeCell ref="A280:A291"/>
    <mergeCell ref="A292:A303"/>
    <mergeCell ref="A304:A315"/>
    <mergeCell ref="A196:A207"/>
    <mergeCell ref="A208:A219"/>
    <mergeCell ref="A220:A231"/>
    <mergeCell ref="A232:A243"/>
    <mergeCell ref="A244:A255"/>
    <mergeCell ref="A136:A147"/>
    <mergeCell ref="A148:A159"/>
    <mergeCell ref="A160:A171"/>
    <mergeCell ref="A172:A183"/>
    <mergeCell ref="A184:A195"/>
    <mergeCell ref="A76:A87"/>
    <mergeCell ref="A88:A99"/>
    <mergeCell ref="A100:A111"/>
    <mergeCell ref="A112:A123"/>
    <mergeCell ref="A124:A135"/>
    <mergeCell ref="A16:A27"/>
    <mergeCell ref="A28:A39"/>
    <mergeCell ref="A40:A51"/>
    <mergeCell ref="A52:A63"/>
    <mergeCell ref="A64:A75"/>
    <mergeCell ref="A3:F3"/>
    <mergeCell ref="A5:F5"/>
    <mergeCell ref="A6:F6"/>
    <mergeCell ref="A7:F7"/>
    <mergeCell ref="A10:A15"/>
  </mergeCells>
  <hyperlinks>
    <hyperlink ref="A800" r:id="rId1" display="http://www.dane.gov.co/files/investigaciones/fichas/IPC.pdf"/>
    <hyperlink ref="A796" r:id="rId2" display="http://www.dane.gov.co/"/>
  </hyperlinks>
  <pageMargins left="0.70866141732283472" right="0.70866141732283472" top="0.74803149606299213" bottom="0.74803149606299213" header="0.31496062992125984" footer="0.31496062992125984"/>
  <pageSetup scale="80" orientation="portrait" horizontalDpi="4294967295" verticalDpi="4294967295" r:id="rId3"/>
  <drawing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FFC000"/>
  </sheetPr>
  <dimension ref="A1:L44"/>
  <sheetViews>
    <sheetView view="pageBreakPreview" zoomScale="90" zoomScaleNormal="100" zoomScaleSheetLayoutView="90" workbookViewId="0">
      <selection activeCell="K24" sqref="K24"/>
    </sheetView>
  </sheetViews>
  <sheetFormatPr baseColWidth="10" defaultColWidth="11.42578125" defaultRowHeight="14.25"/>
  <cols>
    <col min="1" max="2" width="11.42578125" style="153"/>
    <col min="3" max="3" width="31.7109375" style="153" customWidth="1"/>
    <col min="4" max="4" width="11.42578125" style="153"/>
    <col min="5" max="6" width="11.42578125" style="157"/>
    <col min="7" max="8" width="11.42578125" style="153"/>
    <col min="9" max="9" width="11.42578125" style="153" customWidth="1"/>
    <col min="10" max="10" width="7.7109375" style="153" customWidth="1"/>
    <col min="11" max="11" width="48.7109375" style="153" customWidth="1"/>
    <col min="12" max="12" width="11.42578125" style="153" customWidth="1"/>
    <col min="13" max="16384" width="11.42578125" style="153"/>
  </cols>
  <sheetData>
    <row r="1" spans="1:12" s="133" customFormat="1" ht="42" customHeight="1">
      <c r="A1" s="1246" t="s">
        <v>3235</v>
      </c>
      <c r="B1" s="1246"/>
      <c r="C1" s="1246"/>
      <c r="D1" s="1246"/>
      <c r="E1" s="1246"/>
      <c r="F1" s="1246"/>
      <c r="G1" s="1246"/>
      <c r="H1" s="1246"/>
    </row>
    <row r="2" spans="1:12" s="133" customFormat="1" ht="21.6" customHeight="1">
      <c r="A2" s="1247" t="s">
        <v>784</v>
      </c>
      <c r="B2" s="1247"/>
      <c r="C2" s="1247"/>
      <c r="D2" s="1247"/>
      <c r="E2" s="1247"/>
      <c r="F2" s="1247"/>
      <c r="G2" s="1247"/>
      <c r="H2" s="1247"/>
      <c r="J2" s="153"/>
      <c r="L2" s="153"/>
    </row>
    <row r="3" spans="1:12" s="133" customFormat="1" ht="22.9" customHeight="1">
      <c r="A3" s="1248" t="s">
        <v>2397</v>
      </c>
      <c r="B3" s="1248"/>
      <c r="C3" s="1248"/>
      <c r="D3" s="1248"/>
      <c r="E3" s="1248"/>
      <c r="F3" s="1248"/>
      <c r="G3" s="1248"/>
      <c r="H3" s="1248"/>
      <c r="J3" s="153"/>
      <c r="K3" s="413" t="s">
        <v>2975</v>
      </c>
      <c r="L3" s="153"/>
    </row>
    <row r="4" spans="1:12" ht="13.9" customHeight="1">
      <c r="A4" s="1279" t="s">
        <v>3092</v>
      </c>
      <c r="B4" s="1279"/>
      <c r="C4" s="1279"/>
      <c r="D4" s="1279"/>
      <c r="E4" s="1279"/>
      <c r="F4" s="1279"/>
      <c r="G4" s="1279"/>
      <c r="H4" s="1279"/>
      <c r="J4" s="404">
        <v>1</v>
      </c>
      <c r="K4" s="405" t="s">
        <v>3232</v>
      </c>
      <c r="L4" s="406">
        <v>0.04</v>
      </c>
    </row>
    <row r="5" spans="1:12">
      <c r="A5" s="1279"/>
      <c r="B5" s="1279"/>
      <c r="C5" s="1279"/>
      <c r="D5" s="1279"/>
      <c r="E5" s="1279"/>
      <c r="F5" s="1279"/>
      <c r="G5" s="1279"/>
      <c r="H5" s="1279"/>
      <c r="J5" s="404">
        <v>2</v>
      </c>
      <c r="K5" s="405" t="s">
        <v>2701</v>
      </c>
      <c r="L5" s="406">
        <v>0.02</v>
      </c>
    </row>
    <row r="6" spans="1:12" ht="15">
      <c r="A6" s="1280" t="s">
        <v>2398</v>
      </c>
      <c r="B6" s="1281"/>
      <c r="C6" s="1281"/>
      <c r="D6" s="1281"/>
      <c r="E6" s="1281"/>
      <c r="F6" s="1281"/>
      <c r="G6" s="1281"/>
      <c r="H6" s="1282"/>
      <c r="J6" s="404">
        <v>3</v>
      </c>
      <c r="K6" s="405" t="s">
        <v>2702</v>
      </c>
      <c r="L6" s="406">
        <v>5.0000000000000001E-3</v>
      </c>
    </row>
    <row r="7" spans="1:12" ht="15">
      <c r="A7" s="1283" t="s">
        <v>2399</v>
      </c>
      <c r="B7" s="1284"/>
      <c r="C7" s="1284"/>
      <c r="D7" s="1284"/>
      <c r="E7" s="1284"/>
      <c r="F7" s="585">
        <v>1</v>
      </c>
      <c r="G7" s="1285"/>
      <c r="H7" s="1286"/>
      <c r="J7" s="404">
        <v>4</v>
      </c>
      <c r="K7" s="405" t="s">
        <v>2703</v>
      </c>
      <c r="L7" s="406">
        <v>0.01</v>
      </c>
    </row>
    <row r="8" spans="1:12">
      <c r="A8" s="1287" t="s">
        <v>2400</v>
      </c>
      <c r="B8" s="1288"/>
      <c r="C8" s="1288"/>
      <c r="D8" s="1288"/>
      <c r="E8" s="1288"/>
      <c r="F8" s="1289"/>
      <c r="G8" s="1275"/>
      <c r="H8" s="1276"/>
      <c r="J8" s="404">
        <v>5</v>
      </c>
      <c r="K8" s="405" t="s">
        <v>2706</v>
      </c>
      <c r="L8" s="406">
        <v>0.02</v>
      </c>
    </row>
    <row r="9" spans="1:12">
      <c r="A9" s="154" t="s">
        <v>2401</v>
      </c>
      <c r="B9" s="1290" t="s">
        <v>2402</v>
      </c>
      <c r="C9" s="1290"/>
      <c r="D9" s="1290"/>
      <c r="E9" s="586">
        <v>8.4000000000000005E-2</v>
      </c>
      <c r="F9" s="1289"/>
      <c r="G9" s="1275"/>
      <c r="H9" s="1276"/>
      <c r="J9" s="404">
        <v>6</v>
      </c>
      <c r="K9" s="405" t="s">
        <v>3233</v>
      </c>
      <c r="L9" s="406">
        <v>0.01</v>
      </c>
    </row>
    <row r="10" spans="1:12">
      <c r="A10" s="155" t="s">
        <v>2403</v>
      </c>
      <c r="B10" s="1277" t="s">
        <v>2404</v>
      </c>
      <c r="C10" s="1277"/>
      <c r="D10" s="1277"/>
      <c r="E10" s="587">
        <v>0.01</v>
      </c>
      <c r="F10" s="1289"/>
      <c r="G10" s="1275"/>
      <c r="H10" s="1276"/>
      <c r="J10" s="404">
        <v>7</v>
      </c>
      <c r="K10" s="405" t="s">
        <v>2705</v>
      </c>
      <c r="L10" s="406">
        <v>0.05</v>
      </c>
    </row>
    <row r="11" spans="1:12">
      <c r="A11" s="155"/>
      <c r="B11" s="1277" t="s">
        <v>2406</v>
      </c>
      <c r="C11" s="1277"/>
      <c r="D11" s="1277"/>
      <c r="E11" s="587">
        <v>0</v>
      </c>
      <c r="F11" s="1289"/>
      <c r="G11" s="1275"/>
      <c r="H11" s="1276"/>
    </row>
    <row r="12" spans="1:12" ht="15">
      <c r="A12" s="155"/>
      <c r="B12" s="1291" t="s">
        <v>2407</v>
      </c>
      <c r="C12" s="1291"/>
      <c r="D12" s="1291"/>
      <c r="E12" s="587">
        <v>0</v>
      </c>
      <c r="F12" s="1289"/>
      <c r="G12" s="1275"/>
      <c r="H12" s="1276"/>
      <c r="K12" s="413" t="s">
        <v>3234</v>
      </c>
    </row>
    <row r="13" spans="1:12">
      <c r="A13" s="155" t="s">
        <v>2405</v>
      </c>
      <c r="B13" s="1277" t="s">
        <v>2409</v>
      </c>
      <c r="C13" s="1277"/>
      <c r="D13" s="1277"/>
      <c r="E13" s="587">
        <v>0.06</v>
      </c>
      <c r="F13" s="1289"/>
      <c r="G13" s="1275"/>
      <c r="H13" s="1276"/>
      <c r="J13" s="404">
        <v>1</v>
      </c>
      <c r="K13" s="405" t="s">
        <v>2704</v>
      </c>
      <c r="L13" s="406">
        <v>1.4999999999999999E-2</v>
      </c>
    </row>
    <row r="14" spans="1:12" ht="15">
      <c r="A14" s="155"/>
      <c r="B14" s="1277" t="s">
        <v>2411</v>
      </c>
      <c r="C14" s="1277"/>
      <c r="D14" s="1277"/>
      <c r="E14" s="587">
        <v>0</v>
      </c>
      <c r="F14" s="1289"/>
      <c r="G14" s="1275"/>
      <c r="H14" s="1276"/>
      <c r="K14" s="153" t="s">
        <v>2388</v>
      </c>
      <c r="L14" s="710">
        <f>SUM(L4:L13)</f>
        <v>0.16999999999999998</v>
      </c>
    </row>
    <row r="15" spans="1:12">
      <c r="A15" s="155" t="s">
        <v>2422</v>
      </c>
      <c r="B15" s="1277" t="s">
        <v>2412</v>
      </c>
      <c r="C15" s="1277"/>
      <c r="D15" s="1277"/>
      <c r="E15" s="587">
        <v>0.03</v>
      </c>
      <c r="F15" s="1289"/>
      <c r="G15" s="1275"/>
      <c r="H15" s="1276"/>
    </row>
    <row r="16" spans="1:12">
      <c r="A16" s="155" t="s">
        <v>2408</v>
      </c>
      <c r="B16" s="1277" t="s">
        <v>3109</v>
      </c>
      <c r="C16" s="1277"/>
      <c r="D16" s="1277"/>
      <c r="E16" s="587">
        <v>0.13300000000000001</v>
      </c>
      <c r="F16" s="1289"/>
      <c r="G16" s="1275"/>
      <c r="H16" s="1276"/>
    </row>
    <row r="17" spans="1:8" hidden="1">
      <c r="A17" s="155"/>
      <c r="B17" s="1277" t="s">
        <v>2413</v>
      </c>
      <c r="C17" s="1277"/>
      <c r="D17" s="1277"/>
      <c r="E17" s="587">
        <v>0</v>
      </c>
      <c r="F17" s="1289"/>
      <c r="G17" s="1275"/>
      <c r="H17" s="1276"/>
    </row>
    <row r="18" spans="1:8" hidden="1">
      <c r="A18" s="155"/>
      <c r="B18" s="1277" t="s">
        <v>2414</v>
      </c>
      <c r="C18" s="1277"/>
      <c r="D18" s="1277"/>
      <c r="E18" s="587">
        <v>0</v>
      </c>
      <c r="F18" s="1289"/>
      <c r="G18" s="1275"/>
      <c r="H18" s="1276"/>
    </row>
    <row r="19" spans="1:8" hidden="1">
      <c r="A19" s="155"/>
      <c r="B19" s="1277" t="s">
        <v>2415</v>
      </c>
      <c r="C19" s="1277"/>
      <c r="D19" s="1277"/>
      <c r="E19" s="587">
        <v>0</v>
      </c>
      <c r="F19" s="1289"/>
      <c r="G19" s="1275"/>
      <c r="H19" s="1276"/>
    </row>
    <row r="20" spans="1:8">
      <c r="A20" s="155" t="s">
        <v>2410</v>
      </c>
      <c r="B20" s="1277" t="s">
        <v>2416</v>
      </c>
      <c r="C20" s="1277"/>
      <c r="D20" s="1277"/>
      <c r="E20" s="587">
        <v>0.01</v>
      </c>
      <c r="F20" s="1289"/>
      <c r="G20" s="1275"/>
      <c r="H20" s="1276"/>
    </row>
    <row r="21" spans="1:8" hidden="1">
      <c r="A21" s="156"/>
      <c r="B21" s="1278" t="s">
        <v>2417</v>
      </c>
      <c r="C21" s="1278"/>
      <c r="D21" s="1278"/>
      <c r="E21" s="588">
        <v>0</v>
      </c>
      <c r="F21" s="1289"/>
      <c r="G21" s="1275"/>
      <c r="H21" s="1276"/>
    </row>
    <row r="22" spans="1:8" ht="15">
      <c r="A22" s="1258" t="s">
        <v>2418</v>
      </c>
      <c r="B22" s="1259"/>
      <c r="C22" s="1259"/>
      <c r="D22" s="1259"/>
      <c r="E22" s="1259"/>
      <c r="F22" s="589">
        <f>SUM(E9:E21)</f>
        <v>0.32700000000000001</v>
      </c>
      <c r="G22" s="1275"/>
      <c r="H22" s="1276"/>
    </row>
    <row r="23" spans="1:8" ht="13.9" customHeight="1">
      <c r="A23" s="1266" t="s">
        <v>2419</v>
      </c>
      <c r="B23" s="1267"/>
      <c r="C23" s="1267"/>
      <c r="D23" s="1267"/>
      <c r="E23" s="1267"/>
      <c r="F23" s="1267"/>
      <c r="G23" s="1255">
        <f>F22+F7</f>
        <v>1.327</v>
      </c>
      <c r="H23" s="1276"/>
    </row>
    <row r="24" spans="1:8">
      <c r="A24" s="1268"/>
      <c r="B24" s="1269"/>
      <c r="C24" s="1269"/>
      <c r="D24" s="1269"/>
      <c r="E24" s="1269"/>
      <c r="F24" s="1269"/>
      <c r="G24" s="1256"/>
      <c r="H24" s="1276"/>
    </row>
    <row r="25" spans="1:8" ht="16.899999999999999" customHeight="1">
      <c r="A25" s="1249" t="s">
        <v>2430</v>
      </c>
      <c r="B25" s="1249"/>
      <c r="C25" s="1249"/>
      <c r="D25" s="1249"/>
      <c r="E25" s="1249"/>
      <c r="F25" s="1249"/>
      <c r="G25" s="1249"/>
      <c r="H25" s="1249"/>
    </row>
    <row r="26" spans="1:8">
      <c r="A26" s="411" t="s">
        <v>2401</v>
      </c>
      <c r="B26" s="1257" t="s">
        <v>2420</v>
      </c>
      <c r="C26" s="1257"/>
      <c r="D26" s="590">
        <v>0.08</v>
      </c>
      <c r="E26" s="407"/>
      <c r="F26" s="1274"/>
      <c r="G26" s="1275"/>
      <c r="H26" s="1276"/>
    </row>
    <row r="27" spans="1:8">
      <c r="A27" s="584" t="s">
        <v>2403</v>
      </c>
      <c r="B27" s="1252" t="s">
        <v>2421</v>
      </c>
      <c r="C27" s="1252"/>
      <c r="D27" s="591">
        <v>0.08</v>
      </c>
      <c r="E27" s="407"/>
      <c r="F27" s="1274"/>
      <c r="G27" s="1275"/>
      <c r="H27" s="1276"/>
    </row>
    <row r="28" spans="1:8">
      <c r="A28" s="584" t="s">
        <v>2405</v>
      </c>
      <c r="B28" s="1252" t="s">
        <v>3093</v>
      </c>
      <c r="C28" s="1252"/>
      <c r="D28" s="591">
        <v>0.03</v>
      </c>
      <c r="E28" s="407"/>
      <c r="F28" s="1274"/>
      <c r="G28" s="1275"/>
      <c r="H28" s="1276"/>
    </row>
    <row r="29" spans="1:8">
      <c r="A29" s="584" t="s">
        <v>2422</v>
      </c>
      <c r="B29" s="1252" t="s">
        <v>2423</v>
      </c>
      <c r="C29" s="1252"/>
      <c r="D29" s="591">
        <v>3.7999999999999999E-2</v>
      </c>
      <c r="E29" s="407"/>
      <c r="F29" s="1274"/>
      <c r="G29" s="1275"/>
      <c r="H29" s="1276"/>
    </row>
    <row r="30" spans="1:8">
      <c r="A30" s="584" t="s">
        <v>2408</v>
      </c>
      <c r="B30" s="1252" t="s">
        <v>2424</v>
      </c>
      <c r="C30" s="1252"/>
      <c r="D30" s="591">
        <f>SUM(E31:E36)</f>
        <v>0.20050000000000004</v>
      </c>
      <c r="E30" s="407"/>
      <c r="F30" s="1274"/>
      <c r="G30" s="1275"/>
      <c r="H30" s="1276"/>
    </row>
    <row r="31" spans="1:8">
      <c r="A31" s="1253"/>
      <c r="B31" s="1252" t="s">
        <v>3094</v>
      </c>
      <c r="C31" s="1252"/>
      <c r="D31" s="408"/>
      <c r="E31" s="409">
        <v>0.14000000000000001</v>
      </c>
      <c r="F31" s="1274"/>
      <c r="G31" s="1275"/>
      <c r="H31" s="1276"/>
    </row>
    <row r="32" spans="1:8">
      <c r="A32" s="1253"/>
      <c r="B32" s="1252" t="s">
        <v>3095</v>
      </c>
      <c r="C32" s="1252"/>
      <c r="D32" s="408"/>
      <c r="E32" s="409">
        <v>3.0000000000000001E-3</v>
      </c>
      <c r="F32" s="1274"/>
      <c r="G32" s="1275"/>
      <c r="H32" s="1276"/>
    </row>
    <row r="33" spans="1:8">
      <c r="A33" s="1253"/>
      <c r="B33" s="1252" t="s">
        <v>3096</v>
      </c>
      <c r="C33" s="1252"/>
      <c r="D33" s="408"/>
      <c r="E33" s="409">
        <v>1.4999999999999999E-2</v>
      </c>
      <c r="F33" s="1274"/>
      <c r="G33" s="1275"/>
      <c r="H33" s="1276"/>
    </row>
    <row r="34" spans="1:8">
      <c r="A34" s="1253"/>
      <c r="B34" s="1252" t="s">
        <v>3097</v>
      </c>
      <c r="C34" s="1252"/>
      <c r="D34" s="408"/>
      <c r="E34" s="409">
        <v>2.5000000000000001E-3</v>
      </c>
      <c r="F34" s="1274"/>
      <c r="G34" s="1275"/>
      <c r="H34" s="1276"/>
    </row>
    <row r="35" spans="1:8">
      <c r="A35" s="1253"/>
      <c r="B35" s="1252" t="s">
        <v>3098</v>
      </c>
      <c r="C35" s="1252"/>
      <c r="D35" s="408"/>
      <c r="E35" s="409">
        <v>3.0000000000000001E-3</v>
      </c>
      <c r="F35" s="1274"/>
      <c r="G35" s="1275"/>
      <c r="H35" s="1276"/>
    </row>
    <row r="36" spans="1:8">
      <c r="A36" s="1254"/>
      <c r="B36" s="1263" t="s">
        <v>3099</v>
      </c>
      <c r="C36" s="1263"/>
      <c r="D36" s="408"/>
      <c r="E36" s="410">
        <v>3.6999999999999998E-2</v>
      </c>
      <c r="F36" s="1274"/>
      <c r="G36" s="1275"/>
      <c r="H36" s="1276"/>
    </row>
    <row r="37" spans="1:8" ht="15">
      <c r="A37" s="1264" t="s">
        <v>2425</v>
      </c>
      <c r="B37" s="1265"/>
      <c r="C37" s="1265"/>
      <c r="D37" s="1265"/>
      <c r="E37" s="1265"/>
      <c r="F37" s="592">
        <f>SUM(D26:D30)</f>
        <v>0.42850000000000005</v>
      </c>
      <c r="G37" s="1275"/>
      <c r="H37" s="1276"/>
    </row>
    <row r="38" spans="1:8" ht="13.9" customHeight="1">
      <c r="A38" s="1266" t="s">
        <v>2707</v>
      </c>
      <c r="B38" s="1267"/>
      <c r="C38" s="1267"/>
      <c r="D38" s="1267"/>
      <c r="E38" s="1267"/>
      <c r="F38" s="1267"/>
      <c r="G38" s="1270">
        <f>F37*G23</f>
        <v>0.56861950000000006</v>
      </c>
      <c r="H38" s="1276"/>
    </row>
    <row r="39" spans="1:8">
      <c r="A39" s="1268"/>
      <c r="B39" s="1269"/>
      <c r="C39" s="1269"/>
      <c r="D39" s="1269"/>
      <c r="E39" s="1269"/>
      <c r="F39" s="1269"/>
      <c r="G39" s="1271"/>
      <c r="H39" s="1276"/>
    </row>
    <row r="40" spans="1:8" ht="20.45" customHeight="1">
      <c r="A40" s="1249" t="s">
        <v>2426</v>
      </c>
      <c r="B40" s="1249"/>
      <c r="C40" s="1249"/>
      <c r="D40" s="1249"/>
      <c r="E40" s="1249"/>
      <c r="F40" s="1249"/>
      <c r="G40" s="1249"/>
      <c r="H40" s="593">
        <f>G38+G23</f>
        <v>1.8956195</v>
      </c>
    </row>
    <row r="41" spans="1:8" ht="15">
      <c r="A41" s="1250" t="s">
        <v>2427</v>
      </c>
      <c r="B41" s="1250"/>
      <c r="C41" s="1250"/>
      <c r="D41" s="1250"/>
      <c r="E41" s="1250"/>
      <c r="F41" s="1251">
        <v>0.05</v>
      </c>
      <c r="G41" s="1251"/>
      <c r="H41" s="592">
        <f>H40*F41</f>
        <v>9.4780975000000003E-2</v>
      </c>
    </row>
    <row r="42" spans="1:8">
      <c r="A42" s="1272"/>
      <c r="B42" s="1273"/>
      <c r="C42" s="1273"/>
      <c r="D42" s="1273"/>
      <c r="E42" s="1273"/>
      <c r="F42" s="1273"/>
      <c r="G42" s="1273"/>
      <c r="H42" s="412"/>
    </row>
    <row r="43" spans="1:8" ht="15">
      <c r="A43" s="1250" t="s">
        <v>2428</v>
      </c>
      <c r="B43" s="1250"/>
      <c r="C43" s="1250"/>
      <c r="D43" s="1250"/>
      <c r="E43" s="1250"/>
      <c r="F43" s="1260"/>
      <c r="G43" s="1260"/>
      <c r="H43" s="592">
        <f>SUM(H40:H41)</f>
        <v>1.9904004749999999</v>
      </c>
    </row>
    <row r="44" spans="1:8" ht="19.899999999999999" customHeight="1">
      <c r="A44" s="1261" t="s">
        <v>2429</v>
      </c>
      <c r="B44" s="1261"/>
      <c r="C44" s="1261"/>
      <c r="D44" s="1261"/>
      <c r="E44" s="1261"/>
      <c r="F44" s="1262">
        <f>H43</f>
        <v>1.9904004749999999</v>
      </c>
      <c r="G44" s="1262"/>
      <c r="H44" s="1262"/>
    </row>
  </sheetData>
  <sheetProtection formatCells="0" formatColumns="0" formatRows="0" insertColumns="0" insertRows="0" insertHyperlinks="0" deleteColumns="0" deleteRows="0" sort="0" autoFilter="0" pivotTables="0"/>
  <mergeCells count="52">
    <mergeCell ref="A4:H5"/>
    <mergeCell ref="A6:H6"/>
    <mergeCell ref="A7:E7"/>
    <mergeCell ref="G7:G22"/>
    <mergeCell ref="H7:H24"/>
    <mergeCell ref="A8:E8"/>
    <mergeCell ref="F8:F21"/>
    <mergeCell ref="B9:D9"/>
    <mergeCell ref="B10:D10"/>
    <mergeCell ref="B11:D11"/>
    <mergeCell ref="A23:F24"/>
    <mergeCell ref="B12:D12"/>
    <mergeCell ref="B13:D13"/>
    <mergeCell ref="B14:D14"/>
    <mergeCell ref="B15:D15"/>
    <mergeCell ref="B16:D16"/>
    <mergeCell ref="B17:D17"/>
    <mergeCell ref="B18:D18"/>
    <mergeCell ref="B19:D19"/>
    <mergeCell ref="B20:D20"/>
    <mergeCell ref="B21:D21"/>
    <mergeCell ref="A22:E22"/>
    <mergeCell ref="A43:G43"/>
    <mergeCell ref="A44:E44"/>
    <mergeCell ref="F44:H44"/>
    <mergeCell ref="B35:C35"/>
    <mergeCell ref="B36:C36"/>
    <mergeCell ref="A37:E37"/>
    <mergeCell ref="A38:F39"/>
    <mergeCell ref="G38:G39"/>
    <mergeCell ref="A42:G42"/>
    <mergeCell ref="F26:F36"/>
    <mergeCell ref="G26:G37"/>
    <mergeCell ref="H26:H39"/>
    <mergeCell ref="B27:C27"/>
    <mergeCell ref="B31:C31"/>
    <mergeCell ref="A1:H1"/>
    <mergeCell ref="A2:H2"/>
    <mergeCell ref="A3:H3"/>
    <mergeCell ref="A40:G40"/>
    <mergeCell ref="A41:E41"/>
    <mergeCell ref="F41:G41"/>
    <mergeCell ref="B28:C28"/>
    <mergeCell ref="B29:C29"/>
    <mergeCell ref="B30:C30"/>
    <mergeCell ref="A31:A36"/>
    <mergeCell ref="B32:C32"/>
    <mergeCell ref="B33:C33"/>
    <mergeCell ref="B34:C34"/>
    <mergeCell ref="G23:G24"/>
    <mergeCell ref="A25:H25"/>
    <mergeCell ref="B26:C26"/>
  </mergeCells>
  <pageMargins left="0.70866141732283472" right="0.70866141732283472" top="0.74803149606299213" bottom="0.74803149606299213" header="0.31496062992125984" footer="0.31496062992125984"/>
  <pageSetup scale="8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theme="5" tint="-0.249977111117893"/>
    <pageSetUpPr fitToPage="1"/>
  </sheetPr>
  <dimension ref="A1:Y176"/>
  <sheetViews>
    <sheetView view="pageBreakPreview" zoomScaleNormal="100" zoomScaleSheetLayoutView="100" workbookViewId="0">
      <pane xSplit="2" topLeftCell="U1" activePane="topRight" state="frozen"/>
      <selection activeCell="I10" sqref="I10"/>
      <selection pane="topRight" activeCell="Y10" sqref="Y10"/>
    </sheetView>
  </sheetViews>
  <sheetFormatPr baseColWidth="10" defaultColWidth="11.42578125" defaultRowHeight="12.75"/>
  <cols>
    <col min="1" max="1" width="29.28515625" style="190" customWidth="1"/>
    <col min="2" max="2" width="35" style="214" customWidth="1"/>
    <col min="3" max="3" width="14.85546875" style="220" bestFit="1" customWidth="1"/>
    <col min="4" max="19" width="14.85546875" style="190" bestFit="1" customWidth="1"/>
    <col min="20" max="21" width="14.85546875" style="190" customWidth="1"/>
    <col min="22" max="22" width="16" style="190" bestFit="1" customWidth="1"/>
    <col min="23" max="23" width="16" style="190" customWidth="1"/>
    <col min="24" max="25" width="16" style="190" bestFit="1" customWidth="1"/>
    <col min="26" max="16384" width="11.42578125" style="190"/>
  </cols>
  <sheetData>
    <row r="1" spans="1:25" ht="30">
      <c r="A1" s="1297" t="str">
        <f>'LISTADO DE UNITARIOS'!A3:E3</f>
        <v>OBJETO: MEJORAMIENTO Y REPARACIONES GENERALES BASICAS DE LA INFRAESTRUCTURA FISICA DEL JARDIN NACIONAL ANEXA A LA INSTITUCION EDUCATIVA CASD SIMON BOLIVAR DEL MUNICIPIO DE VALLEDUPAR</v>
      </c>
      <c r="B1" s="1297"/>
      <c r="C1" s="1297"/>
      <c r="D1" s="1297"/>
      <c r="E1" s="1297"/>
      <c r="F1" s="1297"/>
      <c r="G1" s="1297"/>
      <c r="H1" s="1297"/>
      <c r="I1" s="1297"/>
      <c r="J1" s="1297"/>
      <c r="K1" s="1297"/>
      <c r="L1" s="1297"/>
      <c r="M1" s="1297"/>
      <c r="N1" s="1297"/>
      <c r="O1" s="1297"/>
      <c r="P1" s="1297"/>
      <c r="Q1" s="1297"/>
      <c r="R1" s="1297"/>
      <c r="S1" s="1297"/>
      <c r="T1" s="1297"/>
      <c r="U1" s="1297"/>
      <c r="V1" s="1297"/>
      <c r="W1" s="660"/>
      <c r="X1" s="191"/>
      <c r="Y1" s="191"/>
    </row>
    <row r="2" spans="1:25" ht="30">
      <c r="A2" s="1298" t="s">
        <v>784</v>
      </c>
      <c r="B2" s="1298"/>
      <c r="C2" s="1298"/>
      <c r="D2" s="1298"/>
      <c r="E2" s="1298"/>
      <c r="F2" s="1298"/>
      <c r="G2" s="1298"/>
      <c r="H2" s="1298"/>
      <c r="I2" s="1298"/>
      <c r="J2" s="1298"/>
      <c r="K2" s="1298"/>
      <c r="L2" s="1298"/>
      <c r="M2" s="1298"/>
      <c r="N2" s="1298"/>
      <c r="O2" s="1298"/>
      <c r="P2" s="1298"/>
      <c r="Q2" s="1298"/>
      <c r="R2" s="1298"/>
      <c r="S2" s="1298"/>
      <c r="T2" s="1298"/>
      <c r="U2" s="1298"/>
      <c r="V2" s="1298"/>
      <c r="W2" s="661"/>
      <c r="X2" s="191"/>
      <c r="Y2" s="191"/>
    </row>
    <row r="3" spans="1:25">
      <c r="A3" s="191"/>
      <c r="B3" s="192"/>
      <c r="C3" s="193"/>
      <c r="D3" s="191"/>
      <c r="E3" s="191"/>
      <c r="F3" s="191"/>
      <c r="G3" s="191"/>
      <c r="H3" s="191"/>
      <c r="I3" s="191"/>
      <c r="J3" s="191"/>
      <c r="K3" s="191"/>
      <c r="L3" s="191"/>
      <c r="M3" s="191"/>
      <c r="N3" s="191"/>
      <c r="O3" s="191"/>
      <c r="P3" s="191"/>
      <c r="Q3" s="191"/>
      <c r="R3" s="191"/>
      <c r="S3" s="191"/>
      <c r="T3" s="191"/>
      <c r="U3" s="191"/>
      <c r="V3" s="191"/>
      <c r="W3" s="191"/>
      <c r="X3" s="191"/>
      <c r="Y3" s="191"/>
    </row>
    <row r="4" spans="1:25" ht="26.25">
      <c r="A4" s="1301" t="s">
        <v>2467</v>
      </c>
      <c r="B4" s="1301"/>
      <c r="C4" s="1301"/>
      <c r="D4" s="1301"/>
      <c r="E4" s="1301"/>
      <c r="F4" s="1301"/>
      <c r="G4" s="1301"/>
      <c r="H4" s="1301"/>
      <c r="I4" s="1301"/>
      <c r="J4" s="1301"/>
      <c r="K4" s="1301"/>
      <c r="L4" s="1301"/>
      <c r="M4" s="1301"/>
      <c r="N4" s="1301"/>
      <c r="O4" s="1301"/>
      <c r="P4" s="1301"/>
      <c r="Q4" s="1301"/>
      <c r="R4" s="1301"/>
      <c r="S4" s="1301"/>
      <c r="T4" s="1301"/>
      <c r="U4" s="1301"/>
      <c r="V4" s="1301"/>
      <c r="W4" s="662"/>
      <c r="X4" s="191"/>
      <c r="Y4" s="191"/>
    </row>
    <row r="5" spans="1:25" ht="26.25">
      <c r="A5" s="1301" t="s">
        <v>2468</v>
      </c>
      <c r="B5" s="1301"/>
      <c r="C5" s="1301"/>
      <c r="D5" s="1301"/>
      <c r="E5" s="1301"/>
      <c r="F5" s="1301"/>
      <c r="G5" s="1301"/>
      <c r="H5" s="1301"/>
      <c r="I5" s="1301"/>
      <c r="J5" s="1301"/>
      <c r="K5" s="1301"/>
      <c r="L5" s="1301"/>
      <c r="M5" s="1301"/>
      <c r="N5" s="1301"/>
      <c r="O5" s="1301"/>
      <c r="P5" s="1301"/>
      <c r="Q5" s="1301"/>
      <c r="R5" s="1301"/>
      <c r="S5" s="1301"/>
      <c r="T5" s="1301"/>
      <c r="U5" s="1301"/>
      <c r="V5" s="1301"/>
      <c r="W5" s="662"/>
      <c r="X5" s="191"/>
      <c r="Y5" s="191"/>
    </row>
    <row r="6" spans="1:25" ht="38.25" customHeight="1">
      <c r="A6" s="1302" t="s">
        <v>2469</v>
      </c>
      <c r="B6" s="1302"/>
      <c r="C6" s="1302"/>
      <c r="D6" s="1302"/>
      <c r="E6" s="1302"/>
      <c r="F6" s="1302"/>
      <c r="G6" s="1302"/>
      <c r="H6" s="1302"/>
      <c r="I6" s="1302"/>
      <c r="J6" s="1302"/>
      <c r="K6" s="1302"/>
      <c r="L6" s="1302"/>
      <c r="M6" s="1302"/>
      <c r="N6" s="1302"/>
      <c r="O6" s="1302"/>
      <c r="P6" s="1302"/>
      <c r="Q6" s="1302"/>
      <c r="R6" s="1302"/>
      <c r="S6" s="1302"/>
      <c r="T6" s="1302"/>
      <c r="U6" s="1302"/>
      <c r="V6" s="1302"/>
      <c r="W6" s="663"/>
      <c r="X6" s="191"/>
      <c r="Y6" s="191"/>
    </row>
    <row r="7" spans="1:25" ht="20.25" customHeight="1">
      <c r="A7" s="1303" t="s">
        <v>3153</v>
      </c>
      <c r="B7" s="1303"/>
      <c r="C7" s="1303"/>
      <c r="D7" s="1303"/>
      <c r="E7" s="1303"/>
      <c r="F7" s="1303"/>
      <c r="G7" s="1303"/>
      <c r="H7" s="1303"/>
      <c r="I7" s="1303"/>
      <c r="J7" s="1303"/>
      <c r="K7" s="1303"/>
      <c r="L7" s="1303"/>
      <c r="M7" s="1303"/>
      <c r="N7" s="1303"/>
      <c r="O7" s="1303"/>
      <c r="P7" s="1303"/>
      <c r="Q7" s="1303"/>
      <c r="R7" s="1303"/>
      <c r="S7" s="1303"/>
      <c r="T7" s="1303"/>
      <c r="U7" s="1303"/>
      <c r="V7" s="1303"/>
      <c r="W7" s="664"/>
      <c r="X7" s="191"/>
      <c r="Y7" s="191"/>
    </row>
    <row r="8" spans="1:25">
      <c r="A8" s="191"/>
      <c r="B8" s="192"/>
      <c r="C8" s="193"/>
      <c r="D8" s="191"/>
      <c r="E8" s="191"/>
      <c r="F8" s="191"/>
      <c r="G8" s="191"/>
      <c r="H8" s="191"/>
      <c r="I8" s="191"/>
      <c r="J8" s="191"/>
      <c r="K8" s="191"/>
      <c r="L8" s="191"/>
      <c r="M8" s="191"/>
      <c r="N8" s="191"/>
      <c r="O8" s="191"/>
      <c r="P8" s="191"/>
      <c r="Q8" s="191"/>
      <c r="R8" s="191"/>
      <c r="S8" s="191"/>
      <c r="T8" s="191"/>
      <c r="U8" s="191"/>
      <c r="V8" s="191"/>
      <c r="W8" s="191"/>
      <c r="X8" s="191"/>
      <c r="Y8" s="191"/>
    </row>
    <row r="9" spans="1:25">
      <c r="A9" s="191"/>
      <c r="B9" s="194" t="s">
        <v>796</v>
      </c>
      <c r="C9" s="195">
        <v>0.16700000000000001</v>
      </c>
      <c r="D9" s="195">
        <v>9.2299999999999993E-2</v>
      </c>
      <c r="E9" s="195">
        <v>8.7499999999999994E-2</v>
      </c>
      <c r="F9" s="195">
        <v>7.6499999999999999E-2</v>
      </c>
      <c r="G9" s="195">
        <v>6.9900000000000004E-2</v>
      </c>
      <c r="H9" s="195">
        <v>6.4899999999999999E-2</v>
      </c>
      <c r="I9" s="195">
        <v>5.5E-2</v>
      </c>
      <c r="J9" s="195">
        <v>4.8500000000000001E-2</v>
      </c>
      <c r="K9" s="195">
        <v>4.48E-2</v>
      </c>
      <c r="L9" s="195">
        <v>5.6899999999999999E-2</v>
      </c>
      <c r="M9" s="196">
        <v>7.6700000000000004E-2</v>
      </c>
      <c r="N9" s="196">
        <v>0.02</v>
      </c>
      <c r="O9" s="196">
        <v>3.1699999999999999E-2</v>
      </c>
      <c r="P9" s="196">
        <v>3.73E-2</v>
      </c>
      <c r="Q9" s="196">
        <v>2.4400000000000002E-2</v>
      </c>
      <c r="R9" s="196">
        <v>1.9400000000000001E-2</v>
      </c>
      <c r="S9" s="196">
        <v>3.6600000000000001E-2</v>
      </c>
      <c r="T9" s="196">
        <v>6.7699999999999996E-2</v>
      </c>
      <c r="U9" s="196">
        <v>5.7500000000000002E-2</v>
      </c>
      <c r="V9" s="196">
        <v>4.0899999999999999E-2</v>
      </c>
      <c r="W9" s="196">
        <v>3.1800000000000002E-2</v>
      </c>
      <c r="X9" s="196">
        <v>3.0099999999999998E-2</v>
      </c>
      <c r="Y9" s="196">
        <v>3.7999999999999999E-2</v>
      </c>
    </row>
    <row r="10" spans="1:25" ht="20.25" customHeight="1">
      <c r="A10" s="191"/>
      <c r="B10" s="194" t="s">
        <v>2470</v>
      </c>
      <c r="C10" s="197">
        <v>1998</v>
      </c>
      <c r="D10" s="197">
        <v>1999</v>
      </c>
      <c r="E10" s="197">
        <v>2000</v>
      </c>
      <c r="F10" s="197">
        <v>2001</v>
      </c>
      <c r="G10" s="197">
        <v>2002</v>
      </c>
      <c r="H10" s="197">
        <v>2003</v>
      </c>
      <c r="I10" s="197">
        <v>2004</v>
      </c>
      <c r="J10" s="197">
        <v>2005</v>
      </c>
      <c r="K10" s="197">
        <v>2006</v>
      </c>
      <c r="L10" s="197">
        <v>2007</v>
      </c>
      <c r="M10" s="197">
        <v>2008</v>
      </c>
      <c r="N10" s="197">
        <v>2009</v>
      </c>
      <c r="O10" s="197">
        <v>2010</v>
      </c>
      <c r="P10" s="197">
        <v>2011</v>
      </c>
      <c r="Q10" s="197">
        <v>2012</v>
      </c>
      <c r="R10" s="197">
        <v>2013</v>
      </c>
      <c r="S10" s="197">
        <v>2014</v>
      </c>
      <c r="T10" s="197">
        <v>2015</v>
      </c>
      <c r="U10" s="197">
        <v>2016</v>
      </c>
      <c r="V10" s="197">
        <v>2017</v>
      </c>
      <c r="W10" s="197">
        <v>2018</v>
      </c>
      <c r="X10" s="197">
        <v>2019</v>
      </c>
      <c r="Y10" s="197">
        <v>2020</v>
      </c>
    </row>
    <row r="11" spans="1:25">
      <c r="A11" s="1304" t="s">
        <v>2471</v>
      </c>
      <c r="B11" s="198" t="s">
        <v>2472</v>
      </c>
      <c r="C11" s="199">
        <v>3577000</v>
      </c>
      <c r="D11" s="199">
        <f t="shared" ref="D11:Q18" si="0">ROUND(C11*(1+C$9)/1000,0)*1000</f>
        <v>4174000</v>
      </c>
      <c r="E11" s="199">
        <f t="shared" si="0"/>
        <v>4559000</v>
      </c>
      <c r="F11" s="199">
        <f t="shared" ref="F11" si="1">ROUND(E11*(1+E$9)/1000,0)*1000</f>
        <v>4958000</v>
      </c>
      <c r="G11" s="199">
        <f t="shared" ref="G11" si="2">ROUND(F11*(1+F$9)/1000,0)*1000</f>
        <v>5337000</v>
      </c>
      <c r="H11" s="199">
        <f t="shared" ref="H11" si="3">ROUND(G11*(1+G$9)/1000,0)*1000</f>
        <v>5710000</v>
      </c>
      <c r="I11" s="199">
        <f t="shared" ref="I11" si="4">ROUND(H11*(1+H$9)/1000,0)*1000</f>
        <v>6081000</v>
      </c>
      <c r="J11" s="199">
        <f>ROUND(I11*(1+I$9)/1000,0)*1000</f>
        <v>6415000</v>
      </c>
      <c r="K11" s="199">
        <f t="shared" ref="K11" si="5">ROUND(J11*(1+J$9)/1000,0)*1000</f>
        <v>6726000</v>
      </c>
      <c r="L11" s="199">
        <f t="shared" si="0"/>
        <v>7027000</v>
      </c>
      <c r="M11" s="199">
        <f t="shared" si="0"/>
        <v>7427000</v>
      </c>
      <c r="N11" s="199">
        <f t="shared" si="0"/>
        <v>7997000</v>
      </c>
      <c r="O11" s="199">
        <f t="shared" si="0"/>
        <v>8157000</v>
      </c>
      <c r="P11" s="199">
        <f t="shared" si="0"/>
        <v>8416000</v>
      </c>
      <c r="Q11" s="199">
        <f t="shared" si="0"/>
        <v>8730000</v>
      </c>
      <c r="R11" s="199">
        <f t="shared" ref="R11:R18" si="6">ROUND(Q11*(1+Q$9)/1000,0)*1000</f>
        <v>8943000</v>
      </c>
      <c r="S11" s="199">
        <f t="shared" ref="S11:U26" si="7">ROUND(R11*(1+R$9)/1000,0)*1000</f>
        <v>9116000</v>
      </c>
      <c r="T11" s="199">
        <f t="shared" si="7"/>
        <v>9450000</v>
      </c>
      <c r="U11" s="199">
        <f t="shared" si="7"/>
        <v>10090000</v>
      </c>
      <c r="V11" s="199">
        <f t="shared" ref="V11" si="8">ROUND(U11*(1+U$9)/1000,0)*1000</f>
        <v>10670000</v>
      </c>
      <c r="W11" s="199">
        <f t="shared" ref="W11:W18" si="9">ROUND(V11*(1+V$9)/1000,0)*1000</f>
        <v>11106000</v>
      </c>
      <c r="X11" s="199">
        <f>ROUND(W11*(1+W$9)/1000,0)*1000</f>
        <v>11459000</v>
      </c>
      <c r="Y11" s="199">
        <f>ROUND(X11*(1+X$9)/1000,0)*1000</f>
        <v>11804000</v>
      </c>
    </row>
    <row r="12" spans="1:25">
      <c r="A12" s="1304"/>
      <c r="B12" s="200" t="s">
        <v>2473</v>
      </c>
      <c r="C12" s="199">
        <v>2726000</v>
      </c>
      <c r="D12" s="199">
        <f t="shared" ref="D12:D18" si="10">ROUND(C12*(1+$C$9)/1000,0)*1000</f>
        <v>3181000</v>
      </c>
      <c r="E12" s="199">
        <f t="shared" si="0"/>
        <v>3475000</v>
      </c>
      <c r="F12" s="199">
        <f t="shared" si="0"/>
        <v>3779000</v>
      </c>
      <c r="G12" s="199">
        <f t="shared" si="0"/>
        <v>4068000</v>
      </c>
      <c r="H12" s="199">
        <f t="shared" si="0"/>
        <v>4352000</v>
      </c>
      <c r="I12" s="199">
        <f t="shared" si="0"/>
        <v>4634000</v>
      </c>
      <c r="J12" s="199">
        <f t="shared" si="0"/>
        <v>4889000</v>
      </c>
      <c r="K12" s="199">
        <f t="shared" si="0"/>
        <v>5126000</v>
      </c>
      <c r="L12" s="199">
        <f t="shared" si="0"/>
        <v>5356000</v>
      </c>
      <c r="M12" s="199">
        <f t="shared" si="0"/>
        <v>5661000</v>
      </c>
      <c r="N12" s="199">
        <f t="shared" si="0"/>
        <v>6095000</v>
      </c>
      <c r="O12" s="199">
        <f t="shared" si="0"/>
        <v>6217000</v>
      </c>
      <c r="P12" s="199">
        <f t="shared" si="0"/>
        <v>6414000</v>
      </c>
      <c r="Q12" s="199">
        <f t="shared" si="0"/>
        <v>6653000</v>
      </c>
      <c r="R12" s="199">
        <f t="shared" si="6"/>
        <v>6815000</v>
      </c>
      <c r="S12" s="199">
        <f t="shared" si="7"/>
        <v>6947000</v>
      </c>
      <c r="T12" s="199">
        <f t="shared" si="7"/>
        <v>7201000</v>
      </c>
      <c r="U12" s="199">
        <f t="shared" si="7"/>
        <v>7689000</v>
      </c>
      <c r="V12" s="199">
        <f t="shared" ref="V12:V18" si="11">ROUND(U12*(1+U$9)/1000,0)*1000</f>
        <v>8131000</v>
      </c>
      <c r="W12" s="199">
        <f t="shared" si="9"/>
        <v>8464000</v>
      </c>
      <c r="X12" s="199">
        <f t="shared" ref="X12:Y18" si="12">ROUND(W12*(1+W$9)/1000,0)*1000</f>
        <v>8733000</v>
      </c>
      <c r="Y12" s="199">
        <f t="shared" si="12"/>
        <v>8996000</v>
      </c>
    </row>
    <row r="13" spans="1:25">
      <c r="A13" s="1304"/>
      <c r="B13" s="200" t="s">
        <v>2474</v>
      </c>
      <c r="C13" s="199">
        <v>2300000</v>
      </c>
      <c r="D13" s="199">
        <f t="shared" si="10"/>
        <v>2684000</v>
      </c>
      <c r="E13" s="199">
        <f t="shared" si="0"/>
        <v>2932000</v>
      </c>
      <c r="F13" s="199">
        <f t="shared" si="0"/>
        <v>3189000</v>
      </c>
      <c r="G13" s="199">
        <f t="shared" si="0"/>
        <v>3433000</v>
      </c>
      <c r="H13" s="199">
        <f t="shared" si="0"/>
        <v>3673000</v>
      </c>
      <c r="I13" s="199">
        <f t="shared" si="0"/>
        <v>3911000</v>
      </c>
      <c r="J13" s="199">
        <f t="shared" si="0"/>
        <v>4126000</v>
      </c>
      <c r="K13" s="199">
        <f t="shared" si="0"/>
        <v>4326000</v>
      </c>
      <c r="L13" s="199">
        <f t="shared" si="0"/>
        <v>4520000</v>
      </c>
      <c r="M13" s="199">
        <f t="shared" si="0"/>
        <v>4777000</v>
      </c>
      <c r="N13" s="199">
        <f t="shared" si="0"/>
        <v>5143000</v>
      </c>
      <c r="O13" s="199">
        <f t="shared" si="0"/>
        <v>5246000</v>
      </c>
      <c r="P13" s="199">
        <f t="shared" si="0"/>
        <v>5412000</v>
      </c>
      <c r="Q13" s="199">
        <f t="shared" si="0"/>
        <v>5614000</v>
      </c>
      <c r="R13" s="199">
        <f t="shared" si="6"/>
        <v>5751000</v>
      </c>
      <c r="S13" s="199">
        <f t="shared" si="7"/>
        <v>5863000</v>
      </c>
      <c r="T13" s="199">
        <f t="shared" si="7"/>
        <v>6078000</v>
      </c>
      <c r="U13" s="199">
        <f t="shared" si="7"/>
        <v>6489000</v>
      </c>
      <c r="V13" s="199">
        <f t="shared" si="11"/>
        <v>6862000</v>
      </c>
      <c r="W13" s="199">
        <f t="shared" si="9"/>
        <v>7143000</v>
      </c>
      <c r="X13" s="199">
        <f t="shared" si="12"/>
        <v>7370000</v>
      </c>
      <c r="Y13" s="199">
        <f t="shared" si="12"/>
        <v>7592000</v>
      </c>
    </row>
    <row r="14" spans="1:25">
      <c r="A14" s="1304"/>
      <c r="B14" s="200" t="s">
        <v>2475</v>
      </c>
      <c r="C14" s="199">
        <v>1959000</v>
      </c>
      <c r="D14" s="199">
        <f t="shared" si="10"/>
        <v>2286000</v>
      </c>
      <c r="E14" s="199">
        <f t="shared" si="0"/>
        <v>2497000</v>
      </c>
      <c r="F14" s="199">
        <f t="shared" si="0"/>
        <v>2715000</v>
      </c>
      <c r="G14" s="199">
        <f t="shared" si="0"/>
        <v>2923000</v>
      </c>
      <c r="H14" s="199">
        <f t="shared" si="0"/>
        <v>3127000</v>
      </c>
      <c r="I14" s="199">
        <f t="shared" si="0"/>
        <v>3330000</v>
      </c>
      <c r="J14" s="199">
        <f t="shared" si="0"/>
        <v>3513000</v>
      </c>
      <c r="K14" s="199">
        <f t="shared" si="0"/>
        <v>3683000</v>
      </c>
      <c r="L14" s="199">
        <f t="shared" si="0"/>
        <v>3848000</v>
      </c>
      <c r="M14" s="199">
        <f t="shared" si="0"/>
        <v>4067000</v>
      </c>
      <c r="N14" s="199">
        <f t="shared" si="0"/>
        <v>4379000</v>
      </c>
      <c r="O14" s="199">
        <f t="shared" si="0"/>
        <v>4467000</v>
      </c>
      <c r="P14" s="199">
        <f t="shared" si="0"/>
        <v>4609000</v>
      </c>
      <c r="Q14" s="199">
        <f t="shared" si="0"/>
        <v>4781000</v>
      </c>
      <c r="R14" s="199">
        <f t="shared" si="6"/>
        <v>4898000</v>
      </c>
      <c r="S14" s="199">
        <f t="shared" si="7"/>
        <v>4993000</v>
      </c>
      <c r="T14" s="199">
        <f t="shared" si="7"/>
        <v>5176000</v>
      </c>
      <c r="U14" s="199">
        <f t="shared" si="7"/>
        <v>5526000</v>
      </c>
      <c r="V14" s="199">
        <f t="shared" si="11"/>
        <v>5844000</v>
      </c>
      <c r="W14" s="199">
        <f t="shared" si="9"/>
        <v>6083000</v>
      </c>
      <c r="X14" s="199">
        <f t="shared" si="12"/>
        <v>6276000</v>
      </c>
      <c r="Y14" s="199">
        <f t="shared" si="12"/>
        <v>6465000</v>
      </c>
    </row>
    <row r="15" spans="1:25">
      <c r="A15" s="1304"/>
      <c r="B15" s="200" t="s">
        <v>2476</v>
      </c>
      <c r="C15" s="199">
        <v>1767000</v>
      </c>
      <c r="D15" s="199">
        <f t="shared" si="10"/>
        <v>2062000</v>
      </c>
      <c r="E15" s="199">
        <f t="shared" si="0"/>
        <v>2252000</v>
      </c>
      <c r="F15" s="199">
        <f t="shared" si="0"/>
        <v>2449000</v>
      </c>
      <c r="G15" s="199">
        <f t="shared" si="0"/>
        <v>2636000</v>
      </c>
      <c r="H15" s="199">
        <f t="shared" si="0"/>
        <v>2820000</v>
      </c>
      <c r="I15" s="199">
        <f t="shared" si="0"/>
        <v>3003000</v>
      </c>
      <c r="J15" s="199">
        <f t="shared" si="0"/>
        <v>3168000</v>
      </c>
      <c r="K15" s="199">
        <f t="shared" si="0"/>
        <v>3322000</v>
      </c>
      <c r="L15" s="199">
        <f t="shared" si="0"/>
        <v>3471000</v>
      </c>
      <c r="M15" s="199">
        <f t="shared" si="0"/>
        <v>3668000</v>
      </c>
      <c r="N15" s="199">
        <f t="shared" si="0"/>
        <v>3949000</v>
      </c>
      <c r="O15" s="199">
        <f t="shared" si="0"/>
        <v>4028000</v>
      </c>
      <c r="P15" s="199">
        <f t="shared" si="0"/>
        <v>4156000</v>
      </c>
      <c r="Q15" s="199">
        <f t="shared" si="0"/>
        <v>4311000</v>
      </c>
      <c r="R15" s="199">
        <f t="shared" si="6"/>
        <v>4416000</v>
      </c>
      <c r="S15" s="199">
        <f t="shared" si="7"/>
        <v>4502000</v>
      </c>
      <c r="T15" s="199">
        <f t="shared" si="7"/>
        <v>4667000</v>
      </c>
      <c r="U15" s="199">
        <f t="shared" si="7"/>
        <v>4983000</v>
      </c>
      <c r="V15" s="199">
        <f t="shared" si="11"/>
        <v>5270000</v>
      </c>
      <c r="W15" s="199">
        <f t="shared" si="9"/>
        <v>5486000</v>
      </c>
      <c r="X15" s="199">
        <f t="shared" si="12"/>
        <v>5660000</v>
      </c>
      <c r="Y15" s="199">
        <f t="shared" si="12"/>
        <v>5830000</v>
      </c>
    </row>
    <row r="16" spans="1:25">
      <c r="A16" s="1304"/>
      <c r="B16" s="200" t="s">
        <v>2477</v>
      </c>
      <c r="C16" s="199">
        <v>1576000</v>
      </c>
      <c r="D16" s="199">
        <f t="shared" si="10"/>
        <v>1839000</v>
      </c>
      <c r="E16" s="199">
        <f t="shared" si="0"/>
        <v>2009000</v>
      </c>
      <c r="F16" s="199">
        <f t="shared" si="0"/>
        <v>2185000</v>
      </c>
      <c r="G16" s="199">
        <f t="shared" si="0"/>
        <v>2352000</v>
      </c>
      <c r="H16" s="199">
        <f t="shared" si="0"/>
        <v>2516000</v>
      </c>
      <c r="I16" s="199">
        <f t="shared" si="0"/>
        <v>2679000</v>
      </c>
      <c r="J16" s="199">
        <f t="shared" si="0"/>
        <v>2826000</v>
      </c>
      <c r="K16" s="199">
        <f t="shared" si="0"/>
        <v>2963000</v>
      </c>
      <c r="L16" s="199">
        <f t="shared" si="0"/>
        <v>3096000</v>
      </c>
      <c r="M16" s="199">
        <f t="shared" si="0"/>
        <v>3272000</v>
      </c>
      <c r="N16" s="199">
        <f t="shared" si="0"/>
        <v>3523000</v>
      </c>
      <c r="O16" s="199">
        <f t="shared" si="0"/>
        <v>3593000</v>
      </c>
      <c r="P16" s="199">
        <f t="shared" si="0"/>
        <v>3707000</v>
      </c>
      <c r="Q16" s="199">
        <f t="shared" si="0"/>
        <v>3845000</v>
      </c>
      <c r="R16" s="199">
        <f t="shared" si="6"/>
        <v>3939000</v>
      </c>
      <c r="S16" s="199">
        <f t="shared" si="7"/>
        <v>4015000</v>
      </c>
      <c r="T16" s="199">
        <f t="shared" si="7"/>
        <v>4162000</v>
      </c>
      <c r="U16" s="199">
        <f t="shared" si="7"/>
        <v>4444000</v>
      </c>
      <c r="V16" s="199">
        <f t="shared" si="11"/>
        <v>4700000</v>
      </c>
      <c r="W16" s="199">
        <f t="shared" si="9"/>
        <v>4892000</v>
      </c>
      <c r="X16" s="199">
        <f t="shared" si="12"/>
        <v>5048000</v>
      </c>
      <c r="Y16" s="199">
        <f t="shared" si="12"/>
        <v>5200000</v>
      </c>
    </row>
    <row r="17" spans="1:25">
      <c r="A17" s="1304"/>
      <c r="B17" s="200" t="s">
        <v>2478</v>
      </c>
      <c r="C17" s="199">
        <v>1192000</v>
      </c>
      <c r="D17" s="199">
        <f t="shared" si="10"/>
        <v>1391000</v>
      </c>
      <c r="E17" s="199">
        <f t="shared" si="0"/>
        <v>1519000</v>
      </c>
      <c r="F17" s="199">
        <f t="shared" si="0"/>
        <v>1652000</v>
      </c>
      <c r="G17" s="199">
        <f t="shared" si="0"/>
        <v>1778000</v>
      </c>
      <c r="H17" s="199">
        <f t="shared" si="0"/>
        <v>1902000</v>
      </c>
      <c r="I17" s="199">
        <f t="shared" si="0"/>
        <v>2025000</v>
      </c>
      <c r="J17" s="199">
        <f t="shared" si="0"/>
        <v>2136000</v>
      </c>
      <c r="K17" s="199">
        <f t="shared" si="0"/>
        <v>2240000</v>
      </c>
      <c r="L17" s="199">
        <f t="shared" si="0"/>
        <v>2340000</v>
      </c>
      <c r="M17" s="199">
        <f t="shared" si="0"/>
        <v>2473000</v>
      </c>
      <c r="N17" s="199">
        <f t="shared" si="0"/>
        <v>2663000</v>
      </c>
      <c r="O17" s="199">
        <f t="shared" si="0"/>
        <v>2716000</v>
      </c>
      <c r="P17" s="199">
        <f t="shared" si="0"/>
        <v>2802000</v>
      </c>
      <c r="Q17" s="199">
        <f t="shared" si="0"/>
        <v>2907000</v>
      </c>
      <c r="R17" s="199">
        <f t="shared" si="6"/>
        <v>2978000</v>
      </c>
      <c r="S17" s="199">
        <f t="shared" si="7"/>
        <v>3036000</v>
      </c>
      <c r="T17" s="199">
        <f t="shared" si="7"/>
        <v>3147000</v>
      </c>
      <c r="U17" s="199">
        <f t="shared" si="7"/>
        <v>3360000</v>
      </c>
      <c r="V17" s="199">
        <f t="shared" si="11"/>
        <v>3553000</v>
      </c>
      <c r="W17" s="199">
        <f t="shared" si="9"/>
        <v>3698000</v>
      </c>
      <c r="X17" s="199">
        <f t="shared" si="12"/>
        <v>3816000</v>
      </c>
      <c r="Y17" s="199">
        <f t="shared" si="12"/>
        <v>3931000</v>
      </c>
    </row>
    <row r="18" spans="1:25">
      <c r="A18" s="1304"/>
      <c r="B18" s="200" t="s">
        <v>2479</v>
      </c>
      <c r="C18" s="199">
        <v>1124000</v>
      </c>
      <c r="D18" s="199">
        <f t="shared" si="10"/>
        <v>1312000</v>
      </c>
      <c r="E18" s="199">
        <f t="shared" si="0"/>
        <v>1433000</v>
      </c>
      <c r="F18" s="199">
        <f t="shared" si="0"/>
        <v>1558000</v>
      </c>
      <c r="G18" s="199">
        <f t="shared" si="0"/>
        <v>1677000</v>
      </c>
      <c r="H18" s="199">
        <f t="shared" si="0"/>
        <v>1794000</v>
      </c>
      <c r="I18" s="199">
        <f t="shared" si="0"/>
        <v>1910000</v>
      </c>
      <c r="J18" s="199">
        <f t="shared" si="0"/>
        <v>2015000</v>
      </c>
      <c r="K18" s="199">
        <f t="shared" si="0"/>
        <v>2113000</v>
      </c>
      <c r="L18" s="199">
        <f t="shared" si="0"/>
        <v>2208000</v>
      </c>
      <c r="M18" s="199">
        <f t="shared" si="0"/>
        <v>2334000</v>
      </c>
      <c r="N18" s="199">
        <f t="shared" si="0"/>
        <v>2513000</v>
      </c>
      <c r="O18" s="199">
        <f t="shared" si="0"/>
        <v>2563000</v>
      </c>
      <c r="P18" s="199">
        <f t="shared" si="0"/>
        <v>2644000</v>
      </c>
      <c r="Q18" s="199">
        <f t="shared" si="0"/>
        <v>2743000</v>
      </c>
      <c r="R18" s="199">
        <f t="shared" si="6"/>
        <v>2810000</v>
      </c>
      <c r="S18" s="199">
        <f t="shared" si="7"/>
        <v>2865000</v>
      </c>
      <c r="T18" s="199">
        <f t="shared" si="7"/>
        <v>2970000</v>
      </c>
      <c r="U18" s="199">
        <f t="shared" si="7"/>
        <v>3171000</v>
      </c>
      <c r="V18" s="199">
        <f t="shared" si="11"/>
        <v>3353000</v>
      </c>
      <c r="W18" s="199">
        <f t="shared" si="9"/>
        <v>3490000</v>
      </c>
      <c r="X18" s="199">
        <f t="shared" si="12"/>
        <v>3601000</v>
      </c>
      <c r="Y18" s="199">
        <f t="shared" si="12"/>
        <v>3709000</v>
      </c>
    </row>
    <row r="19" spans="1:25">
      <c r="A19" s="201"/>
      <c r="B19" s="202"/>
      <c r="C19" s="203"/>
      <c r="D19" s="203"/>
      <c r="E19" s="203"/>
      <c r="F19" s="203"/>
      <c r="G19" s="203"/>
      <c r="H19" s="203"/>
      <c r="I19" s="203"/>
      <c r="J19" s="203"/>
      <c r="K19" s="203"/>
      <c r="L19" s="203"/>
      <c r="M19" s="203"/>
      <c r="N19" s="203"/>
      <c r="O19" s="203"/>
      <c r="P19" s="203"/>
      <c r="Q19" s="203"/>
      <c r="R19" s="203"/>
      <c r="S19" s="203"/>
      <c r="T19" s="203"/>
      <c r="U19" s="203"/>
      <c r="V19" s="203"/>
      <c r="W19" s="203"/>
      <c r="X19" s="203"/>
      <c r="Y19" s="203"/>
    </row>
    <row r="20" spans="1:25">
      <c r="A20" s="1299" t="s">
        <v>2480</v>
      </c>
      <c r="B20" s="204" t="s">
        <v>2481</v>
      </c>
      <c r="C20" s="199">
        <v>738000</v>
      </c>
      <c r="D20" s="199">
        <f t="shared" ref="D20:Q33" si="13">ROUND(C20*(1+C$9)/1000,0)*1000</f>
        <v>861000</v>
      </c>
      <c r="E20" s="199">
        <f t="shared" si="13"/>
        <v>940000</v>
      </c>
      <c r="F20" s="199">
        <f t="shared" si="13"/>
        <v>1022000</v>
      </c>
      <c r="G20" s="199">
        <f t="shared" si="13"/>
        <v>1100000</v>
      </c>
      <c r="H20" s="199">
        <f t="shared" si="13"/>
        <v>1177000</v>
      </c>
      <c r="I20" s="199">
        <f t="shared" si="13"/>
        <v>1253000</v>
      </c>
      <c r="J20" s="199">
        <f t="shared" si="13"/>
        <v>1322000</v>
      </c>
      <c r="K20" s="199">
        <f t="shared" si="13"/>
        <v>1386000</v>
      </c>
      <c r="L20" s="199">
        <f t="shared" si="13"/>
        <v>1448000</v>
      </c>
      <c r="M20" s="199">
        <f t="shared" si="13"/>
        <v>1530000</v>
      </c>
      <c r="N20" s="199">
        <f t="shared" si="13"/>
        <v>1647000</v>
      </c>
      <c r="O20" s="199">
        <f t="shared" si="13"/>
        <v>1680000</v>
      </c>
      <c r="P20" s="199">
        <f t="shared" si="13"/>
        <v>1733000</v>
      </c>
      <c r="Q20" s="199">
        <f t="shared" si="13"/>
        <v>1798000</v>
      </c>
      <c r="R20" s="199">
        <f t="shared" ref="R20:R33" si="14">ROUND(Q20*(1+Q$9)/1000,0)*1000</f>
        <v>1842000</v>
      </c>
      <c r="S20" s="199">
        <f t="shared" ref="S20:U35" si="15">ROUND(R20*(1+R$9)/1000,0)*1000</f>
        <v>1878000</v>
      </c>
      <c r="T20" s="199">
        <f t="shared" si="15"/>
        <v>1947000</v>
      </c>
      <c r="U20" s="199">
        <f t="shared" si="7"/>
        <v>2079000</v>
      </c>
      <c r="V20" s="199">
        <f t="shared" ref="V20:V33" si="16">ROUND(U20*(1+U$9)/1000,0)*1000</f>
        <v>2199000</v>
      </c>
      <c r="W20" s="199">
        <f t="shared" ref="W20:W33" si="17">ROUND(V20*(1+V$9)/1000,0)*1000</f>
        <v>2289000</v>
      </c>
      <c r="X20" s="199">
        <f t="shared" ref="X20:Y33" si="18">ROUND(W20*(1+W$9)/1000,0)*1000</f>
        <v>2362000</v>
      </c>
      <c r="Y20" s="199">
        <f t="shared" si="18"/>
        <v>2433000</v>
      </c>
    </row>
    <row r="21" spans="1:25">
      <c r="A21" s="1299"/>
      <c r="B21" s="204" t="s">
        <v>2482</v>
      </c>
      <c r="C21" s="199">
        <v>648000</v>
      </c>
      <c r="D21" s="199">
        <f t="shared" si="13"/>
        <v>756000</v>
      </c>
      <c r="E21" s="199">
        <f t="shared" si="13"/>
        <v>826000</v>
      </c>
      <c r="F21" s="199">
        <f t="shared" si="13"/>
        <v>898000</v>
      </c>
      <c r="G21" s="199">
        <f t="shared" si="13"/>
        <v>967000</v>
      </c>
      <c r="H21" s="199">
        <f t="shared" si="13"/>
        <v>1035000</v>
      </c>
      <c r="I21" s="199">
        <f t="shared" si="13"/>
        <v>1102000</v>
      </c>
      <c r="J21" s="199">
        <f t="shared" si="13"/>
        <v>1163000</v>
      </c>
      <c r="K21" s="199">
        <f t="shared" si="13"/>
        <v>1219000</v>
      </c>
      <c r="L21" s="199">
        <f t="shared" si="13"/>
        <v>1274000</v>
      </c>
      <c r="M21" s="199">
        <f t="shared" si="13"/>
        <v>1346000</v>
      </c>
      <c r="N21" s="199">
        <f t="shared" si="13"/>
        <v>1449000</v>
      </c>
      <c r="O21" s="199">
        <f t="shared" si="13"/>
        <v>1478000</v>
      </c>
      <c r="P21" s="199">
        <f t="shared" si="13"/>
        <v>1525000</v>
      </c>
      <c r="Q21" s="199">
        <f t="shared" si="13"/>
        <v>1582000</v>
      </c>
      <c r="R21" s="199">
        <f t="shared" si="14"/>
        <v>1621000</v>
      </c>
      <c r="S21" s="199">
        <f t="shared" si="15"/>
        <v>1652000</v>
      </c>
      <c r="T21" s="199">
        <f t="shared" si="15"/>
        <v>1712000</v>
      </c>
      <c r="U21" s="199">
        <f t="shared" si="7"/>
        <v>1828000</v>
      </c>
      <c r="V21" s="199">
        <f t="shared" si="16"/>
        <v>1933000</v>
      </c>
      <c r="W21" s="199">
        <f t="shared" si="17"/>
        <v>2012000</v>
      </c>
      <c r="X21" s="199">
        <f t="shared" si="18"/>
        <v>2076000</v>
      </c>
      <c r="Y21" s="199">
        <f t="shared" si="18"/>
        <v>2138000</v>
      </c>
    </row>
    <row r="22" spans="1:25">
      <c r="A22" s="1299"/>
      <c r="B22" s="204" t="s">
        <v>2483</v>
      </c>
      <c r="C22" s="199">
        <v>680000</v>
      </c>
      <c r="D22" s="199">
        <f t="shared" si="13"/>
        <v>794000</v>
      </c>
      <c r="E22" s="199">
        <f t="shared" si="13"/>
        <v>867000</v>
      </c>
      <c r="F22" s="199">
        <f t="shared" si="13"/>
        <v>943000</v>
      </c>
      <c r="G22" s="199">
        <f t="shared" si="13"/>
        <v>1015000</v>
      </c>
      <c r="H22" s="199">
        <f t="shared" si="13"/>
        <v>1086000</v>
      </c>
      <c r="I22" s="199">
        <f t="shared" si="13"/>
        <v>1156000</v>
      </c>
      <c r="J22" s="199">
        <f t="shared" si="13"/>
        <v>1220000</v>
      </c>
      <c r="K22" s="199">
        <f t="shared" si="13"/>
        <v>1279000</v>
      </c>
      <c r="L22" s="199">
        <f t="shared" si="13"/>
        <v>1336000</v>
      </c>
      <c r="M22" s="199">
        <f t="shared" si="13"/>
        <v>1412000</v>
      </c>
      <c r="N22" s="199">
        <f t="shared" si="13"/>
        <v>1520000</v>
      </c>
      <c r="O22" s="199">
        <f t="shared" si="13"/>
        <v>1550000</v>
      </c>
      <c r="P22" s="199">
        <f t="shared" si="13"/>
        <v>1599000</v>
      </c>
      <c r="Q22" s="199">
        <f t="shared" si="13"/>
        <v>1659000</v>
      </c>
      <c r="R22" s="199">
        <f t="shared" si="14"/>
        <v>1699000</v>
      </c>
      <c r="S22" s="199">
        <f t="shared" si="15"/>
        <v>1732000</v>
      </c>
      <c r="T22" s="199">
        <f t="shared" si="15"/>
        <v>1795000</v>
      </c>
      <c r="U22" s="199">
        <f t="shared" si="7"/>
        <v>1917000</v>
      </c>
      <c r="V22" s="199">
        <f t="shared" si="16"/>
        <v>2027000</v>
      </c>
      <c r="W22" s="199">
        <f t="shared" si="17"/>
        <v>2110000</v>
      </c>
      <c r="X22" s="199">
        <f t="shared" si="18"/>
        <v>2177000</v>
      </c>
      <c r="Y22" s="199">
        <f t="shared" si="18"/>
        <v>2243000</v>
      </c>
    </row>
    <row r="23" spans="1:25">
      <c r="A23" s="1299"/>
      <c r="B23" s="204" t="s">
        <v>2484</v>
      </c>
      <c r="C23" s="199">
        <v>550000</v>
      </c>
      <c r="D23" s="199">
        <f t="shared" si="13"/>
        <v>642000</v>
      </c>
      <c r="E23" s="199">
        <f t="shared" si="13"/>
        <v>701000</v>
      </c>
      <c r="F23" s="199">
        <f t="shared" si="13"/>
        <v>762000</v>
      </c>
      <c r="G23" s="199">
        <f t="shared" si="13"/>
        <v>820000</v>
      </c>
      <c r="H23" s="199">
        <f t="shared" si="13"/>
        <v>877000</v>
      </c>
      <c r="I23" s="199">
        <f t="shared" si="13"/>
        <v>934000</v>
      </c>
      <c r="J23" s="199">
        <f t="shared" si="13"/>
        <v>985000</v>
      </c>
      <c r="K23" s="199">
        <f t="shared" si="13"/>
        <v>1033000</v>
      </c>
      <c r="L23" s="199">
        <f t="shared" si="13"/>
        <v>1079000</v>
      </c>
      <c r="M23" s="199">
        <f t="shared" si="13"/>
        <v>1140000</v>
      </c>
      <c r="N23" s="199">
        <f t="shared" si="13"/>
        <v>1227000</v>
      </c>
      <c r="O23" s="199">
        <f t="shared" si="13"/>
        <v>1252000</v>
      </c>
      <c r="P23" s="199">
        <f t="shared" si="13"/>
        <v>1292000</v>
      </c>
      <c r="Q23" s="199">
        <f t="shared" si="13"/>
        <v>1340000</v>
      </c>
      <c r="R23" s="199">
        <f t="shared" si="14"/>
        <v>1373000</v>
      </c>
      <c r="S23" s="199">
        <f t="shared" si="15"/>
        <v>1400000</v>
      </c>
      <c r="T23" s="199">
        <f t="shared" si="15"/>
        <v>1451000</v>
      </c>
      <c r="U23" s="199">
        <f t="shared" si="7"/>
        <v>1549000</v>
      </c>
      <c r="V23" s="199">
        <f t="shared" si="16"/>
        <v>1638000</v>
      </c>
      <c r="W23" s="199">
        <f t="shared" si="17"/>
        <v>1705000</v>
      </c>
      <c r="X23" s="199">
        <f t="shared" si="18"/>
        <v>1759000</v>
      </c>
      <c r="Y23" s="199">
        <f t="shared" si="18"/>
        <v>1812000</v>
      </c>
    </row>
    <row r="24" spans="1:25">
      <c r="A24" s="1299"/>
      <c r="B24" s="204" t="s">
        <v>2485</v>
      </c>
      <c r="C24" s="199">
        <v>767000</v>
      </c>
      <c r="D24" s="199">
        <f t="shared" si="13"/>
        <v>895000</v>
      </c>
      <c r="E24" s="199">
        <f t="shared" si="13"/>
        <v>978000</v>
      </c>
      <c r="F24" s="199">
        <f t="shared" si="13"/>
        <v>1064000</v>
      </c>
      <c r="G24" s="199">
        <f t="shared" si="13"/>
        <v>1145000</v>
      </c>
      <c r="H24" s="199">
        <f t="shared" si="13"/>
        <v>1225000</v>
      </c>
      <c r="I24" s="199">
        <f t="shared" si="13"/>
        <v>1305000</v>
      </c>
      <c r="J24" s="199">
        <f t="shared" si="13"/>
        <v>1377000</v>
      </c>
      <c r="K24" s="199">
        <f t="shared" si="13"/>
        <v>1444000</v>
      </c>
      <c r="L24" s="199">
        <f t="shared" si="13"/>
        <v>1509000</v>
      </c>
      <c r="M24" s="199">
        <f t="shared" si="13"/>
        <v>1595000</v>
      </c>
      <c r="N24" s="199">
        <f t="shared" si="13"/>
        <v>1717000</v>
      </c>
      <c r="O24" s="199">
        <f t="shared" si="13"/>
        <v>1751000</v>
      </c>
      <c r="P24" s="199">
        <f t="shared" si="13"/>
        <v>1807000</v>
      </c>
      <c r="Q24" s="199">
        <f t="shared" si="13"/>
        <v>1874000</v>
      </c>
      <c r="R24" s="199">
        <f t="shared" si="14"/>
        <v>1920000</v>
      </c>
      <c r="S24" s="199">
        <f t="shared" si="15"/>
        <v>1957000</v>
      </c>
      <c r="T24" s="199">
        <f t="shared" si="15"/>
        <v>2029000</v>
      </c>
      <c r="U24" s="199">
        <f t="shared" si="7"/>
        <v>2166000</v>
      </c>
      <c r="V24" s="199">
        <f t="shared" si="16"/>
        <v>2291000</v>
      </c>
      <c r="W24" s="199">
        <f t="shared" si="17"/>
        <v>2385000</v>
      </c>
      <c r="X24" s="199">
        <f t="shared" si="18"/>
        <v>2461000</v>
      </c>
      <c r="Y24" s="199">
        <f t="shared" si="18"/>
        <v>2535000</v>
      </c>
    </row>
    <row r="25" spans="1:25">
      <c r="A25" s="1299"/>
      <c r="B25" s="204" t="s">
        <v>2486</v>
      </c>
      <c r="C25" s="199">
        <v>630000</v>
      </c>
      <c r="D25" s="199">
        <f t="shared" si="13"/>
        <v>735000</v>
      </c>
      <c r="E25" s="199">
        <f t="shared" si="13"/>
        <v>803000</v>
      </c>
      <c r="F25" s="199">
        <f t="shared" si="13"/>
        <v>873000</v>
      </c>
      <c r="G25" s="199">
        <f t="shared" si="13"/>
        <v>940000</v>
      </c>
      <c r="H25" s="199">
        <f t="shared" si="13"/>
        <v>1006000</v>
      </c>
      <c r="I25" s="199">
        <f t="shared" si="13"/>
        <v>1071000</v>
      </c>
      <c r="J25" s="199">
        <f t="shared" si="13"/>
        <v>1130000</v>
      </c>
      <c r="K25" s="199">
        <f t="shared" si="13"/>
        <v>1185000</v>
      </c>
      <c r="L25" s="199">
        <f t="shared" si="13"/>
        <v>1238000</v>
      </c>
      <c r="M25" s="199">
        <f t="shared" si="13"/>
        <v>1308000</v>
      </c>
      <c r="N25" s="199">
        <f t="shared" si="13"/>
        <v>1408000</v>
      </c>
      <c r="O25" s="199">
        <f t="shared" si="13"/>
        <v>1436000</v>
      </c>
      <c r="P25" s="199">
        <f t="shared" si="13"/>
        <v>1482000</v>
      </c>
      <c r="Q25" s="199">
        <f t="shared" si="13"/>
        <v>1537000</v>
      </c>
      <c r="R25" s="199">
        <f t="shared" si="14"/>
        <v>1575000</v>
      </c>
      <c r="S25" s="199">
        <f t="shared" si="15"/>
        <v>1606000</v>
      </c>
      <c r="T25" s="199">
        <f t="shared" si="15"/>
        <v>1665000</v>
      </c>
      <c r="U25" s="199">
        <f t="shared" si="7"/>
        <v>1778000</v>
      </c>
      <c r="V25" s="199">
        <f t="shared" si="16"/>
        <v>1880000</v>
      </c>
      <c r="W25" s="199">
        <f t="shared" si="17"/>
        <v>1957000</v>
      </c>
      <c r="X25" s="199">
        <f t="shared" si="18"/>
        <v>2019000</v>
      </c>
      <c r="Y25" s="199">
        <f t="shared" si="18"/>
        <v>2080000</v>
      </c>
    </row>
    <row r="26" spans="1:25">
      <c r="A26" s="1299"/>
      <c r="B26" s="204" t="s">
        <v>2487</v>
      </c>
      <c r="C26" s="199">
        <v>767000</v>
      </c>
      <c r="D26" s="199">
        <f t="shared" si="13"/>
        <v>895000</v>
      </c>
      <c r="E26" s="199">
        <f t="shared" si="13"/>
        <v>978000</v>
      </c>
      <c r="F26" s="199">
        <f t="shared" si="13"/>
        <v>1064000</v>
      </c>
      <c r="G26" s="199">
        <f t="shared" si="13"/>
        <v>1145000</v>
      </c>
      <c r="H26" s="199">
        <f t="shared" si="13"/>
        <v>1225000</v>
      </c>
      <c r="I26" s="199">
        <f t="shared" si="13"/>
        <v>1305000</v>
      </c>
      <c r="J26" s="199">
        <f t="shared" si="13"/>
        <v>1377000</v>
      </c>
      <c r="K26" s="199">
        <f t="shared" si="13"/>
        <v>1444000</v>
      </c>
      <c r="L26" s="199">
        <f t="shared" si="13"/>
        <v>1509000</v>
      </c>
      <c r="M26" s="199">
        <f t="shared" si="13"/>
        <v>1595000</v>
      </c>
      <c r="N26" s="199">
        <f t="shared" si="13"/>
        <v>1717000</v>
      </c>
      <c r="O26" s="199">
        <f t="shared" si="13"/>
        <v>1751000</v>
      </c>
      <c r="P26" s="199">
        <f t="shared" si="13"/>
        <v>1807000</v>
      </c>
      <c r="Q26" s="199">
        <f t="shared" si="13"/>
        <v>1874000</v>
      </c>
      <c r="R26" s="199">
        <f t="shared" si="14"/>
        <v>1920000</v>
      </c>
      <c r="S26" s="199">
        <f t="shared" si="15"/>
        <v>1957000</v>
      </c>
      <c r="T26" s="199">
        <f t="shared" si="15"/>
        <v>2029000</v>
      </c>
      <c r="U26" s="199">
        <f t="shared" si="7"/>
        <v>2166000</v>
      </c>
      <c r="V26" s="199">
        <f t="shared" si="16"/>
        <v>2291000</v>
      </c>
      <c r="W26" s="199">
        <f t="shared" si="17"/>
        <v>2385000</v>
      </c>
      <c r="X26" s="199">
        <f t="shared" si="18"/>
        <v>2461000</v>
      </c>
      <c r="Y26" s="199">
        <f t="shared" si="18"/>
        <v>2535000</v>
      </c>
    </row>
    <row r="27" spans="1:25">
      <c r="A27" s="1299"/>
      <c r="B27" s="204" t="s">
        <v>2488</v>
      </c>
      <c r="C27" s="199">
        <v>630000</v>
      </c>
      <c r="D27" s="199">
        <f t="shared" si="13"/>
        <v>735000</v>
      </c>
      <c r="E27" s="199">
        <f t="shared" si="13"/>
        <v>803000</v>
      </c>
      <c r="F27" s="199">
        <f t="shared" si="13"/>
        <v>873000</v>
      </c>
      <c r="G27" s="199">
        <f t="shared" si="13"/>
        <v>940000</v>
      </c>
      <c r="H27" s="199">
        <f t="shared" si="13"/>
        <v>1006000</v>
      </c>
      <c r="I27" s="199">
        <f t="shared" si="13"/>
        <v>1071000</v>
      </c>
      <c r="J27" s="199">
        <f t="shared" si="13"/>
        <v>1130000</v>
      </c>
      <c r="K27" s="199">
        <f t="shared" si="13"/>
        <v>1185000</v>
      </c>
      <c r="L27" s="199">
        <f t="shared" si="13"/>
        <v>1238000</v>
      </c>
      <c r="M27" s="199">
        <f t="shared" si="13"/>
        <v>1308000</v>
      </c>
      <c r="N27" s="199">
        <f t="shared" si="13"/>
        <v>1408000</v>
      </c>
      <c r="O27" s="199">
        <f t="shared" si="13"/>
        <v>1436000</v>
      </c>
      <c r="P27" s="199">
        <f t="shared" si="13"/>
        <v>1482000</v>
      </c>
      <c r="Q27" s="199">
        <f t="shared" si="13"/>
        <v>1537000</v>
      </c>
      <c r="R27" s="199">
        <f t="shared" si="14"/>
        <v>1575000</v>
      </c>
      <c r="S27" s="199">
        <f t="shared" si="15"/>
        <v>1606000</v>
      </c>
      <c r="T27" s="199">
        <f t="shared" si="15"/>
        <v>1665000</v>
      </c>
      <c r="U27" s="199">
        <f t="shared" si="15"/>
        <v>1778000</v>
      </c>
      <c r="V27" s="199">
        <f t="shared" si="16"/>
        <v>1880000</v>
      </c>
      <c r="W27" s="199">
        <f t="shared" si="17"/>
        <v>1957000</v>
      </c>
      <c r="X27" s="199">
        <f t="shared" si="18"/>
        <v>2019000</v>
      </c>
      <c r="Y27" s="199">
        <f t="shared" si="18"/>
        <v>2080000</v>
      </c>
    </row>
    <row r="28" spans="1:25">
      <c r="A28" s="1299"/>
      <c r="B28" s="204" t="s">
        <v>2489</v>
      </c>
      <c r="C28" s="199">
        <v>681000</v>
      </c>
      <c r="D28" s="199">
        <f t="shared" si="13"/>
        <v>795000</v>
      </c>
      <c r="E28" s="199">
        <f t="shared" si="13"/>
        <v>868000</v>
      </c>
      <c r="F28" s="199">
        <f t="shared" si="13"/>
        <v>944000</v>
      </c>
      <c r="G28" s="199">
        <f t="shared" si="13"/>
        <v>1016000</v>
      </c>
      <c r="H28" s="199">
        <f t="shared" si="13"/>
        <v>1087000</v>
      </c>
      <c r="I28" s="199">
        <f t="shared" si="13"/>
        <v>1158000</v>
      </c>
      <c r="J28" s="199">
        <f t="shared" si="13"/>
        <v>1222000</v>
      </c>
      <c r="K28" s="199">
        <f t="shared" si="13"/>
        <v>1281000</v>
      </c>
      <c r="L28" s="199">
        <f t="shared" si="13"/>
        <v>1338000</v>
      </c>
      <c r="M28" s="199">
        <f t="shared" si="13"/>
        <v>1414000</v>
      </c>
      <c r="N28" s="199">
        <f t="shared" si="13"/>
        <v>1522000</v>
      </c>
      <c r="O28" s="199">
        <f t="shared" si="13"/>
        <v>1552000</v>
      </c>
      <c r="P28" s="199">
        <f t="shared" si="13"/>
        <v>1601000</v>
      </c>
      <c r="Q28" s="199">
        <f t="shared" si="13"/>
        <v>1661000</v>
      </c>
      <c r="R28" s="199">
        <f t="shared" si="14"/>
        <v>1702000</v>
      </c>
      <c r="S28" s="199">
        <f t="shared" si="15"/>
        <v>1735000</v>
      </c>
      <c r="T28" s="199">
        <f t="shared" si="15"/>
        <v>1799000</v>
      </c>
      <c r="U28" s="199">
        <f t="shared" si="15"/>
        <v>1921000</v>
      </c>
      <c r="V28" s="199">
        <f t="shared" si="16"/>
        <v>2031000</v>
      </c>
      <c r="W28" s="199">
        <f t="shared" si="17"/>
        <v>2114000</v>
      </c>
      <c r="X28" s="199">
        <f t="shared" si="18"/>
        <v>2181000</v>
      </c>
      <c r="Y28" s="199">
        <f t="shared" si="18"/>
        <v>2247000</v>
      </c>
    </row>
    <row r="29" spans="1:25">
      <c r="A29" s="1299"/>
      <c r="B29" s="204" t="s">
        <v>2490</v>
      </c>
      <c r="C29" s="199">
        <v>477000</v>
      </c>
      <c r="D29" s="199">
        <f t="shared" si="13"/>
        <v>557000</v>
      </c>
      <c r="E29" s="199">
        <f t="shared" si="13"/>
        <v>608000</v>
      </c>
      <c r="F29" s="199">
        <f t="shared" si="13"/>
        <v>661000</v>
      </c>
      <c r="G29" s="199">
        <f t="shared" si="13"/>
        <v>712000</v>
      </c>
      <c r="H29" s="199">
        <f t="shared" si="13"/>
        <v>762000</v>
      </c>
      <c r="I29" s="199">
        <f t="shared" si="13"/>
        <v>811000</v>
      </c>
      <c r="J29" s="199">
        <f t="shared" si="13"/>
        <v>856000</v>
      </c>
      <c r="K29" s="199">
        <f t="shared" si="13"/>
        <v>898000</v>
      </c>
      <c r="L29" s="199">
        <f t="shared" si="13"/>
        <v>938000</v>
      </c>
      <c r="M29" s="199">
        <f t="shared" si="13"/>
        <v>991000</v>
      </c>
      <c r="N29" s="199">
        <f t="shared" si="13"/>
        <v>1067000</v>
      </c>
      <c r="O29" s="199">
        <f t="shared" si="13"/>
        <v>1088000</v>
      </c>
      <c r="P29" s="199">
        <f t="shared" si="13"/>
        <v>1122000</v>
      </c>
      <c r="Q29" s="199">
        <f t="shared" si="13"/>
        <v>1164000</v>
      </c>
      <c r="R29" s="199">
        <f t="shared" si="14"/>
        <v>1192000</v>
      </c>
      <c r="S29" s="199">
        <f t="shared" si="15"/>
        <v>1215000</v>
      </c>
      <c r="T29" s="199">
        <f t="shared" si="15"/>
        <v>1259000</v>
      </c>
      <c r="U29" s="199">
        <f t="shared" si="15"/>
        <v>1344000</v>
      </c>
      <c r="V29" s="199">
        <f t="shared" si="16"/>
        <v>1421000</v>
      </c>
      <c r="W29" s="199">
        <f t="shared" si="17"/>
        <v>1479000</v>
      </c>
      <c r="X29" s="199">
        <f t="shared" si="18"/>
        <v>1526000</v>
      </c>
      <c r="Y29" s="199">
        <f t="shared" si="18"/>
        <v>1572000</v>
      </c>
    </row>
    <row r="30" spans="1:25">
      <c r="A30" s="1299"/>
      <c r="B30" s="204" t="s">
        <v>2491</v>
      </c>
      <c r="C30" s="199">
        <v>613000</v>
      </c>
      <c r="D30" s="199">
        <f t="shared" si="13"/>
        <v>715000</v>
      </c>
      <c r="E30" s="199">
        <f t="shared" si="13"/>
        <v>781000</v>
      </c>
      <c r="F30" s="199">
        <f t="shared" si="13"/>
        <v>849000</v>
      </c>
      <c r="G30" s="199">
        <f t="shared" si="13"/>
        <v>914000</v>
      </c>
      <c r="H30" s="199">
        <f t="shared" si="13"/>
        <v>978000</v>
      </c>
      <c r="I30" s="199">
        <f t="shared" si="13"/>
        <v>1041000</v>
      </c>
      <c r="J30" s="199">
        <f t="shared" si="13"/>
        <v>1098000</v>
      </c>
      <c r="K30" s="199">
        <f t="shared" si="13"/>
        <v>1151000</v>
      </c>
      <c r="L30" s="199">
        <f t="shared" si="13"/>
        <v>1203000</v>
      </c>
      <c r="M30" s="199">
        <f t="shared" si="13"/>
        <v>1271000</v>
      </c>
      <c r="N30" s="199">
        <f t="shared" si="13"/>
        <v>1368000</v>
      </c>
      <c r="O30" s="199">
        <f t="shared" si="13"/>
        <v>1395000</v>
      </c>
      <c r="P30" s="199">
        <f t="shared" si="13"/>
        <v>1439000</v>
      </c>
      <c r="Q30" s="199">
        <f t="shared" si="13"/>
        <v>1493000</v>
      </c>
      <c r="R30" s="199">
        <f t="shared" si="14"/>
        <v>1529000</v>
      </c>
      <c r="S30" s="199">
        <f t="shared" si="15"/>
        <v>1559000</v>
      </c>
      <c r="T30" s="199">
        <f t="shared" si="15"/>
        <v>1616000</v>
      </c>
      <c r="U30" s="199">
        <f t="shared" si="15"/>
        <v>1725000</v>
      </c>
      <c r="V30" s="199">
        <f t="shared" si="16"/>
        <v>1824000</v>
      </c>
      <c r="W30" s="199">
        <f t="shared" si="17"/>
        <v>1899000</v>
      </c>
      <c r="X30" s="199">
        <f t="shared" si="18"/>
        <v>1959000</v>
      </c>
      <c r="Y30" s="199">
        <f t="shared" si="18"/>
        <v>2018000</v>
      </c>
    </row>
    <row r="31" spans="1:25">
      <c r="A31" s="1299"/>
      <c r="B31" s="204" t="s">
        <v>2492</v>
      </c>
      <c r="C31" s="199">
        <v>409000</v>
      </c>
      <c r="D31" s="199">
        <f t="shared" si="13"/>
        <v>477000</v>
      </c>
      <c r="E31" s="199">
        <f t="shared" si="13"/>
        <v>521000</v>
      </c>
      <c r="F31" s="199">
        <f t="shared" si="13"/>
        <v>567000</v>
      </c>
      <c r="G31" s="199">
        <f t="shared" si="13"/>
        <v>610000</v>
      </c>
      <c r="H31" s="199">
        <f t="shared" si="13"/>
        <v>653000</v>
      </c>
      <c r="I31" s="199">
        <f t="shared" si="13"/>
        <v>695000</v>
      </c>
      <c r="J31" s="199">
        <f t="shared" si="13"/>
        <v>733000</v>
      </c>
      <c r="K31" s="199">
        <f t="shared" si="13"/>
        <v>769000</v>
      </c>
      <c r="L31" s="199">
        <f t="shared" si="13"/>
        <v>803000</v>
      </c>
      <c r="M31" s="199">
        <f t="shared" si="13"/>
        <v>849000</v>
      </c>
      <c r="N31" s="199">
        <f t="shared" si="13"/>
        <v>914000</v>
      </c>
      <c r="O31" s="199">
        <f t="shared" si="13"/>
        <v>932000</v>
      </c>
      <c r="P31" s="199">
        <f t="shared" si="13"/>
        <v>962000</v>
      </c>
      <c r="Q31" s="199">
        <f t="shared" si="13"/>
        <v>998000</v>
      </c>
      <c r="R31" s="199">
        <f t="shared" si="14"/>
        <v>1022000</v>
      </c>
      <c r="S31" s="199">
        <f t="shared" si="15"/>
        <v>1042000</v>
      </c>
      <c r="T31" s="199">
        <f t="shared" si="15"/>
        <v>1080000</v>
      </c>
      <c r="U31" s="199">
        <f t="shared" si="15"/>
        <v>1153000</v>
      </c>
      <c r="V31" s="199">
        <f t="shared" si="16"/>
        <v>1219000</v>
      </c>
      <c r="W31" s="199">
        <f t="shared" si="17"/>
        <v>1269000</v>
      </c>
      <c r="X31" s="199">
        <f t="shared" si="18"/>
        <v>1309000</v>
      </c>
      <c r="Y31" s="199">
        <f t="shared" si="18"/>
        <v>1348000</v>
      </c>
    </row>
    <row r="32" spans="1:25">
      <c r="A32" s="1299"/>
      <c r="B32" s="204" t="s">
        <v>2493</v>
      </c>
      <c r="C32" s="199">
        <v>560000</v>
      </c>
      <c r="D32" s="199">
        <f t="shared" si="13"/>
        <v>654000</v>
      </c>
      <c r="E32" s="199">
        <f t="shared" si="13"/>
        <v>714000</v>
      </c>
      <c r="F32" s="199">
        <f t="shared" si="13"/>
        <v>776000</v>
      </c>
      <c r="G32" s="199">
        <f t="shared" si="13"/>
        <v>835000</v>
      </c>
      <c r="H32" s="199">
        <f t="shared" si="13"/>
        <v>893000</v>
      </c>
      <c r="I32" s="199">
        <f t="shared" si="13"/>
        <v>951000</v>
      </c>
      <c r="J32" s="199">
        <f t="shared" si="13"/>
        <v>1003000</v>
      </c>
      <c r="K32" s="199">
        <f t="shared" si="13"/>
        <v>1052000</v>
      </c>
      <c r="L32" s="199">
        <f t="shared" si="13"/>
        <v>1099000</v>
      </c>
      <c r="M32" s="199">
        <f t="shared" si="13"/>
        <v>1162000</v>
      </c>
      <c r="N32" s="199">
        <f t="shared" si="13"/>
        <v>1251000</v>
      </c>
      <c r="O32" s="199">
        <f t="shared" si="13"/>
        <v>1276000</v>
      </c>
      <c r="P32" s="199">
        <f t="shared" si="13"/>
        <v>1316000</v>
      </c>
      <c r="Q32" s="199">
        <f t="shared" si="13"/>
        <v>1365000</v>
      </c>
      <c r="R32" s="199">
        <f t="shared" si="14"/>
        <v>1398000</v>
      </c>
      <c r="S32" s="199">
        <f t="shared" si="15"/>
        <v>1425000</v>
      </c>
      <c r="T32" s="199">
        <f t="shared" si="15"/>
        <v>1477000</v>
      </c>
      <c r="U32" s="199">
        <f t="shared" si="15"/>
        <v>1577000</v>
      </c>
      <c r="V32" s="199">
        <f t="shared" si="16"/>
        <v>1668000</v>
      </c>
      <c r="W32" s="199">
        <f t="shared" si="17"/>
        <v>1736000</v>
      </c>
      <c r="X32" s="199">
        <f t="shared" si="18"/>
        <v>1791000</v>
      </c>
      <c r="Y32" s="199">
        <f t="shared" si="18"/>
        <v>1845000</v>
      </c>
    </row>
    <row r="33" spans="1:25">
      <c r="A33" s="1299"/>
      <c r="B33" s="204" t="s">
        <v>2494</v>
      </c>
      <c r="C33" s="199">
        <v>505000</v>
      </c>
      <c r="D33" s="199">
        <f t="shared" si="13"/>
        <v>589000</v>
      </c>
      <c r="E33" s="199">
        <f t="shared" si="13"/>
        <v>643000</v>
      </c>
      <c r="F33" s="199">
        <f t="shared" si="13"/>
        <v>699000</v>
      </c>
      <c r="G33" s="199">
        <f t="shared" si="13"/>
        <v>752000</v>
      </c>
      <c r="H33" s="199">
        <f t="shared" si="13"/>
        <v>805000</v>
      </c>
      <c r="I33" s="199">
        <f t="shared" si="13"/>
        <v>857000</v>
      </c>
      <c r="J33" s="199">
        <f t="shared" si="13"/>
        <v>904000</v>
      </c>
      <c r="K33" s="199">
        <f t="shared" si="13"/>
        <v>948000</v>
      </c>
      <c r="L33" s="199">
        <f t="shared" si="13"/>
        <v>990000</v>
      </c>
      <c r="M33" s="199">
        <f t="shared" si="13"/>
        <v>1046000</v>
      </c>
      <c r="N33" s="199">
        <f t="shared" si="13"/>
        <v>1126000</v>
      </c>
      <c r="O33" s="199">
        <f t="shared" si="13"/>
        <v>1149000</v>
      </c>
      <c r="P33" s="199">
        <f t="shared" si="13"/>
        <v>1185000</v>
      </c>
      <c r="Q33" s="199">
        <f t="shared" si="13"/>
        <v>1229000</v>
      </c>
      <c r="R33" s="199">
        <f t="shared" si="14"/>
        <v>1259000</v>
      </c>
      <c r="S33" s="199">
        <f t="shared" si="15"/>
        <v>1283000</v>
      </c>
      <c r="T33" s="199">
        <f t="shared" si="15"/>
        <v>1330000</v>
      </c>
      <c r="U33" s="199">
        <f t="shared" si="15"/>
        <v>1420000</v>
      </c>
      <c r="V33" s="199">
        <f t="shared" si="16"/>
        <v>1502000</v>
      </c>
      <c r="W33" s="199">
        <f t="shared" si="17"/>
        <v>1563000</v>
      </c>
      <c r="X33" s="199">
        <f t="shared" si="18"/>
        <v>1613000</v>
      </c>
      <c r="Y33" s="199">
        <f t="shared" si="18"/>
        <v>1662000</v>
      </c>
    </row>
    <row r="34" spans="1:25">
      <c r="A34" s="201"/>
      <c r="B34" s="205"/>
      <c r="C34" s="203"/>
      <c r="D34" s="203"/>
      <c r="E34" s="203"/>
      <c r="F34" s="203"/>
      <c r="G34" s="203"/>
      <c r="H34" s="203"/>
      <c r="I34" s="203"/>
      <c r="J34" s="203"/>
      <c r="K34" s="203"/>
      <c r="L34" s="203"/>
      <c r="M34" s="203"/>
      <c r="N34" s="203"/>
      <c r="O34" s="203"/>
      <c r="P34" s="203"/>
      <c r="Q34" s="203"/>
      <c r="R34" s="203"/>
      <c r="S34" s="203"/>
      <c r="T34" s="203"/>
      <c r="U34" s="203"/>
      <c r="V34" s="203"/>
      <c r="W34" s="203"/>
      <c r="X34" s="203"/>
      <c r="Y34" s="203"/>
    </row>
    <row r="35" spans="1:25" ht="12.75" customHeight="1">
      <c r="A35" s="1296" t="s">
        <v>2495</v>
      </c>
      <c r="B35" s="204" t="s">
        <v>2496</v>
      </c>
      <c r="C35" s="199">
        <v>715000</v>
      </c>
      <c r="D35" s="199">
        <f t="shared" ref="D35:Q38" si="19">ROUND(C35*(1+C$9)/1000,0)*1000</f>
        <v>834000</v>
      </c>
      <c r="E35" s="199">
        <f t="shared" si="19"/>
        <v>911000</v>
      </c>
      <c r="F35" s="199">
        <f t="shared" si="19"/>
        <v>991000</v>
      </c>
      <c r="G35" s="199">
        <f t="shared" si="19"/>
        <v>1067000</v>
      </c>
      <c r="H35" s="199">
        <f t="shared" si="19"/>
        <v>1142000</v>
      </c>
      <c r="I35" s="199">
        <f t="shared" si="19"/>
        <v>1216000</v>
      </c>
      <c r="J35" s="199">
        <f t="shared" si="19"/>
        <v>1283000</v>
      </c>
      <c r="K35" s="199">
        <f t="shared" si="19"/>
        <v>1345000</v>
      </c>
      <c r="L35" s="199">
        <f t="shared" si="19"/>
        <v>1405000</v>
      </c>
      <c r="M35" s="199">
        <f t="shared" si="19"/>
        <v>1485000</v>
      </c>
      <c r="N35" s="199">
        <f t="shared" si="19"/>
        <v>1599000</v>
      </c>
      <c r="O35" s="199">
        <f t="shared" si="19"/>
        <v>1631000</v>
      </c>
      <c r="P35" s="199">
        <f t="shared" si="19"/>
        <v>1683000</v>
      </c>
      <c r="Q35" s="199">
        <f t="shared" si="19"/>
        <v>1746000</v>
      </c>
      <c r="R35" s="199">
        <f t="shared" ref="R35:V42" si="20">ROUND(Q35*(1+Q$9)/1000,0)*1000</f>
        <v>1789000</v>
      </c>
      <c r="S35" s="199">
        <f t="shared" si="20"/>
        <v>1824000</v>
      </c>
      <c r="T35" s="199">
        <f t="shared" si="20"/>
        <v>1891000</v>
      </c>
      <c r="U35" s="199">
        <f t="shared" si="15"/>
        <v>2019000</v>
      </c>
      <c r="V35" s="199">
        <f t="shared" si="20"/>
        <v>2135000</v>
      </c>
      <c r="W35" s="199">
        <f t="shared" ref="W35:W38" si="21">ROUND(V35*(1+V$9)/1000,0)*1000</f>
        <v>2222000</v>
      </c>
      <c r="X35" s="199">
        <f t="shared" ref="X35:Y38" si="22">ROUND(W35*(1+W$9)/1000,0)*1000</f>
        <v>2293000</v>
      </c>
      <c r="Y35" s="199">
        <f t="shared" si="22"/>
        <v>2362000</v>
      </c>
    </row>
    <row r="36" spans="1:25">
      <c r="A36" s="1296"/>
      <c r="B36" s="204" t="s">
        <v>2497</v>
      </c>
      <c r="C36" s="199">
        <v>511000</v>
      </c>
      <c r="D36" s="199">
        <f t="shared" si="19"/>
        <v>596000</v>
      </c>
      <c r="E36" s="199">
        <f t="shared" si="19"/>
        <v>651000</v>
      </c>
      <c r="F36" s="199">
        <f t="shared" si="19"/>
        <v>708000</v>
      </c>
      <c r="G36" s="199">
        <f t="shared" si="19"/>
        <v>762000</v>
      </c>
      <c r="H36" s="199">
        <f t="shared" si="19"/>
        <v>815000</v>
      </c>
      <c r="I36" s="199">
        <f t="shared" si="19"/>
        <v>868000</v>
      </c>
      <c r="J36" s="199">
        <f t="shared" si="19"/>
        <v>916000</v>
      </c>
      <c r="K36" s="199">
        <f t="shared" si="19"/>
        <v>960000</v>
      </c>
      <c r="L36" s="199">
        <f t="shared" si="19"/>
        <v>1003000</v>
      </c>
      <c r="M36" s="199">
        <f t="shared" si="19"/>
        <v>1060000</v>
      </c>
      <c r="N36" s="199">
        <f t="shared" si="19"/>
        <v>1141000</v>
      </c>
      <c r="O36" s="199">
        <f t="shared" si="19"/>
        <v>1164000</v>
      </c>
      <c r="P36" s="199">
        <f t="shared" si="19"/>
        <v>1201000</v>
      </c>
      <c r="Q36" s="199">
        <f t="shared" si="19"/>
        <v>1246000</v>
      </c>
      <c r="R36" s="199">
        <f t="shared" si="20"/>
        <v>1276000</v>
      </c>
      <c r="S36" s="199">
        <f t="shared" si="20"/>
        <v>1301000</v>
      </c>
      <c r="T36" s="199">
        <f t="shared" si="20"/>
        <v>1349000</v>
      </c>
      <c r="U36" s="199">
        <f t="shared" si="20"/>
        <v>1440000</v>
      </c>
      <c r="V36" s="199">
        <f t="shared" si="20"/>
        <v>1523000</v>
      </c>
      <c r="W36" s="199">
        <f t="shared" si="21"/>
        <v>1585000</v>
      </c>
      <c r="X36" s="199">
        <f t="shared" si="22"/>
        <v>1635000</v>
      </c>
      <c r="Y36" s="199">
        <f t="shared" si="22"/>
        <v>1684000</v>
      </c>
    </row>
    <row r="37" spans="1:25">
      <c r="A37" s="1296"/>
      <c r="B37" s="204" t="s">
        <v>2498</v>
      </c>
      <c r="C37" s="199">
        <v>415000</v>
      </c>
      <c r="D37" s="199">
        <f t="shared" si="19"/>
        <v>484000</v>
      </c>
      <c r="E37" s="199">
        <f t="shared" si="19"/>
        <v>529000</v>
      </c>
      <c r="F37" s="199">
        <f t="shared" si="19"/>
        <v>575000</v>
      </c>
      <c r="G37" s="199">
        <f t="shared" si="19"/>
        <v>619000</v>
      </c>
      <c r="H37" s="199">
        <f t="shared" si="19"/>
        <v>662000</v>
      </c>
      <c r="I37" s="199">
        <f t="shared" si="19"/>
        <v>705000</v>
      </c>
      <c r="J37" s="199">
        <f t="shared" si="19"/>
        <v>744000</v>
      </c>
      <c r="K37" s="199">
        <f t="shared" si="19"/>
        <v>780000</v>
      </c>
      <c r="L37" s="199">
        <f t="shared" si="19"/>
        <v>815000</v>
      </c>
      <c r="M37" s="199">
        <f t="shared" si="19"/>
        <v>861000</v>
      </c>
      <c r="N37" s="199">
        <f t="shared" si="19"/>
        <v>927000</v>
      </c>
      <c r="O37" s="199">
        <f t="shared" si="19"/>
        <v>946000</v>
      </c>
      <c r="P37" s="199">
        <f t="shared" si="19"/>
        <v>976000</v>
      </c>
      <c r="Q37" s="199">
        <f t="shared" si="19"/>
        <v>1012000</v>
      </c>
      <c r="R37" s="199">
        <f t="shared" si="20"/>
        <v>1037000</v>
      </c>
      <c r="S37" s="199">
        <f t="shared" si="20"/>
        <v>1057000</v>
      </c>
      <c r="T37" s="199">
        <f t="shared" si="20"/>
        <v>1096000</v>
      </c>
      <c r="U37" s="199">
        <f t="shared" si="20"/>
        <v>1170000</v>
      </c>
      <c r="V37" s="199">
        <f t="shared" si="20"/>
        <v>1237000</v>
      </c>
      <c r="W37" s="199">
        <f t="shared" si="21"/>
        <v>1288000</v>
      </c>
      <c r="X37" s="199">
        <f t="shared" si="22"/>
        <v>1329000</v>
      </c>
      <c r="Y37" s="199">
        <f t="shared" si="22"/>
        <v>1369000</v>
      </c>
    </row>
    <row r="38" spans="1:25">
      <c r="A38" s="1296"/>
      <c r="B38" s="204" t="s">
        <v>2499</v>
      </c>
      <c r="C38" s="199">
        <v>345000</v>
      </c>
      <c r="D38" s="199">
        <f t="shared" si="19"/>
        <v>403000</v>
      </c>
      <c r="E38" s="199">
        <f t="shared" si="19"/>
        <v>440000</v>
      </c>
      <c r="F38" s="199">
        <f t="shared" si="19"/>
        <v>479000</v>
      </c>
      <c r="G38" s="199">
        <f t="shared" si="19"/>
        <v>516000</v>
      </c>
      <c r="H38" s="199">
        <f t="shared" si="19"/>
        <v>552000</v>
      </c>
      <c r="I38" s="199">
        <f t="shared" si="19"/>
        <v>588000</v>
      </c>
      <c r="J38" s="199">
        <f t="shared" si="19"/>
        <v>620000</v>
      </c>
      <c r="K38" s="199">
        <f t="shared" si="19"/>
        <v>650000</v>
      </c>
      <c r="L38" s="199">
        <f t="shared" si="19"/>
        <v>679000</v>
      </c>
      <c r="M38" s="199">
        <f t="shared" si="19"/>
        <v>718000</v>
      </c>
      <c r="N38" s="199">
        <f t="shared" si="19"/>
        <v>773000</v>
      </c>
      <c r="O38" s="199">
        <f t="shared" si="19"/>
        <v>788000</v>
      </c>
      <c r="P38" s="199">
        <f t="shared" si="19"/>
        <v>813000</v>
      </c>
      <c r="Q38" s="199">
        <f t="shared" si="19"/>
        <v>843000</v>
      </c>
      <c r="R38" s="199">
        <f t="shared" si="20"/>
        <v>864000</v>
      </c>
      <c r="S38" s="199">
        <f t="shared" si="20"/>
        <v>881000</v>
      </c>
      <c r="T38" s="199">
        <f t="shared" si="20"/>
        <v>913000</v>
      </c>
      <c r="U38" s="199">
        <f t="shared" si="20"/>
        <v>975000</v>
      </c>
      <c r="V38" s="199">
        <f t="shared" si="20"/>
        <v>1031000</v>
      </c>
      <c r="W38" s="199">
        <f t="shared" si="21"/>
        <v>1073000</v>
      </c>
      <c r="X38" s="199">
        <f t="shared" si="22"/>
        <v>1107000</v>
      </c>
      <c r="Y38" s="199">
        <f t="shared" si="22"/>
        <v>1140000</v>
      </c>
    </row>
    <row r="39" spans="1:25">
      <c r="A39" s="206"/>
      <c r="B39" s="205"/>
      <c r="C39" s="203"/>
      <c r="D39" s="203"/>
      <c r="E39" s="203"/>
      <c r="F39" s="203"/>
      <c r="G39" s="203"/>
      <c r="H39" s="203"/>
      <c r="I39" s="203"/>
      <c r="J39" s="203"/>
      <c r="K39" s="203"/>
      <c r="L39" s="203"/>
      <c r="M39" s="203"/>
      <c r="N39" s="203"/>
      <c r="O39" s="203"/>
      <c r="P39" s="203"/>
      <c r="Q39" s="203"/>
      <c r="R39" s="203"/>
      <c r="S39" s="203"/>
      <c r="T39" s="203"/>
      <c r="U39" s="203"/>
      <c r="V39" s="203"/>
      <c r="W39" s="203"/>
      <c r="X39" s="203"/>
      <c r="Y39" s="203"/>
    </row>
    <row r="40" spans="1:25" ht="12.75" customHeight="1">
      <c r="A40" s="1296" t="s">
        <v>2500</v>
      </c>
      <c r="B40" s="204" t="s">
        <v>2501</v>
      </c>
      <c r="C40" s="199">
        <v>477000</v>
      </c>
      <c r="D40" s="199">
        <f t="shared" ref="D40:Q42" si="23">ROUND(C40*(1+C$9)/1000,0)*1000</f>
        <v>557000</v>
      </c>
      <c r="E40" s="199">
        <f t="shared" si="23"/>
        <v>608000</v>
      </c>
      <c r="F40" s="199">
        <f t="shared" si="23"/>
        <v>661000</v>
      </c>
      <c r="G40" s="199">
        <f t="shared" si="23"/>
        <v>712000</v>
      </c>
      <c r="H40" s="199">
        <f t="shared" si="23"/>
        <v>762000</v>
      </c>
      <c r="I40" s="199">
        <f t="shared" si="23"/>
        <v>811000</v>
      </c>
      <c r="J40" s="199">
        <f t="shared" si="23"/>
        <v>856000</v>
      </c>
      <c r="K40" s="199">
        <f t="shared" si="23"/>
        <v>898000</v>
      </c>
      <c r="L40" s="199">
        <f t="shared" si="23"/>
        <v>938000</v>
      </c>
      <c r="M40" s="199">
        <f t="shared" si="23"/>
        <v>991000</v>
      </c>
      <c r="N40" s="199">
        <f t="shared" si="23"/>
        <v>1067000</v>
      </c>
      <c r="O40" s="199">
        <f t="shared" si="23"/>
        <v>1088000</v>
      </c>
      <c r="P40" s="199">
        <f t="shared" si="23"/>
        <v>1122000</v>
      </c>
      <c r="Q40" s="199">
        <f t="shared" si="23"/>
        <v>1164000</v>
      </c>
      <c r="R40" s="199">
        <f t="shared" ref="R40:V42" si="24">ROUND(Q40*(1+Q$9)/1000,0)*1000</f>
        <v>1192000</v>
      </c>
      <c r="S40" s="199">
        <f t="shared" si="24"/>
        <v>1215000</v>
      </c>
      <c r="T40" s="199">
        <f t="shared" si="24"/>
        <v>1259000</v>
      </c>
      <c r="U40" s="199">
        <f t="shared" si="20"/>
        <v>1344000</v>
      </c>
      <c r="V40" s="199">
        <f t="shared" si="24"/>
        <v>1421000</v>
      </c>
      <c r="W40" s="199">
        <f t="shared" ref="W40:W42" si="25">ROUND(V40*(1+V$9)/1000,0)*1000</f>
        <v>1479000</v>
      </c>
      <c r="X40" s="199">
        <f t="shared" ref="X40:Y42" si="26">ROUND(W40*(1+W$9)/1000,0)*1000</f>
        <v>1526000</v>
      </c>
      <c r="Y40" s="199">
        <f t="shared" si="26"/>
        <v>1572000</v>
      </c>
    </row>
    <row r="41" spans="1:25">
      <c r="A41" s="1296"/>
      <c r="B41" s="204" t="s">
        <v>2502</v>
      </c>
      <c r="C41" s="199">
        <v>415000</v>
      </c>
      <c r="D41" s="199">
        <f t="shared" si="23"/>
        <v>484000</v>
      </c>
      <c r="E41" s="199">
        <f t="shared" si="23"/>
        <v>529000</v>
      </c>
      <c r="F41" s="199">
        <f t="shared" si="23"/>
        <v>575000</v>
      </c>
      <c r="G41" s="199">
        <f t="shared" si="23"/>
        <v>619000</v>
      </c>
      <c r="H41" s="199">
        <f t="shared" si="23"/>
        <v>662000</v>
      </c>
      <c r="I41" s="199">
        <f t="shared" si="23"/>
        <v>705000</v>
      </c>
      <c r="J41" s="199">
        <f t="shared" si="23"/>
        <v>744000</v>
      </c>
      <c r="K41" s="199">
        <f t="shared" si="23"/>
        <v>780000</v>
      </c>
      <c r="L41" s="199">
        <f t="shared" si="23"/>
        <v>815000</v>
      </c>
      <c r="M41" s="199">
        <f t="shared" si="23"/>
        <v>861000</v>
      </c>
      <c r="N41" s="199">
        <f t="shared" si="23"/>
        <v>927000</v>
      </c>
      <c r="O41" s="199">
        <f t="shared" si="23"/>
        <v>946000</v>
      </c>
      <c r="P41" s="199">
        <f t="shared" si="23"/>
        <v>976000</v>
      </c>
      <c r="Q41" s="199">
        <f t="shared" si="23"/>
        <v>1012000</v>
      </c>
      <c r="R41" s="199">
        <f t="shared" si="24"/>
        <v>1037000</v>
      </c>
      <c r="S41" s="199">
        <f t="shared" si="24"/>
        <v>1057000</v>
      </c>
      <c r="T41" s="199">
        <f t="shared" si="24"/>
        <v>1096000</v>
      </c>
      <c r="U41" s="199">
        <f t="shared" si="20"/>
        <v>1170000</v>
      </c>
      <c r="V41" s="199">
        <f t="shared" si="24"/>
        <v>1237000</v>
      </c>
      <c r="W41" s="199">
        <f t="shared" si="25"/>
        <v>1288000</v>
      </c>
      <c r="X41" s="199">
        <f t="shared" si="26"/>
        <v>1329000</v>
      </c>
      <c r="Y41" s="199">
        <f t="shared" si="26"/>
        <v>1369000</v>
      </c>
    </row>
    <row r="42" spans="1:25">
      <c r="A42" s="1296"/>
      <c r="B42" s="204" t="s">
        <v>2503</v>
      </c>
      <c r="C42" s="199">
        <v>345000</v>
      </c>
      <c r="D42" s="199">
        <f t="shared" si="23"/>
        <v>403000</v>
      </c>
      <c r="E42" s="199">
        <f t="shared" si="23"/>
        <v>440000</v>
      </c>
      <c r="F42" s="199">
        <f t="shared" si="23"/>
        <v>479000</v>
      </c>
      <c r="G42" s="199">
        <f t="shared" si="23"/>
        <v>516000</v>
      </c>
      <c r="H42" s="199">
        <f t="shared" si="23"/>
        <v>552000</v>
      </c>
      <c r="I42" s="199">
        <f t="shared" si="23"/>
        <v>588000</v>
      </c>
      <c r="J42" s="199">
        <f t="shared" si="23"/>
        <v>620000</v>
      </c>
      <c r="K42" s="199">
        <f t="shared" si="23"/>
        <v>650000</v>
      </c>
      <c r="L42" s="199">
        <f t="shared" si="23"/>
        <v>679000</v>
      </c>
      <c r="M42" s="199">
        <f t="shared" si="23"/>
        <v>718000</v>
      </c>
      <c r="N42" s="199">
        <f t="shared" si="23"/>
        <v>773000</v>
      </c>
      <c r="O42" s="199">
        <f t="shared" si="23"/>
        <v>788000</v>
      </c>
      <c r="P42" s="199">
        <f t="shared" si="23"/>
        <v>813000</v>
      </c>
      <c r="Q42" s="199">
        <f t="shared" si="23"/>
        <v>843000</v>
      </c>
      <c r="R42" s="199">
        <f t="shared" si="24"/>
        <v>864000</v>
      </c>
      <c r="S42" s="199">
        <f t="shared" si="24"/>
        <v>881000</v>
      </c>
      <c r="T42" s="199">
        <f t="shared" si="24"/>
        <v>913000</v>
      </c>
      <c r="U42" s="199">
        <f t="shared" si="20"/>
        <v>975000</v>
      </c>
      <c r="V42" s="199">
        <f t="shared" si="24"/>
        <v>1031000</v>
      </c>
      <c r="W42" s="199">
        <f t="shared" si="25"/>
        <v>1073000</v>
      </c>
      <c r="X42" s="199">
        <f t="shared" si="26"/>
        <v>1107000</v>
      </c>
      <c r="Y42" s="199">
        <f t="shared" si="26"/>
        <v>1140000</v>
      </c>
    </row>
    <row r="43" spans="1:25">
      <c r="A43" s="241"/>
      <c r="B43" s="216"/>
      <c r="C43" s="207"/>
      <c r="D43" s="207"/>
      <c r="E43" s="208"/>
      <c r="F43" s="208"/>
      <c r="G43" s="208"/>
      <c r="H43" s="208"/>
      <c r="I43" s="208"/>
      <c r="J43" s="208"/>
      <c r="K43" s="208"/>
      <c r="L43" s="208"/>
      <c r="M43" s="207"/>
      <c r="N43" s="207"/>
      <c r="O43" s="207"/>
      <c r="P43" s="207"/>
      <c r="Q43" s="207"/>
      <c r="R43" s="207"/>
      <c r="S43" s="207"/>
      <c r="T43" s="207"/>
      <c r="U43" s="207"/>
      <c r="V43" s="207"/>
      <c r="W43" s="207"/>
      <c r="X43" s="207"/>
      <c r="Y43" s="207"/>
    </row>
    <row r="44" spans="1:25">
      <c r="A44" s="1300" t="s">
        <v>2504</v>
      </c>
      <c r="B44" s="209" t="s">
        <v>2505</v>
      </c>
      <c r="C44" s="210"/>
      <c r="D44" s="211"/>
      <c r="E44" s="211"/>
      <c r="F44" s="211"/>
      <c r="G44" s="211"/>
      <c r="H44" s="211"/>
      <c r="I44" s="211"/>
      <c r="J44" s="211"/>
      <c r="K44" s="211"/>
      <c r="L44" s="211"/>
      <c r="M44" s="210"/>
      <c r="N44" s="210"/>
      <c r="O44" s="210"/>
      <c r="P44" s="210"/>
      <c r="Q44" s="210"/>
      <c r="R44" s="210"/>
      <c r="S44" s="210"/>
      <c r="T44" s="210"/>
      <c r="U44" s="210"/>
      <c r="V44" s="210"/>
      <c r="W44" s="210"/>
      <c r="X44" s="210"/>
      <c r="Y44" s="210"/>
    </row>
    <row r="45" spans="1:25">
      <c r="A45" s="1300"/>
      <c r="B45" s="212" t="s">
        <v>2506</v>
      </c>
      <c r="C45" s="199">
        <v>60000</v>
      </c>
      <c r="D45" s="199">
        <f t="shared" ref="D45:Q46" si="27">ROUND(C45*(1+C$9)/1000,0)*1000</f>
        <v>70000</v>
      </c>
      <c r="E45" s="199">
        <f t="shared" si="27"/>
        <v>76000</v>
      </c>
      <c r="F45" s="199">
        <f t="shared" si="27"/>
        <v>83000</v>
      </c>
      <c r="G45" s="199">
        <f t="shared" si="27"/>
        <v>89000</v>
      </c>
      <c r="H45" s="199">
        <f t="shared" si="27"/>
        <v>95000</v>
      </c>
      <c r="I45" s="199">
        <f t="shared" si="27"/>
        <v>101000</v>
      </c>
      <c r="J45" s="199">
        <f t="shared" si="27"/>
        <v>107000</v>
      </c>
      <c r="K45" s="199">
        <f t="shared" si="27"/>
        <v>112000</v>
      </c>
      <c r="L45" s="199">
        <f t="shared" si="27"/>
        <v>117000</v>
      </c>
      <c r="M45" s="199">
        <f t="shared" si="27"/>
        <v>124000</v>
      </c>
      <c r="N45" s="199">
        <f t="shared" si="27"/>
        <v>134000</v>
      </c>
      <c r="O45" s="199">
        <f t="shared" si="27"/>
        <v>137000</v>
      </c>
      <c r="P45" s="199">
        <f t="shared" si="27"/>
        <v>141000</v>
      </c>
      <c r="Q45" s="199">
        <f t="shared" si="27"/>
        <v>146000</v>
      </c>
      <c r="R45" s="199">
        <f t="shared" ref="R45:V46" si="28">ROUND(Q45*(1+Q$9)/1000,0)*1000</f>
        <v>150000</v>
      </c>
      <c r="S45" s="199">
        <f t="shared" si="28"/>
        <v>153000</v>
      </c>
      <c r="T45" s="199">
        <f t="shared" si="28"/>
        <v>159000</v>
      </c>
      <c r="U45" s="199">
        <f t="shared" si="28"/>
        <v>170000</v>
      </c>
      <c r="V45" s="199">
        <f t="shared" si="28"/>
        <v>180000</v>
      </c>
      <c r="W45" s="199">
        <f t="shared" ref="W45:W46" si="29">ROUND(V45*(1+V$9)/1000,0)*1000</f>
        <v>187000</v>
      </c>
      <c r="X45" s="199">
        <f t="shared" ref="X45:Y46" si="30">ROUND(W45*(1+W$9)/1000,0)*1000</f>
        <v>193000</v>
      </c>
      <c r="Y45" s="199">
        <f t="shared" si="30"/>
        <v>199000</v>
      </c>
    </row>
    <row r="46" spans="1:25">
      <c r="A46" s="1300"/>
      <c r="B46" s="212" t="s">
        <v>2507</v>
      </c>
      <c r="C46" s="199">
        <f>C45*30</f>
        <v>1800000</v>
      </c>
      <c r="D46" s="199">
        <f t="shared" si="27"/>
        <v>2101000</v>
      </c>
      <c r="E46" s="199">
        <f t="shared" si="27"/>
        <v>2295000</v>
      </c>
      <c r="F46" s="199">
        <f t="shared" si="27"/>
        <v>2496000</v>
      </c>
      <c r="G46" s="199">
        <f t="shared" si="27"/>
        <v>2687000</v>
      </c>
      <c r="H46" s="199">
        <f t="shared" si="27"/>
        <v>2875000</v>
      </c>
      <c r="I46" s="199">
        <f t="shared" si="27"/>
        <v>3062000</v>
      </c>
      <c r="J46" s="199">
        <f t="shared" si="27"/>
        <v>3230000</v>
      </c>
      <c r="K46" s="199">
        <f t="shared" si="27"/>
        <v>3387000</v>
      </c>
      <c r="L46" s="199">
        <f t="shared" si="27"/>
        <v>3539000</v>
      </c>
      <c r="M46" s="199">
        <f t="shared" si="27"/>
        <v>3740000</v>
      </c>
      <c r="N46" s="199">
        <f t="shared" si="27"/>
        <v>4027000</v>
      </c>
      <c r="O46" s="199">
        <f t="shared" si="27"/>
        <v>4108000</v>
      </c>
      <c r="P46" s="199">
        <f t="shared" si="27"/>
        <v>4238000</v>
      </c>
      <c r="Q46" s="199">
        <f t="shared" si="27"/>
        <v>4396000</v>
      </c>
      <c r="R46" s="199">
        <f t="shared" si="28"/>
        <v>4503000</v>
      </c>
      <c r="S46" s="199">
        <f t="shared" si="28"/>
        <v>4590000</v>
      </c>
      <c r="T46" s="199">
        <f t="shared" si="28"/>
        <v>4758000</v>
      </c>
      <c r="U46" s="199">
        <f t="shared" si="28"/>
        <v>5080000</v>
      </c>
      <c r="V46" s="199">
        <f t="shared" si="28"/>
        <v>5372000</v>
      </c>
      <c r="W46" s="199">
        <f t="shared" si="29"/>
        <v>5592000</v>
      </c>
      <c r="X46" s="199">
        <f t="shared" si="30"/>
        <v>5770000</v>
      </c>
      <c r="Y46" s="199">
        <f t="shared" si="30"/>
        <v>5944000</v>
      </c>
    </row>
    <row r="47" spans="1:25">
      <c r="A47" s="1300"/>
      <c r="B47" s="209" t="s">
        <v>2508</v>
      </c>
      <c r="C47" s="213"/>
      <c r="D47" s="203"/>
      <c r="E47" s="201"/>
      <c r="F47" s="201"/>
      <c r="G47" s="201"/>
      <c r="H47" s="201"/>
      <c r="I47" s="201"/>
      <c r="J47" s="201"/>
      <c r="K47" s="203"/>
      <c r="L47" s="203"/>
      <c r="M47" s="203"/>
      <c r="N47" s="203"/>
      <c r="O47" s="203"/>
      <c r="P47" s="203"/>
      <c r="Q47" s="203"/>
      <c r="R47" s="203"/>
      <c r="S47" s="203"/>
      <c r="T47" s="203"/>
      <c r="U47" s="199"/>
      <c r="V47" s="203"/>
      <c r="W47" s="203"/>
      <c r="X47" s="203"/>
      <c r="Y47" s="203"/>
    </row>
    <row r="48" spans="1:25">
      <c r="A48" s="1300"/>
      <c r="B48" s="212" t="s">
        <v>2506</v>
      </c>
      <c r="C48" s="199">
        <v>86000</v>
      </c>
      <c r="D48" s="199">
        <f t="shared" ref="D48:Q49" si="31">ROUND(C48*(1+C$9)/1000,0)*1000</f>
        <v>100000</v>
      </c>
      <c r="E48" s="199">
        <f t="shared" si="31"/>
        <v>109000</v>
      </c>
      <c r="F48" s="199">
        <f t="shared" si="31"/>
        <v>119000</v>
      </c>
      <c r="G48" s="199">
        <f t="shared" si="31"/>
        <v>128000</v>
      </c>
      <c r="H48" s="199">
        <f t="shared" si="31"/>
        <v>137000</v>
      </c>
      <c r="I48" s="199">
        <f t="shared" si="31"/>
        <v>146000</v>
      </c>
      <c r="J48" s="199">
        <f t="shared" si="31"/>
        <v>154000</v>
      </c>
      <c r="K48" s="199">
        <f t="shared" si="31"/>
        <v>161000</v>
      </c>
      <c r="L48" s="199">
        <f t="shared" si="31"/>
        <v>168000</v>
      </c>
      <c r="M48" s="199">
        <f t="shared" si="31"/>
        <v>178000</v>
      </c>
      <c r="N48" s="199">
        <f t="shared" si="31"/>
        <v>192000</v>
      </c>
      <c r="O48" s="199">
        <f t="shared" si="31"/>
        <v>196000</v>
      </c>
      <c r="P48" s="199">
        <f t="shared" si="31"/>
        <v>202000</v>
      </c>
      <c r="Q48" s="199">
        <f t="shared" si="31"/>
        <v>210000</v>
      </c>
      <c r="R48" s="199">
        <f t="shared" ref="R48:V49" si="32">ROUND(Q48*(1+Q$9)/1000,0)*1000</f>
        <v>215000</v>
      </c>
      <c r="S48" s="199">
        <f t="shared" si="32"/>
        <v>219000</v>
      </c>
      <c r="T48" s="199">
        <f t="shared" si="32"/>
        <v>227000</v>
      </c>
      <c r="U48" s="199">
        <f>ROUND(T48*(1+T$9)/1000,0)*1000</f>
        <v>242000</v>
      </c>
      <c r="V48" s="199">
        <f t="shared" si="32"/>
        <v>256000</v>
      </c>
      <c r="W48" s="199">
        <f t="shared" ref="W48:W49" si="33">ROUND(V48*(1+V$9)/1000,0)*1000</f>
        <v>266000</v>
      </c>
      <c r="X48" s="199">
        <f t="shared" ref="X48:Y49" si="34">ROUND(W48*(1+W$9)/1000,0)*1000</f>
        <v>274000</v>
      </c>
      <c r="Y48" s="199">
        <f t="shared" si="34"/>
        <v>282000</v>
      </c>
    </row>
    <row r="49" spans="1:25">
      <c r="A49" s="1300"/>
      <c r="B49" s="212" t="s">
        <v>2507</v>
      </c>
      <c r="C49" s="199">
        <v>2580000</v>
      </c>
      <c r="D49" s="199">
        <f t="shared" si="31"/>
        <v>3011000</v>
      </c>
      <c r="E49" s="199">
        <f t="shared" si="31"/>
        <v>3289000</v>
      </c>
      <c r="F49" s="199">
        <f t="shared" si="31"/>
        <v>3577000</v>
      </c>
      <c r="G49" s="199">
        <f t="shared" si="31"/>
        <v>3851000</v>
      </c>
      <c r="H49" s="199">
        <f t="shared" si="31"/>
        <v>4120000</v>
      </c>
      <c r="I49" s="199">
        <f t="shared" si="31"/>
        <v>4387000</v>
      </c>
      <c r="J49" s="199">
        <f t="shared" si="31"/>
        <v>4628000</v>
      </c>
      <c r="K49" s="199">
        <f t="shared" si="31"/>
        <v>4852000</v>
      </c>
      <c r="L49" s="199">
        <f t="shared" si="31"/>
        <v>5069000</v>
      </c>
      <c r="M49" s="199">
        <f t="shared" si="31"/>
        <v>5357000</v>
      </c>
      <c r="N49" s="199">
        <f t="shared" si="31"/>
        <v>5768000</v>
      </c>
      <c r="O49" s="199">
        <f t="shared" si="31"/>
        <v>5883000</v>
      </c>
      <c r="P49" s="199">
        <f t="shared" si="31"/>
        <v>6069000</v>
      </c>
      <c r="Q49" s="199">
        <f t="shared" si="31"/>
        <v>6295000</v>
      </c>
      <c r="R49" s="199">
        <f t="shared" si="32"/>
        <v>6449000</v>
      </c>
      <c r="S49" s="199">
        <f t="shared" si="32"/>
        <v>6574000</v>
      </c>
      <c r="T49" s="199">
        <f t="shared" si="32"/>
        <v>6815000</v>
      </c>
      <c r="U49" s="199">
        <f>ROUND(T49*(1+T$9)/1000,0)*1000</f>
        <v>7276000</v>
      </c>
      <c r="V49" s="199">
        <f t="shared" si="32"/>
        <v>7694000</v>
      </c>
      <c r="W49" s="199">
        <f t="shared" si="33"/>
        <v>8009000</v>
      </c>
      <c r="X49" s="199">
        <f t="shared" si="34"/>
        <v>8264000</v>
      </c>
      <c r="Y49" s="199">
        <f t="shared" si="34"/>
        <v>8513000</v>
      </c>
    </row>
    <row r="50" spans="1:25">
      <c r="C50" s="213"/>
      <c r="D50" s="203"/>
      <c r="E50" s="201"/>
      <c r="F50" s="201"/>
      <c r="G50" s="201"/>
      <c r="H50" s="201"/>
      <c r="I50" s="201"/>
      <c r="J50" s="201"/>
      <c r="K50" s="203"/>
      <c r="L50" s="203"/>
      <c r="M50" s="203"/>
      <c r="N50" s="203"/>
      <c r="O50" s="203"/>
      <c r="P50" s="203"/>
      <c r="Q50" s="203"/>
      <c r="R50" s="203"/>
      <c r="S50" s="203"/>
      <c r="T50" s="203"/>
      <c r="U50" s="199"/>
      <c r="V50" s="203"/>
      <c r="W50" s="203"/>
      <c r="X50" s="203"/>
      <c r="Y50" s="203"/>
    </row>
    <row r="51" spans="1:25">
      <c r="A51" s="1295" t="s">
        <v>2509</v>
      </c>
      <c r="B51" s="212" t="s">
        <v>2506</v>
      </c>
      <c r="C51" s="199">
        <v>117000</v>
      </c>
      <c r="D51" s="199">
        <f t="shared" ref="D51:Q52" si="35">ROUND(C51*(1+C$9)/1000,0)*1000</f>
        <v>137000</v>
      </c>
      <c r="E51" s="199">
        <f t="shared" si="35"/>
        <v>150000</v>
      </c>
      <c r="F51" s="199">
        <f t="shared" si="35"/>
        <v>163000</v>
      </c>
      <c r="G51" s="199">
        <f t="shared" si="35"/>
        <v>175000</v>
      </c>
      <c r="H51" s="199">
        <f t="shared" si="35"/>
        <v>187000</v>
      </c>
      <c r="I51" s="199">
        <f t="shared" si="35"/>
        <v>199000</v>
      </c>
      <c r="J51" s="199">
        <f t="shared" si="35"/>
        <v>210000</v>
      </c>
      <c r="K51" s="199">
        <f t="shared" si="35"/>
        <v>220000</v>
      </c>
      <c r="L51" s="199">
        <f t="shared" si="35"/>
        <v>230000</v>
      </c>
      <c r="M51" s="199">
        <f t="shared" si="35"/>
        <v>243000</v>
      </c>
      <c r="N51" s="199">
        <f t="shared" si="35"/>
        <v>262000</v>
      </c>
      <c r="O51" s="199">
        <f t="shared" si="35"/>
        <v>267000</v>
      </c>
      <c r="P51" s="199">
        <f t="shared" si="35"/>
        <v>275000</v>
      </c>
      <c r="Q51" s="199">
        <f t="shared" si="35"/>
        <v>285000</v>
      </c>
      <c r="R51" s="199">
        <f t="shared" ref="R51:V52" si="36">ROUND(Q51*(1+Q$9)/1000,0)*1000</f>
        <v>292000</v>
      </c>
      <c r="S51" s="199">
        <f t="shared" si="36"/>
        <v>298000</v>
      </c>
      <c r="T51" s="199">
        <f t="shared" si="36"/>
        <v>309000</v>
      </c>
      <c r="U51" s="199">
        <f>ROUND(T51*(1+T$9)/1000,0)*1000</f>
        <v>330000</v>
      </c>
      <c r="V51" s="199">
        <f t="shared" si="36"/>
        <v>349000</v>
      </c>
      <c r="W51" s="199">
        <f t="shared" ref="W51:W52" si="37">ROUND(V51*(1+V$9)/1000,0)*1000</f>
        <v>363000</v>
      </c>
      <c r="X51" s="199">
        <f t="shared" ref="X51:Y52" si="38">ROUND(W51*(1+W$9)/1000,0)*1000</f>
        <v>375000</v>
      </c>
      <c r="Y51" s="199">
        <f t="shared" si="38"/>
        <v>386000</v>
      </c>
    </row>
    <row r="52" spans="1:25">
      <c r="A52" s="1295"/>
      <c r="B52" s="212" t="s">
        <v>2507</v>
      </c>
      <c r="C52" s="199">
        <v>3510000</v>
      </c>
      <c r="D52" s="199">
        <f t="shared" si="35"/>
        <v>4096000</v>
      </c>
      <c r="E52" s="199">
        <f t="shared" si="35"/>
        <v>4474000</v>
      </c>
      <c r="F52" s="199">
        <f t="shared" si="35"/>
        <v>4865000</v>
      </c>
      <c r="G52" s="199">
        <f t="shared" si="35"/>
        <v>5237000</v>
      </c>
      <c r="H52" s="199">
        <f t="shared" si="35"/>
        <v>5603000</v>
      </c>
      <c r="I52" s="199">
        <f t="shared" si="35"/>
        <v>5967000</v>
      </c>
      <c r="J52" s="199">
        <f t="shared" si="35"/>
        <v>6295000</v>
      </c>
      <c r="K52" s="199">
        <f t="shared" si="35"/>
        <v>6600000</v>
      </c>
      <c r="L52" s="199">
        <f t="shared" si="35"/>
        <v>6896000</v>
      </c>
      <c r="M52" s="199">
        <f t="shared" si="35"/>
        <v>7288000</v>
      </c>
      <c r="N52" s="199">
        <f t="shared" si="35"/>
        <v>7847000</v>
      </c>
      <c r="O52" s="199">
        <f t="shared" si="35"/>
        <v>8004000</v>
      </c>
      <c r="P52" s="199">
        <f t="shared" si="35"/>
        <v>8258000</v>
      </c>
      <c r="Q52" s="199">
        <f t="shared" si="35"/>
        <v>8566000</v>
      </c>
      <c r="R52" s="199">
        <f t="shared" si="36"/>
        <v>8775000</v>
      </c>
      <c r="S52" s="199">
        <f t="shared" si="36"/>
        <v>8945000</v>
      </c>
      <c r="T52" s="199">
        <f t="shared" si="36"/>
        <v>9272000</v>
      </c>
      <c r="U52" s="199">
        <f>ROUND(T52*(1+T$9)/1000,0)*1000</f>
        <v>9900000</v>
      </c>
      <c r="V52" s="199">
        <f t="shared" si="36"/>
        <v>10469000</v>
      </c>
      <c r="W52" s="199">
        <f t="shared" si="37"/>
        <v>10897000</v>
      </c>
      <c r="X52" s="199">
        <f t="shared" si="38"/>
        <v>11244000</v>
      </c>
      <c r="Y52" s="199">
        <f t="shared" si="38"/>
        <v>11582000</v>
      </c>
    </row>
    <row r="53" spans="1:25">
      <c r="A53" s="215"/>
      <c r="B53" s="216"/>
      <c r="C53" s="203"/>
      <c r="D53" s="203"/>
      <c r="E53" s="201"/>
      <c r="F53" s="201"/>
      <c r="G53" s="201"/>
      <c r="H53" s="201"/>
      <c r="I53" s="201"/>
      <c r="J53" s="201"/>
      <c r="K53" s="203"/>
      <c r="L53" s="203"/>
      <c r="M53" s="203"/>
      <c r="N53" s="203"/>
      <c r="O53" s="203"/>
      <c r="P53" s="203"/>
      <c r="Q53" s="203"/>
      <c r="R53" s="203"/>
      <c r="S53" s="203"/>
      <c r="T53" s="203"/>
      <c r="U53" s="199"/>
      <c r="V53" s="203"/>
      <c r="W53" s="203"/>
      <c r="X53" s="203"/>
      <c r="Y53" s="203"/>
    </row>
    <row r="54" spans="1:25" ht="48" customHeight="1">
      <c r="A54" s="1293" t="s">
        <v>2510</v>
      </c>
      <c r="B54" s="204" t="s">
        <v>2506</v>
      </c>
      <c r="C54" s="199">
        <v>34000</v>
      </c>
      <c r="D54" s="199">
        <f t="shared" ref="D54:Q55" si="39">ROUND(C54*(1+C$9)/1000,0)*1000</f>
        <v>40000</v>
      </c>
      <c r="E54" s="199">
        <f t="shared" si="39"/>
        <v>44000</v>
      </c>
      <c r="F54" s="199">
        <f t="shared" si="39"/>
        <v>48000</v>
      </c>
      <c r="G54" s="199">
        <f t="shared" si="39"/>
        <v>52000</v>
      </c>
      <c r="H54" s="199">
        <f t="shared" si="39"/>
        <v>56000</v>
      </c>
      <c r="I54" s="199">
        <f t="shared" si="39"/>
        <v>60000</v>
      </c>
      <c r="J54" s="199">
        <f t="shared" si="39"/>
        <v>63000</v>
      </c>
      <c r="K54" s="199">
        <f t="shared" si="39"/>
        <v>66000</v>
      </c>
      <c r="L54" s="199">
        <f t="shared" si="39"/>
        <v>69000</v>
      </c>
      <c r="M54" s="199">
        <f t="shared" si="39"/>
        <v>73000</v>
      </c>
      <c r="N54" s="199">
        <f t="shared" si="39"/>
        <v>79000</v>
      </c>
      <c r="O54" s="199">
        <f t="shared" si="39"/>
        <v>81000</v>
      </c>
      <c r="P54" s="199">
        <f t="shared" si="39"/>
        <v>84000</v>
      </c>
      <c r="Q54" s="199">
        <f t="shared" si="39"/>
        <v>87000</v>
      </c>
      <c r="R54" s="199">
        <f t="shared" ref="R54:V55" si="40">ROUND(Q54*(1+Q$9)/1000,0)*1000</f>
        <v>89000</v>
      </c>
      <c r="S54" s="199">
        <f t="shared" si="40"/>
        <v>91000</v>
      </c>
      <c r="T54" s="199">
        <f t="shared" si="40"/>
        <v>94000</v>
      </c>
      <c r="U54" s="199">
        <f>ROUND(T54*(1+T$9)/1000,0)*1000</f>
        <v>100000</v>
      </c>
      <c r="V54" s="199">
        <f t="shared" si="40"/>
        <v>106000</v>
      </c>
      <c r="W54" s="199">
        <f t="shared" ref="W54:W55" si="41">ROUND(V54*(1+V$9)/1000,0)*1000</f>
        <v>110000</v>
      </c>
      <c r="X54" s="199">
        <f t="shared" ref="X54:Y55" si="42">ROUND(W54*(1+W$9)/1000,0)*1000</f>
        <v>113000</v>
      </c>
      <c r="Y54" s="199">
        <f t="shared" si="42"/>
        <v>116000</v>
      </c>
    </row>
    <row r="55" spans="1:25" ht="48" customHeight="1">
      <c r="A55" s="1293"/>
      <c r="B55" s="204" t="s">
        <v>2507</v>
      </c>
      <c r="C55" s="199">
        <v>1020000</v>
      </c>
      <c r="D55" s="199">
        <f t="shared" si="39"/>
        <v>1190000</v>
      </c>
      <c r="E55" s="199">
        <f t="shared" si="39"/>
        <v>1300000</v>
      </c>
      <c r="F55" s="199">
        <f t="shared" si="39"/>
        <v>1414000</v>
      </c>
      <c r="G55" s="199">
        <f t="shared" si="39"/>
        <v>1522000</v>
      </c>
      <c r="H55" s="199">
        <f t="shared" si="39"/>
        <v>1628000</v>
      </c>
      <c r="I55" s="199">
        <f t="shared" si="39"/>
        <v>1734000</v>
      </c>
      <c r="J55" s="199">
        <f t="shared" si="39"/>
        <v>1829000</v>
      </c>
      <c r="K55" s="199">
        <f t="shared" si="39"/>
        <v>1918000</v>
      </c>
      <c r="L55" s="199">
        <f t="shared" si="39"/>
        <v>2004000</v>
      </c>
      <c r="M55" s="199">
        <f t="shared" si="39"/>
        <v>2118000</v>
      </c>
      <c r="N55" s="199">
        <f t="shared" si="39"/>
        <v>2280000</v>
      </c>
      <c r="O55" s="199">
        <f t="shared" si="39"/>
        <v>2326000</v>
      </c>
      <c r="P55" s="199">
        <f t="shared" si="39"/>
        <v>2400000</v>
      </c>
      <c r="Q55" s="199">
        <f t="shared" si="39"/>
        <v>2490000</v>
      </c>
      <c r="R55" s="199">
        <f t="shared" si="40"/>
        <v>2551000</v>
      </c>
      <c r="S55" s="199">
        <f t="shared" si="40"/>
        <v>2600000</v>
      </c>
      <c r="T55" s="199">
        <f t="shared" si="40"/>
        <v>2695000</v>
      </c>
      <c r="U55" s="199">
        <f>ROUND(T55*(1+T$9)/1000,0)*1000</f>
        <v>2877000</v>
      </c>
      <c r="V55" s="199">
        <f t="shared" si="40"/>
        <v>3042000</v>
      </c>
      <c r="W55" s="199">
        <f t="shared" si="41"/>
        <v>3166000</v>
      </c>
      <c r="X55" s="199">
        <f t="shared" si="42"/>
        <v>3267000</v>
      </c>
      <c r="Y55" s="199">
        <f t="shared" si="42"/>
        <v>3365000</v>
      </c>
    </row>
    <row r="56" spans="1:25">
      <c r="A56" s="217"/>
      <c r="B56" s="205"/>
      <c r="C56" s="193"/>
      <c r="D56" s="193"/>
      <c r="E56" s="193"/>
      <c r="F56" s="193"/>
      <c r="G56" s="193"/>
      <c r="H56" s="193"/>
      <c r="I56" s="193"/>
      <c r="J56" s="193"/>
      <c r="K56" s="193"/>
      <c r="L56" s="193"/>
      <c r="M56" s="203"/>
      <c r="N56" s="203"/>
      <c r="O56" s="203"/>
      <c r="P56" s="203"/>
      <c r="Q56" s="203"/>
      <c r="R56" s="203"/>
      <c r="S56" s="203"/>
      <c r="T56" s="203"/>
      <c r="U56" s="199"/>
      <c r="V56" s="203"/>
      <c r="W56" s="203"/>
      <c r="X56" s="203"/>
      <c r="Y56" s="203"/>
    </row>
    <row r="57" spans="1:25">
      <c r="A57" s="1293" t="s">
        <v>2511</v>
      </c>
      <c r="B57" s="204" t="s">
        <v>2506</v>
      </c>
      <c r="C57" s="199">
        <v>53000</v>
      </c>
      <c r="D57" s="199">
        <f t="shared" ref="D57:Q58" si="43">ROUND(C57*(1+C$9)/1000,0)*1000</f>
        <v>62000</v>
      </c>
      <c r="E57" s="199">
        <f t="shared" si="43"/>
        <v>68000</v>
      </c>
      <c r="F57" s="199">
        <f t="shared" si="43"/>
        <v>74000</v>
      </c>
      <c r="G57" s="199">
        <f t="shared" si="43"/>
        <v>80000</v>
      </c>
      <c r="H57" s="199">
        <f t="shared" si="43"/>
        <v>86000</v>
      </c>
      <c r="I57" s="199">
        <f t="shared" si="43"/>
        <v>92000</v>
      </c>
      <c r="J57" s="199">
        <f t="shared" si="43"/>
        <v>97000</v>
      </c>
      <c r="K57" s="199">
        <f t="shared" si="43"/>
        <v>102000</v>
      </c>
      <c r="L57" s="199">
        <f t="shared" si="43"/>
        <v>107000</v>
      </c>
      <c r="M57" s="199">
        <f t="shared" si="43"/>
        <v>113000</v>
      </c>
      <c r="N57" s="199">
        <f t="shared" si="43"/>
        <v>122000</v>
      </c>
      <c r="O57" s="199">
        <f t="shared" si="43"/>
        <v>124000</v>
      </c>
      <c r="P57" s="199">
        <f t="shared" si="43"/>
        <v>128000</v>
      </c>
      <c r="Q57" s="199">
        <f t="shared" si="43"/>
        <v>133000</v>
      </c>
      <c r="R57" s="199">
        <f t="shared" ref="R57:V58" si="44">ROUND(Q57*(1+Q$9)/1000,0)*1000</f>
        <v>136000</v>
      </c>
      <c r="S57" s="199">
        <f t="shared" si="44"/>
        <v>139000</v>
      </c>
      <c r="T57" s="199">
        <f t="shared" si="44"/>
        <v>144000</v>
      </c>
      <c r="U57" s="199">
        <f>ROUND(T57*(1+T$9)/1000,0)*1000</f>
        <v>154000</v>
      </c>
      <c r="V57" s="199">
        <f t="shared" si="44"/>
        <v>163000</v>
      </c>
      <c r="W57" s="199">
        <f t="shared" ref="W57:W58" si="45">ROUND(V57*(1+V$9)/1000,0)*1000</f>
        <v>170000</v>
      </c>
      <c r="X57" s="199">
        <f t="shared" ref="X57:Y58" si="46">ROUND(W57*(1+W$9)/1000,0)*1000</f>
        <v>175000</v>
      </c>
      <c r="Y57" s="199">
        <f t="shared" si="46"/>
        <v>180000</v>
      </c>
    </row>
    <row r="58" spans="1:25">
      <c r="A58" s="1293"/>
      <c r="B58" s="204" t="s">
        <v>2507</v>
      </c>
      <c r="C58" s="199">
        <v>1590000</v>
      </c>
      <c r="D58" s="199">
        <f t="shared" si="43"/>
        <v>1856000</v>
      </c>
      <c r="E58" s="199">
        <f t="shared" si="43"/>
        <v>2027000</v>
      </c>
      <c r="F58" s="199">
        <f t="shared" si="43"/>
        <v>2204000</v>
      </c>
      <c r="G58" s="199">
        <f t="shared" si="43"/>
        <v>2373000</v>
      </c>
      <c r="H58" s="199">
        <f t="shared" si="43"/>
        <v>2539000</v>
      </c>
      <c r="I58" s="199">
        <f t="shared" si="43"/>
        <v>2704000</v>
      </c>
      <c r="J58" s="199">
        <f t="shared" si="43"/>
        <v>2853000</v>
      </c>
      <c r="K58" s="199">
        <f t="shared" si="43"/>
        <v>2991000</v>
      </c>
      <c r="L58" s="199">
        <f t="shared" si="43"/>
        <v>3125000</v>
      </c>
      <c r="M58" s="199">
        <f t="shared" si="43"/>
        <v>3303000</v>
      </c>
      <c r="N58" s="199">
        <f t="shared" si="43"/>
        <v>3556000</v>
      </c>
      <c r="O58" s="199">
        <f t="shared" si="43"/>
        <v>3627000</v>
      </c>
      <c r="P58" s="199">
        <f t="shared" si="43"/>
        <v>3742000</v>
      </c>
      <c r="Q58" s="199">
        <f t="shared" si="43"/>
        <v>3882000</v>
      </c>
      <c r="R58" s="199">
        <f t="shared" si="44"/>
        <v>3977000</v>
      </c>
      <c r="S58" s="199">
        <f t="shared" si="44"/>
        <v>4054000</v>
      </c>
      <c r="T58" s="199">
        <f t="shared" si="44"/>
        <v>4202000</v>
      </c>
      <c r="U58" s="199">
        <f>ROUND(T58*(1+T$9)/1000,0)*1000</f>
        <v>4486000</v>
      </c>
      <c r="V58" s="199">
        <f t="shared" si="44"/>
        <v>4744000</v>
      </c>
      <c r="W58" s="199">
        <f t="shared" si="45"/>
        <v>4938000</v>
      </c>
      <c r="X58" s="199">
        <f t="shared" si="46"/>
        <v>5095000</v>
      </c>
      <c r="Y58" s="199">
        <f t="shared" si="46"/>
        <v>5248000</v>
      </c>
    </row>
    <row r="59" spans="1:25">
      <c r="A59" s="218"/>
      <c r="B59" s="219"/>
      <c r="D59" s="220"/>
      <c r="E59" s="220"/>
      <c r="F59" s="220"/>
      <c r="G59" s="220"/>
      <c r="H59" s="220"/>
      <c r="I59" s="220"/>
      <c r="J59" s="220"/>
      <c r="K59" s="220"/>
      <c r="L59" s="220"/>
      <c r="M59" s="221"/>
      <c r="N59" s="221"/>
      <c r="O59" s="221"/>
      <c r="P59" s="221"/>
      <c r="Q59" s="221"/>
      <c r="R59" s="221"/>
      <c r="S59" s="221"/>
      <c r="T59" s="221"/>
      <c r="U59" s="199"/>
      <c r="V59" s="203"/>
      <c r="W59" s="203"/>
      <c r="X59" s="203"/>
      <c r="Y59" s="203"/>
    </row>
    <row r="60" spans="1:25">
      <c r="A60" s="1293" t="s">
        <v>2512</v>
      </c>
      <c r="B60" s="204" t="s">
        <v>2506</v>
      </c>
      <c r="C60" s="199">
        <v>94000</v>
      </c>
      <c r="D60" s="199">
        <f t="shared" ref="D60:Q61" si="47">ROUND(C60*(1+C$9)/1000,0)*1000</f>
        <v>110000</v>
      </c>
      <c r="E60" s="199">
        <f t="shared" si="47"/>
        <v>120000</v>
      </c>
      <c r="F60" s="199">
        <f t="shared" si="47"/>
        <v>131000</v>
      </c>
      <c r="G60" s="199">
        <f t="shared" si="47"/>
        <v>141000</v>
      </c>
      <c r="H60" s="199">
        <f t="shared" si="47"/>
        <v>151000</v>
      </c>
      <c r="I60" s="199">
        <f t="shared" si="47"/>
        <v>161000</v>
      </c>
      <c r="J60" s="199">
        <f t="shared" si="47"/>
        <v>170000</v>
      </c>
      <c r="K60" s="199">
        <f t="shared" si="47"/>
        <v>178000</v>
      </c>
      <c r="L60" s="199">
        <f t="shared" si="47"/>
        <v>186000</v>
      </c>
      <c r="M60" s="199">
        <f t="shared" si="47"/>
        <v>197000</v>
      </c>
      <c r="N60" s="199">
        <f t="shared" si="47"/>
        <v>212000</v>
      </c>
      <c r="O60" s="199">
        <f t="shared" si="47"/>
        <v>216000</v>
      </c>
      <c r="P60" s="199">
        <f t="shared" si="47"/>
        <v>223000</v>
      </c>
      <c r="Q60" s="199">
        <f t="shared" si="47"/>
        <v>231000</v>
      </c>
      <c r="R60" s="199">
        <f t="shared" ref="R60:V61" si="48">ROUND(Q60*(1+Q$9)/1000,0)*1000</f>
        <v>237000</v>
      </c>
      <c r="S60" s="199">
        <f t="shared" si="48"/>
        <v>242000</v>
      </c>
      <c r="T60" s="199">
        <f t="shared" si="48"/>
        <v>251000</v>
      </c>
      <c r="U60" s="199">
        <f t="shared" si="48"/>
        <v>268000</v>
      </c>
      <c r="V60" s="199">
        <f t="shared" si="48"/>
        <v>283000</v>
      </c>
      <c r="W60" s="199">
        <f t="shared" ref="W60:W61" si="49">ROUND(V60*(1+V$9)/1000,0)*1000</f>
        <v>295000</v>
      </c>
      <c r="X60" s="199">
        <f t="shared" ref="X60:Y61" si="50">ROUND(W60*(1+W$9)/1000,0)*1000</f>
        <v>304000</v>
      </c>
      <c r="Y60" s="199">
        <f t="shared" si="50"/>
        <v>313000</v>
      </c>
    </row>
    <row r="61" spans="1:25">
      <c r="A61" s="1293"/>
      <c r="B61" s="204" t="s">
        <v>2507</v>
      </c>
      <c r="C61" s="199">
        <v>2820000</v>
      </c>
      <c r="D61" s="199">
        <f t="shared" si="47"/>
        <v>3291000</v>
      </c>
      <c r="E61" s="199">
        <f t="shared" si="47"/>
        <v>3595000</v>
      </c>
      <c r="F61" s="199">
        <f t="shared" si="47"/>
        <v>3910000</v>
      </c>
      <c r="G61" s="199">
        <f t="shared" si="47"/>
        <v>4209000</v>
      </c>
      <c r="H61" s="199">
        <f t="shared" si="47"/>
        <v>4503000</v>
      </c>
      <c r="I61" s="199">
        <f t="shared" si="47"/>
        <v>4795000</v>
      </c>
      <c r="J61" s="199">
        <f t="shared" si="47"/>
        <v>5059000</v>
      </c>
      <c r="K61" s="199">
        <f t="shared" si="47"/>
        <v>5304000</v>
      </c>
      <c r="L61" s="199">
        <f t="shared" si="47"/>
        <v>5542000</v>
      </c>
      <c r="M61" s="199">
        <f t="shared" si="47"/>
        <v>5857000</v>
      </c>
      <c r="N61" s="199">
        <f t="shared" si="47"/>
        <v>6306000</v>
      </c>
      <c r="O61" s="199">
        <f t="shared" si="47"/>
        <v>6432000</v>
      </c>
      <c r="P61" s="199">
        <f t="shared" si="47"/>
        <v>6636000</v>
      </c>
      <c r="Q61" s="199">
        <f t="shared" si="47"/>
        <v>6884000</v>
      </c>
      <c r="R61" s="199">
        <f t="shared" si="48"/>
        <v>7052000</v>
      </c>
      <c r="S61" s="199">
        <f t="shared" si="48"/>
        <v>7189000</v>
      </c>
      <c r="T61" s="199">
        <f t="shared" si="48"/>
        <v>7452000</v>
      </c>
      <c r="U61" s="199">
        <f t="shared" si="48"/>
        <v>7957000</v>
      </c>
      <c r="V61" s="199">
        <f t="shared" si="48"/>
        <v>8415000</v>
      </c>
      <c r="W61" s="199">
        <f t="shared" si="49"/>
        <v>8759000</v>
      </c>
      <c r="X61" s="199">
        <f t="shared" si="50"/>
        <v>9038000</v>
      </c>
      <c r="Y61" s="199">
        <f t="shared" si="50"/>
        <v>9310000</v>
      </c>
    </row>
    <row r="62" spans="1:25">
      <c r="A62" s="217"/>
      <c r="B62" s="205"/>
      <c r="C62" s="193"/>
      <c r="D62" s="193"/>
      <c r="E62" s="193"/>
      <c r="F62" s="193"/>
      <c r="G62" s="193"/>
      <c r="H62" s="193"/>
      <c r="I62" s="193"/>
      <c r="J62" s="193"/>
      <c r="K62" s="193"/>
      <c r="L62" s="193"/>
      <c r="M62" s="203"/>
      <c r="N62" s="203"/>
      <c r="O62" s="203"/>
      <c r="P62" s="203"/>
      <c r="Q62" s="203"/>
      <c r="R62" s="203"/>
      <c r="S62" s="203"/>
      <c r="T62" s="203"/>
      <c r="U62" s="199"/>
      <c r="V62" s="203"/>
      <c r="W62" s="203"/>
      <c r="X62" s="203"/>
      <c r="Y62" s="203"/>
    </row>
    <row r="63" spans="1:25" ht="24.75" customHeight="1">
      <c r="A63" s="1293" t="s">
        <v>2513</v>
      </c>
      <c r="B63" s="204" t="s">
        <v>2506</v>
      </c>
      <c r="C63" s="199">
        <v>68000</v>
      </c>
      <c r="D63" s="199">
        <f t="shared" ref="D63:Q64" si="51">ROUND(C63*(1+C$9)/1000,0)*1000</f>
        <v>79000</v>
      </c>
      <c r="E63" s="199">
        <f t="shared" si="51"/>
        <v>86000</v>
      </c>
      <c r="F63" s="199">
        <f t="shared" si="51"/>
        <v>94000</v>
      </c>
      <c r="G63" s="199">
        <f t="shared" si="51"/>
        <v>101000</v>
      </c>
      <c r="H63" s="199">
        <f t="shared" si="51"/>
        <v>108000</v>
      </c>
      <c r="I63" s="199">
        <f t="shared" si="51"/>
        <v>115000</v>
      </c>
      <c r="J63" s="199">
        <f t="shared" si="51"/>
        <v>121000</v>
      </c>
      <c r="K63" s="199">
        <f t="shared" si="51"/>
        <v>127000</v>
      </c>
      <c r="L63" s="199">
        <f t="shared" si="51"/>
        <v>133000</v>
      </c>
      <c r="M63" s="199">
        <f t="shared" si="51"/>
        <v>141000</v>
      </c>
      <c r="N63" s="199">
        <f t="shared" si="51"/>
        <v>152000</v>
      </c>
      <c r="O63" s="199">
        <f t="shared" si="51"/>
        <v>155000</v>
      </c>
      <c r="P63" s="199">
        <f t="shared" si="51"/>
        <v>160000</v>
      </c>
      <c r="Q63" s="199">
        <f t="shared" si="51"/>
        <v>166000</v>
      </c>
      <c r="R63" s="199">
        <f t="shared" ref="R63:V64" si="52">ROUND(Q63*(1+Q$9)/1000,0)*1000</f>
        <v>170000</v>
      </c>
      <c r="S63" s="199">
        <f t="shared" si="52"/>
        <v>173000</v>
      </c>
      <c r="T63" s="199">
        <f t="shared" si="52"/>
        <v>179000</v>
      </c>
      <c r="U63" s="199">
        <f>ROUND(T63*(1+T$9)/1000,0)*1000</f>
        <v>191000</v>
      </c>
      <c r="V63" s="199">
        <f t="shared" si="52"/>
        <v>202000</v>
      </c>
      <c r="W63" s="199">
        <f t="shared" ref="W63:W64" si="53">ROUND(V63*(1+V$9)/1000,0)*1000</f>
        <v>210000</v>
      </c>
      <c r="X63" s="199">
        <f t="shared" ref="X63:Y64" si="54">ROUND(W63*(1+W$9)/1000,0)*1000</f>
        <v>217000</v>
      </c>
      <c r="Y63" s="199">
        <f t="shared" si="54"/>
        <v>224000</v>
      </c>
    </row>
    <row r="64" spans="1:25" ht="24" customHeight="1">
      <c r="A64" s="1293"/>
      <c r="B64" s="204" t="s">
        <v>2507</v>
      </c>
      <c r="C64" s="199">
        <v>2040000</v>
      </c>
      <c r="D64" s="199">
        <f t="shared" si="51"/>
        <v>2381000</v>
      </c>
      <c r="E64" s="199">
        <f t="shared" si="51"/>
        <v>2601000</v>
      </c>
      <c r="F64" s="199">
        <f t="shared" si="51"/>
        <v>2829000</v>
      </c>
      <c r="G64" s="199">
        <f t="shared" si="51"/>
        <v>3045000</v>
      </c>
      <c r="H64" s="199">
        <f t="shared" si="51"/>
        <v>3258000</v>
      </c>
      <c r="I64" s="199">
        <f t="shared" si="51"/>
        <v>3469000</v>
      </c>
      <c r="J64" s="199">
        <f t="shared" si="51"/>
        <v>3660000</v>
      </c>
      <c r="K64" s="199">
        <f t="shared" si="51"/>
        <v>3838000</v>
      </c>
      <c r="L64" s="199">
        <f t="shared" si="51"/>
        <v>4010000</v>
      </c>
      <c r="M64" s="199">
        <f t="shared" si="51"/>
        <v>4238000</v>
      </c>
      <c r="N64" s="199">
        <f t="shared" si="51"/>
        <v>4563000</v>
      </c>
      <c r="O64" s="199">
        <f t="shared" si="51"/>
        <v>4654000</v>
      </c>
      <c r="P64" s="199">
        <f t="shared" si="51"/>
        <v>4802000</v>
      </c>
      <c r="Q64" s="199">
        <f t="shared" si="51"/>
        <v>4981000</v>
      </c>
      <c r="R64" s="199">
        <f t="shared" si="52"/>
        <v>5103000</v>
      </c>
      <c r="S64" s="199">
        <f t="shared" si="52"/>
        <v>5202000</v>
      </c>
      <c r="T64" s="199">
        <f t="shared" si="52"/>
        <v>5392000</v>
      </c>
      <c r="U64" s="199">
        <f>ROUND(T64*(1+T$9)/1000,0)*1000</f>
        <v>5757000</v>
      </c>
      <c r="V64" s="199">
        <f t="shared" si="52"/>
        <v>6088000</v>
      </c>
      <c r="W64" s="199">
        <f t="shared" si="53"/>
        <v>6337000</v>
      </c>
      <c r="X64" s="199">
        <f t="shared" si="54"/>
        <v>6539000</v>
      </c>
      <c r="Y64" s="199">
        <f t="shared" si="54"/>
        <v>6736000</v>
      </c>
    </row>
    <row r="65" spans="1:25">
      <c r="A65" s="222"/>
      <c r="B65" s="205"/>
      <c r="C65" s="203"/>
      <c r="D65" s="203"/>
      <c r="E65" s="203"/>
      <c r="F65" s="203"/>
      <c r="G65" s="203"/>
      <c r="H65" s="203"/>
      <c r="I65" s="203"/>
      <c r="J65" s="203"/>
      <c r="K65" s="203"/>
      <c r="L65" s="203"/>
      <c r="M65" s="203"/>
      <c r="N65" s="203"/>
      <c r="O65" s="203"/>
      <c r="P65" s="203"/>
      <c r="Q65" s="203"/>
      <c r="R65" s="203"/>
      <c r="S65" s="203"/>
      <c r="T65" s="203"/>
      <c r="U65" s="199"/>
      <c r="V65" s="203"/>
      <c r="W65" s="203"/>
      <c r="X65" s="203"/>
      <c r="Y65" s="203"/>
    </row>
    <row r="66" spans="1:25">
      <c r="A66" s="1293" t="s">
        <v>2514</v>
      </c>
      <c r="B66" s="204" t="s">
        <v>2506</v>
      </c>
      <c r="C66" s="199">
        <v>23000</v>
      </c>
      <c r="D66" s="199">
        <f t="shared" ref="D66:V67" si="55">ROUND(C66*(1+C$9)/1000,0)*1000</f>
        <v>27000</v>
      </c>
      <c r="E66" s="199">
        <f t="shared" si="55"/>
        <v>29000</v>
      </c>
      <c r="F66" s="199">
        <f t="shared" si="55"/>
        <v>32000</v>
      </c>
      <c r="G66" s="199">
        <f t="shared" si="55"/>
        <v>34000</v>
      </c>
      <c r="H66" s="199">
        <f t="shared" si="55"/>
        <v>36000</v>
      </c>
      <c r="I66" s="199">
        <f t="shared" si="55"/>
        <v>38000</v>
      </c>
      <c r="J66" s="199">
        <f t="shared" si="55"/>
        <v>40000</v>
      </c>
      <c r="K66" s="199">
        <f t="shared" si="55"/>
        <v>42000</v>
      </c>
      <c r="L66" s="199">
        <f t="shared" si="55"/>
        <v>44000</v>
      </c>
      <c r="M66" s="199">
        <f t="shared" si="55"/>
        <v>47000</v>
      </c>
      <c r="N66" s="199">
        <f t="shared" si="55"/>
        <v>51000</v>
      </c>
      <c r="O66" s="199">
        <f t="shared" si="55"/>
        <v>52000</v>
      </c>
      <c r="P66" s="199">
        <f t="shared" ref="P66:T67" si="56">ROUND(O66*(1+O$9)/1000,0)*1000</f>
        <v>54000</v>
      </c>
      <c r="Q66" s="199">
        <f t="shared" si="56"/>
        <v>56000</v>
      </c>
      <c r="R66" s="199">
        <f t="shared" si="56"/>
        <v>57000</v>
      </c>
      <c r="S66" s="199">
        <f t="shared" si="56"/>
        <v>58000</v>
      </c>
      <c r="T66" s="199">
        <f t="shared" si="56"/>
        <v>60000</v>
      </c>
      <c r="U66" s="199">
        <f>ROUND(T66*(1+T$9)/1000,0)*1000</f>
        <v>64000</v>
      </c>
      <c r="V66" s="199">
        <f t="shared" si="55"/>
        <v>68000</v>
      </c>
      <c r="W66" s="199">
        <f t="shared" ref="W66:W67" si="57">ROUND(V66*(1+V$9)/1000,0)*1000</f>
        <v>71000</v>
      </c>
      <c r="X66" s="199">
        <f t="shared" ref="X66:Y67" si="58">ROUND(W66*(1+W$9)/1000,0)*1000</f>
        <v>73000</v>
      </c>
      <c r="Y66" s="199">
        <f t="shared" si="58"/>
        <v>75000</v>
      </c>
    </row>
    <row r="67" spans="1:25">
      <c r="A67" s="1293"/>
      <c r="B67" s="204" t="s">
        <v>2507</v>
      </c>
      <c r="C67" s="199">
        <v>690000</v>
      </c>
      <c r="D67" s="199">
        <f t="shared" si="55"/>
        <v>805000</v>
      </c>
      <c r="E67" s="199">
        <f t="shared" si="55"/>
        <v>879000</v>
      </c>
      <c r="F67" s="199">
        <f t="shared" si="55"/>
        <v>956000</v>
      </c>
      <c r="G67" s="199">
        <f t="shared" si="55"/>
        <v>1029000</v>
      </c>
      <c r="H67" s="199">
        <f t="shared" si="55"/>
        <v>1101000</v>
      </c>
      <c r="I67" s="199">
        <f t="shared" si="55"/>
        <v>1172000</v>
      </c>
      <c r="J67" s="199">
        <f t="shared" si="55"/>
        <v>1236000</v>
      </c>
      <c r="K67" s="199">
        <f t="shared" si="55"/>
        <v>1296000</v>
      </c>
      <c r="L67" s="199">
        <f t="shared" si="55"/>
        <v>1354000</v>
      </c>
      <c r="M67" s="199">
        <f t="shared" si="55"/>
        <v>1431000</v>
      </c>
      <c r="N67" s="199">
        <f t="shared" si="55"/>
        <v>1541000</v>
      </c>
      <c r="O67" s="199">
        <f t="shared" si="55"/>
        <v>1572000</v>
      </c>
      <c r="P67" s="199">
        <f t="shared" si="56"/>
        <v>1622000</v>
      </c>
      <c r="Q67" s="199">
        <f t="shared" si="56"/>
        <v>1683000</v>
      </c>
      <c r="R67" s="199">
        <f t="shared" si="56"/>
        <v>1724000</v>
      </c>
      <c r="S67" s="199">
        <f t="shared" si="56"/>
        <v>1757000</v>
      </c>
      <c r="T67" s="199">
        <f t="shared" si="56"/>
        <v>1821000</v>
      </c>
      <c r="U67" s="199">
        <f>ROUND(T67*(1+T$9)/1000,0)*1000</f>
        <v>1944000</v>
      </c>
      <c r="V67" s="199">
        <f>ROUND(U67*(1+U$9)/1000,0)*1000</f>
        <v>2056000</v>
      </c>
      <c r="W67" s="199">
        <f t="shared" si="57"/>
        <v>2140000</v>
      </c>
      <c r="X67" s="199">
        <f t="shared" si="58"/>
        <v>2208000</v>
      </c>
      <c r="Y67" s="199">
        <f t="shared" si="58"/>
        <v>2274000</v>
      </c>
    </row>
    <row r="68" spans="1:25">
      <c r="A68" s="223"/>
      <c r="B68" s="216"/>
      <c r="C68" s="207"/>
      <c r="D68" s="207"/>
      <c r="E68" s="207"/>
      <c r="F68" s="207"/>
      <c r="G68" s="207"/>
      <c r="H68" s="207"/>
      <c r="I68" s="207"/>
      <c r="J68" s="207"/>
      <c r="K68" s="191"/>
      <c r="L68" s="191"/>
      <c r="M68" s="191"/>
      <c r="N68" s="191"/>
      <c r="O68" s="191"/>
      <c r="P68" s="191"/>
      <c r="Q68" s="191"/>
      <c r="R68" s="191"/>
      <c r="S68" s="191"/>
      <c r="T68" s="191"/>
      <c r="U68" s="203"/>
      <c r="V68" s="203"/>
      <c r="W68" s="203"/>
      <c r="X68" s="203"/>
      <c r="Y68" s="203"/>
    </row>
    <row r="69" spans="1:25" ht="97.9" customHeight="1">
      <c r="A69" s="224" t="s">
        <v>2515</v>
      </c>
      <c r="B69" s="1294" t="s">
        <v>2516</v>
      </c>
      <c r="C69" s="1294"/>
      <c r="D69" s="1294"/>
      <c r="E69" s="1294"/>
      <c r="F69" s="1294"/>
      <c r="G69" s="1294"/>
      <c r="H69" s="1294"/>
      <c r="I69" s="1294"/>
      <c r="J69" s="1294"/>
      <c r="K69" s="1294"/>
      <c r="L69" s="1294"/>
      <c r="M69" s="1294"/>
      <c r="N69" s="1294"/>
      <c r="O69" s="1294"/>
      <c r="P69" s="1294"/>
      <c r="Q69" s="1294"/>
      <c r="R69" s="1294"/>
      <c r="S69" s="1294"/>
      <c r="T69" s="1294"/>
      <c r="U69" s="1294"/>
      <c r="V69" s="1294"/>
      <c r="W69" s="678"/>
      <c r="X69" s="191"/>
      <c r="Y69" s="191"/>
    </row>
    <row r="70" spans="1:25">
      <c r="A70" s="191"/>
      <c r="B70" s="192"/>
      <c r="C70" s="193"/>
      <c r="D70" s="191"/>
      <c r="E70" s="191"/>
      <c r="F70" s="191"/>
      <c r="G70" s="191"/>
      <c r="H70" s="191"/>
      <c r="I70" s="191"/>
      <c r="J70" s="191"/>
      <c r="K70" s="191"/>
      <c r="L70" s="191"/>
      <c r="M70" s="191"/>
      <c r="N70" s="191"/>
      <c r="O70" s="191"/>
      <c r="P70" s="191"/>
      <c r="Q70" s="191"/>
      <c r="R70" s="191"/>
      <c r="S70" s="191"/>
      <c r="T70" s="191"/>
      <c r="U70" s="191"/>
      <c r="V70" s="191"/>
      <c r="W70" s="191"/>
      <c r="X70" s="191"/>
      <c r="Y70" s="191"/>
    </row>
    <row r="71" spans="1:25" ht="13.5" thickBot="1">
      <c r="A71" s="191"/>
      <c r="B71" s="192"/>
      <c r="C71" s="193"/>
      <c r="D71" s="191"/>
      <c r="E71" s="191"/>
      <c r="F71" s="191"/>
      <c r="G71" s="191"/>
      <c r="H71" s="191"/>
      <c r="I71" s="191"/>
      <c r="J71" s="191"/>
      <c r="K71" s="191"/>
      <c r="L71" s="191"/>
      <c r="M71" s="191"/>
      <c r="N71" s="191"/>
      <c r="O71" s="191"/>
      <c r="P71" s="191"/>
      <c r="Q71" s="191"/>
      <c r="R71" s="191"/>
      <c r="S71" s="191"/>
      <c r="T71" s="191"/>
      <c r="U71" s="191"/>
      <c r="V71" s="191"/>
      <c r="W71" s="191"/>
      <c r="X71" s="191"/>
      <c r="Y71" s="191"/>
    </row>
    <row r="72" spans="1:25">
      <c r="A72" s="225" t="s">
        <v>2517</v>
      </c>
      <c r="B72" s="226"/>
      <c r="C72" s="227"/>
      <c r="D72" s="228"/>
      <c r="E72" s="228"/>
      <c r="F72" s="228"/>
      <c r="G72" s="228"/>
      <c r="H72" s="228"/>
      <c r="I72" s="228"/>
      <c r="J72" s="228"/>
      <c r="K72" s="228"/>
      <c r="L72" s="228"/>
      <c r="M72" s="228"/>
      <c r="N72" s="228"/>
      <c r="O72" s="228"/>
      <c r="P72" s="228"/>
      <c r="Q72" s="228"/>
      <c r="R72" s="228"/>
      <c r="S72" s="228"/>
      <c r="T72" s="228"/>
      <c r="U72" s="229"/>
      <c r="V72" s="229"/>
      <c r="W72" s="229"/>
      <c r="X72" s="229"/>
      <c r="Y72" s="229"/>
    </row>
    <row r="73" spans="1:25">
      <c r="A73" s="230" t="s">
        <v>2518</v>
      </c>
      <c r="B73" s="231"/>
      <c r="C73" s="193"/>
      <c r="D73" s="191"/>
      <c r="E73" s="191"/>
      <c r="F73" s="191"/>
      <c r="G73" s="191"/>
      <c r="H73" s="191"/>
      <c r="I73" s="191"/>
      <c r="J73" s="191"/>
      <c r="K73" s="191"/>
      <c r="L73" s="191"/>
      <c r="M73" s="191"/>
      <c r="N73" s="191"/>
      <c r="O73" s="191"/>
      <c r="P73" s="191"/>
      <c r="Q73" s="191"/>
      <c r="R73" s="191"/>
      <c r="S73" s="191"/>
      <c r="T73" s="191"/>
      <c r="U73" s="232"/>
      <c r="V73" s="232"/>
      <c r="W73" s="232"/>
      <c r="X73" s="232"/>
      <c r="Y73" s="232"/>
    </row>
    <row r="74" spans="1:25">
      <c r="A74" s="230" t="s">
        <v>2519</v>
      </c>
      <c r="B74" s="231"/>
      <c r="C74" s="193"/>
      <c r="D74" s="191"/>
      <c r="E74" s="191"/>
      <c r="F74" s="191"/>
      <c r="G74" s="191"/>
      <c r="H74" s="191"/>
      <c r="I74" s="191"/>
      <c r="J74" s="191"/>
      <c r="K74" s="191"/>
      <c r="L74" s="191"/>
      <c r="M74" s="191"/>
      <c r="N74" s="191"/>
      <c r="O74" s="191"/>
      <c r="P74" s="191"/>
      <c r="Q74" s="191"/>
      <c r="R74" s="191"/>
      <c r="S74" s="191"/>
      <c r="T74" s="191"/>
      <c r="U74" s="232"/>
      <c r="V74" s="232"/>
      <c r="W74" s="232"/>
      <c r="X74" s="232"/>
      <c r="Y74" s="232"/>
    </row>
    <row r="75" spans="1:25">
      <c r="A75" s="233" t="s">
        <v>2520</v>
      </c>
      <c r="B75" s="231"/>
      <c r="C75" s="193"/>
      <c r="D75" s="191"/>
      <c r="E75" s="191"/>
      <c r="F75" s="191"/>
      <c r="G75" s="191"/>
      <c r="H75" s="191"/>
      <c r="I75" s="191"/>
      <c r="J75" s="191"/>
      <c r="K75" s="191"/>
      <c r="L75" s="191"/>
      <c r="M75" s="191"/>
      <c r="N75" s="191"/>
      <c r="O75" s="191"/>
      <c r="P75" s="191"/>
      <c r="Q75" s="191"/>
      <c r="R75" s="191"/>
      <c r="S75" s="191"/>
      <c r="T75" s="191"/>
      <c r="U75" s="232"/>
      <c r="V75" s="232"/>
      <c r="W75" s="232"/>
      <c r="X75" s="232"/>
      <c r="Y75" s="232"/>
    </row>
    <row r="76" spans="1:25">
      <c r="A76" s="230" t="s">
        <v>2521</v>
      </c>
      <c r="B76" s="231"/>
      <c r="C76" s="193"/>
      <c r="D76" s="191"/>
      <c r="E76" s="191"/>
      <c r="F76" s="191"/>
      <c r="G76" s="191"/>
      <c r="H76" s="191"/>
      <c r="I76" s="191"/>
      <c r="J76" s="191"/>
      <c r="K76" s="191"/>
      <c r="L76" s="191"/>
      <c r="M76" s="191"/>
      <c r="N76" s="191"/>
      <c r="O76" s="191"/>
      <c r="P76" s="191"/>
      <c r="Q76" s="191"/>
      <c r="R76" s="191"/>
      <c r="S76" s="191"/>
      <c r="T76" s="191"/>
      <c r="U76" s="232"/>
      <c r="V76" s="232"/>
      <c r="W76" s="232"/>
      <c r="X76" s="232"/>
      <c r="Y76" s="232"/>
    </row>
    <row r="77" spans="1:25">
      <c r="A77" s="233" t="s">
        <v>2522</v>
      </c>
      <c r="B77" s="231"/>
      <c r="C77" s="193"/>
      <c r="D77" s="191"/>
      <c r="E77" s="191"/>
      <c r="F77" s="191"/>
      <c r="G77" s="191"/>
      <c r="H77" s="191"/>
      <c r="I77" s="191"/>
      <c r="J77" s="191"/>
      <c r="K77" s="191"/>
      <c r="L77" s="191"/>
      <c r="M77" s="191"/>
      <c r="N77" s="191"/>
      <c r="O77" s="191"/>
      <c r="P77" s="191"/>
      <c r="Q77" s="191"/>
      <c r="R77" s="191"/>
      <c r="S77" s="191"/>
      <c r="T77" s="191"/>
      <c r="U77" s="232"/>
      <c r="V77" s="232"/>
      <c r="W77" s="232"/>
      <c r="X77" s="232"/>
      <c r="Y77" s="232"/>
    </row>
    <row r="78" spans="1:25">
      <c r="A78" s="230" t="s">
        <v>2523</v>
      </c>
      <c r="B78" s="231"/>
      <c r="C78" s="193"/>
      <c r="D78" s="191"/>
      <c r="E78" s="191"/>
      <c r="F78" s="191"/>
      <c r="G78" s="191"/>
      <c r="H78" s="191"/>
      <c r="I78" s="191"/>
      <c r="J78" s="191"/>
      <c r="K78" s="191"/>
      <c r="L78" s="191"/>
      <c r="M78" s="191"/>
      <c r="N78" s="191"/>
      <c r="O78" s="191"/>
      <c r="P78" s="191"/>
      <c r="Q78" s="191"/>
      <c r="R78" s="191"/>
      <c r="S78" s="191"/>
      <c r="T78" s="191"/>
      <c r="U78" s="232"/>
      <c r="V78" s="232"/>
      <c r="W78" s="232"/>
      <c r="X78" s="232"/>
      <c r="Y78" s="232"/>
    </row>
    <row r="79" spans="1:25">
      <c r="A79" s="230" t="s">
        <v>2524</v>
      </c>
      <c r="B79" s="231"/>
      <c r="C79" s="193"/>
      <c r="D79" s="191"/>
      <c r="E79" s="191"/>
      <c r="F79" s="191"/>
      <c r="G79" s="191"/>
      <c r="H79" s="191"/>
      <c r="I79" s="191"/>
      <c r="J79" s="191"/>
      <c r="K79" s="191"/>
      <c r="L79" s="191"/>
      <c r="M79" s="191"/>
      <c r="N79" s="191"/>
      <c r="O79" s="191"/>
      <c r="P79" s="191"/>
      <c r="Q79" s="191"/>
      <c r="R79" s="191"/>
      <c r="S79" s="191"/>
      <c r="T79" s="191"/>
      <c r="U79" s="232"/>
      <c r="V79" s="232"/>
      <c r="W79" s="232"/>
      <c r="X79" s="232"/>
      <c r="Y79" s="232"/>
    </row>
    <row r="80" spans="1:25">
      <c r="A80" s="230" t="s">
        <v>2525</v>
      </c>
      <c r="B80" s="231"/>
      <c r="C80" s="193"/>
      <c r="D80" s="191"/>
      <c r="E80" s="191"/>
      <c r="F80" s="191"/>
      <c r="G80" s="191"/>
      <c r="H80" s="191"/>
      <c r="I80" s="191"/>
      <c r="J80" s="191"/>
      <c r="K80" s="191"/>
      <c r="L80" s="191"/>
      <c r="M80" s="191"/>
      <c r="N80" s="191"/>
      <c r="O80" s="191"/>
      <c r="P80" s="191"/>
      <c r="Q80" s="191"/>
      <c r="R80" s="191"/>
      <c r="S80" s="191"/>
      <c r="T80" s="191"/>
      <c r="U80" s="232"/>
      <c r="V80" s="232"/>
      <c r="W80" s="232"/>
      <c r="X80" s="232"/>
      <c r="Y80" s="232"/>
    </row>
    <row r="81" spans="1:25">
      <c r="A81" s="234" t="s">
        <v>2526</v>
      </c>
      <c r="B81" s="231"/>
      <c r="C81" s="193"/>
      <c r="D81" s="191"/>
      <c r="E81" s="191"/>
      <c r="F81" s="191"/>
      <c r="G81" s="191"/>
      <c r="H81" s="191"/>
      <c r="I81" s="191"/>
      <c r="J81" s="191"/>
      <c r="K81" s="191"/>
      <c r="L81" s="191"/>
      <c r="M81" s="191"/>
      <c r="N81" s="191"/>
      <c r="O81" s="191"/>
      <c r="P81" s="191"/>
      <c r="Q81" s="191"/>
      <c r="R81" s="191"/>
      <c r="S81" s="191"/>
      <c r="T81" s="191"/>
      <c r="U81" s="232"/>
      <c r="V81" s="232"/>
      <c r="W81" s="232"/>
      <c r="X81" s="232"/>
      <c r="Y81" s="232"/>
    </row>
    <row r="82" spans="1:25">
      <c r="A82" s="235" t="s">
        <v>2527</v>
      </c>
      <c r="B82" s="231"/>
      <c r="C82" s="193"/>
      <c r="D82" s="191"/>
      <c r="E82" s="191"/>
      <c r="F82" s="191"/>
      <c r="G82" s="191"/>
      <c r="H82" s="191"/>
      <c r="I82" s="191"/>
      <c r="J82" s="191"/>
      <c r="K82" s="191"/>
      <c r="L82" s="191"/>
      <c r="M82" s="191"/>
      <c r="N82" s="191"/>
      <c r="O82" s="191"/>
      <c r="P82" s="191"/>
      <c r="Q82" s="191"/>
      <c r="R82" s="191"/>
      <c r="S82" s="191"/>
      <c r="T82" s="191"/>
      <c r="U82" s="232"/>
      <c r="V82" s="232"/>
      <c r="W82" s="232"/>
      <c r="X82" s="232"/>
      <c r="Y82" s="232"/>
    </row>
    <row r="83" spans="1:25">
      <c r="A83" s="230" t="s">
        <v>2528</v>
      </c>
      <c r="B83" s="231"/>
      <c r="C83" s="193"/>
      <c r="D83" s="191"/>
      <c r="E83" s="191"/>
      <c r="F83" s="191"/>
      <c r="G83" s="191"/>
      <c r="H83" s="191"/>
      <c r="I83" s="191"/>
      <c r="J83" s="191"/>
      <c r="K83" s="191"/>
      <c r="L83" s="191"/>
      <c r="M83" s="191"/>
      <c r="N83" s="191"/>
      <c r="O83" s="191"/>
      <c r="P83" s="191"/>
      <c r="Q83" s="191"/>
      <c r="R83" s="191"/>
      <c r="S83" s="191"/>
      <c r="T83" s="191"/>
      <c r="U83" s="232"/>
      <c r="V83" s="232"/>
      <c r="W83" s="232"/>
      <c r="X83" s="232"/>
      <c r="Y83" s="232"/>
    </row>
    <row r="84" spans="1:25">
      <c r="A84" s="230" t="s">
        <v>2529</v>
      </c>
      <c r="B84" s="231"/>
      <c r="C84" s="193"/>
      <c r="D84" s="191"/>
      <c r="E84" s="191"/>
      <c r="F84" s="191"/>
      <c r="G84" s="191"/>
      <c r="H84" s="191"/>
      <c r="I84" s="191"/>
      <c r="J84" s="191"/>
      <c r="K84" s="191"/>
      <c r="L84" s="191"/>
      <c r="M84" s="191"/>
      <c r="N84" s="191"/>
      <c r="O84" s="191"/>
      <c r="P84" s="191"/>
      <c r="Q84" s="191"/>
      <c r="R84" s="191"/>
      <c r="S84" s="191"/>
      <c r="T84" s="191"/>
      <c r="U84" s="232"/>
      <c r="V84" s="232"/>
      <c r="W84" s="232"/>
      <c r="X84" s="232"/>
      <c r="Y84" s="232"/>
    </row>
    <row r="85" spans="1:25">
      <c r="A85" s="230" t="s">
        <v>2530</v>
      </c>
      <c r="B85" s="231"/>
      <c r="C85" s="193"/>
      <c r="D85" s="191"/>
      <c r="E85" s="191"/>
      <c r="F85" s="191"/>
      <c r="G85" s="191"/>
      <c r="H85" s="191"/>
      <c r="I85" s="191"/>
      <c r="J85" s="191"/>
      <c r="K85" s="191"/>
      <c r="L85" s="191"/>
      <c r="M85" s="191"/>
      <c r="N85" s="191"/>
      <c r="O85" s="191"/>
      <c r="P85" s="191"/>
      <c r="Q85" s="191"/>
      <c r="R85" s="191"/>
      <c r="S85" s="191"/>
      <c r="T85" s="191"/>
      <c r="U85" s="232"/>
      <c r="V85" s="232"/>
      <c r="W85" s="232"/>
      <c r="X85" s="232"/>
      <c r="Y85" s="232"/>
    </row>
    <row r="86" spans="1:25">
      <c r="A86" s="230" t="s">
        <v>2531</v>
      </c>
      <c r="B86" s="231"/>
      <c r="C86" s="193"/>
      <c r="D86" s="191"/>
      <c r="E86" s="191"/>
      <c r="F86" s="191"/>
      <c r="G86" s="191"/>
      <c r="H86" s="191"/>
      <c r="I86" s="191"/>
      <c r="J86" s="191"/>
      <c r="K86" s="191"/>
      <c r="L86" s="191"/>
      <c r="M86" s="191"/>
      <c r="N86" s="191"/>
      <c r="O86" s="191"/>
      <c r="P86" s="191"/>
      <c r="Q86" s="191"/>
      <c r="R86" s="191"/>
      <c r="S86" s="191"/>
      <c r="T86" s="191"/>
      <c r="U86" s="232"/>
      <c r="V86" s="232"/>
      <c r="W86" s="232"/>
      <c r="X86" s="232"/>
      <c r="Y86" s="232"/>
    </row>
    <row r="87" spans="1:25">
      <c r="A87" s="230" t="s">
        <v>2532</v>
      </c>
      <c r="B87" s="231"/>
      <c r="C87" s="193"/>
      <c r="D87" s="191"/>
      <c r="E87" s="191"/>
      <c r="F87" s="191"/>
      <c r="G87" s="191"/>
      <c r="H87" s="191"/>
      <c r="I87" s="191"/>
      <c r="J87" s="191"/>
      <c r="K87" s="191"/>
      <c r="L87" s="191"/>
      <c r="M87" s="191"/>
      <c r="N87" s="191"/>
      <c r="O87" s="191"/>
      <c r="P87" s="191"/>
      <c r="Q87" s="191"/>
      <c r="R87" s="191"/>
      <c r="S87" s="191"/>
      <c r="T87" s="191"/>
      <c r="U87" s="232"/>
      <c r="V87" s="232"/>
      <c r="W87" s="232"/>
      <c r="X87" s="232"/>
      <c r="Y87" s="232"/>
    </row>
    <row r="88" spans="1:25">
      <c r="A88" s="230" t="s">
        <v>2533</v>
      </c>
      <c r="B88" s="231"/>
      <c r="C88" s="193"/>
      <c r="D88" s="191"/>
      <c r="E88" s="191"/>
      <c r="F88" s="191"/>
      <c r="G88" s="191"/>
      <c r="H88" s="191"/>
      <c r="I88" s="191"/>
      <c r="J88" s="191"/>
      <c r="K88" s="191"/>
      <c r="L88" s="191"/>
      <c r="M88" s="191"/>
      <c r="N88" s="191"/>
      <c r="O88" s="191"/>
      <c r="P88" s="191"/>
      <c r="Q88" s="191"/>
      <c r="R88" s="191"/>
      <c r="S88" s="191"/>
      <c r="T88" s="191"/>
      <c r="U88" s="232"/>
      <c r="V88" s="232"/>
      <c r="W88" s="232"/>
      <c r="X88" s="232"/>
      <c r="Y88" s="232"/>
    </row>
    <row r="89" spans="1:25">
      <c r="A89" s="235" t="s">
        <v>2534</v>
      </c>
      <c r="B89" s="231"/>
      <c r="C89" s="193"/>
      <c r="D89" s="191"/>
      <c r="E89" s="191"/>
      <c r="F89" s="191"/>
      <c r="G89" s="191"/>
      <c r="H89" s="191"/>
      <c r="I89" s="191"/>
      <c r="J89" s="191"/>
      <c r="K89" s="191"/>
      <c r="L89" s="191"/>
      <c r="M89" s="191"/>
      <c r="N89" s="191"/>
      <c r="O89" s="191"/>
      <c r="P89" s="191"/>
      <c r="Q89" s="191"/>
      <c r="R89" s="191"/>
      <c r="S89" s="191"/>
      <c r="T89" s="191"/>
      <c r="U89" s="232"/>
      <c r="V89" s="232"/>
      <c r="W89" s="232"/>
      <c r="X89" s="232"/>
      <c r="Y89" s="232"/>
    </row>
    <row r="90" spans="1:25">
      <c r="A90" s="235"/>
      <c r="B90" s="231"/>
      <c r="C90" s="193"/>
      <c r="D90" s="191"/>
      <c r="E90" s="191"/>
      <c r="F90" s="191"/>
      <c r="G90" s="191"/>
      <c r="H90" s="191"/>
      <c r="I90" s="191"/>
      <c r="J90" s="191"/>
      <c r="K90" s="191"/>
      <c r="L90" s="191"/>
      <c r="M90" s="191"/>
      <c r="N90" s="191"/>
      <c r="O90" s="191"/>
      <c r="P90" s="191"/>
      <c r="Q90" s="191"/>
      <c r="R90" s="191"/>
      <c r="S90" s="191"/>
      <c r="T90" s="191"/>
      <c r="U90" s="232"/>
      <c r="V90" s="232"/>
      <c r="W90" s="232"/>
      <c r="X90" s="232"/>
      <c r="Y90" s="232"/>
    </row>
    <row r="91" spans="1:25">
      <c r="A91" s="314" t="s">
        <v>2535</v>
      </c>
      <c r="B91" s="315" t="s">
        <v>2623</v>
      </c>
      <c r="C91" s="193"/>
      <c r="D91" s="191"/>
      <c r="E91" s="191"/>
      <c r="F91" s="191"/>
      <c r="G91" s="191"/>
      <c r="H91" s="191"/>
      <c r="I91" s="191"/>
      <c r="J91" s="191"/>
      <c r="K91" s="191"/>
      <c r="L91" s="191"/>
      <c r="M91" s="191"/>
      <c r="N91" s="191"/>
      <c r="O91" s="191"/>
      <c r="P91" s="191"/>
      <c r="Q91" s="191"/>
      <c r="R91" s="191"/>
      <c r="S91" s="191"/>
      <c r="T91" s="191"/>
      <c r="U91" s="232"/>
      <c r="V91" s="232"/>
      <c r="W91" s="232"/>
      <c r="X91" s="232"/>
      <c r="Y91" s="232"/>
    </row>
    <row r="92" spans="1:25">
      <c r="A92" s="313">
        <v>1</v>
      </c>
      <c r="B92" s="316" t="s">
        <v>2536</v>
      </c>
      <c r="C92" s="193"/>
      <c r="D92" s="191"/>
      <c r="E92" s="191"/>
      <c r="F92" s="191"/>
      <c r="G92" s="191"/>
      <c r="H92" s="191"/>
      <c r="I92" s="191"/>
      <c r="J92" s="191"/>
      <c r="K92" s="191"/>
      <c r="L92" s="191"/>
      <c r="M92" s="191"/>
      <c r="N92" s="191"/>
      <c r="O92" s="191"/>
      <c r="P92" s="191"/>
      <c r="Q92" s="191"/>
      <c r="R92" s="191"/>
      <c r="S92" s="191"/>
      <c r="T92" s="191"/>
      <c r="U92" s="232"/>
      <c r="V92" s="232"/>
      <c r="W92" s="232"/>
      <c r="X92" s="232"/>
      <c r="Y92" s="232"/>
    </row>
    <row r="93" spans="1:25">
      <c r="A93" s="311">
        <v>2</v>
      </c>
      <c r="B93" s="317" t="s">
        <v>2537</v>
      </c>
      <c r="C93" s="193"/>
      <c r="D93" s="191"/>
      <c r="E93" s="191"/>
      <c r="F93" s="191"/>
      <c r="G93" s="191"/>
      <c r="H93" s="191"/>
      <c r="I93" s="191"/>
      <c r="J93" s="191"/>
      <c r="K93" s="191"/>
      <c r="L93" s="191"/>
      <c r="M93" s="191"/>
      <c r="N93" s="191"/>
      <c r="O93" s="191"/>
      <c r="P93" s="191"/>
      <c r="Q93" s="191"/>
      <c r="R93" s="191"/>
      <c r="S93" s="191"/>
      <c r="T93" s="191"/>
      <c r="U93" s="232"/>
      <c r="V93" s="232"/>
      <c r="W93" s="232"/>
      <c r="X93" s="232"/>
      <c r="Y93" s="232"/>
    </row>
    <row r="94" spans="1:25">
      <c r="A94" s="311">
        <v>3</v>
      </c>
      <c r="B94" s="317" t="s">
        <v>2538</v>
      </c>
      <c r="C94" s="193"/>
      <c r="D94" s="191"/>
      <c r="E94" s="191"/>
      <c r="F94" s="191"/>
      <c r="G94" s="191"/>
      <c r="H94" s="191"/>
      <c r="I94" s="191"/>
      <c r="J94" s="191"/>
      <c r="K94" s="191"/>
      <c r="L94" s="191"/>
      <c r="M94" s="191"/>
      <c r="N94" s="191"/>
      <c r="O94" s="191"/>
      <c r="P94" s="191"/>
      <c r="Q94" s="191"/>
      <c r="R94" s="191"/>
      <c r="S94" s="191"/>
      <c r="T94" s="191"/>
      <c r="U94" s="232"/>
      <c r="V94" s="232"/>
      <c r="W94" s="232"/>
      <c r="X94" s="232"/>
      <c r="Y94" s="232"/>
    </row>
    <row r="95" spans="1:25">
      <c r="A95" s="311">
        <v>4</v>
      </c>
      <c r="B95" s="317" t="s">
        <v>2539</v>
      </c>
      <c r="C95" s="193"/>
      <c r="D95" s="191"/>
      <c r="E95" s="191"/>
      <c r="F95" s="191"/>
      <c r="G95" s="191"/>
      <c r="H95" s="191"/>
      <c r="I95" s="191"/>
      <c r="J95" s="191"/>
      <c r="K95" s="191"/>
      <c r="L95" s="191"/>
      <c r="M95" s="191"/>
      <c r="N95" s="191"/>
      <c r="O95" s="191"/>
      <c r="P95" s="191"/>
      <c r="Q95" s="191"/>
      <c r="R95" s="191"/>
      <c r="S95" s="191"/>
      <c r="T95" s="191"/>
      <c r="U95" s="232"/>
      <c r="V95" s="232"/>
      <c r="W95" s="232"/>
      <c r="X95" s="232"/>
      <c r="Y95" s="232"/>
    </row>
    <row r="96" spans="1:25">
      <c r="A96" s="311">
        <v>5</v>
      </c>
      <c r="B96" s="317" t="s">
        <v>2540</v>
      </c>
      <c r="C96" s="193"/>
      <c r="D96" s="191"/>
      <c r="E96" s="191"/>
      <c r="F96" s="191"/>
      <c r="G96" s="191"/>
      <c r="H96" s="191"/>
      <c r="I96" s="191"/>
      <c r="J96" s="191"/>
      <c r="K96" s="191"/>
      <c r="L96" s="191"/>
      <c r="M96" s="191"/>
      <c r="N96" s="191"/>
      <c r="O96" s="191"/>
      <c r="P96" s="191"/>
      <c r="Q96" s="191"/>
      <c r="R96" s="191"/>
      <c r="S96" s="191"/>
      <c r="T96" s="191"/>
      <c r="U96" s="232"/>
      <c r="V96" s="232"/>
      <c r="W96" s="232"/>
      <c r="X96" s="232"/>
      <c r="Y96" s="232"/>
    </row>
    <row r="97" spans="1:25">
      <c r="A97" s="311">
        <v>6</v>
      </c>
      <c r="B97" s="317" t="s">
        <v>2541</v>
      </c>
      <c r="C97" s="193"/>
      <c r="D97" s="191"/>
      <c r="E97" s="191"/>
      <c r="F97" s="191"/>
      <c r="G97" s="191"/>
      <c r="H97" s="191"/>
      <c r="I97" s="191"/>
      <c r="J97" s="191"/>
      <c r="K97" s="191"/>
      <c r="L97" s="191"/>
      <c r="M97" s="191"/>
      <c r="N97" s="191"/>
      <c r="O97" s="191"/>
      <c r="P97" s="191"/>
      <c r="Q97" s="191"/>
      <c r="R97" s="191"/>
      <c r="S97" s="191"/>
      <c r="T97" s="191"/>
      <c r="U97" s="232"/>
      <c r="V97" s="232"/>
      <c r="W97" s="232"/>
      <c r="X97" s="232"/>
      <c r="Y97" s="232"/>
    </row>
    <row r="98" spans="1:25">
      <c r="A98" s="311">
        <v>7</v>
      </c>
      <c r="B98" s="317" t="s">
        <v>2542</v>
      </c>
      <c r="C98" s="193"/>
      <c r="D98" s="191"/>
      <c r="E98" s="191"/>
      <c r="F98" s="191"/>
      <c r="G98" s="191"/>
      <c r="H98" s="191"/>
      <c r="I98" s="191"/>
      <c r="J98" s="191"/>
      <c r="K98" s="191"/>
      <c r="L98" s="191"/>
      <c r="M98" s="191"/>
      <c r="N98" s="191"/>
      <c r="O98" s="191"/>
      <c r="P98" s="191"/>
      <c r="Q98" s="191"/>
      <c r="R98" s="191"/>
      <c r="S98" s="191"/>
      <c r="T98" s="191"/>
      <c r="U98" s="232"/>
      <c r="V98" s="232"/>
      <c r="W98" s="232"/>
      <c r="X98" s="232"/>
      <c r="Y98" s="232"/>
    </row>
    <row r="99" spans="1:25">
      <c r="A99" s="312">
        <v>8</v>
      </c>
      <c r="B99" s="318" t="s">
        <v>2543</v>
      </c>
      <c r="C99" s="193"/>
      <c r="D99" s="191"/>
      <c r="E99" s="191"/>
      <c r="F99" s="191"/>
      <c r="G99" s="191"/>
      <c r="H99" s="191"/>
      <c r="I99" s="191"/>
      <c r="J99" s="191"/>
      <c r="K99" s="191"/>
      <c r="L99" s="191"/>
      <c r="M99" s="191"/>
      <c r="N99" s="191"/>
      <c r="O99" s="191"/>
      <c r="P99" s="191"/>
      <c r="Q99" s="191"/>
      <c r="R99" s="191"/>
      <c r="S99" s="191"/>
      <c r="T99" s="191"/>
      <c r="U99" s="232"/>
      <c r="V99" s="232"/>
      <c r="W99" s="232"/>
      <c r="X99" s="232"/>
      <c r="Y99" s="232"/>
    </row>
    <row r="100" spans="1:25">
      <c r="A100" s="230"/>
      <c r="B100" s="231"/>
      <c r="C100" s="193"/>
      <c r="D100" s="191"/>
      <c r="E100" s="191"/>
      <c r="F100" s="191"/>
      <c r="G100" s="191"/>
      <c r="H100" s="191"/>
      <c r="I100" s="191"/>
      <c r="J100" s="191"/>
      <c r="K100" s="191"/>
      <c r="L100" s="191"/>
      <c r="M100" s="191"/>
      <c r="N100" s="191"/>
      <c r="O100" s="191"/>
      <c r="P100" s="191"/>
      <c r="Q100" s="191"/>
      <c r="R100" s="191"/>
      <c r="S100" s="191"/>
      <c r="T100" s="191"/>
      <c r="U100" s="232"/>
      <c r="V100" s="232"/>
      <c r="W100" s="232"/>
      <c r="X100" s="232"/>
      <c r="Y100" s="232"/>
    </row>
    <row r="101" spans="1:25">
      <c r="A101" s="1292" t="s">
        <v>2544</v>
      </c>
      <c r="B101" s="1292"/>
      <c r="C101" s="193"/>
      <c r="D101" s="191"/>
      <c r="E101" s="191"/>
      <c r="F101" s="191"/>
      <c r="G101" s="191"/>
      <c r="H101" s="191"/>
      <c r="I101" s="191"/>
      <c r="J101" s="191"/>
      <c r="K101" s="191"/>
      <c r="L101" s="191"/>
      <c r="M101" s="191"/>
      <c r="N101" s="191"/>
      <c r="O101" s="191"/>
      <c r="P101" s="191"/>
      <c r="Q101" s="191"/>
      <c r="R101" s="191"/>
      <c r="S101" s="191"/>
      <c r="T101" s="191"/>
      <c r="U101" s="232"/>
      <c r="V101" s="232"/>
      <c r="W101" s="232"/>
      <c r="X101" s="232"/>
      <c r="Y101" s="232"/>
    </row>
    <row r="102" spans="1:25" ht="25.9" customHeight="1">
      <c r="A102" s="324" t="s">
        <v>2545</v>
      </c>
      <c r="B102" s="325">
        <v>738</v>
      </c>
      <c r="C102" s="193"/>
      <c r="D102" s="191"/>
      <c r="E102" s="191"/>
      <c r="F102" s="191"/>
      <c r="G102" s="191"/>
      <c r="H102" s="191"/>
      <c r="I102" s="191"/>
      <c r="J102" s="191"/>
      <c r="K102" s="191"/>
      <c r="L102" s="191"/>
      <c r="M102" s="191"/>
      <c r="N102" s="191"/>
      <c r="O102" s="191"/>
      <c r="P102" s="191"/>
      <c r="Q102" s="191"/>
      <c r="R102" s="191"/>
      <c r="S102" s="191"/>
      <c r="T102" s="191"/>
      <c r="U102" s="232"/>
      <c r="V102" s="232"/>
      <c r="W102" s="232"/>
      <c r="X102" s="232"/>
      <c r="Y102" s="232"/>
    </row>
    <row r="103" spans="1:25">
      <c r="A103" s="319" t="s">
        <v>2546</v>
      </c>
      <c r="B103" s="317">
        <v>648</v>
      </c>
      <c r="C103" s="193"/>
      <c r="D103" s="191"/>
      <c r="E103" s="191"/>
      <c r="F103" s="191"/>
      <c r="G103" s="191"/>
      <c r="H103" s="191"/>
      <c r="I103" s="191"/>
      <c r="J103" s="191"/>
      <c r="K103" s="191"/>
      <c r="L103" s="191"/>
      <c r="M103" s="191"/>
      <c r="N103" s="191"/>
      <c r="O103" s="191"/>
      <c r="P103" s="191"/>
      <c r="Q103" s="191"/>
      <c r="R103" s="191"/>
      <c r="S103" s="191"/>
      <c r="T103" s="191"/>
      <c r="U103" s="232"/>
      <c r="V103" s="232"/>
      <c r="W103" s="232"/>
      <c r="X103" s="232"/>
      <c r="Y103" s="232"/>
    </row>
    <row r="104" spans="1:25">
      <c r="A104" s="319" t="s">
        <v>2483</v>
      </c>
      <c r="B104" s="317">
        <v>680</v>
      </c>
      <c r="C104" s="193"/>
      <c r="D104" s="191"/>
      <c r="E104" s="191"/>
      <c r="F104" s="191"/>
      <c r="G104" s="191"/>
      <c r="H104" s="191"/>
      <c r="I104" s="191"/>
      <c r="J104" s="191"/>
      <c r="K104" s="191"/>
      <c r="L104" s="191"/>
      <c r="M104" s="191"/>
      <c r="N104" s="191"/>
      <c r="O104" s="191"/>
      <c r="P104" s="191"/>
      <c r="Q104" s="191"/>
      <c r="R104" s="191"/>
      <c r="S104" s="191"/>
      <c r="T104" s="191"/>
      <c r="U104" s="232"/>
      <c r="V104" s="232"/>
      <c r="W104" s="232"/>
      <c r="X104" s="232"/>
      <c r="Y104" s="232"/>
    </row>
    <row r="105" spans="1:25">
      <c r="A105" s="319" t="s">
        <v>2484</v>
      </c>
      <c r="B105" s="317">
        <v>550</v>
      </c>
      <c r="C105" s="193"/>
      <c r="D105" s="191"/>
      <c r="E105" s="191"/>
      <c r="F105" s="191"/>
      <c r="G105" s="191"/>
      <c r="H105" s="191"/>
      <c r="I105" s="191"/>
      <c r="J105" s="191"/>
      <c r="K105" s="191"/>
      <c r="L105" s="191"/>
      <c r="M105" s="191"/>
      <c r="N105" s="191"/>
      <c r="O105" s="191"/>
      <c r="P105" s="191"/>
      <c r="Q105" s="191"/>
      <c r="R105" s="191"/>
      <c r="S105" s="191"/>
      <c r="T105" s="191"/>
      <c r="U105" s="232"/>
      <c r="V105" s="232"/>
      <c r="W105" s="232"/>
      <c r="X105" s="232"/>
      <c r="Y105" s="232"/>
    </row>
    <row r="106" spans="1:25">
      <c r="A106" s="319" t="s">
        <v>2547</v>
      </c>
      <c r="B106" s="317">
        <v>767</v>
      </c>
      <c r="C106" s="193"/>
      <c r="D106" s="191"/>
      <c r="E106" s="191"/>
      <c r="F106" s="191"/>
      <c r="G106" s="191"/>
      <c r="H106" s="191"/>
      <c r="I106" s="191"/>
      <c r="J106" s="191"/>
      <c r="K106" s="191"/>
      <c r="L106" s="191"/>
      <c r="M106" s="191"/>
      <c r="N106" s="191"/>
      <c r="O106" s="191"/>
      <c r="P106" s="191"/>
      <c r="Q106" s="191"/>
      <c r="R106" s="191"/>
      <c r="S106" s="191"/>
      <c r="T106" s="191"/>
      <c r="U106" s="232"/>
      <c r="V106" s="232"/>
      <c r="W106" s="232"/>
      <c r="X106" s="232"/>
      <c r="Y106" s="232"/>
    </row>
    <row r="107" spans="1:25">
      <c r="A107" s="319" t="s">
        <v>2548</v>
      </c>
      <c r="B107" s="317">
        <v>630</v>
      </c>
      <c r="C107" s="193"/>
      <c r="D107" s="191"/>
      <c r="E107" s="191"/>
      <c r="F107" s="191"/>
      <c r="G107" s="191"/>
      <c r="H107" s="191"/>
      <c r="I107" s="191"/>
      <c r="J107" s="191"/>
      <c r="K107" s="191"/>
      <c r="L107" s="191"/>
      <c r="M107" s="191"/>
      <c r="N107" s="191"/>
      <c r="O107" s="191"/>
      <c r="P107" s="191"/>
      <c r="Q107" s="191"/>
      <c r="R107" s="191"/>
      <c r="S107" s="191"/>
      <c r="T107" s="191"/>
      <c r="U107" s="232"/>
      <c r="V107" s="232"/>
      <c r="W107" s="232"/>
      <c r="X107" s="232"/>
      <c r="Y107" s="232"/>
    </row>
    <row r="108" spans="1:25">
      <c r="A108" s="319" t="s">
        <v>2549</v>
      </c>
      <c r="B108" s="317">
        <v>767</v>
      </c>
      <c r="C108" s="193"/>
      <c r="D108" s="191"/>
      <c r="E108" s="191"/>
      <c r="F108" s="191"/>
      <c r="G108" s="191"/>
      <c r="H108" s="191"/>
      <c r="I108" s="191"/>
      <c r="J108" s="191"/>
      <c r="K108" s="191"/>
      <c r="L108" s="191"/>
      <c r="M108" s="191"/>
      <c r="N108" s="191"/>
      <c r="O108" s="191"/>
      <c r="P108" s="191"/>
      <c r="Q108" s="191"/>
      <c r="R108" s="191"/>
      <c r="S108" s="191"/>
      <c r="T108" s="191"/>
      <c r="U108" s="232"/>
      <c r="V108" s="232"/>
      <c r="W108" s="232"/>
      <c r="X108" s="232"/>
      <c r="Y108" s="232"/>
    </row>
    <row r="109" spans="1:25">
      <c r="A109" s="319" t="s">
        <v>2550</v>
      </c>
      <c r="B109" s="317">
        <v>630</v>
      </c>
      <c r="C109" s="193"/>
      <c r="D109" s="191"/>
      <c r="E109" s="191"/>
      <c r="F109" s="191"/>
      <c r="G109" s="191"/>
      <c r="H109" s="191"/>
      <c r="I109" s="191"/>
      <c r="J109" s="191"/>
      <c r="K109" s="191"/>
      <c r="L109" s="191"/>
      <c r="M109" s="191"/>
      <c r="N109" s="191"/>
      <c r="O109" s="191"/>
      <c r="P109" s="191"/>
      <c r="Q109" s="191"/>
      <c r="R109" s="191"/>
      <c r="S109" s="191"/>
      <c r="T109" s="191"/>
      <c r="U109" s="232"/>
      <c r="V109" s="232"/>
      <c r="W109" s="232"/>
      <c r="X109" s="232"/>
      <c r="Y109" s="232"/>
    </row>
    <row r="110" spans="1:25">
      <c r="A110" s="319" t="s">
        <v>2551</v>
      </c>
      <c r="B110" s="317">
        <v>681</v>
      </c>
      <c r="C110" s="193"/>
      <c r="D110" s="191"/>
      <c r="E110" s="191"/>
      <c r="F110" s="191"/>
      <c r="G110" s="191"/>
      <c r="H110" s="191"/>
      <c r="I110" s="191"/>
      <c r="J110" s="191"/>
      <c r="K110" s="191"/>
      <c r="L110" s="191"/>
      <c r="M110" s="191"/>
      <c r="N110" s="191"/>
      <c r="O110" s="191"/>
      <c r="P110" s="191"/>
      <c r="Q110" s="191"/>
      <c r="R110" s="191"/>
      <c r="S110" s="191"/>
      <c r="T110" s="191"/>
      <c r="U110" s="232"/>
      <c r="V110" s="232"/>
      <c r="W110" s="232"/>
      <c r="X110" s="232"/>
      <c r="Y110" s="232"/>
    </row>
    <row r="111" spans="1:25">
      <c r="A111" s="319" t="s">
        <v>2552</v>
      </c>
      <c r="B111" s="317">
        <v>477</v>
      </c>
      <c r="C111" s="193"/>
      <c r="D111" s="191"/>
      <c r="E111" s="191"/>
      <c r="F111" s="191"/>
      <c r="G111" s="191"/>
      <c r="H111" s="191"/>
      <c r="I111" s="191"/>
      <c r="J111" s="191"/>
      <c r="K111" s="191"/>
      <c r="L111" s="191"/>
      <c r="M111" s="191"/>
      <c r="N111" s="191"/>
      <c r="O111" s="191"/>
      <c r="P111" s="191"/>
      <c r="Q111" s="191"/>
      <c r="R111" s="191"/>
      <c r="S111" s="191"/>
      <c r="T111" s="191"/>
      <c r="U111" s="232"/>
      <c r="V111" s="232"/>
      <c r="W111" s="232"/>
      <c r="X111" s="232"/>
      <c r="Y111" s="232"/>
    </row>
    <row r="112" spans="1:25">
      <c r="A112" s="319" t="s">
        <v>2553</v>
      </c>
      <c r="B112" s="317">
        <v>613</v>
      </c>
      <c r="C112" s="193"/>
      <c r="D112" s="191"/>
      <c r="E112" s="191"/>
      <c r="F112" s="191"/>
      <c r="G112" s="191"/>
      <c r="H112" s="191"/>
      <c r="I112" s="191"/>
      <c r="J112" s="191"/>
      <c r="K112" s="191"/>
      <c r="L112" s="191"/>
      <c r="M112" s="191"/>
      <c r="N112" s="191"/>
      <c r="O112" s="191"/>
      <c r="P112" s="191"/>
      <c r="Q112" s="191"/>
      <c r="R112" s="191"/>
      <c r="S112" s="191"/>
      <c r="T112" s="191"/>
      <c r="U112" s="232"/>
      <c r="V112" s="232"/>
      <c r="W112" s="232"/>
      <c r="X112" s="232"/>
      <c r="Y112" s="232"/>
    </row>
    <row r="113" spans="1:25">
      <c r="A113" s="319" t="s">
        <v>2554</v>
      </c>
      <c r="B113" s="317">
        <v>409</v>
      </c>
      <c r="C113" s="193"/>
      <c r="D113" s="191"/>
      <c r="E113" s="191"/>
      <c r="F113" s="191"/>
      <c r="G113" s="191"/>
      <c r="H113" s="191"/>
      <c r="I113" s="191"/>
      <c r="J113" s="191"/>
      <c r="K113" s="191"/>
      <c r="L113" s="191"/>
      <c r="M113" s="191"/>
      <c r="N113" s="191"/>
      <c r="O113" s="191"/>
      <c r="P113" s="191"/>
      <c r="Q113" s="191"/>
      <c r="R113" s="191"/>
      <c r="S113" s="191"/>
      <c r="T113" s="191"/>
      <c r="U113" s="232"/>
      <c r="V113" s="232"/>
      <c r="W113" s="232"/>
      <c r="X113" s="232"/>
      <c r="Y113" s="232"/>
    </row>
    <row r="114" spans="1:25">
      <c r="A114" s="319" t="s">
        <v>2493</v>
      </c>
      <c r="B114" s="317">
        <v>560</v>
      </c>
      <c r="C114" s="193"/>
      <c r="D114" s="191"/>
      <c r="E114" s="191"/>
      <c r="F114" s="191"/>
      <c r="G114" s="191"/>
      <c r="H114" s="191"/>
      <c r="I114" s="191"/>
      <c r="J114" s="191"/>
      <c r="K114" s="191"/>
      <c r="L114" s="191"/>
      <c r="M114" s="191"/>
      <c r="N114" s="191"/>
      <c r="O114" s="191"/>
      <c r="P114" s="191"/>
      <c r="Q114" s="191"/>
      <c r="R114" s="191"/>
      <c r="S114" s="191"/>
      <c r="T114" s="191"/>
      <c r="U114" s="232"/>
      <c r="V114" s="232"/>
      <c r="W114" s="232"/>
      <c r="X114" s="232"/>
      <c r="Y114" s="232"/>
    </row>
    <row r="115" spans="1:25">
      <c r="A115" s="320" t="s">
        <v>2494</v>
      </c>
      <c r="B115" s="318">
        <v>505</v>
      </c>
      <c r="C115" s="193"/>
      <c r="D115" s="191"/>
      <c r="E115" s="191"/>
      <c r="F115" s="191"/>
      <c r="G115" s="191"/>
      <c r="H115" s="191"/>
      <c r="I115" s="191"/>
      <c r="J115" s="191"/>
      <c r="K115" s="191"/>
      <c r="L115" s="191"/>
      <c r="M115" s="191"/>
      <c r="N115" s="191"/>
      <c r="O115" s="191"/>
      <c r="P115" s="191"/>
      <c r="Q115" s="191"/>
      <c r="R115" s="191"/>
      <c r="S115" s="191"/>
      <c r="T115" s="191"/>
      <c r="U115" s="232"/>
      <c r="V115" s="232"/>
      <c r="W115" s="232"/>
      <c r="X115" s="232"/>
      <c r="Y115" s="232"/>
    </row>
    <row r="116" spans="1:25">
      <c r="A116" s="1292" t="s">
        <v>2555</v>
      </c>
      <c r="B116" s="1292"/>
      <c r="C116" s="193"/>
      <c r="D116" s="191"/>
      <c r="E116" s="191"/>
      <c r="F116" s="191"/>
      <c r="G116" s="191"/>
      <c r="H116" s="191"/>
      <c r="I116" s="191"/>
      <c r="J116" s="191"/>
      <c r="K116" s="191"/>
      <c r="L116" s="191"/>
      <c r="M116" s="191"/>
      <c r="N116" s="191"/>
      <c r="O116" s="191"/>
      <c r="P116" s="191"/>
      <c r="Q116" s="191"/>
      <c r="R116" s="191"/>
      <c r="S116" s="191"/>
      <c r="T116" s="191"/>
      <c r="U116" s="232"/>
      <c r="V116" s="232"/>
      <c r="W116" s="232"/>
      <c r="X116" s="232"/>
      <c r="Y116" s="232"/>
    </row>
    <row r="117" spans="1:25">
      <c r="A117" s="319" t="s">
        <v>2496</v>
      </c>
      <c r="B117" s="317">
        <v>715</v>
      </c>
      <c r="C117" s="193"/>
      <c r="D117" s="191"/>
      <c r="E117" s="191"/>
      <c r="F117" s="191"/>
      <c r="G117" s="191"/>
      <c r="H117" s="191"/>
      <c r="I117" s="191"/>
      <c r="J117" s="191"/>
      <c r="K117" s="191"/>
      <c r="L117" s="191"/>
      <c r="M117" s="191"/>
      <c r="N117" s="191"/>
      <c r="O117" s="191"/>
      <c r="P117" s="191"/>
      <c r="Q117" s="191"/>
      <c r="R117" s="191"/>
      <c r="S117" s="191"/>
      <c r="T117" s="191"/>
      <c r="U117" s="232"/>
      <c r="V117" s="232"/>
      <c r="W117" s="232"/>
      <c r="X117" s="232"/>
      <c r="Y117" s="232"/>
    </row>
    <row r="118" spans="1:25">
      <c r="A118" s="319" t="s">
        <v>2556</v>
      </c>
      <c r="B118" s="317">
        <v>511</v>
      </c>
      <c r="C118" s="193"/>
      <c r="D118" s="191"/>
      <c r="E118" s="191"/>
      <c r="F118" s="191"/>
      <c r="G118" s="191"/>
      <c r="H118" s="191"/>
      <c r="I118" s="191"/>
      <c r="J118" s="191"/>
      <c r="K118" s="191"/>
      <c r="L118" s="191"/>
      <c r="M118" s="191"/>
      <c r="N118" s="191"/>
      <c r="O118" s="191"/>
      <c r="P118" s="191"/>
      <c r="Q118" s="191"/>
      <c r="R118" s="191"/>
      <c r="S118" s="191"/>
      <c r="T118" s="191"/>
      <c r="U118" s="232"/>
      <c r="V118" s="232"/>
      <c r="W118" s="232"/>
      <c r="X118" s="232"/>
      <c r="Y118" s="232"/>
    </row>
    <row r="119" spans="1:25">
      <c r="A119" s="319" t="s">
        <v>2498</v>
      </c>
      <c r="B119" s="317">
        <v>415</v>
      </c>
      <c r="C119" s="193"/>
      <c r="D119" s="191"/>
      <c r="E119" s="191"/>
      <c r="F119" s="191"/>
      <c r="G119" s="191"/>
      <c r="H119" s="191"/>
      <c r="I119" s="191"/>
      <c r="J119" s="191"/>
      <c r="K119" s="191"/>
      <c r="L119" s="191"/>
      <c r="M119" s="191"/>
      <c r="N119" s="191"/>
      <c r="O119" s="191"/>
      <c r="P119" s="191"/>
      <c r="Q119" s="191"/>
      <c r="R119" s="191"/>
      <c r="S119" s="191"/>
      <c r="T119" s="191"/>
      <c r="U119" s="232"/>
      <c r="V119" s="232"/>
      <c r="W119" s="232"/>
      <c r="X119" s="232"/>
      <c r="Y119" s="232"/>
    </row>
    <row r="120" spans="1:25">
      <c r="A120" s="322" t="s">
        <v>2499</v>
      </c>
      <c r="B120" s="323" t="s">
        <v>2557</v>
      </c>
      <c r="C120" s="193"/>
      <c r="D120" s="191"/>
      <c r="E120" s="191"/>
      <c r="F120" s="191"/>
      <c r="G120" s="191"/>
      <c r="H120" s="191"/>
      <c r="I120" s="191"/>
      <c r="J120" s="191"/>
      <c r="K120" s="191"/>
      <c r="L120" s="191"/>
      <c r="M120" s="191"/>
      <c r="N120" s="191"/>
      <c r="O120" s="191"/>
      <c r="P120" s="191"/>
      <c r="Q120" s="191"/>
      <c r="R120" s="191"/>
      <c r="S120" s="191"/>
      <c r="T120" s="191"/>
      <c r="U120" s="232"/>
      <c r="V120" s="232"/>
      <c r="W120" s="232"/>
      <c r="X120" s="232"/>
      <c r="Y120" s="232"/>
    </row>
    <row r="121" spans="1:25">
      <c r="A121" s="1292" t="s">
        <v>2558</v>
      </c>
      <c r="B121" s="1292"/>
      <c r="C121" s="193"/>
      <c r="D121" s="191"/>
      <c r="E121" s="191"/>
      <c r="F121" s="191"/>
      <c r="G121" s="191"/>
      <c r="H121" s="191"/>
      <c r="I121" s="191"/>
      <c r="J121" s="191"/>
      <c r="K121" s="191"/>
      <c r="L121" s="191"/>
      <c r="M121" s="191"/>
      <c r="N121" s="191"/>
      <c r="O121" s="191"/>
      <c r="P121" s="191"/>
      <c r="Q121" s="191"/>
      <c r="R121" s="191"/>
      <c r="S121" s="191"/>
      <c r="T121" s="191"/>
      <c r="U121" s="232"/>
      <c r="V121" s="232"/>
      <c r="W121" s="232"/>
      <c r="X121" s="232"/>
      <c r="Y121" s="232"/>
    </row>
    <row r="122" spans="1:25">
      <c r="A122" s="321" t="s">
        <v>2501</v>
      </c>
      <c r="B122" s="316">
        <v>477</v>
      </c>
      <c r="C122" s="193"/>
      <c r="D122" s="191"/>
      <c r="E122" s="191"/>
      <c r="F122" s="191"/>
      <c r="G122" s="191"/>
      <c r="H122" s="191"/>
      <c r="I122" s="191"/>
      <c r="J122" s="191"/>
      <c r="K122" s="191"/>
      <c r="L122" s="191"/>
      <c r="M122" s="191"/>
      <c r="N122" s="191"/>
      <c r="O122" s="191"/>
      <c r="P122" s="191"/>
      <c r="Q122" s="191"/>
      <c r="R122" s="191"/>
      <c r="S122" s="191"/>
      <c r="T122" s="191"/>
      <c r="U122" s="232"/>
      <c r="V122" s="232"/>
      <c r="W122" s="232"/>
      <c r="X122" s="232"/>
      <c r="Y122" s="232"/>
    </row>
    <row r="123" spans="1:25">
      <c r="A123" s="319" t="s">
        <v>2502</v>
      </c>
      <c r="B123" s="317">
        <v>415</v>
      </c>
      <c r="C123" s="193"/>
      <c r="D123" s="191"/>
      <c r="E123" s="191"/>
      <c r="F123" s="191"/>
      <c r="G123" s="191"/>
      <c r="H123" s="191"/>
      <c r="I123" s="191"/>
      <c r="J123" s="191"/>
      <c r="K123" s="191"/>
      <c r="L123" s="191"/>
      <c r="M123" s="191"/>
      <c r="N123" s="191"/>
      <c r="O123" s="191"/>
      <c r="P123" s="191"/>
      <c r="Q123" s="191"/>
      <c r="R123" s="191"/>
      <c r="S123" s="191"/>
      <c r="T123" s="191"/>
      <c r="U123" s="232"/>
      <c r="V123" s="232"/>
      <c r="W123" s="232"/>
      <c r="X123" s="232"/>
      <c r="Y123" s="232"/>
    </row>
    <row r="124" spans="1:25">
      <c r="A124" s="320" t="s">
        <v>2559</v>
      </c>
      <c r="B124" s="318">
        <v>345</v>
      </c>
      <c r="C124" s="193"/>
      <c r="D124" s="191"/>
      <c r="E124" s="191"/>
      <c r="F124" s="191"/>
      <c r="G124" s="191"/>
      <c r="H124" s="191"/>
      <c r="I124" s="191"/>
      <c r="J124" s="191"/>
      <c r="K124" s="191"/>
      <c r="L124" s="191"/>
      <c r="M124" s="191"/>
      <c r="N124" s="191"/>
      <c r="O124" s="191"/>
      <c r="P124" s="191"/>
      <c r="Q124" s="191"/>
      <c r="R124" s="191"/>
      <c r="S124" s="191"/>
      <c r="T124" s="191"/>
      <c r="U124" s="232"/>
      <c r="V124" s="232"/>
      <c r="W124" s="232"/>
      <c r="X124" s="232"/>
      <c r="Y124" s="232"/>
    </row>
    <row r="125" spans="1:25">
      <c r="A125" s="230"/>
      <c r="B125" s="231"/>
      <c r="C125" s="193"/>
      <c r="D125" s="191"/>
      <c r="E125" s="191"/>
      <c r="F125" s="191"/>
      <c r="G125" s="191"/>
      <c r="H125" s="191"/>
      <c r="I125" s="191"/>
      <c r="J125" s="191"/>
      <c r="K125" s="191"/>
      <c r="L125" s="191"/>
      <c r="M125" s="191"/>
      <c r="N125" s="191"/>
      <c r="O125" s="191"/>
      <c r="P125" s="191"/>
      <c r="Q125" s="191"/>
      <c r="R125" s="191"/>
      <c r="S125" s="191"/>
      <c r="T125" s="191"/>
      <c r="U125" s="232"/>
      <c r="V125" s="232"/>
      <c r="W125" s="232"/>
      <c r="X125" s="232"/>
      <c r="Y125" s="232"/>
    </row>
    <row r="126" spans="1:25">
      <c r="A126" s="230" t="s">
        <v>2560</v>
      </c>
      <c r="B126" s="231"/>
      <c r="C126" s="193"/>
      <c r="D126" s="191"/>
      <c r="E126" s="191"/>
      <c r="F126" s="191"/>
      <c r="G126" s="191"/>
      <c r="H126" s="191"/>
      <c r="I126" s="191"/>
      <c r="J126" s="191"/>
      <c r="K126" s="191"/>
      <c r="L126" s="191"/>
      <c r="M126" s="191"/>
      <c r="N126" s="191"/>
      <c r="O126" s="191"/>
      <c r="P126" s="191"/>
      <c r="Q126" s="191"/>
      <c r="R126" s="191"/>
      <c r="S126" s="191"/>
      <c r="T126" s="191"/>
      <c r="U126" s="232"/>
      <c r="V126" s="232"/>
      <c r="W126" s="232"/>
      <c r="X126" s="232"/>
      <c r="Y126" s="232"/>
    </row>
    <row r="127" spans="1:25">
      <c r="A127" s="230" t="s">
        <v>2561</v>
      </c>
      <c r="B127" s="231"/>
      <c r="C127" s="193"/>
      <c r="D127" s="191"/>
      <c r="E127" s="191"/>
      <c r="F127" s="191"/>
      <c r="G127" s="191"/>
      <c r="H127" s="191"/>
      <c r="I127" s="191"/>
      <c r="J127" s="191"/>
      <c r="K127" s="191"/>
      <c r="L127" s="191"/>
      <c r="M127" s="191"/>
      <c r="N127" s="191"/>
      <c r="O127" s="191"/>
      <c r="P127" s="191"/>
      <c r="Q127" s="191"/>
      <c r="R127" s="191"/>
      <c r="S127" s="191"/>
      <c r="T127" s="191"/>
      <c r="U127" s="232"/>
      <c r="V127" s="232"/>
      <c r="W127" s="232"/>
      <c r="X127" s="232"/>
      <c r="Y127" s="232"/>
    </row>
    <row r="128" spans="1:25">
      <c r="A128" s="230" t="s">
        <v>2562</v>
      </c>
      <c r="B128" s="231"/>
      <c r="C128" s="193"/>
      <c r="D128" s="191"/>
      <c r="E128" s="191"/>
      <c r="F128" s="191"/>
      <c r="G128" s="191"/>
      <c r="H128" s="191"/>
      <c r="I128" s="191"/>
      <c r="J128" s="191"/>
      <c r="K128" s="191"/>
      <c r="L128" s="191"/>
      <c r="M128" s="191"/>
      <c r="N128" s="191"/>
      <c r="O128" s="191"/>
      <c r="P128" s="191"/>
      <c r="Q128" s="191"/>
      <c r="R128" s="191"/>
      <c r="S128" s="191"/>
      <c r="T128" s="191"/>
      <c r="U128" s="232"/>
      <c r="V128" s="232"/>
      <c r="W128" s="232"/>
      <c r="X128" s="232"/>
      <c r="Y128" s="232"/>
    </row>
    <row r="129" spans="1:25" ht="29.45" customHeight="1">
      <c r="A129" s="232" t="s">
        <v>2563</v>
      </c>
      <c r="B129" s="232"/>
      <c r="C129" s="232"/>
      <c r="D129" s="232"/>
      <c r="E129" s="232"/>
      <c r="F129" s="232"/>
      <c r="G129" s="232"/>
      <c r="H129" s="232"/>
      <c r="I129" s="232"/>
      <c r="J129" s="232"/>
      <c r="K129" s="232"/>
      <c r="L129" s="232"/>
      <c r="M129" s="232"/>
      <c r="N129" s="232"/>
      <c r="O129" s="232"/>
      <c r="P129" s="232"/>
      <c r="Q129" s="232"/>
      <c r="R129" s="232"/>
      <c r="S129" s="232"/>
      <c r="T129" s="191"/>
      <c r="U129" s="232"/>
      <c r="V129" s="232"/>
      <c r="W129" s="232"/>
      <c r="X129" s="232"/>
      <c r="Y129" s="232"/>
    </row>
    <row r="130" spans="1:25">
      <c r="A130" s="230" t="s">
        <v>2564</v>
      </c>
      <c r="B130" s="231"/>
      <c r="C130" s="193"/>
      <c r="D130" s="191"/>
      <c r="E130" s="191"/>
      <c r="F130" s="191"/>
      <c r="G130" s="191"/>
      <c r="H130" s="191"/>
      <c r="I130" s="191"/>
      <c r="J130" s="191"/>
      <c r="K130" s="191"/>
      <c r="L130" s="191"/>
      <c r="M130" s="191"/>
      <c r="N130" s="191"/>
      <c r="O130" s="191"/>
      <c r="P130" s="191"/>
      <c r="Q130" s="191"/>
      <c r="R130" s="191"/>
      <c r="S130" s="191"/>
      <c r="T130" s="191"/>
      <c r="U130" s="232"/>
      <c r="V130" s="232"/>
      <c r="W130" s="232"/>
      <c r="X130" s="232"/>
      <c r="Y130" s="232"/>
    </row>
    <row r="131" spans="1:25">
      <c r="A131" s="230" t="s">
        <v>2565</v>
      </c>
      <c r="B131" s="231"/>
      <c r="C131" s="193"/>
      <c r="D131" s="191"/>
      <c r="E131" s="191"/>
      <c r="F131" s="191"/>
      <c r="G131" s="191"/>
      <c r="H131" s="191"/>
      <c r="I131" s="191"/>
      <c r="J131" s="191"/>
      <c r="K131" s="191"/>
      <c r="L131" s="191"/>
      <c r="M131" s="191"/>
      <c r="N131" s="191"/>
      <c r="O131" s="191"/>
      <c r="P131" s="191"/>
      <c r="Q131" s="191"/>
      <c r="R131" s="191"/>
      <c r="S131" s="191"/>
      <c r="T131" s="191"/>
      <c r="U131" s="232"/>
      <c r="V131" s="232"/>
      <c r="W131" s="232"/>
      <c r="X131" s="232"/>
      <c r="Y131" s="232"/>
    </row>
    <row r="132" spans="1:25">
      <c r="A132" s="235" t="s">
        <v>2566</v>
      </c>
      <c r="B132" s="231"/>
      <c r="C132" s="193"/>
      <c r="D132" s="191"/>
      <c r="E132" s="191"/>
      <c r="F132" s="191"/>
      <c r="G132" s="191"/>
      <c r="H132" s="191"/>
      <c r="I132" s="191"/>
      <c r="J132" s="191"/>
      <c r="K132" s="191"/>
      <c r="L132" s="191"/>
      <c r="M132" s="191"/>
      <c r="N132" s="191"/>
      <c r="O132" s="191"/>
      <c r="P132" s="191"/>
      <c r="Q132" s="191"/>
      <c r="R132" s="191"/>
      <c r="S132" s="191"/>
      <c r="T132" s="191"/>
      <c r="U132" s="232"/>
      <c r="V132" s="232"/>
      <c r="W132" s="232"/>
      <c r="X132" s="232"/>
      <c r="Y132" s="232"/>
    </row>
    <row r="133" spans="1:25">
      <c r="A133" s="235" t="s">
        <v>2567</v>
      </c>
      <c r="B133" s="231"/>
      <c r="C133" s="193"/>
      <c r="D133" s="191"/>
      <c r="E133" s="191"/>
      <c r="F133" s="191"/>
      <c r="G133" s="191"/>
      <c r="H133" s="191"/>
      <c r="I133" s="191"/>
      <c r="J133" s="191"/>
      <c r="K133" s="191"/>
      <c r="L133" s="191"/>
      <c r="M133" s="191"/>
      <c r="N133" s="191"/>
      <c r="O133" s="191"/>
      <c r="P133" s="191"/>
      <c r="Q133" s="191"/>
      <c r="R133" s="191"/>
      <c r="S133" s="191"/>
      <c r="T133" s="191"/>
      <c r="U133" s="232"/>
      <c r="V133" s="232"/>
      <c r="W133" s="232"/>
      <c r="X133" s="232"/>
      <c r="Y133" s="232"/>
    </row>
    <row r="134" spans="1:25">
      <c r="A134" s="235" t="s">
        <v>2568</v>
      </c>
      <c r="B134" s="231"/>
      <c r="C134" s="193"/>
      <c r="D134" s="191"/>
      <c r="E134" s="191"/>
      <c r="F134" s="191"/>
      <c r="G134" s="191"/>
      <c r="H134" s="191"/>
      <c r="I134" s="191"/>
      <c r="J134" s="191"/>
      <c r="K134" s="191"/>
      <c r="L134" s="191"/>
      <c r="M134" s="191"/>
      <c r="N134" s="191"/>
      <c r="O134" s="191"/>
      <c r="P134" s="191"/>
      <c r="Q134" s="191"/>
      <c r="R134" s="191"/>
      <c r="S134" s="191"/>
      <c r="T134" s="191"/>
      <c r="U134" s="232"/>
      <c r="V134" s="232"/>
      <c r="W134" s="232"/>
      <c r="X134" s="232"/>
      <c r="Y134" s="232"/>
    </row>
    <row r="135" spans="1:25">
      <c r="A135" s="235" t="s">
        <v>2569</v>
      </c>
      <c r="B135" s="231"/>
      <c r="C135" s="193"/>
      <c r="D135" s="191"/>
      <c r="E135" s="191"/>
      <c r="F135" s="191"/>
      <c r="G135" s="191"/>
      <c r="H135" s="191"/>
      <c r="I135" s="191"/>
      <c r="J135" s="191"/>
      <c r="K135" s="191"/>
      <c r="L135" s="191"/>
      <c r="M135" s="191"/>
      <c r="N135" s="191"/>
      <c r="O135" s="191"/>
      <c r="P135" s="191"/>
      <c r="Q135" s="191"/>
      <c r="R135" s="191"/>
      <c r="S135" s="191"/>
      <c r="T135" s="191"/>
      <c r="U135" s="232"/>
      <c r="V135" s="232"/>
      <c r="W135" s="232"/>
      <c r="X135" s="232"/>
      <c r="Y135" s="232"/>
    </row>
    <row r="136" spans="1:25">
      <c r="A136" s="235" t="s">
        <v>2570</v>
      </c>
      <c r="B136" s="231"/>
      <c r="C136" s="193"/>
      <c r="D136" s="191"/>
      <c r="E136" s="191"/>
      <c r="F136" s="191"/>
      <c r="G136" s="191"/>
      <c r="H136" s="191"/>
      <c r="I136" s="191"/>
      <c r="J136" s="191"/>
      <c r="K136" s="191"/>
      <c r="L136" s="191"/>
      <c r="M136" s="191"/>
      <c r="N136" s="191"/>
      <c r="O136" s="191"/>
      <c r="P136" s="191"/>
      <c r="Q136" s="191"/>
      <c r="R136" s="191"/>
      <c r="S136" s="191"/>
      <c r="T136" s="191"/>
      <c r="U136" s="232"/>
      <c r="V136" s="232"/>
      <c r="W136" s="232"/>
      <c r="X136" s="232"/>
      <c r="Y136" s="232"/>
    </row>
    <row r="137" spans="1:25">
      <c r="A137" s="235" t="s">
        <v>2571</v>
      </c>
      <c r="B137" s="231"/>
      <c r="C137" s="193"/>
      <c r="D137" s="191"/>
      <c r="E137" s="191"/>
      <c r="F137" s="191"/>
      <c r="G137" s="191"/>
      <c r="H137" s="191"/>
      <c r="I137" s="191"/>
      <c r="J137" s="191"/>
      <c r="K137" s="191"/>
      <c r="L137" s="191"/>
      <c r="M137" s="191"/>
      <c r="N137" s="191"/>
      <c r="O137" s="191"/>
      <c r="P137" s="191"/>
      <c r="Q137" s="191"/>
      <c r="R137" s="191"/>
      <c r="S137" s="191"/>
      <c r="T137" s="191"/>
      <c r="U137" s="232"/>
      <c r="V137" s="232"/>
      <c r="W137" s="232"/>
      <c r="X137" s="232"/>
      <c r="Y137" s="232"/>
    </row>
    <row r="138" spans="1:25">
      <c r="A138" s="235" t="s">
        <v>2572</v>
      </c>
      <c r="B138" s="231"/>
      <c r="C138" s="193"/>
      <c r="D138" s="191"/>
      <c r="E138" s="191"/>
      <c r="F138" s="191"/>
      <c r="G138" s="191"/>
      <c r="H138" s="191"/>
      <c r="I138" s="191"/>
      <c r="J138" s="191"/>
      <c r="K138" s="191"/>
      <c r="L138" s="191"/>
      <c r="M138" s="191"/>
      <c r="N138" s="191"/>
      <c r="O138" s="191"/>
      <c r="P138" s="191"/>
      <c r="Q138" s="191"/>
      <c r="R138" s="191"/>
      <c r="S138" s="191"/>
      <c r="T138" s="191"/>
      <c r="U138" s="232"/>
      <c r="V138" s="232"/>
      <c r="W138" s="232"/>
      <c r="X138" s="232"/>
      <c r="Y138" s="232"/>
    </row>
    <row r="139" spans="1:25">
      <c r="A139" s="235" t="s">
        <v>2573</v>
      </c>
      <c r="B139" s="231"/>
      <c r="C139" s="193"/>
      <c r="D139" s="191"/>
      <c r="E139" s="191"/>
      <c r="F139" s="191"/>
      <c r="G139" s="191"/>
      <c r="H139" s="191"/>
      <c r="I139" s="191"/>
      <c r="J139" s="191"/>
      <c r="K139" s="191"/>
      <c r="L139" s="191"/>
      <c r="M139" s="191"/>
      <c r="N139" s="191"/>
      <c r="O139" s="191"/>
      <c r="P139" s="191"/>
      <c r="Q139" s="191"/>
      <c r="R139" s="191"/>
      <c r="S139" s="191"/>
      <c r="T139" s="191"/>
      <c r="U139" s="232"/>
      <c r="V139" s="232"/>
      <c r="W139" s="232"/>
      <c r="X139" s="232"/>
      <c r="Y139" s="232"/>
    </row>
    <row r="140" spans="1:25">
      <c r="A140" s="230" t="s">
        <v>2574</v>
      </c>
      <c r="B140" s="231"/>
      <c r="C140" s="193"/>
      <c r="D140" s="191"/>
      <c r="E140" s="191"/>
      <c r="F140" s="191"/>
      <c r="G140" s="191"/>
      <c r="H140" s="191"/>
      <c r="I140" s="191"/>
      <c r="J140" s="191"/>
      <c r="K140" s="191"/>
      <c r="L140" s="191"/>
      <c r="M140" s="191"/>
      <c r="N140" s="191"/>
      <c r="O140" s="191"/>
      <c r="P140" s="191"/>
      <c r="Q140" s="191"/>
      <c r="R140" s="191"/>
      <c r="S140" s="191"/>
      <c r="T140" s="191"/>
      <c r="U140" s="232"/>
      <c r="V140" s="232"/>
      <c r="W140" s="232"/>
      <c r="X140" s="232"/>
      <c r="Y140" s="232"/>
    </row>
    <row r="141" spans="1:25">
      <c r="A141" s="230"/>
      <c r="B141" s="231"/>
      <c r="C141" s="193"/>
      <c r="D141" s="191"/>
      <c r="E141" s="191"/>
      <c r="F141" s="191"/>
      <c r="G141" s="191"/>
      <c r="H141" s="191"/>
      <c r="I141" s="191"/>
      <c r="J141" s="191"/>
      <c r="K141" s="191"/>
      <c r="L141" s="191"/>
      <c r="M141" s="191"/>
      <c r="N141" s="191"/>
      <c r="O141" s="191"/>
      <c r="P141" s="191"/>
      <c r="Q141" s="191"/>
      <c r="R141" s="191"/>
      <c r="S141" s="191"/>
      <c r="T141" s="191"/>
      <c r="U141" s="232"/>
      <c r="V141" s="232"/>
      <c r="W141" s="232"/>
      <c r="X141" s="232"/>
      <c r="Y141" s="232"/>
    </row>
    <row r="142" spans="1:25">
      <c r="A142" s="314" t="s">
        <v>2575</v>
      </c>
      <c r="B142" s="315" t="s">
        <v>2576</v>
      </c>
      <c r="C142" s="193"/>
      <c r="D142" s="191"/>
      <c r="E142" s="191"/>
      <c r="F142" s="191"/>
      <c r="G142" s="191"/>
      <c r="H142" s="191"/>
      <c r="I142" s="191"/>
      <c r="J142" s="191"/>
      <c r="K142" s="191"/>
      <c r="L142" s="191"/>
      <c r="M142" s="191"/>
      <c r="N142" s="191"/>
      <c r="O142" s="191"/>
      <c r="P142" s="191"/>
      <c r="Q142" s="191"/>
      <c r="R142" s="191"/>
      <c r="S142" s="191"/>
      <c r="T142" s="191"/>
      <c r="U142" s="232"/>
      <c r="V142" s="232"/>
      <c r="W142" s="232"/>
      <c r="X142" s="232"/>
      <c r="Y142" s="232"/>
    </row>
    <row r="143" spans="1:25">
      <c r="A143" s="319" t="s">
        <v>2577</v>
      </c>
      <c r="B143" s="317" t="s">
        <v>2578</v>
      </c>
      <c r="C143" s="193"/>
      <c r="D143" s="191"/>
      <c r="E143" s="191"/>
      <c r="F143" s="191"/>
      <c r="G143" s="191"/>
      <c r="H143" s="191"/>
      <c r="I143" s="191"/>
      <c r="J143" s="191"/>
      <c r="K143" s="191"/>
      <c r="L143" s="191"/>
      <c r="M143" s="191"/>
      <c r="N143" s="191"/>
      <c r="O143" s="191"/>
      <c r="P143" s="191"/>
      <c r="Q143" s="191"/>
      <c r="R143" s="191"/>
      <c r="S143" s="191"/>
      <c r="T143" s="191"/>
      <c r="U143" s="232"/>
      <c r="V143" s="232"/>
      <c r="W143" s="232"/>
      <c r="X143" s="232"/>
      <c r="Y143" s="232"/>
    </row>
    <row r="144" spans="1:25">
      <c r="A144" s="319" t="s">
        <v>2579</v>
      </c>
      <c r="B144" s="317" t="s">
        <v>2580</v>
      </c>
      <c r="C144" s="193"/>
      <c r="D144" s="191"/>
      <c r="E144" s="191"/>
      <c r="F144" s="191"/>
      <c r="G144" s="191"/>
      <c r="H144" s="191"/>
      <c r="I144" s="191"/>
      <c r="J144" s="191"/>
      <c r="K144" s="191"/>
      <c r="L144" s="191"/>
      <c r="M144" s="191"/>
      <c r="N144" s="191"/>
      <c r="O144" s="191"/>
      <c r="P144" s="191"/>
      <c r="Q144" s="191"/>
      <c r="R144" s="191"/>
      <c r="S144" s="191"/>
      <c r="T144" s="191"/>
      <c r="U144" s="232"/>
      <c r="V144" s="232"/>
      <c r="W144" s="232"/>
      <c r="X144" s="232"/>
      <c r="Y144" s="232"/>
    </row>
    <row r="145" spans="1:25">
      <c r="A145" s="320" t="s">
        <v>2581</v>
      </c>
      <c r="B145" s="318" t="s">
        <v>2582</v>
      </c>
      <c r="C145" s="193"/>
      <c r="D145" s="191"/>
      <c r="E145" s="191"/>
      <c r="F145" s="191"/>
      <c r="G145" s="191"/>
      <c r="H145" s="191"/>
      <c r="I145" s="191"/>
      <c r="J145" s="191"/>
      <c r="K145" s="191"/>
      <c r="L145" s="191"/>
      <c r="M145" s="191"/>
      <c r="N145" s="191"/>
      <c r="O145" s="191"/>
      <c r="P145" s="191"/>
      <c r="Q145" s="191"/>
      <c r="R145" s="191"/>
      <c r="S145" s="191"/>
      <c r="T145" s="191"/>
      <c r="U145" s="232"/>
      <c r="V145" s="232"/>
      <c r="W145" s="232"/>
      <c r="X145" s="232"/>
      <c r="Y145" s="232"/>
    </row>
    <row r="146" spans="1:25">
      <c r="A146" s="230"/>
      <c r="B146" s="231"/>
      <c r="C146" s="193"/>
      <c r="D146" s="191"/>
      <c r="E146" s="191"/>
      <c r="F146" s="191"/>
      <c r="G146" s="191"/>
      <c r="H146" s="191"/>
      <c r="I146" s="191"/>
      <c r="J146" s="191"/>
      <c r="K146" s="191"/>
      <c r="L146" s="191"/>
      <c r="M146" s="191"/>
      <c r="N146" s="191"/>
      <c r="O146" s="191"/>
      <c r="P146" s="191"/>
      <c r="Q146" s="191"/>
      <c r="R146" s="191"/>
      <c r="S146" s="191"/>
      <c r="T146" s="191"/>
      <c r="U146" s="232"/>
      <c r="V146" s="232"/>
      <c r="W146" s="232"/>
      <c r="X146" s="232"/>
      <c r="Y146" s="232"/>
    </row>
    <row r="147" spans="1:25">
      <c r="A147" s="234" t="s">
        <v>2583</v>
      </c>
      <c r="B147" s="231"/>
      <c r="C147" s="193"/>
      <c r="D147" s="191"/>
      <c r="E147" s="191"/>
      <c r="F147" s="191"/>
      <c r="G147" s="191"/>
      <c r="H147" s="191"/>
      <c r="I147" s="191"/>
      <c r="J147" s="191"/>
      <c r="K147" s="191"/>
      <c r="L147" s="191"/>
      <c r="M147" s="191"/>
      <c r="N147" s="191"/>
      <c r="O147" s="191"/>
      <c r="P147" s="191"/>
      <c r="Q147" s="191"/>
      <c r="R147" s="191"/>
      <c r="S147" s="191"/>
      <c r="T147" s="191"/>
      <c r="U147" s="232"/>
      <c r="V147" s="232"/>
      <c r="W147" s="232"/>
      <c r="X147" s="232"/>
      <c r="Y147" s="232"/>
    </row>
    <row r="148" spans="1:25">
      <c r="A148" s="230" t="s">
        <v>2584</v>
      </c>
      <c r="B148" s="231"/>
      <c r="C148" s="193"/>
      <c r="D148" s="191"/>
      <c r="E148" s="191"/>
      <c r="F148" s="191"/>
      <c r="G148" s="191"/>
      <c r="H148" s="191"/>
      <c r="I148" s="191"/>
      <c r="J148" s="191"/>
      <c r="K148" s="191"/>
      <c r="L148" s="191"/>
      <c r="M148" s="191"/>
      <c r="N148" s="191"/>
      <c r="O148" s="191"/>
      <c r="P148" s="191"/>
      <c r="Q148" s="191"/>
      <c r="R148" s="191"/>
      <c r="S148" s="191"/>
      <c r="T148" s="191"/>
      <c r="U148" s="232"/>
      <c r="V148" s="232"/>
      <c r="W148" s="232"/>
      <c r="X148" s="232"/>
      <c r="Y148" s="232"/>
    </row>
    <row r="149" spans="1:25">
      <c r="A149" s="230"/>
      <c r="B149" s="231"/>
      <c r="C149" s="193"/>
      <c r="D149" s="191"/>
      <c r="E149" s="191"/>
      <c r="F149" s="191"/>
      <c r="G149" s="191"/>
      <c r="H149" s="191"/>
      <c r="I149" s="191"/>
      <c r="J149" s="191"/>
      <c r="K149" s="191"/>
      <c r="L149" s="191"/>
      <c r="M149" s="191"/>
      <c r="N149" s="191"/>
      <c r="O149" s="191"/>
      <c r="P149" s="191"/>
      <c r="Q149" s="191"/>
      <c r="R149" s="191"/>
      <c r="S149" s="191"/>
      <c r="T149" s="191"/>
      <c r="U149" s="232"/>
      <c r="V149" s="232"/>
      <c r="W149" s="232"/>
      <c r="X149" s="232"/>
      <c r="Y149" s="232"/>
    </row>
    <row r="150" spans="1:25">
      <c r="A150" s="314" t="s">
        <v>2585</v>
      </c>
      <c r="B150" s="315">
        <v>309</v>
      </c>
      <c r="C150" s="193"/>
      <c r="D150" s="191"/>
      <c r="E150" s="191"/>
      <c r="F150" s="191"/>
      <c r="G150" s="191"/>
      <c r="H150" s="191"/>
      <c r="I150" s="191"/>
      <c r="J150" s="191"/>
      <c r="K150" s="191"/>
      <c r="L150" s="191"/>
      <c r="M150" s="191"/>
      <c r="N150" s="191"/>
      <c r="O150" s="191"/>
      <c r="P150" s="191"/>
      <c r="Q150" s="191"/>
      <c r="R150" s="191"/>
      <c r="S150" s="191"/>
      <c r="T150" s="191"/>
      <c r="U150" s="232"/>
      <c r="V150" s="232"/>
      <c r="W150" s="232"/>
      <c r="X150" s="232"/>
      <c r="Y150" s="232"/>
    </row>
    <row r="151" spans="1:25" ht="51">
      <c r="A151" s="324" t="s">
        <v>2586</v>
      </c>
      <c r="B151" s="325">
        <v>162</v>
      </c>
      <c r="C151" s="193"/>
      <c r="D151" s="191"/>
      <c r="E151" s="191"/>
      <c r="F151" s="191"/>
      <c r="G151" s="191"/>
      <c r="H151" s="191"/>
      <c r="I151" s="191"/>
      <c r="J151" s="191"/>
      <c r="K151" s="191"/>
      <c r="L151" s="191"/>
      <c r="M151" s="191"/>
      <c r="N151" s="191"/>
      <c r="O151" s="191"/>
      <c r="P151" s="191"/>
      <c r="Q151" s="191"/>
      <c r="R151" s="191"/>
      <c r="S151" s="191"/>
      <c r="T151" s="191"/>
      <c r="U151" s="232"/>
      <c r="V151" s="232"/>
      <c r="W151" s="232"/>
      <c r="X151" s="232"/>
      <c r="Y151" s="232"/>
    </row>
    <row r="152" spans="1:25" ht="51">
      <c r="A152" s="320" t="s">
        <v>2587</v>
      </c>
      <c r="B152" s="318">
        <v>156</v>
      </c>
      <c r="C152" s="193"/>
      <c r="D152" s="191"/>
      <c r="E152" s="191"/>
      <c r="F152" s="191"/>
      <c r="G152" s="191"/>
      <c r="H152" s="191"/>
      <c r="I152" s="191"/>
      <c r="J152" s="191"/>
      <c r="K152" s="191"/>
      <c r="L152" s="191"/>
      <c r="M152" s="191"/>
      <c r="N152" s="191"/>
      <c r="O152" s="191"/>
      <c r="P152" s="191"/>
      <c r="Q152" s="191"/>
      <c r="R152" s="191"/>
      <c r="S152" s="191"/>
      <c r="T152" s="191"/>
      <c r="U152" s="232"/>
      <c r="V152" s="232"/>
      <c r="W152" s="232"/>
      <c r="X152" s="232"/>
      <c r="Y152" s="232"/>
    </row>
    <row r="153" spans="1:25">
      <c r="A153" s="230"/>
      <c r="B153" s="231"/>
      <c r="C153" s="193"/>
      <c r="D153" s="191"/>
      <c r="E153" s="191"/>
      <c r="F153" s="191"/>
      <c r="G153" s="191"/>
      <c r="H153" s="191"/>
      <c r="I153" s="191"/>
      <c r="J153" s="191"/>
      <c r="K153" s="191"/>
      <c r="L153" s="191"/>
      <c r="M153" s="191"/>
      <c r="N153" s="191"/>
      <c r="O153" s="191"/>
      <c r="P153" s="191"/>
      <c r="Q153" s="191"/>
      <c r="R153" s="191"/>
      <c r="S153" s="191"/>
      <c r="T153" s="191"/>
      <c r="U153" s="232"/>
      <c r="V153" s="232"/>
      <c r="W153" s="232"/>
      <c r="X153" s="232"/>
      <c r="Y153" s="232"/>
    </row>
    <row r="154" spans="1:25">
      <c r="A154" s="230" t="s">
        <v>2588</v>
      </c>
      <c r="B154" s="231"/>
      <c r="C154" s="193"/>
      <c r="D154" s="191"/>
      <c r="E154" s="191"/>
      <c r="F154" s="191"/>
      <c r="G154" s="191"/>
      <c r="H154" s="191"/>
      <c r="I154" s="191"/>
      <c r="J154" s="191"/>
      <c r="K154" s="191"/>
      <c r="L154" s="191"/>
      <c r="M154" s="191"/>
      <c r="N154" s="191"/>
      <c r="O154" s="191"/>
      <c r="P154" s="191"/>
      <c r="Q154" s="191"/>
      <c r="R154" s="191"/>
      <c r="S154" s="191"/>
      <c r="T154" s="191"/>
      <c r="U154" s="232"/>
      <c r="V154" s="232"/>
      <c r="W154" s="232"/>
      <c r="X154" s="232"/>
      <c r="Y154" s="232"/>
    </row>
    <row r="155" spans="1:25">
      <c r="A155" s="230" t="s">
        <v>2589</v>
      </c>
      <c r="B155" s="231"/>
      <c r="C155" s="193"/>
      <c r="D155" s="191"/>
      <c r="E155" s="191"/>
      <c r="F155" s="191"/>
      <c r="G155" s="191"/>
      <c r="H155" s="191"/>
      <c r="I155" s="191"/>
      <c r="J155" s="191"/>
      <c r="K155" s="191"/>
      <c r="L155" s="191"/>
      <c r="M155" s="191"/>
      <c r="N155" s="191"/>
      <c r="O155" s="191"/>
      <c r="P155" s="191"/>
      <c r="Q155" s="191"/>
      <c r="R155" s="191"/>
      <c r="S155" s="191"/>
      <c r="T155" s="191"/>
      <c r="U155" s="232"/>
      <c r="V155" s="232"/>
      <c r="W155" s="232"/>
      <c r="X155" s="232"/>
      <c r="Y155" s="232"/>
    </row>
    <row r="156" spans="1:25">
      <c r="A156" s="230" t="s">
        <v>2590</v>
      </c>
      <c r="B156" s="231"/>
      <c r="C156" s="193"/>
      <c r="D156" s="191"/>
      <c r="E156" s="191"/>
      <c r="F156" s="191"/>
      <c r="G156" s="191"/>
      <c r="H156" s="191"/>
      <c r="I156" s="191"/>
      <c r="J156" s="191"/>
      <c r="K156" s="191"/>
      <c r="L156" s="191"/>
      <c r="M156" s="191"/>
      <c r="N156" s="191"/>
      <c r="O156" s="191"/>
      <c r="P156" s="191"/>
      <c r="Q156" s="191"/>
      <c r="R156" s="191"/>
      <c r="S156" s="191"/>
      <c r="T156" s="191"/>
      <c r="U156" s="232"/>
      <c r="V156" s="232"/>
      <c r="W156" s="232"/>
      <c r="X156" s="232"/>
      <c r="Y156" s="232"/>
    </row>
    <row r="157" spans="1:25">
      <c r="A157" s="230" t="s">
        <v>2591</v>
      </c>
      <c r="B157" s="231"/>
      <c r="C157" s="193"/>
      <c r="D157" s="191"/>
      <c r="E157" s="191"/>
      <c r="F157" s="191"/>
      <c r="G157" s="191"/>
      <c r="H157" s="191"/>
      <c r="I157" s="191"/>
      <c r="J157" s="191"/>
      <c r="K157" s="191"/>
      <c r="L157" s="191"/>
      <c r="M157" s="191"/>
      <c r="N157" s="191"/>
      <c r="O157" s="191"/>
      <c r="P157" s="191"/>
      <c r="Q157" s="191"/>
      <c r="R157" s="191"/>
      <c r="S157" s="191"/>
      <c r="T157" s="191"/>
      <c r="U157" s="232"/>
      <c r="V157" s="232"/>
      <c r="W157" s="232"/>
      <c r="X157" s="232"/>
      <c r="Y157" s="232"/>
    </row>
    <row r="158" spans="1:25">
      <c r="A158" s="230" t="s">
        <v>2592</v>
      </c>
      <c r="B158" s="231"/>
      <c r="C158" s="193"/>
      <c r="D158" s="191"/>
      <c r="E158" s="191"/>
      <c r="F158" s="191"/>
      <c r="G158" s="191"/>
      <c r="H158" s="191"/>
      <c r="I158" s="191"/>
      <c r="J158" s="191"/>
      <c r="K158" s="191"/>
      <c r="L158" s="191"/>
      <c r="M158" s="191"/>
      <c r="N158" s="191"/>
      <c r="O158" s="191"/>
      <c r="P158" s="191"/>
      <c r="Q158" s="191"/>
      <c r="R158" s="191"/>
      <c r="S158" s="191"/>
      <c r="T158" s="191"/>
      <c r="U158" s="232"/>
      <c r="V158" s="232"/>
      <c r="W158" s="232"/>
      <c r="X158" s="232"/>
      <c r="Y158" s="232"/>
    </row>
    <row r="159" spans="1:25">
      <c r="A159" s="234" t="s">
        <v>2583</v>
      </c>
      <c r="B159" s="231"/>
      <c r="C159" s="193"/>
      <c r="D159" s="191"/>
      <c r="E159" s="191"/>
      <c r="F159" s="191"/>
      <c r="G159" s="191"/>
      <c r="H159" s="191"/>
      <c r="I159" s="191"/>
      <c r="J159" s="191"/>
      <c r="K159" s="191"/>
      <c r="L159" s="191"/>
      <c r="M159" s="191"/>
      <c r="N159" s="191"/>
      <c r="O159" s="191"/>
      <c r="P159" s="191"/>
      <c r="Q159" s="191"/>
      <c r="R159" s="191"/>
      <c r="S159" s="191"/>
      <c r="T159" s="191"/>
      <c r="U159" s="232"/>
      <c r="V159" s="232"/>
      <c r="W159" s="232"/>
      <c r="X159" s="232"/>
      <c r="Y159" s="232"/>
    </row>
    <row r="160" spans="1:25">
      <c r="A160" s="230" t="s">
        <v>2593</v>
      </c>
      <c r="B160" s="231"/>
      <c r="C160" s="193"/>
      <c r="D160" s="191"/>
      <c r="E160" s="191"/>
      <c r="F160" s="191"/>
      <c r="G160" s="191"/>
      <c r="H160" s="191"/>
      <c r="I160" s="191"/>
      <c r="J160" s="191"/>
      <c r="K160" s="191"/>
      <c r="L160" s="191"/>
      <c r="M160" s="191"/>
      <c r="N160" s="191"/>
      <c r="O160" s="191"/>
      <c r="P160" s="191"/>
      <c r="Q160" s="191"/>
      <c r="R160" s="191"/>
      <c r="S160" s="191"/>
      <c r="T160" s="191"/>
      <c r="U160" s="232"/>
      <c r="V160" s="232"/>
      <c r="W160" s="232"/>
      <c r="X160" s="232"/>
      <c r="Y160" s="232"/>
    </row>
    <row r="161" spans="1:25">
      <c r="A161" s="230" t="s">
        <v>2594</v>
      </c>
      <c r="B161" s="231"/>
      <c r="C161" s="193"/>
      <c r="D161" s="191"/>
      <c r="E161" s="191"/>
      <c r="F161" s="191"/>
      <c r="G161" s="191"/>
      <c r="H161" s="191"/>
      <c r="I161" s="191"/>
      <c r="J161" s="191"/>
      <c r="K161" s="191"/>
      <c r="L161" s="191"/>
      <c r="M161" s="191"/>
      <c r="N161" s="191"/>
      <c r="O161" s="191"/>
      <c r="P161" s="191"/>
      <c r="Q161" s="191"/>
      <c r="R161" s="191"/>
      <c r="S161" s="191"/>
      <c r="T161" s="191"/>
      <c r="U161" s="232"/>
      <c r="V161" s="232"/>
      <c r="W161" s="232"/>
      <c r="X161" s="232"/>
      <c r="Y161" s="232"/>
    </row>
    <row r="162" spans="1:25">
      <c r="A162" s="230" t="s">
        <v>2595</v>
      </c>
      <c r="B162" s="231"/>
      <c r="C162" s="193"/>
      <c r="D162" s="191"/>
      <c r="E162" s="191"/>
      <c r="F162" s="191"/>
      <c r="G162" s="191"/>
      <c r="H162" s="191"/>
      <c r="I162" s="191"/>
      <c r="J162" s="191"/>
      <c r="K162" s="191"/>
      <c r="L162" s="191"/>
      <c r="M162" s="191"/>
      <c r="N162" s="191"/>
      <c r="O162" s="191"/>
      <c r="P162" s="191"/>
      <c r="Q162" s="191"/>
      <c r="R162" s="191"/>
      <c r="S162" s="191"/>
      <c r="T162" s="191"/>
      <c r="U162" s="232"/>
      <c r="V162" s="232"/>
      <c r="W162" s="232"/>
      <c r="X162" s="232"/>
      <c r="Y162" s="232"/>
    </row>
    <row r="163" spans="1:25">
      <c r="A163" s="230" t="s">
        <v>2596</v>
      </c>
      <c r="B163" s="231"/>
      <c r="C163" s="193"/>
      <c r="D163" s="191"/>
      <c r="E163" s="191"/>
      <c r="F163" s="191"/>
      <c r="G163" s="191"/>
      <c r="H163" s="191"/>
      <c r="I163" s="191"/>
      <c r="J163" s="191"/>
      <c r="K163" s="191"/>
      <c r="L163" s="191"/>
      <c r="M163" s="191"/>
      <c r="N163" s="191"/>
      <c r="O163" s="191"/>
      <c r="P163" s="191"/>
      <c r="Q163" s="191"/>
      <c r="R163" s="191"/>
      <c r="S163" s="191"/>
      <c r="T163" s="191"/>
      <c r="U163" s="232"/>
      <c r="V163" s="232"/>
      <c r="W163" s="232"/>
      <c r="X163" s="232"/>
      <c r="Y163" s="232"/>
    </row>
    <row r="164" spans="1:25">
      <c r="A164" s="234" t="s">
        <v>2583</v>
      </c>
      <c r="B164" s="231"/>
      <c r="C164" s="193"/>
      <c r="D164" s="191"/>
      <c r="E164" s="191"/>
      <c r="F164" s="191"/>
      <c r="G164" s="191"/>
      <c r="H164" s="191"/>
      <c r="I164" s="191"/>
      <c r="J164" s="191"/>
      <c r="K164" s="191"/>
      <c r="L164" s="191"/>
      <c r="M164" s="191"/>
      <c r="N164" s="191"/>
      <c r="O164" s="191"/>
      <c r="P164" s="191"/>
      <c r="Q164" s="191"/>
      <c r="R164" s="191"/>
      <c r="S164" s="191"/>
      <c r="T164" s="191"/>
      <c r="U164" s="232"/>
      <c r="V164" s="232"/>
      <c r="W164" s="232"/>
      <c r="X164" s="232"/>
      <c r="Y164" s="232"/>
    </row>
    <row r="165" spans="1:25">
      <c r="A165" s="230" t="s">
        <v>2597</v>
      </c>
      <c r="B165" s="231"/>
      <c r="C165" s="193"/>
      <c r="D165" s="191"/>
      <c r="E165" s="191"/>
      <c r="F165" s="191"/>
      <c r="G165" s="191"/>
      <c r="H165" s="191"/>
      <c r="I165" s="191"/>
      <c r="J165" s="191"/>
      <c r="K165" s="191"/>
      <c r="L165" s="191"/>
      <c r="M165" s="191"/>
      <c r="N165" s="191"/>
      <c r="O165" s="191"/>
      <c r="P165" s="191"/>
      <c r="Q165" s="191"/>
      <c r="R165" s="191"/>
      <c r="S165" s="191"/>
      <c r="T165" s="191"/>
      <c r="U165" s="232"/>
      <c r="V165" s="232"/>
      <c r="W165" s="232"/>
      <c r="X165" s="232"/>
      <c r="Y165" s="232"/>
    </row>
    <row r="166" spans="1:25">
      <c r="A166" s="234" t="s">
        <v>2583</v>
      </c>
      <c r="B166" s="231"/>
      <c r="C166" s="193"/>
      <c r="D166" s="191"/>
      <c r="E166" s="191"/>
      <c r="F166" s="191"/>
      <c r="G166" s="191"/>
      <c r="H166" s="191"/>
      <c r="I166" s="191"/>
      <c r="J166" s="191"/>
      <c r="K166" s="191"/>
      <c r="L166" s="191"/>
      <c r="M166" s="191"/>
      <c r="N166" s="191"/>
      <c r="O166" s="191"/>
      <c r="P166" s="191"/>
      <c r="Q166" s="191"/>
      <c r="R166" s="191"/>
      <c r="S166" s="191"/>
      <c r="T166" s="191"/>
      <c r="U166" s="232"/>
      <c r="V166" s="232"/>
      <c r="W166" s="232"/>
      <c r="X166" s="232"/>
      <c r="Y166" s="232"/>
    </row>
    <row r="167" spans="1:25">
      <c r="A167" s="230" t="s">
        <v>2598</v>
      </c>
      <c r="B167" s="231"/>
      <c r="C167" s="193"/>
      <c r="D167" s="191"/>
      <c r="E167" s="191"/>
      <c r="F167" s="191"/>
      <c r="G167" s="191"/>
      <c r="H167" s="191"/>
      <c r="I167" s="191"/>
      <c r="J167" s="191"/>
      <c r="K167" s="191"/>
      <c r="L167" s="191"/>
      <c r="M167" s="191"/>
      <c r="N167" s="191"/>
      <c r="O167" s="191"/>
      <c r="P167" s="191"/>
      <c r="Q167" s="191"/>
      <c r="R167" s="191"/>
      <c r="S167" s="191"/>
      <c r="T167" s="191"/>
      <c r="U167" s="232"/>
      <c r="V167" s="232"/>
      <c r="W167" s="232"/>
      <c r="X167" s="232"/>
      <c r="Y167" s="232"/>
    </row>
    <row r="168" spans="1:25">
      <c r="A168" s="234" t="s">
        <v>2583</v>
      </c>
      <c r="B168" s="231"/>
      <c r="C168" s="193"/>
      <c r="D168" s="191"/>
      <c r="E168" s="191"/>
      <c r="F168" s="191"/>
      <c r="G168" s="191"/>
      <c r="H168" s="191"/>
      <c r="I168" s="191"/>
      <c r="J168" s="191"/>
      <c r="K168" s="191"/>
      <c r="L168" s="191"/>
      <c r="M168" s="191"/>
      <c r="N168" s="191"/>
      <c r="O168" s="191"/>
      <c r="P168" s="191"/>
      <c r="Q168" s="191"/>
      <c r="R168" s="191"/>
      <c r="S168" s="191"/>
      <c r="T168" s="191"/>
      <c r="U168" s="232"/>
      <c r="V168" s="232"/>
      <c r="W168" s="232"/>
      <c r="X168" s="232"/>
      <c r="Y168" s="232"/>
    </row>
    <row r="169" spans="1:25">
      <c r="A169" s="230" t="s">
        <v>2599</v>
      </c>
      <c r="B169" s="231"/>
      <c r="C169" s="193"/>
      <c r="D169" s="191"/>
      <c r="E169" s="191"/>
      <c r="F169" s="191"/>
      <c r="G169" s="191"/>
      <c r="H169" s="191"/>
      <c r="I169" s="191"/>
      <c r="J169" s="191"/>
      <c r="K169" s="191"/>
      <c r="L169" s="191"/>
      <c r="M169" s="191"/>
      <c r="N169" s="191"/>
      <c r="O169" s="191"/>
      <c r="P169" s="191"/>
      <c r="Q169" s="191"/>
      <c r="R169" s="191"/>
      <c r="S169" s="191"/>
      <c r="T169" s="191"/>
      <c r="U169" s="232"/>
      <c r="V169" s="232"/>
      <c r="W169" s="232"/>
      <c r="X169" s="232"/>
      <c r="Y169" s="232"/>
    </row>
    <row r="170" spans="1:25">
      <c r="A170" s="234" t="s">
        <v>2583</v>
      </c>
      <c r="B170" s="231"/>
      <c r="C170" s="193"/>
      <c r="D170" s="191"/>
      <c r="E170" s="191"/>
      <c r="F170" s="191"/>
      <c r="G170" s="191"/>
      <c r="H170" s="191"/>
      <c r="I170" s="191"/>
      <c r="J170" s="191"/>
      <c r="K170" s="191"/>
      <c r="L170" s="191"/>
      <c r="M170" s="191"/>
      <c r="N170" s="191"/>
      <c r="O170" s="191"/>
      <c r="P170" s="191"/>
      <c r="Q170" s="191"/>
      <c r="R170" s="191"/>
      <c r="S170" s="191"/>
      <c r="T170" s="191"/>
      <c r="U170" s="232"/>
      <c r="V170" s="232"/>
      <c r="W170" s="232"/>
      <c r="X170" s="232"/>
      <c r="Y170" s="232"/>
    </row>
    <row r="171" spans="1:25">
      <c r="A171" s="234" t="s">
        <v>2600</v>
      </c>
      <c r="B171" s="231"/>
      <c r="C171" s="193"/>
      <c r="D171" s="191"/>
      <c r="E171" s="191"/>
      <c r="F171" s="191"/>
      <c r="G171" s="191"/>
      <c r="H171" s="191"/>
      <c r="I171" s="191"/>
      <c r="J171" s="191"/>
      <c r="K171" s="191"/>
      <c r="L171" s="191"/>
      <c r="M171" s="191"/>
      <c r="N171" s="191"/>
      <c r="O171" s="191"/>
      <c r="P171" s="191"/>
      <c r="Q171" s="191"/>
      <c r="R171" s="191"/>
      <c r="S171" s="191"/>
      <c r="T171" s="191"/>
      <c r="U171" s="232"/>
      <c r="V171" s="232"/>
      <c r="W171" s="232"/>
      <c r="X171" s="232"/>
      <c r="Y171" s="232"/>
    </row>
    <row r="172" spans="1:25">
      <c r="A172" s="230" t="s">
        <v>2601</v>
      </c>
      <c r="B172" s="231"/>
      <c r="C172" s="193"/>
      <c r="D172" s="191"/>
      <c r="E172" s="191"/>
      <c r="F172" s="191"/>
      <c r="G172" s="191"/>
      <c r="H172" s="191"/>
      <c r="I172" s="191"/>
      <c r="J172" s="191"/>
      <c r="K172" s="191"/>
      <c r="L172" s="191"/>
      <c r="M172" s="191"/>
      <c r="N172" s="191"/>
      <c r="O172" s="191"/>
      <c r="P172" s="191"/>
      <c r="Q172" s="191"/>
      <c r="R172" s="191"/>
      <c r="S172" s="191"/>
      <c r="T172" s="191"/>
      <c r="U172" s="232"/>
      <c r="V172" s="232"/>
      <c r="W172" s="232"/>
      <c r="X172" s="232"/>
      <c r="Y172" s="232"/>
    </row>
    <row r="173" spans="1:25">
      <c r="A173" s="230" t="s">
        <v>2602</v>
      </c>
      <c r="B173" s="231"/>
      <c r="C173" s="193"/>
      <c r="D173" s="191"/>
      <c r="E173" s="191"/>
      <c r="F173" s="191"/>
      <c r="G173" s="191"/>
      <c r="H173" s="191"/>
      <c r="I173" s="191"/>
      <c r="J173" s="191"/>
      <c r="K173" s="191"/>
      <c r="L173" s="191"/>
      <c r="M173" s="191"/>
      <c r="N173" s="191"/>
      <c r="O173" s="191"/>
      <c r="P173" s="191"/>
      <c r="Q173" s="191"/>
      <c r="R173" s="191"/>
      <c r="S173" s="191"/>
      <c r="T173" s="191"/>
      <c r="U173" s="232"/>
      <c r="V173" s="232"/>
      <c r="W173" s="232"/>
      <c r="X173" s="232"/>
      <c r="Y173" s="232"/>
    </row>
    <row r="174" spans="1:25">
      <c r="A174" s="234" t="s">
        <v>2583</v>
      </c>
      <c r="B174" s="231"/>
      <c r="C174" s="193"/>
      <c r="D174" s="191"/>
      <c r="E174" s="191"/>
      <c r="F174" s="191"/>
      <c r="G174" s="191"/>
      <c r="H174" s="191"/>
      <c r="I174" s="191"/>
      <c r="J174" s="191"/>
      <c r="K174" s="191"/>
      <c r="L174" s="191"/>
      <c r="M174" s="191"/>
      <c r="N174" s="191"/>
      <c r="O174" s="191"/>
      <c r="P174" s="191"/>
      <c r="Q174" s="191"/>
      <c r="R174" s="191"/>
      <c r="S174" s="191"/>
      <c r="T174" s="191"/>
      <c r="U174" s="232"/>
      <c r="V174" s="232"/>
      <c r="W174" s="232"/>
      <c r="X174" s="232"/>
      <c r="Y174" s="232"/>
    </row>
    <row r="175" spans="1:25">
      <c r="A175" s="230" t="s">
        <v>2603</v>
      </c>
      <c r="B175" s="231"/>
      <c r="C175" s="193"/>
      <c r="D175" s="191"/>
      <c r="E175" s="191"/>
      <c r="F175" s="191"/>
      <c r="G175" s="191"/>
      <c r="H175" s="191"/>
      <c r="I175" s="191"/>
      <c r="J175" s="191"/>
      <c r="K175" s="191"/>
      <c r="L175" s="191"/>
      <c r="M175" s="191"/>
      <c r="N175" s="191"/>
      <c r="O175" s="191"/>
      <c r="P175" s="191"/>
      <c r="Q175" s="191"/>
      <c r="R175" s="191"/>
      <c r="S175" s="191"/>
      <c r="T175" s="191"/>
      <c r="U175" s="232"/>
      <c r="V175" s="232"/>
      <c r="W175" s="232"/>
      <c r="X175" s="232"/>
      <c r="Y175" s="232"/>
    </row>
    <row r="176" spans="1:25" ht="13.5" thickBot="1">
      <c r="A176" s="236" t="s">
        <v>2604</v>
      </c>
      <c r="B176" s="237"/>
      <c r="C176" s="238"/>
      <c r="D176" s="239"/>
      <c r="E176" s="239"/>
      <c r="F176" s="239"/>
      <c r="G176" s="239"/>
      <c r="H176" s="239"/>
      <c r="I176" s="239"/>
      <c r="J176" s="239"/>
      <c r="K176" s="239"/>
      <c r="L176" s="239"/>
      <c r="M176" s="239"/>
      <c r="N176" s="239"/>
      <c r="O176" s="239"/>
      <c r="P176" s="239"/>
      <c r="Q176" s="239"/>
      <c r="R176" s="239"/>
      <c r="S176" s="239"/>
      <c r="T176" s="239"/>
      <c r="U176" s="240"/>
      <c r="V176" s="240"/>
      <c r="W176" s="240"/>
      <c r="X176" s="240"/>
      <c r="Y176" s="240"/>
    </row>
  </sheetData>
  <sheetProtection formatCells="0" formatColumns="0" formatRows="0" insertColumns="0" insertRows="0" insertHyperlinks="0" deleteColumns="0" deleteRows="0" sort="0" autoFilter="0" pivotTables="0"/>
  <mergeCells count="21">
    <mergeCell ref="A51:A52"/>
    <mergeCell ref="A54:A55"/>
    <mergeCell ref="A57:A58"/>
    <mergeCell ref="A35:A38"/>
    <mergeCell ref="A1:V1"/>
    <mergeCell ref="A2:V2"/>
    <mergeCell ref="A20:A33"/>
    <mergeCell ref="A40:A42"/>
    <mergeCell ref="A44:A49"/>
    <mergeCell ref="A4:V4"/>
    <mergeCell ref="A5:V5"/>
    <mergeCell ref="A6:V6"/>
    <mergeCell ref="A7:V7"/>
    <mergeCell ref="A11:A18"/>
    <mergeCell ref="A101:B101"/>
    <mergeCell ref="A116:B116"/>
    <mergeCell ref="A121:B121"/>
    <mergeCell ref="A60:A61"/>
    <mergeCell ref="A63:A64"/>
    <mergeCell ref="A66:A67"/>
    <mergeCell ref="B69:V69"/>
  </mergeCells>
  <hyperlinks>
    <hyperlink ref="A81" r:id="rId1" location="bf191eff7ea6cf740b888e36e65fb3384c2nf9" display="../../../Victor Rojas/AppData/Roaming/Downloads/document.legis%3ffn=content&amp;amp;docid=legcol&amp;amp;bookmark=bf191eff7ea6cf740b888e36e65fb3384c2nf9&amp;amp;viewid=STD-PC - bf191eff7ea6cf740b888e36e65fb3384c2nf9"/>
    <hyperlink ref="A147" r:id="rId2" location="bf191eff7ea6cf740b888e36e65fb3384c2nf9" display="../../../Victor Rojas/AppData/Roaming/Downloads/document.legis%3ffn=content&amp;amp;docid=legcol&amp;amp;bookmark=bf191eff7ea6cf740b888e36e65fb3384c2nf9&amp;amp;viewid=STD-PC - bf191eff7ea6cf740b888e36e65fb3384c2nf9"/>
    <hyperlink ref="A159" r:id="rId3" location="bf191eff7ea6cf740b888e36e65fb3384c2nf9" display="../../../Victor Rojas/AppData/Roaming/Downloads/document.legis%3ffn=content&amp;amp;docid=legcol&amp;amp;bookmark=bf191eff7ea6cf740b888e36e65fb3384c2nf9&amp;amp;viewid=STD-PC - bf191eff7ea6cf740b888e36e65fb3384c2nf9"/>
    <hyperlink ref="A164" r:id="rId4" location="bf191eff7ea6cf740b888e36e65fb3384c2nf9" display="../../../Victor Rojas/AppData/Roaming/Downloads/document.legis%3ffn=content&amp;amp;docid=legcol&amp;amp;bookmark=bf191eff7ea6cf740b888e36e65fb3384c2nf9&amp;amp;viewid=STD-PC - bf191eff7ea6cf740b888e36e65fb3384c2nf9"/>
    <hyperlink ref="A166" r:id="rId5" location="bf191eff7ea6cf740b888e36e65fb3384c2nf9" display="../../../Victor Rojas/AppData/Roaming/Downloads/document.legis%3ffn=content&amp;amp;docid=legcol&amp;amp;bookmark=bf191eff7ea6cf740b888e36e65fb3384c2nf9&amp;amp;viewid=STD-PC - bf191eff7ea6cf740b888e36e65fb3384c2nf9"/>
    <hyperlink ref="A168" r:id="rId6" location="bf191eff7ea6cf740b888e36e65fb3384c2nf9" display="../../../Victor Rojas/AppData/Roaming/Downloads/document.legis%3ffn=content&amp;amp;docid=legcol&amp;amp;bookmark=bf191eff7ea6cf740b888e36e65fb3384c2nf9&amp;amp;viewid=STD-PC - bf191eff7ea6cf740b888e36e65fb3384c2nf9"/>
    <hyperlink ref="A170" r:id="rId7" location="bf191eff7ea6cf740b888e36e65fb3384c2nf9" display="../../../Victor Rojas/AppData/Roaming/Downloads/document.legis%3ffn=content&amp;amp;docid=legcol&amp;amp;bookmark=bf191eff7ea6cf740b888e36e65fb3384c2nf9&amp;amp;viewid=STD-PC - bf191eff7ea6cf740b888e36e65fb3384c2nf9"/>
    <hyperlink ref="A171" r:id="rId8" location="bf1887dfd3816a94e05bd0071df8c2e6284nf9" display="../../../Victor Rojas/AppData/Roaming/Downloads/document.legis%3ffn=content&amp;amp;docid=legcol&amp;amp;bookmark=bf1887dfd3816a94e05bd0071df8c2e6284nf9&amp;amp;viewid=STD-PC - bf1887dfd3816a94e05bd0071df8c2e6284nf9"/>
    <hyperlink ref="A174" r:id="rId9" location="bf191eff7ea6cf740b888e36e65fb3384c2nf9" display="../../../Victor Rojas/AppData/Roaming/Downloads/document.legis%3ffn=content&amp;amp;docid=legcol&amp;amp;bookmark=bf191eff7ea6cf740b888e36e65fb3384c2nf9&amp;amp;viewid=STD-PC - bf191eff7ea6cf740b888e36e65fb3384c2nf9"/>
  </hyperlinks>
  <pageMargins left="0.75" right="0.75" top="1" bottom="1" header="0" footer="0"/>
  <pageSetup scale="17" orientation="landscape" r:id="rId10"/>
  <headerFooter alignWithMargins="0"/>
  <drawing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22</vt:i4>
      </vt:variant>
    </vt:vector>
  </HeadingPairs>
  <TitlesOfParts>
    <vt:vector size="35" baseType="lpstr">
      <vt:lpstr>LISTADO DE UNITARIOS</vt:lpstr>
      <vt:lpstr>EDIFICACION</vt:lpstr>
      <vt:lpstr>URBANISMO</vt:lpstr>
      <vt:lpstr>REDES ALCANTARILLADO</vt:lpstr>
      <vt:lpstr>VIAS RURALES</vt:lpstr>
      <vt:lpstr>BASICOS</vt:lpstr>
      <vt:lpstr>INSUMOS</vt:lpstr>
      <vt:lpstr>VALOR CUADRILLAS MO</vt:lpstr>
      <vt:lpstr>CONCRETO PREMEZCLADO</vt:lpstr>
      <vt:lpstr>TABLAS</vt:lpstr>
      <vt:lpstr>IPC</vt:lpstr>
      <vt:lpstr>FACTOR MULTIPLICADOR</vt:lpstr>
      <vt:lpstr>RES 747 TARIFAS PROF.</vt:lpstr>
      <vt:lpstr>BASICOS!Área_de_impresión</vt:lpstr>
      <vt:lpstr>'CONCRETO PREMEZCLADO'!Área_de_impresión</vt:lpstr>
      <vt:lpstr>EDIFICACION!Área_de_impresión</vt:lpstr>
      <vt:lpstr>'FACTOR MULTIPLICADOR'!Área_de_impresión</vt:lpstr>
      <vt:lpstr>INSUMOS!Área_de_impresión</vt:lpstr>
      <vt:lpstr>IPC!Área_de_impresión</vt:lpstr>
      <vt:lpstr>'LISTADO DE UNITARIOS'!Área_de_impresión</vt:lpstr>
      <vt:lpstr>'REDES ALCANTARILLADO'!Área_de_impresión</vt:lpstr>
      <vt:lpstr>'RES 747 TARIFAS PROF.'!Área_de_impresión</vt:lpstr>
      <vt:lpstr>TABLAS!Área_de_impresión</vt:lpstr>
      <vt:lpstr>URBANISMO!Área_de_impresión</vt:lpstr>
      <vt:lpstr>'VALOR CUADRILLAS MO'!Área_de_impresión</vt:lpstr>
      <vt:lpstr>'VIAS RURALES'!Área_de_impresión</vt:lpstr>
      <vt:lpstr>BASICOS!Títulos_a_imprimir</vt:lpstr>
      <vt:lpstr>EDIFICACION!Títulos_a_imprimir</vt:lpstr>
      <vt:lpstr>INSUMOS!Títulos_a_imprimir</vt:lpstr>
      <vt:lpstr>IPC!Títulos_a_imprimir</vt:lpstr>
      <vt:lpstr>'LISTADO DE UNITARIOS'!Títulos_a_imprimir</vt:lpstr>
      <vt:lpstr>'REDES ALCANTARILLADO'!Títulos_a_imprimir</vt:lpstr>
      <vt:lpstr>URBANISMO!Títulos_a_imprimir</vt:lpstr>
      <vt:lpstr>'VALOR CUADRILLAS MO'!Títulos_a_imprimir</vt:lpstr>
      <vt:lpstr>'VIAS RURALES'!Títulos_a_imprimir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dc:creator>
  <cp:lastModifiedBy>JoseM-General</cp:lastModifiedBy>
  <cp:lastPrinted>2021-10-21T00:31:18Z</cp:lastPrinted>
  <dcterms:created xsi:type="dcterms:W3CDTF">2006-05-16T01:21:22Z</dcterms:created>
  <dcterms:modified xsi:type="dcterms:W3CDTF">2022-03-24T18:25:34Z</dcterms:modified>
</cp:coreProperties>
</file>