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93117391\AppData\Local\Microsoft\Windows\INetCache\Content.Outlook\C0J10T23\"/>
    </mc:Choice>
  </mc:AlternateContent>
  <bookViews>
    <workbookView xWindow="-120" yWindow="-120" windowWidth="29040" windowHeight="15840"/>
  </bookViews>
  <sheets>
    <sheet name="HOJA 1" sheetId="2" r:id="rId1"/>
    <sheet name="Hoja1" sheetId="3" r:id="rId2"/>
  </sheets>
  <definedNames>
    <definedName name="_xlnm._FilterDatabase" localSheetId="0" hidden="1">'HOJA 1'!$A$19:$J$61</definedName>
    <definedName name="_xlnm.Print_Titles" localSheetId="0">'HOJA 1'!$19:$19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3" i="2" l="1"/>
  <c r="E173" i="2"/>
  <c r="H11" i="2"/>
  <c r="F11" i="2"/>
  <c r="G180" i="2" l="1"/>
  <c r="E180" i="2"/>
  <c r="C162" i="2" l="1"/>
  <c r="C161" i="2"/>
  <c r="C160" i="2"/>
  <c r="C159" i="2"/>
  <c r="C158" i="2"/>
  <c r="C157" i="2"/>
  <c r="C156" i="2"/>
  <c r="C148" i="2"/>
  <c r="C147" i="2"/>
  <c r="C146" i="2"/>
  <c r="C145" i="2"/>
  <c r="C144" i="2"/>
  <c r="C143" i="2"/>
  <c r="C142" i="2"/>
  <c r="C134" i="2"/>
  <c r="C133" i="2"/>
  <c r="C132" i="2"/>
  <c r="C131" i="2"/>
  <c r="C130" i="2"/>
  <c r="C129" i="2"/>
  <c r="C128" i="2"/>
  <c r="C119" i="2"/>
  <c r="C118" i="2"/>
  <c r="C117" i="2"/>
  <c r="C116" i="2"/>
  <c r="C115" i="2"/>
  <c r="C106" i="2"/>
  <c r="C105" i="2"/>
  <c r="C104" i="2"/>
  <c r="C103" i="2"/>
  <c r="C102" i="2"/>
  <c r="C101" i="2"/>
  <c r="C100" i="2"/>
  <c r="C91" i="2"/>
  <c r="C90" i="2"/>
  <c r="C89" i="2"/>
  <c r="C81" i="2"/>
  <c r="C80" i="2"/>
  <c r="C79" i="2"/>
  <c r="C78" i="2"/>
  <c r="C77" i="2"/>
  <c r="C76" i="2"/>
  <c r="C75" i="2"/>
  <c r="C74" i="2"/>
  <c r="J68" i="2"/>
  <c r="I68" i="2"/>
  <c r="H68" i="2"/>
  <c r="G68" i="2"/>
  <c r="F68" i="2"/>
  <c r="D68" i="2"/>
  <c r="J67" i="2"/>
  <c r="I67" i="2"/>
  <c r="H67" i="2"/>
  <c r="G67" i="2"/>
  <c r="F67" i="2"/>
  <c r="D67" i="2"/>
  <c r="J66" i="2"/>
  <c r="I66" i="2"/>
  <c r="H66" i="2"/>
  <c r="G66" i="2"/>
  <c r="F66" i="2"/>
  <c r="D66" i="2"/>
  <c r="J65" i="2"/>
  <c r="I65" i="2"/>
  <c r="H65" i="2"/>
  <c r="G65" i="2"/>
  <c r="F65" i="2"/>
  <c r="D65" i="2"/>
  <c r="E68" i="2"/>
  <c r="E67" i="2"/>
  <c r="E66" i="2"/>
  <c r="E65" i="2"/>
  <c r="C149" i="2" l="1"/>
  <c r="C120" i="2"/>
  <c r="C163" i="2"/>
  <c r="C135" i="2"/>
  <c r="C107" i="2"/>
  <c r="C92" i="2"/>
  <c r="C82" i="2" l="1"/>
  <c r="B63" i="2" l="1"/>
  <c r="D173" i="2" l="1"/>
  <c r="D160" i="2"/>
  <c r="J173" i="2"/>
  <c r="I173" i="2"/>
  <c r="H173" i="2"/>
  <c r="F173" i="2"/>
  <c r="D116" i="2"/>
  <c r="D117" i="2"/>
  <c r="D89" i="2"/>
  <c r="D90" i="2"/>
  <c r="D146" i="2"/>
  <c r="D142" i="2"/>
  <c r="D106" i="2"/>
  <c r="D102" i="2"/>
  <c r="D162" i="2"/>
  <c r="D158" i="2"/>
  <c r="D134" i="2"/>
  <c r="D130" i="2"/>
  <c r="D119" i="2"/>
  <c r="D100" i="2"/>
  <c r="D143" i="2"/>
  <c r="D129" i="2"/>
  <c r="D159" i="2"/>
  <c r="D145" i="2"/>
  <c r="D131" i="2"/>
  <c r="D104" i="2"/>
  <c r="D147" i="2"/>
  <c r="D133" i="2"/>
  <c r="D118" i="2"/>
  <c r="D115" i="2"/>
  <c r="D91" i="2"/>
  <c r="D157" i="2"/>
  <c r="D128" i="2"/>
  <c r="D101" i="2"/>
  <c r="D144" i="2"/>
  <c r="D156" i="2"/>
  <c r="D103" i="2"/>
  <c r="D161" i="2"/>
  <c r="D132" i="2"/>
  <c r="D105" i="2"/>
  <c r="D148" i="2"/>
  <c r="D77" i="2"/>
  <c r="D75" i="2"/>
  <c r="D78" i="2"/>
  <c r="D80" i="2"/>
  <c r="D81" i="2"/>
  <c r="D79" i="2"/>
  <c r="D74" i="2"/>
  <c r="D76" i="2"/>
  <c r="D92" i="2" l="1"/>
  <c r="D163" i="2"/>
  <c r="D107" i="2"/>
  <c r="D149" i="2"/>
  <c r="D120" i="2"/>
  <c r="D135" i="2"/>
  <c r="D82" i="2"/>
</calcChain>
</file>

<file path=xl/sharedStrings.xml><?xml version="1.0" encoding="utf-8"?>
<sst xmlns="http://schemas.openxmlformats.org/spreadsheetml/2006/main" count="222" uniqueCount="144">
  <si>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</si>
  <si>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</si>
  <si>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</si>
  <si>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</si>
  <si>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</si>
  <si>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</si>
  <si>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</si>
  <si>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</si>
  <si>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</si>
  <si>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</si>
  <si>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DES. ESTANDAR</t>
  </si>
  <si>
    <t>MINIMO</t>
  </si>
  <si>
    <t>MAXIMO</t>
  </si>
  <si>
    <t>OBJETO:</t>
  </si>
  <si>
    <t>TOTAL</t>
  </si>
  <si>
    <t>CANTIDAD DE EMPRESAS</t>
  </si>
  <si>
    <t>MODALIDAD:</t>
  </si>
  <si>
    <t>% DE LA MUESTRA QUE CUMPLE EL CRITERIO</t>
  </si>
  <si>
    <t>Elaboró:</t>
  </si>
  <si>
    <t>Aprobó:</t>
  </si>
  <si>
    <t>RANGO</t>
  </si>
  <si>
    <t>5,1 - 10</t>
  </si>
  <si>
    <t>20,1 - 30</t>
  </si>
  <si>
    <t>30,1 - 50</t>
  </si>
  <si>
    <t>&gt; 50</t>
  </si>
  <si>
    <t>0 - 1</t>
  </si>
  <si>
    <t>1,1 - 2</t>
  </si>
  <si>
    <t>2,1 - 5</t>
  </si>
  <si>
    <t>10,1 - 20</t>
  </si>
  <si>
    <t>&lt; 0</t>
  </si>
  <si>
    <t xml:space="preserve"> = 0</t>
  </si>
  <si>
    <t>&gt; 0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</si>
  <si>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</si>
  <si>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</si>
  <si>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</si>
  <si>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</si>
  <si>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</si>
  <si>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</si>
  <si>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</si>
  <si>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0 - $10m</t>
  </si>
  <si>
    <t>$10m - $100m</t>
  </si>
  <si>
    <t>&gt; $100m</t>
  </si>
  <si>
    <t>Gastos de intereses = 0</t>
  </si>
  <si>
    <t>2,1 - 4</t>
  </si>
  <si>
    <t>4,1 - 6</t>
  </si>
  <si>
    <t>&gt; 6</t>
  </si>
  <si>
    <t>CANTIDAD DE EMPRESAS IDENTIFICADAS COMO MUESTRA PARA EL ANALISIS:</t>
  </si>
  <si>
    <t>2,1 - 3</t>
  </si>
  <si>
    <t>3,1 - 4</t>
  </si>
  <si>
    <t>&gt; 4</t>
  </si>
  <si>
    <t>0 - 2</t>
  </si>
  <si>
    <t>6,1 - 8</t>
  </si>
  <si>
    <t>&gt; 8</t>
  </si>
  <si>
    <t>OBJETO</t>
  </si>
  <si>
    <t>VALOR</t>
  </si>
  <si>
    <t>Valores Expresados en Miles de $</t>
  </si>
  <si>
    <t>Clasificación Internacional Industrial Uniforme (CIIU) Versión 4.</t>
  </si>
  <si>
    <t>PROMEDIO</t>
  </si>
  <si>
    <t>MENOR O IGUAL A 
70%</t>
  </si>
  <si>
    <t>MAYOR O IGUAL A 
2%</t>
  </si>
  <si>
    <t>MAYOR O IGUAL A 
2 VECES</t>
  </si>
  <si>
    <t>Plazo de ejecución (meses)</t>
  </si>
  <si>
    <t>ANÁLISIS DE SECTOR – INFORMACIÓN FINANCIERA</t>
  </si>
  <si>
    <t>DIRECCIÓN FINANCIERA</t>
  </si>
  <si>
    <t>PROCESOS DE CONTRATACIÓN</t>
  </si>
  <si>
    <t>Fuente de Información: PIE (Portal de Información Empresarial) - Superintendencia de Sociedades</t>
  </si>
  <si>
    <t>Presupuesto del 
Proceso ($)</t>
  </si>
  <si>
    <t>RECOMENDACIÓN SUGERIDA INICIAL:</t>
  </si>
  <si>
    <t>1. CÁLCULO 
ESTADÍSTICO</t>
  </si>
  <si>
    <t>D) Patrimonio = Activo total - Pasivo total.
Mide la cantidad de recursos propios del proponente.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</si>
  <si>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</si>
  <si>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</si>
  <si>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</si>
  <si>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</si>
  <si>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</si>
  <si>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</si>
  <si>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0 - 1,1</t>
  </si>
  <si>
    <t>1,2 - 2</t>
  </si>
  <si>
    <r>
      <t xml:space="preserve">LIQUIDEZ
</t>
    </r>
    <r>
      <rPr>
        <sz val="9"/>
        <color theme="1"/>
        <rFont val="Work Sans"/>
      </rPr>
      <t>MAYOR O IGUAL A</t>
    </r>
  </si>
  <si>
    <t>ENTIDAD Y AÑO</t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</si>
  <si>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</si>
  <si>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</si>
  <si>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</si>
  <si>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ACTIVOS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</si>
  <si>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</si>
  <si>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</si>
  <si>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t>2. COMPORTAMIENTO DE LOS ÍNDICES EN LA MUESTRA DEL SECTOR</t>
  </si>
  <si>
    <t>4. CONCLUSIONES</t>
  </si>
  <si>
    <t>CRITERIOS RECOMENDADOS:</t>
  </si>
  <si>
    <t>ANÁLISIS DEL SECTOR</t>
  </si>
  <si>
    <t>Alexandra Katherine Galvis Mosquera - Directora Financiera</t>
  </si>
  <si>
    <t/>
  </si>
  <si>
    <t>3. ANALISIS DEL SECTOR DE ACUERDO CON LOS PROCESOS REALIZADOS POR OTRAS ENTIDADES PÚBLICAS O EN LA AEROCIVIL EN VIG ANT. DE LA MISMA NATURALEZA DEL OBJETO CONTRACTUAL DEL PRESENTO PROCESO.</t>
  </si>
  <si>
    <t>CONCURSO DE MERITOS ABIERTO</t>
  </si>
  <si>
    <t>Henry Oviedo Gongora - Contratista Dirección Financiera</t>
  </si>
  <si>
    <t>MAYOR O IGUAL A 
1,2 VECES</t>
  </si>
  <si>
    <t>TRACKER DE COLOMBIA SAS</t>
  </si>
  <si>
    <t>SIAE MICROELETTRONICA LTDA</t>
  </si>
  <si>
    <t>ARTECOM COMUNICACIONES SAS</t>
  </si>
  <si>
    <t>INGENIERIA DE SISTEMAS TELEMATICOS S.A.</t>
  </si>
  <si>
    <t>PREPAGO DE COLOMBIA SAS PREPACOL SAS</t>
  </si>
  <si>
    <t>RADIONET SOLUCIONES S.A.</t>
  </si>
  <si>
    <t>J6190 - Otras actividades de telecomunicaciones</t>
  </si>
  <si>
    <t>BEST FARMS S.A.S.</t>
  </si>
  <si>
    <t>ROMULO MONTES SAS.</t>
  </si>
  <si>
    <t>DISTRIBUCIONES JO SOCIEDAD POR ACCIONES SIMPLIFICADA SAS</t>
  </si>
  <si>
    <t>IMPORINOX SAS</t>
  </si>
  <si>
    <t>TUVACOL S.A.</t>
  </si>
  <si>
    <t>COMPAÑIA GENERAL DE ACEROS S A EN REORGANIZACION</t>
  </si>
  <si>
    <t>TELXIUS CABLE COLOMBIA S.A.</t>
  </si>
  <si>
    <t>SANDVIK COLOMBIA SAS</t>
  </si>
  <si>
    <t>CIBERC SA</t>
  </si>
  <si>
    <t>BALUM SA</t>
  </si>
  <si>
    <t>DINATEL SOLUCIONES S.A.S</t>
  </si>
  <si>
    <t>SISTEMAS Y TELECOMUNICACIONES DEL ORIENTE SAS EN REORGANIZACION</t>
  </si>
  <si>
    <t>ANS COMUNICACIONES LTDA</t>
  </si>
  <si>
    <t>VIDEONET SAS</t>
  </si>
  <si>
    <t>ELECTRONICA AVS SAS</t>
  </si>
  <si>
    <t>ENERGITEL S.A.S</t>
  </si>
  <si>
    <t>SECURITY VIDEO EQUIPMENT SAS</t>
  </si>
  <si>
    <t>RASTRACK SAS</t>
  </si>
  <si>
    <t>ALFA Y OMEGA COMUNICACIONES SAS</t>
  </si>
  <si>
    <t>TECH MAHINDRA COLOMBIA S.A.S</t>
  </si>
  <si>
    <t>MATERIALES ELECTRICOS Y MECANICOS SAS</t>
  </si>
  <si>
    <t>ALMACENES ELECTRON S.A.S "ALECTRON"</t>
  </si>
  <si>
    <t>INGENIERIA INTEGRADA SUMMA SA</t>
  </si>
  <si>
    <t>SUMINISTROS ELEC SAS</t>
  </si>
  <si>
    <t>SOLUTRON SAS</t>
  </si>
  <si>
    <t>MOVILCO SAS</t>
  </si>
  <si>
    <t>MAS EQUITY PARTNERS SAS</t>
  </si>
  <si>
    <t>MN FOTO S.A.S.</t>
  </si>
  <si>
    <t>DINATEL GROUP SAS</t>
  </si>
  <si>
    <t>MACROTICS SAS</t>
  </si>
  <si>
    <t>VELOCITY ELECTRONICS COLOMBIA SAS</t>
  </si>
  <si>
    <t>FIBERNET TELECOMUNICACIONES S.A</t>
  </si>
  <si>
    <t>CONECTAR TV SAS</t>
  </si>
  <si>
    <t>MICROLINK SAS</t>
  </si>
  <si>
    <t>G4652 - Comercio al por mayor de equipo, partes y piezas electrónicos y de telecomunicaciones</t>
  </si>
  <si>
    <t>PRESTAR EL SERVICIO DE CANALES DE COMUNICACIÓN ENTRE BOGOTÁ (CGAC) - SANTIAGO DE TOLÚ Y LA INTERCONEXIÓN EN SAN ANDRÉS Y PROVIDENCIA.</t>
  </si>
  <si>
    <t>Capital de Trabajo:  1,5* (PO/n)</t>
  </si>
  <si>
    <t>Patrimonio:
  (25% del PO)</t>
  </si>
  <si>
    <t>MAYOR O IGUAL A 
$36,800.000</t>
  </si>
  <si>
    <t>MAYOR O IGUAL A $36,800.000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</si>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</sst>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166" fontId="6" fillId="2" borderId="0" xfId="0" applyNumberFormat="1" applyFont="1" applyFill="1" applyBorder="1" applyAlignment="1">
      <alignment horizontal="center" vertical="center" wrapText="1"/>
    </xf>
    <xf numFmtId="166" fontId="8" fillId="0" borderId="0" xfId="3" applyNumberFormat="1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NumberFormat="1" applyFont="1"/>
    <xf numFmtId="0" fontId="8" fillId="0" borderId="0" xfId="0" applyFont="1"/>
    <xf numFmtId="0" fontId="6" fillId="0" borderId="0" xfId="0" applyFont="1"/>
    <xf numFmtId="0" fontId="6" fillId="0" borderId="0" xfId="0" applyFont="1" applyBorder="1"/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/>
    <xf numFmtId="167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167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166" fontId="3" fillId="4" borderId="4" xfId="0" applyNumberFormat="1" applyFont="1" applyFill="1" applyBorder="1" applyAlignment="1">
      <alignment horizontal="center" vertical="center" wrapText="1"/>
    </xf>
    <xf numFmtId="168" fontId="8" fillId="0" borderId="0" xfId="1" applyNumberFormat="1" applyFont="1"/>
    <xf numFmtId="0" fontId="6" fillId="0" borderId="10" xfId="0" applyFont="1" applyFill="1" applyBorder="1" applyAlignment="1">
      <alignment vertical="center"/>
    </xf>
    <xf numFmtId="0" fontId="8" fillId="0" borderId="0" xfId="0" applyFont="1" applyBorder="1"/>
    <xf numFmtId="9" fontId="3" fillId="0" borderId="11" xfId="2" applyNumberFormat="1" applyFont="1" applyFill="1" applyBorder="1" applyAlignment="1">
      <alignment horizontal="center" vertical="center" wrapText="1"/>
    </xf>
    <xf numFmtId="9" fontId="3" fillId="0" borderId="12" xfId="2" applyNumberFormat="1" applyFont="1" applyFill="1" applyBorder="1" applyAlignment="1">
      <alignment horizontal="center" vertical="center" wrapText="1"/>
    </xf>
    <xf numFmtId="9" fontId="3" fillId="0" borderId="13" xfId="2" applyNumberFormat="1" applyFont="1" applyFill="1" applyBorder="1" applyAlignment="1">
      <alignment horizontal="center" vertical="center" wrapText="1"/>
    </xf>
    <xf numFmtId="0" fontId="7" fillId="0" borderId="4" xfId="0" applyFont="1" applyFill="1" applyBorder="1"/>
    <xf numFmtId="0" fontId="7" fillId="0" borderId="4" xfId="0" applyFont="1" applyFill="1" applyBorder="1" applyAlignment="1"/>
    <xf numFmtId="166" fontId="7" fillId="0" borderId="4" xfId="3" applyNumberFormat="1" applyFont="1" applyFill="1" applyBorder="1" applyAlignment="1">
      <alignment horizontal="center"/>
    </xf>
    <xf numFmtId="169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169" fontId="9" fillId="0" borderId="4" xfId="0" applyNumberFormat="1" applyFont="1" applyBorder="1"/>
    <xf numFmtId="9" fontId="8" fillId="0" borderId="4" xfId="2" applyNumberFormat="1" applyFont="1" applyFill="1" applyBorder="1" applyAlignment="1">
      <alignment horizontal="center"/>
    </xf>
    <xf numFmtId="9" fontId="8" fillId="0" borderId="0" xfId="2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9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169" fontId="8" fillId="0" borderId="0" xfId="3" applyNumberFormat="1" applyFont="1" applyFill="1" applyBorder="1" applyAlignment="1"/>
    <xf numFmtId="9" fontId="8" fillId="0" borderId="0" xfId="2" applyFont="1" applyFill="1" applyBorder="1" applyAlignment="1">
      <alignment horizontal="center"/>
    </xf>
    <xf numFmtId="169" fontId="0" fillId="0" borderId="0" xfId="0" applyNumberFormat="1"/>
    <xf numFmtId="1" fontId="8" fillId="0" borderId="0" xfId="3" applyNumberFormat="1" applyFont="1" applyFill="1" applyBorder="1" applyAlignment="1">
      <alignment horizontal="center"/>
    </xf>
    <xf numFmtId="0" fontId="8" fillId="3" borderId="14" xfId="0" applyFont="1" applyFill="1" applyBorder="1"/>
    <xf numFmtId="0" fontId="8" fillId="3" borderId="8" xfId="0" applyFont="1" applyFill="1" applyBorder="1"/>
    <xf numFmtId="166" fontId="6" fillId="2" borderId="8" xfId="0" applyNumberFormat="1" applyFont="1" applyFill="1" applyBorder="1" applyAlignment="1">
      <alignment horizontal="center" vertical="center" wrapText="1"/>
    </xf>
    <xf numFmtId="166" fontId="6" fillId="2" borderId="15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NumberFormat="1" applyFont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wrapText="1"/>
    </xf>
    <xf numFmtId="0" fontId="6" fillId="4" borderId="4" xfId="0" applyFont="1" applyFill="1" applyBorder="1" applyAlignment="1">
      <alignment horizontal="center"/>
    </xf>
    <xf numFmtId="166" fontId="3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4">
    <cellStyle name="Millares" xfId="1" builtinId="3"/>
    <cellStyle name="Millares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D6A-4A7F-83E3-BECDA7C889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D6A-4A7F-83E3-BECDA7C889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D6A-4A7F-83E3-BECDA7C889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D6A-4A7F-83E3-BECDA7C889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D6A-4A7F-83E3-BECDA7C8895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D6A-4A7F-83E3-BECDA7C88952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D6A-4A7F-83E3-BECDA7C8895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D6A-4A7F-83E3-BECDA7C889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1'!$B$73:$B$81</c15:sqref>
                  </c15:fullRef>
                </c:ext>
              </c:extLst>
              <c:f>'HOJA 1'!$B$74:$B$81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1'!$C$73:$C$81</c15:sqref>
                  </c15:fullRef>
                </c:ext>
              </c:extLst>
              <c:f>'HOJA 1'!$C$74:$C$81</c:f>
              <c:numCache>
                <c:formatCode>#,##0</c:formatCode>
                <c:ptCount val="8"/>
                <c:pt idx="0">
                  <c:v>0</c:v>
                </c:pt>
                <c:pt idx="1">
                  <c:v>21</c:v>
                </c:pt>
                <c:pt idx="2">
                  <c:v>14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1'!$D$73:$D$81</c15:f>
                <c15:dlblRangeCache>
                  <c:ptCount val="9"/>
                  <c:pt idx="1">
                    <c:v>0,00%</c:v>
                  </c:pt>
                  <c:pt idx="2">
                    <c:v>52,50%</c:v>
                  </c:pt>
                  <c:pt idx="3">
                    <c:v>35,00%</c:v>
                  </c:pt>
                  <c:pt idx="4">
                    <c:v>7,50%</c:v>
                  </c:pt>
                  <c:pt idx="5">
                    <c:v>2,50%</c:v>
                  </c:pt>
                  <c:pt idx="6">
                    <c:v>2,50%</c:v>
                  </c:pt>
                  <c:pt idx="7">
                    <c:v>0,00%</c:v>
                  </c:pt>
                  <c:pt idx="8">
                    <c:v>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3A7-4C66-8E2A-F0BEEF04415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8231400"/>
        <c:axId val="4182192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23A7-4C66-8E2A-F0BEEF04415F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23A7-4C66-8E2A-F0BEEF04415F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23A7-4C66-8E2A-F0BEEF04415F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23A7-4C66-8E2A-F0BEEF04415F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3A7-4C66-8E2A-F0BEEF04415F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23A7-4C66-8E2A-F0BEEF04415F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23A7-4C66-8E2A-F0BEEF04415F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A110-48BC-8700-1780898B75F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1'!$B$73:$B$81</c15:sqref>
                        </c15:fullRef>
                        <c15:formulaRef>
                          <c15:sqref>'HOJA 1'!$B$74:$B$81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1'!$D$73:$D$81</c15:sqref>
                        </c15:fullRef>
                        <c15:formulaRef>
                          <c15:sqref>'HOJA 1'!$D$74:$D$81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0.52500000000000002</c:v>
                      </c:pt>
                      <c:pt idx="2">
                        <c:v>0.35</c:v>
                      </c:pt>
                      <c:pt idx="3">
                        <c:v>7.4999999999999997E-2</c:v>
                      </c:pt>
                      <c:pt idx="4">
                        <c:v>2.5000000000000001E-2</c:v>
                      </c:pt>
                      <c:pt idx="5">
                        <c:v>2.5000000000000001E-2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1'!$D$74:$D$81</c15:f>
                      <c15:dlblRangeCache>
                        <c:ptCount val="8"/>
                        <c:pt idx="0">
                          <c:v>0,00%</c:v>
                        </c:pt>
                        <c:pt idx="1">
                          <c:v>52,50%</c:v>
                        </c:pt>
                        <c:pt idx="2">
                          <c:v>35,00%</c:v>
                        </c:pt>
                        <c:pt idx="3">
                          <c:v>7,50%</c:v>
                        </c:pt>
                        <c:pt idx="4">
                          <c:v>2,50%</c:v>
                        </c:pt>
                        <c:pt idx="5">
                          <c:v>2,50%</c:v>
                        </c:pt>
                        <c:pt idx="6">
                          <c:v>0,00%</c:v>
                        </c:pt>
                        <c:pt idx="7">
                          <c:v>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23A7-4C66-8E2A-F0BEEF04415F}"/>
                  </c:ext>
                </c:extLst>
              </c15:ser>
            </c15:filteredBarSeries>
          </c:ext>
        </c:extLst>
      </c:barChart>
      <c:catAx>
        <c:axId val="41823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19264"/>
        <c:crosses val="autoZero"/>
        <c:auto val="1"/>
        <c:lblAlgn val="ctr"/>
        <c:lblOffset val="100"/>
        <c:noMultiLvlLbl val="0"/>
      </c:catAx>
      <c:valAx>
        <c:axId val="4182192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31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31F-45BE-8FC6-80FE63F0B0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631F-45BE-8FC6-80FE63F0B0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631F-45BE-8FC6-80FE63F0B05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631F-45BE-8FC6-80FE63F0B05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631F-45BE-8FC6-80FE63F0B05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631F-45BE-8FC6-80FE63F0B05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631F-45BE-8FC6-80FE63F0B0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1'!$B$99:$B$106</c15:sqref>
                  </c15:fullRef>
                </c:ext>
              </c:extLst>
              <c:f>'HOJA 1'!$B$100:$B$106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1'!$C$99:$C$106</c15:sqref>
                  </c15:fullRef>
                </c:ext>
              </c:extLst>
              <c:f>'HOJA 1'!$C$100:$C$106</c:f>
              <c:numCache>
                <c:formatCode>#,##0</c:formatCode>
                <c:ptCount val="7"/>
                <c:pt idx="0">
                  <c:v>2</c:v>
                </c:pt>
                <c:pt idx="1">
                  <c:v>4</c:v>
                </c:pt>
                <c:pt idx="2">
                  <c:v>10</c:v>
                </c:pt>
                <c:pt idx="3">
                  <c:v>8</c:v>
                </c:pt>
                <c:pt idx="4">
                  <c:v>11</c:v>
                </c:pt>
                <c:pt idx="5">
                  <c:v>4</c:v>
                </c:pt>
                <c:pt idx="6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1'!$D$99:$D$106</c15:f>
                <c15:dlblRangeCache>
                  <c:ptCount val="8"/>
                  <c:pt idx="1">
                    <c:v>5,00%</c:v>
                  </c:pt>
                  <c:pt idx="2">
                    <c:v>10,00%</c:v>
                  </c:pt>
                  <c:pt idx="3">
                    <c:v>25,00%</c:v>
                  </c:pt>
                  <c:pt idx="4">
                    <c:v>20,00%</c:v>
                  </c:pt>
                  <c:pt idx="5">
                    <c:v>27,50%</c:v>
                  </c:pt>
                  <c:pt idx="6">
                    <c:v>10,00%</c:v>
                  </c:pt>
                  <c:pt idx="7">
                    <c:v>2,50%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CFE-436C-BABB-1572C2D39CD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2804888"/>
        <c:axId val="5930595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ECFE-436C-BABB-1572C2D39CD2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ECFE-436C-BABB-1572C2D39CD2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ECFE-436C-BABB-1572C2D39CD2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ECFE-436C-BABB-1572C2D39CD2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ECFE-436C-BABB-1572C2D39CD2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ECFE-436C-BABB-1572C2D39CD2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ECFE-436C-BABB-1572C2D39CD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1'!$B$99:$B$106</c15:sqref>
                        </c15:fullRef>
                        <c15:formulaRef>
                          <c15:sqref>'HOJA 1'!$B$100:$B$106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1'!$D$99:$D$106</c15:sqref>
                        </c15:fullRef>
                        <c15:formulaRef>
                          <c15:sqref>'HOJA 1'!$D$100:$D$106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0.05</c:v>
                      </c:pt>
                      <c:pt idx="1">
                        <c:v>0.1</c:v>
                      </c:pt>
                      <c:pt idx="2">
                        <c:v>0.25</c:v>
                      </c:pt>
                      <c:pt idx="3">
                        <c:v>0.2</c:v>
                      </c:pt>
                      <c:pt idx="4">
                        <c:v>0.27500000000000002</c:v>
                      </c:pt>
                      <c:pt idx="5">
                        <c:v>0.1</c:v>
                      </c:pt>
                      <c:pt idx="6">
                        <c:v>2.5000000000000001E-2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1'!$D$99:$D$106</c15:f>
                      <c15:dlblRangeCache>
                        <c:ptCount val="8"/>
                        <c:pt idx="1">
                          <c:v>5,00%</c:v>
                        </c:pt>
                        <c:pt idx="2">
                          <c:v>10,00%</c:v>
                        </c:pt>
                        <c:pt idx="3">
                          <c:v>25,00%</c:v>
                        </c:pt>
                        <c:pt idx="4">
                          <c:v>20,00%</c:v>
                        </c:pt>
                        <c:pt idx="5">
                          <c:v>27,50%</c:v>
                        </c:pt>
                        <c:pt idx="6">
                          <c:v>10,00%</c:v>
                        </c:pt>
                        <c:pt idx="7">
                          <c:v>2,50%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ECFE-436C-BABB-1572C2D39CD2}"/>
                  </c:ext>
                </c:extLst>
              </c15:ser>
            </c15:filteredBarSeries>
          </c:ext>
        </c:extLst>
      </c:barChart>
      <c:catAx>
        <c:axId val="41280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3059576"/>
        <c:crosses val="autoZero"/>
        <c:auto val="1"/>
        <c:lblAlgn val="ctr"/>
        <c:lblOffset val="100"/>
        <c:noMultiLvlLbl val="0"/>
      </c:catAx>
      <c:valAx>
        <c:axId val="59305957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80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DCD-4DA1-ABC9-BA25ABFC7E0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DCD-4DA1-ABC9-BA25ABFC7E0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DCD-4DA1-ABC9-BA25ABFC7E0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DCD-4DA1-ABC9-BA25ABFC7E0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DCD-4DA1-ABC9-BA25ABFC7E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1'!$B$114:$B$120</c15:sqref>
                  </c15:fullRef>
                </c:ext>
              </c:extLst>
              <c:f>'HOJA 1'!$B$115:$B$119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1'!$C$114:$C$120</c15:sqref>
                  </c15:fullRef>
                </c:ext>
              </c:extLst>
              <c:f>'HOJA 1'!$C$115:$C$119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26</c:v>
                </c:pt>
                <c:pt idx="3">
                  <c:v>14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1'!$D$114:$D$119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65,00%</c:v>
                  </c:pt>
                  <c:pt idx="4">
                    <c:v>35,00%</c:v>
                  </c:pt>
                  <c:pt idx="5">
                    <c:v>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9673-41DD-AF5F-1B756E8900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5189256"/>
        <c:axId val="41518860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4-9673-41DD-AF5F-1B756E890014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5-9673-41DD-AF5F-1B756E890014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9673-41DD-AF5F-1B756E890014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9673-41DD-AF5F-1B756E890014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9673-41DD-AF5F-1B756E8900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1'!$B$114:$B$120</c15:sqref>
                        </c15:fullRef>
                        <c15:formulaRef>
                          <c15:sqref>'HOJA 1'!$B$115:$B$119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1'!$D$114:$D$120</c15:sqref>
                        </c15:fullRef>
                        <c15:formulaRef>
                          <c15:sqref>'HOJA 1'!$D$115:$D$119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0.65</c:v>
                      </c:pt>
                      <c:pt idx="3">
                        <c:v>0.35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1'!$D$115:$D$119</c15:f>
                      <c15:dlblRangeCache>
                        <c:ptCount val="5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65,00%</c:v>
                        </c:pt>
                        <c:pt idx="3">
                          <c:v>35,00%</c:v>
                        </c:pt>
                        <c:pt idx="4">
                          <c:v>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9673-41DD-AF5F-1B756E890014}"/>
                  </c:ext>
                </c:extLst>
              </c15:ser>
            </c15:filteredBarSeries>
          </c:ext>
        </c:extLst>
      </c:barChart>
      <c:catAx>
        <c:axId val="41518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8600"/>
        <c:crosses val="autoZero"/>
        <c:auto val="1"/>
        <c:lblAlgn val="ctr"/>
        <c:lblOffset val="100"/>
        <c:noMultiLvlLbl val="0"/>
      </c:catAx>
      <c:valAx>
        <c:axId val="41518860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1'!$B$88:$B$91</c15:sqref>
                  </c15:fullRef>
                </c:ext>
              </c:extLst>
              <c:f>'HOJA 1'!$B$89:$B$91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1'!$C$88:$C$91</c15:sqref>
                  </c15:fullRef>
                </c:ext>
              </c:extLst>
              <c:f>'HOJA 1'!$C$89:$C$91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610-4CE7-BC18-CC394263DDF6}"/>
            </c:ext>
          </c:extLst>
        </c:ser>
        <c:ser>
          <c:idx val="3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1'!$B$88:$B$91</c15:sqref>
                  </c15:fullRef>
                </c:ext>
              </c:extLst>
              <c:f>'HOJA 1'!$B$89:$B$91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1'!$D$88:$D$91</c15:sqref>
                  </c15:fullRef>
                </c:ext>
              </c:extLst>
              <c:f>'HOJA 1'!$D$89:$D$91</c:f>
              <c:numCache>
                <c:formatCode>0.00%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610-4CE7-BC18-CC394263DDF6}"/>
            </c:ext>
          </c:extLst>
        </c:ser>
        <c:ser>
          <c:idx val="0"/>
          <c:order val="2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8610-4CE7-BC18-CC394263DDF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8610-4CE7-BC18-CC394263DD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1'!$B$89:$B$91</c15:sqref>
                  </c15:fullRef>
                </c:ext>
              </c:extLst>
              <c:f>'HOJA 1'!$B$90:$B$91</c:f>
              <c:strCache>
                <c:ptCount val="2"/>
                <c:pt idx="0">
                  <c:v> = 0</c:v>
                </c:pt>
                <c:pt idx="1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1'!$C$89:$C$91</c15:sqref>
                  </c15:fullRef>
                </c:ext>
              </c:extLst>
              <c:f>'HOJA 1'!$C$90:$C$91</c:f>
              <c:numCache>
                <c:formatCode>#,##0</c:formatCode>
                <c:ptCount val="2"/>
                <c:pt idx="0">
                  <c:v>0</c:v>
                </c:pt>
                <c:pt idx="1">
                  <c:v>40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1'!$D$88:$D$91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5="http://schemas.microsoft.com/office/drawing/2012/chart" uri="{02D57815-91ED-43cb-92C2-25804820EDAC}">
              <c15:categoryFilterExceptions>
                <c15:categoryFilterException>
                  <c15:sqref>'HOJA 1'!$C$89</c15:sqref>
                  <c15:dLbl>
                    <c:idx val="-1"/>
                    <c:tx>
                      <c:rich>
                        <a:bodyPr/>
                        <a:lstStyle/>
                        <a:p>
                          <a:fld id="{281FA0B4-0E91-4A49-9391-78B8917BAA06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64171A1-3113-4F22-B401-E55BC09BA3A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FEDC-4064-BAF0-2350DB646C9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8610-4CE7-BC18-CC394263DDF6}"/>
            </c:ext>
          </c:extLst>
        </c:ser>
        <c:ser>
          <c:idx val="1"/>
          <c:order val="3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1'!$B$89:$B$91</c15:sqref>
                  </c15:fullRef>
                </c:ext>
              </c:extLst>
              <c:f>'HOJA 1'!$B$90:$B$91</c:f>
              <c:strCache>
                <c:ptCount val="2"/>
                <c:pt idx="0">
                  <c:v> = 0</c:v>
                </c:pt>
                <c:pt idx="1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1'!$D$89:$D$91</c15:sqref>
                  </c15:fullRef>
                </c:ext>
              </c:extLst>
              <c:f>'HOJA 1'!$D$90:$D$91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7-8610-4CE7-BC18-CC394263DDF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2022392"/>
        <c:axId val="412015176"/>
        <c:extLst/>
      </c:barChart>
      <c:catAx>
        <c:axId val="4120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15176"/>
        <c:crosses val="autoZero"/>
        <c:auto val="1"/>
        <c:lblAlgn val="ctr"/>
        <c:lblOffset val="100"/>
        <c:noMultiLvlLbl val="0"/>
      </c:catAx>
      <c:valAx>
        <c:axId val="412015176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2239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F0-42AA-AB71-ECE75DBCE1A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F0-42AA-AB71-ECE75DBCE1A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F0-42AA-AB71-ECE75DBCE1A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F0-42AA-AB71-ECE75DBCE1A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F0-42AA-AB71-ECE75DBCE1A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F0-42AA-AB71-ECE75DBCE1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1'!$B$127:$B$134</c15:sqref>
                  </c15:fullRef>
                </c:ext>
              </c:extLst>
              <c:f>'HOJA 1'!$B$129:$B$134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1'!$C$127:$C$134</c15:sqref>
                  </c15:fullRef>
                </c:ext>
              </c:extLst>
              <c:f>'HOJA 1'!$C$129:$C$134</c:f>
              <c:numCache>
                <c:formatCode>#,##0</c:formatCode>
                <c:ptCount val="6"/>
                <c:pt idx="0">
                  <c:v>0</c:v>
                </c:pt>
                <c:pt idx="1">
                  <c:v>11</c:v>
                </c:pt>
                <c:pt idx="2">
                  <c:v>8</c:v>
                </c:pt>
                <c:pt idx="3">
                  <c:v>10</c:v>
                </c:pt>
                <c:pt idx="4">
                  <c:v>4</c:v>
                </c:pt>
                <c:pt idx="5">
                  <c:v>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1'!$D$127:$D$134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27,50%</c:v>
                  </c:pt>
                  <c:pt idx="4">
                    <c:v>20,00%</c:v>
                  </c:pt>
                  <c:pt idx="5">
                    <c:v>25,00%</c:v>
                  </c:pt>
                  <c:pt idx="6">
                    <c:v>10,00%</c:v>
                  </c:pt>
                  <c:pt idx="7">
                    <c:v>17,50%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F0-42AA-AB71-ECE75DBCE1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577680"/>
        <c:axId val="57257800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1CF0-42AA-AB71-ECE75DBCE1AA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1CF0-42AA-AB71-ECE75DBCE1AA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1CF0-42AA-AB71-ECE75DBCE1AA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1CF0-42AA-AB71-ECE75DBCE1AA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6113D7B5-7824-4C51-89E3-7698730BD430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61E1118-55EE-488A-9F9E-26FD37A4A94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1CF0-42AA-AB71-ECE75DBCE1AA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1CF0-42AA-AB71-ECE75DBCE1AA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1'!$B$127:$B$134</c15:sqref>
                        </c15:fullRef>
                        <c15:formulaRef>
                          <c15:sqref>'HOJA 1'!$B$129:$B$134</c15:sqref>
                        </c15:formulaRef>
                      </c:ext>
                    </c:extLst>
                    <c:strCache>
                      <c:ptCount val="6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1'!$D$127:$D$134</c15:sqref>
                        </c15:fullRef>
                        <c15:formulaRef>
                          <c15:sqref>'HOJA 1'!$D$129:$D$134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0.27500000000000002</c:v>
                      </c:pt>
                      <c:pt idx="2">
                        <c:v>0.2</c:v>
                      </c:pt>
                      <c:pt idx="3">
                        <c:v>0.25</c:v>
                      </c:pt>
                      <c:pt idx="4">
                        <c:v>0.1</c:v>
                      </c:pt>
                      <c:pt idx="5">
                        <c:v>0.17499999999999999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1'!$D$127:$D$134</c15:f>
                      <c15:dlblRangeCache>
                        <c:ptCount val="8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27,50%</c:v>
                        </c:pt>
                        <c:pt idx="4">
                          <c:v>20,00%</c:v>
                        </c:pt>
                        <c:pt idx="5">
                          <c:v>25,00%</c:v>
                        </c:pt>
                        <c:pt idx="6">
                          <c:v>10,00%</c:v>
                        </c:pt>
                        <c:pt idx="7">
                          <c:v>17,50%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1CF0-42AA-AB71-ECE75DBCE1AA}"/>
                  </c:ext>
                </c:extLst>
              </c15:ser>
            </c15:filteredBarSeries>
          </c:ext>
        </c:extLst>
      </c:barChart>
      <c:catAx>
        <c:axId val="5725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8008"/>
        <c:crosses val="autoZero"/>
        <c:auto val="1"/>
        <c:lblAlgn val="ctr"/>
        <c:lblOffset val="100"/>
        <c:noMultiLvlLbl val="0"/>
      </c:catAx>
      <c:valAx>
        <c:axId val="572578008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CC5-47A8-BD50-65DFF185053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CC5-47A8-BD50-65DFF185053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CC5-47A8-BD50-65DFF185053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CC5-47A8-BD50-65DFF185053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CC5-47A8-BD50-65DFF185053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CC5-47A8-BD50-65DFF185053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ACC5-47A8-BD50-65DFF185053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1'!$B$141:$B$148</c15:sqref>
                  </c15:fullRef>
                </c:ext>
              </c:extLst>
              <c:f>'HOJA 1'!$B$142:$B$148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1'!$C$141:$C$148</c15:sqref>
                  </c15:fullRef>
                </c:ext>
              </c:extLst>
              <c:f>'HOJA 1'!$C$142:$C$148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26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1'!$D$141:$D$148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7,50%</c:v>
                  </c:pt>
                  <c:pt idx="4">
                    <c:v>7,50%</c:v>
                  </c:pt>
                  <c:pt idx="5">
                    <c:v>10,00%</c:v>
                  </c:pt>
                  <c:pt idx="6">
                    <c:v>10,00%</c:v>
                  </c:pt>
                  <c:pt idx="7">
                    <c:v>65,00%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ACC5-47A8-BD50-65DFF185053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986944"/>
        <c:axId val="5719885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1'!$B$141:$B$148</c15:sqref>
                        </c15:fullRef>
                        <c15:formulaRef>
                          <c15:sqref>'HOJA 1'!$B$142:$B$148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1'!$D$141:$D$148</c15:sqref>
                        </c15:fullRef>
                        <c15:formulaRef>
                          <c15:sqref>'HOJA 1'!$D$142:$D$148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7.4999999999999997E-2</c:v>
                      </c:pt>
                      <c:pt idx="3">
                        <c:v>7.4999999999999997E-2</c:v>
                      </c:pt>
                      <c:pt idx="4">
                        <c:v>0.1</c:v>
                      </c:pt>
                      <c:pt idx="5">
                        <c:v>0.1</c:v>
                      </c:pt>
                      <c:pt idx="6">
                        <c:v>0.65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CC5-47A8-BD50-65DFF1850539}"/>
                  </c:ext>
                </c:extLst>
              </c15:ser>
            </c15:filteredBarSeries>
          </c:ext>
        </c:extLst>
      </c:barChart>
      <c:catAx>
        <c:axId val="57198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8584"/>
        <c:crosses val="autoZero"/>
        <c:auto val="1"/>
        <c:lblAlgn val="ctr"/>
        <c:lblOffset val="100"/>
        <c:noMultiLvlLbl val="0"/>
      </c:catAx>
      <c:valAx>
        <c:axId val="57198858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9.7208287511286504E-2"/>
          <c:y val="0.21167336010709506"/>
          <c:w val="0.87562348289462921"/>
          <c:h val="0.7294243641231592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CC6-471F-ADF9-7D4D3F47368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C6-471F-ADF9-7D4D3F47368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C6-471F-ADF9-7D4D3F47368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C6-471F-ADF9-7D4D3F47368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C6-471F-ADF9-7D4D3F47368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C6-471F-ADF9-7D4D3F47368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C6-471F-ADF9-7D4D3F4736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1'!$B$155:$B$162</c15:sqref>
                  </c15:fullRef>
                </c:ext>
              </c:extLst>
              <c:f>'HOJA 1'!$B$156:$B$162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1'!$C$155:$C$162</c15:sqref>
                  </c15:fullRef>
                </c:ext>
              </c:extLst>
              <c:f>'HOJA 1'!$C$156:$C$162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5</c:v>
                </c:pt>
                <c:pt idx="4">
                  <c:v>3</c:v>
                </c:pt>
                <c:pt idx="5">
                  <c:v>2</c:v>
                </c:pt>
                <c:pt idx="6">
                  <c:v>27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1'!$D$155:$D$162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7,50%</c:v>
                  </c:pt>
                  <c:pt idx="4">
                    <c:v>12,50%</c:v>
                  </c:pt>
                  <c:pt idx="5">
                    <c:v>7,50%</c:v>
                  </c:pt>
                  <c:pt idx="6">
                    <c:v>5,00%</c:v>
                  </c:pt>
                  <c:pt idx="7">
                    <c:v>67,50%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C6-471F-ADF9-7D4D3F47368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297608"/>
        <c:axId val="57229695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1'!$B$155:$B$162</c15:sqref>
                        </c15:fullRef>
                        <c15:formulaRef>
                          <c15:sqref>'HOJA 1'!$B$156:$B$162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1'!$D$155:$D$162</c15:sqref>
                        </c15:fullRef>
                        <c15:formulaRef>
                          <c15:sqref>'HOJA 1'!$D$156:$D$162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7.4999999999999997E-2</c:v>
                      </c:pt>
                      <c:pt idx="3">
                        <c:v>0.125</c:v>
                      </c:pt>
                      <c:pt idx="4">
                        <c:v>7.4999999999999997E-2</c:v>
                      </c:pt>
                      <c:pt idx="5">
                        <c:v>0.05</c:v>
                      </c:pt>
                      <c:pt idx="6">
                        <c:v>0.67500000000000004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CC6-471F-ADF9-7D4D3F47368A}"/>
                  </c:ext>
                </c:extLst>
              </c15:ser>
            </c15:filteredBarSeries>
          </c:ext>
        </c:extLst>
      </c:barChart>
      <c:catAx>
        <c:axId val="57229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6952"/>
        <c:crosses val="autoZero"/>
        <c:auto val="1"/>
        <c:lblAlgn val="ctr"/>
        <c:lblOffset val="100"/>
        <c:noMultiLvlLbl val="0"/>
      </c:catAx>
      <c:valAx>
        <c:axId val="57229695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7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57150</xdr:colOff>
      <xdr:row>69</xdr:row>
      <xdr:rowOff>123825</xdr:rowOff>
    </xdr:from>
    <xdr:to>
      <xdr:col>15</xdr:col>
      <xdr:colOff>361950</xdr:colOff>
      <xdr:row>82</xdr:row>
      <xdr:rowOff>142874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96</xdr:row>
      <xdr:rowOff>28575</xdr:rowOff>
    </xdr:from>
    <xdr:to>
      <xdr:col>15</xdr:col>
      <xdr:colOff>390526</xdr:colOff>
      <xdr:row>110</xdr:row>
      <xdr:rowOff>104775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111</xdr:row>
      <xdr:rowOff>47624</xdr:rowOff>
    </xdr:from>
    <xdr:to>
      <xdr:col>15</xdr:col>
      <xdr:colOff>381000</xdr:colOff>
      <xdr:row>123</xdr:row>
      <xdr:rowOff>57150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19050</xdr:colOff>
      <xdr:row>85</xdr:row>
      <xdr:rowOff>19050</xdr:rowOff>
    </xdr:from>
    <xdr:to>
      <xdr:col>15</xdr:col>
      <xdr:colOff>371476</xdr:colOff>
      <xdr:row>95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</xdr:colOff>
      <xdr:row>124</xdr:row>
      <xdr:rowOff>28575</xdr:rowOff>
    </xdr:from>
    <xdr:to>
      <xdr:col>15</xdr:col>
      <xdr:colOff>390526</xdr:colOff>
      <xdr:row>137</xdr:row>
      <xdr:rowOff>28575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28575</xdr:colOff>
      <xdr:row>137</xdr:row>
      <xdr:rowOff>123825</xdr:rowOff>
    </xdr:from>
    <xdr:to>
      <xdr:col>15</xdr:col>
      <xdr:colOff>371475</xdr:colOff>
      <xdr:row>151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19049</xdr:colOff>
      <xdr:row>152</xdr:row>
      <xdr:rowOff>66675</xdr:rowOff>
    </xdr:from>
    <xdr:to>
      <xdr:col>15</xdr:col>
      <xdr:colOff>381000</xdr:colOff>
      <xdr:row>166</xdr:row>
      <xdr:rowOff>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6"/>
  <sheetViews>
    <sheetView tabSelected="1" workbookViewId="0">
      <selection activeCell="A33" sqref="A33"/>
    </sheetView>
  </sheetViews>
  <sheetFormatPr baseColWidth="10" defaultRowHeight="12"/>
  <cols>
    <col min="1" max="1" width="27.42578125" style="16" customWidth="1"/>
    <col min="2" max="2" width="23.28515625" style="16" customWidth="1"/>
    <col min="3" max="3" width="51.4257812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6" width="17.140625" style="16" customWidth="1"/>
    <col min="17" max="16384" width="11.42578125" style="16"/>
  </cols>
  <sheetData>
    <row r="1" spans="1:10">
      <c r="A1" s="16" t="s">
        <v>143</v>
      </c>
    </row>
    <row r="3" spans="1:10">
      <c r="F3" s="78" t="s">
        <v>63</v>
      </c>
      <c r="G3" s="78"/>
      <c r="H3" s="78"/>
      <c r="I3" s="78"/>
      <c r="J3" s="78"/>
    </row>
    <row r="4" spans="1:10">
      <c r="F4" s="78" t="s">
        <v>62</v>
      </c>
      <c r="G4" s="78"/>
      <c r="H4" s="78"/>
      <c r="I4" s="78"/>
      <c r="J4" s="78"/>
    </row>
    <row r="5" spans="1:10">
      <c r="F5" s="78" t="s">
        <v>64</v>
      </c>
      <c r="G5" s="78"/>
      <c r="H5" s="78"/>
      <c r="I5" s="78"/>
      <c r="J5" s="78"/>
    </row>
    <row r="7" spans="1:10" ht="12.75" thickBot="1"/>
    <row r="8" spans="1:10" ht="47.25" customHeight="1" thickTop="1" thickBot="1">
      <c r="A8" s="23" t="s">
        <v>13</v>
      </c>
      <c r="B8" s="81" t="s">
        <v>138</v>
      </c>
      <c r="C8" s="82"/>
      <c r="D8" s="82"/>
      <c r="E8" s="82"/>
      <c r="F8" s="83"/>
      <c r="G8" s="23" t="s">
        <v>16</v>
      </c>
      <c r="H8" s="84" t="s">
        <v>93</v>
      </c>
      <c r="I8" s="85"/>
      <c r="J8" s="86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95" t="s">
        <v>67</v>
      </c>
      <c r="B10" s="96"/>
      <c r="C10" s="96"/>
      <c r="D10" s="96"/>
      <c r="E10" s="96"/>
      <c r="F10" s="96"/>
      <c r="G10" s="96"/>
      <c r="H10" s="96"/>
      <c r="I10" s="47"/>
    </row>
    <row r="11" spans="1:10" ht="39" customHeight="1" thickTop="1" thickBot="1">
      <c r="A11" s="24" t="s">
        <v>66</v>
      </c>
      <c r="B11" s="27">
        <v>147367514</v>
      </c>
      <c r="C11" s="24" t="s">
        <v>61</v>
      </c>
      <c r="D11" s="28">
        <v>6</v>
      </c>
      <c r="E11" s="24" t="s">
        <v>139</v>
      </c>
      <c r="F11" s="27">
        <f>MROUND((1.5*($B$11/$D$11)),100000)</f>
        <v>36800000</v>
      </c>
      <c r="G11" s="24" t="s">
        <v>140</v>
      </c>
      <c r="H11" s="27">
        <f>MROUND(($B$11*25%),100000)</f>
        <v>36800000</v>
      </c>
    </row>
    <row r="12" spans="1:10" ht="13.5" thickTop="1" thickBot="1"/>
    <row r="13" spans="1:10" ht="13.5" thickTop="1" thickBot="1">
      <c r="A13" s="97" t="s">
        <v>89</v>
      </c>
      <c r="B13" s="98"/>
      <c r="C13" s="98"/>
      <c r="D13" s="98"/>
      <c r="E13" s="98"/>
      <c r="F13" s="98"/>
      <c r="G13" s="98"/>
      <c r="H13" s="98"/>
      <c r="I13" s="98"/>
      <c r="J13" s="99"/>
    </row>
    <row r="14" spans="1:10" ht="15.75" thickTop="1">
      <c r="B14"/>
    </row>
    <row r="15" spans="1:10">
      <c r="A15" s="17" t="s">
        <v>65</v>
      </c>
    </row>
    <row r="16" spans="1:10">
      <c r="A16" s="18" t="s">
        <v>56</v>
      </c>
    </row>
    <row r="17" spans="1:10">
      <c r="A17" s="18" t="s">
        <v>55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>
        <v>830126626</v>
      </c>
      <c r="B20" t="s">
        <v>120</v>
      </c>
      <c r="C20" t="s">
        <v>102</v>
      </c>
      <c r="D20" s="13">
        <v>1.653329278373231</v>
      </c>
      <c r="E20" s="68">
        <v>990342</v>
      </c>
      <c r="F20" s="69">
        <v>0.4054659652215849</v>
      </c>
      <c r="G20" s="70">
        <v>2334926</v>
      </c>
      <c r="H20" s="69">
        <v>1.3309072520428048E-2</v>
      </c>
      <c r="I20" s="69">
        <v>2.2385720147019648E-2</v>
      </c>
      <c r="J20" s="71">
        <v>0.61141914654688378</v>
      </c>
    </row>
    <row r="21" spans="1:10" ht="15" customHeight="1">
      <c r="A21">
        <v>804003326</v>
      </c>
      <c r="B21" t="s">
        <v>114</v>
      </c>
      <c r="C21" t="s">
        <v>102</v>
      </c>
      <c r="D21" s="13">
        <v>1.9526396648795086</v>
      </c>
      <c r="E21" s="68">
        <v>6383063</v>
      </c>
      <c r="F21" s="69">
        <v>0.40350843701331551</v>
      </c>
      <c r="G21" s="70">
        <v>9904947</v>
      </c>
      <c r="H21" s="69">
        <v>7.5272760098963332E-3</v>
      </c>
      <c r="I21" s="69">
        <v>1.2619249754693286E-2</v>
      </c>
      <c r="J21" s="71">
        <v>0.64474580118020886</v>
      </c>
    </row>
    <row r="22" spans="1:10" ht="15" customHeight="1">
      <c r="A22">
        <v>805022185</v>
      </c>
      <c r="B22" t="s">
        <v>116</v>
      </c>
      <c r="C22" t="s">
        <v>137</v>
      </c>
      <c r="D22" s="13">
        <v>2.2354505367419431</v>
      </c>
      <c r="E22" s="68">
        <v>1570375</v>
      </c>
      <c r="F22" s="69">
        <v>0.54369581813431189</v>
      </c>
      <c r="G22" s="70">
        <v>1875621</v>
      </c>
      <c r="H22" s="69">
        <v>7.1384433185369425E-2</v>
      </c>
      <c r="I22" s="69">
        <v>0.15644045358843817</v>
      </c>
      <c r="J22" s="71">
        <v>0.67643587272752426</v>
      </c>
    </row>
    <row r="23" spans="1:10" ht="15" customHeight="1">
      <c r="A23">
        <v>900310238</v>
      </c>
      <c r="B23" t="s">
        <v>126</v>
      </c>
      <c r="C23" t="s">
        <v>137</v>
      </c>
      <c r="D23" s="13">
        <v>9.9841930291300489</v>
      </c>
      <c r="E23" s="68">
        <v>2137636</v>
      </c>
      <c r="F23" s="69">
        <v>0.39443068748491522</v>
      </c>
      <c r="G23" s="70">
        <v>1999691</v>
      </c>
      <c r="H23" s="69">
        <v>4.4756973223946575E-2</v>
      </c>
      <c r="I23" s="69">
        <v>7.3908918927974368E-2</v>
      </c>
      <c r="J23" s="71">
        <v>0.74846554308633473</v>
      </c>
    </row>
    <row r="24" spans="1:10" ht="15" customHeight="1">
      <c r="A24">
        <v>816001431</v>
      </c>
      <c r="B24" t="s">
        <v>99</v>
      </c>
      <c r="C24" t="s">
        <v>102</v>
      </c>
      <c r="D24" s="13">
        <v>2.7512947059705359</v>
      </c>
      <c r="E24" s="68">
        <v>5969619</v>
      </c>
      <c r="F24" s="69">
        <v>0.40273137210880772</v>
      </c>
      <c r="G24" s="70">
        <v>6422070</v>
      </c>
      <c r="H24" s="69">
        <v>2.6858566805283809E-2</v>
      </c>
      <c r="I24" s="69">
        <v>4.4968989749411013E-2</v>
      </c>
      <c r="J24" s="71">
        <v>0.78976888935075162</v>
      </c>
    </row>
    <row r="25" spans="1:10" ht="15" customHeight="1">
      <c r="A25">
        <v>804008044</v>
      </c>
      <c r="B25" t="s">
        <v>115</v>
      </c>
      <c r="C25" t="s">
        <v>102</v>
      </c>
      <c r="D25" s="13">
        <v>1.4370631008583132</v>
      </c>
      <c r="E25" s="68">
        <v>1763349</v>
      </c>
      <c r="F25" s="69">
        <v>0.74981326568097106</v>
      </c>
      <c r="G25" s="70">
        <v>2269957</v>
      </c>
      <c r="H25" s="69">
        <v>0.10327231710700183</v>
      </c>
      <c r="I25" s="69">
        <v>0.41278094695185857</v>
      </c>
      <c r="J25" s="71">
        <v>0.83104137934092837</v>
      </c>
    </row>
    <row r="26" spans="1:10" ht="15" customHeight="1">
      <c r="A26">
        <v>900352671</v>
      </c>
      <c r="B26" t="s">
        <v>129</v>
      </c>
      <c r="C26" t="s">
        <v>102</v>
      </c>
      <c r="D26" s="13">
        <v>1.4694359397725729</v>
      </c>
      <c r="E26" s="68">
        <v>556114</v>
      </c>
      <c r="F26" s="69">
        <v>0.34890878765241379</v>
      </c>
      <c r="G26" s="70">
        <v>3591731</v>
      </c>
      <c r="H26" s="69">
        <v>2.7063095862415138E-2</v>
      </c>
      <c r="I26" s="69">
        <v>4.1565752000915439E-2</v>
      </c>
      <c r="J26" s="71">
        <v>0.85578758505253627</v>
      </c>
    </row>
    <row r="27" spans="1:10" ht="15" customHeight="1">
      <c r="A27">
        <v>900365405</v>
      </c>
      <c r="B27" t="s">
        <v>110</v>
      </c>
      <c r="C27" t="s">
        <v>137</v>
      </c>
      <c r="D27" s="13">
        <v>1.5493948464857679</v>
      </c>
      <c r="E27" s="68">
        <v>13227933</v>
      </c>
      <c r="F27" s="69">
        <v>0.86859104440413992</v>
      </c>
      <c r="G27" s="70">
        <v>6559211</v>
      </c>
      <c r="H27" s="69">
        <v>6.7386804913763518E-2</v>
      </c>
      <c r="I27" s="69">
        <v>0.51280222575550627</v>
      </c>
      <c r="J27" s="71">
        <v>0.89631762830821737</v>
      </c>
    </row>
    <row r="28" spans="1:10" ht="15" customHeight="1">
      <c r="A28">
        <v>860030723</v>
      </c>
      <c r="B28" t="s">
        <v>123</v>
      </c>
      <c r="C28" t="s">
        <v>137</v>
      </c>
      <c r="D28" s="13">
        <v>2.0436888948088168</v>
      </c>
      <c r="E28" s="68">
        <v>12011971</v>
      </c>
      <c r="F28" s="69">
        <v>0.4604060623830224</v>
      </c>
      <c r="G28" s="70">
        <v>13786208</v>
      </c>
      <c r="H28" s="69">
        <v>8.5470452785127313E-2</v>
      </c>
      <c r="I28" s="69">
        <v>0.15839772619127754</v>
      </c>
      <c r="J28" s="71">
        <v>0.95444737043390848</v>
      </c>
    </row>
    <row r="29" spans="1:10" ht="15" customHeight="1">
      <c r="A29">
        <v>900424365</v>
      </c>
      <c r="B29" t="s">
        <v>130</v>
      </c>
      <c r="C29" t="s">
        <v>137</v>
      </c>
      <c r="D29" s="13">
        <v>1.4684934877146396</v>
      </c>
      <c r="E29" s="68">
        <v>11131952</v>
      </c>
      <c r="F29" s="69">
        <v>0.6472285634655377</v>
      </c>
      <c r="G29" s="70">
        <v>12984030</v>
      </c>
      <c r="H29" s="69">
        <v>0.30035883488536286</v>
      </c>
      <c r="I29" s="69">
        <v>0.85142617507815366</v>
      </c>
      <c r="J29" s="71">
        <v>0.95622855286366626</v>
      </c>
    </row>
    <row r="30" spans="1:10" ht="15" customHeight="1">
      <c r="A30">
        <v>816004795</v>
      </c>
      <c r="B30" t="s">
        <v>118</v>
      </c>
      <c r="C30" t="s">
        <v>137</v>
      </c>
      <c r="D30" s="13">
        <v>3.4031751987621219</v>
      </c>
      <c r="E30" s="68">
        <v>4137441</v>
      </c>
      <c r="F30" s="69">
        <v>0.27965273712238869</v>
      </c>
      <c r="G30" s="70">
        <v>4466506</v>
      </c>
      <c r="H30" s="69">
        <v>0.10064462647306906</v>
      </c>
      <c r="I30" s="69">
        <v>0.13971681667952535</v>
      </c>
      <c r="J30" s="71">
        <v>0.99065927960249556</v>
      </c>
    </row>
    <row r="31" spans="1:10" ht="15" customHeight="1">
      <c r="A31">
        <v>811046559</v>
      </c>
      <c r="B31" t="s">
        <v>117</v>
      </c>
      <c r="C31" t="s">
        <v>137</v>
      </c>
      <c r="D31" s="13">
        <v>2.2194664771114412</v>
      </c>
      <c r="E31" s="68">
        <v>3118866</v>
      </c>
      <c r="F31" s="69">
        <v>0.42711551577522766</v>
      </c>
      <c r="G31" s="70">
        <v>3430430</v>
      </c>
      <c r="H31" s="69">
        <v>7.4603590249559287E-2</v>
      </c>
      <c r="I31" s="69">
        <v>0.13022449080727488</v>
      </c>
      <c r="J31" s="71">
        <v>1.2208930831017133</v>
      </c>
    </row>
    <row r="32" spans="1:10" ht="15" customHeight="1">
      <c r="A32">
        <v>900434009</v>
      </c>
      <c r="B32" t="s">
        <v>132</v>
      </c>
      <c r="C32" t="s">
        <v>137</v>
      </c>
      <c r="D32" s="13">
        <v>1.6432739565726173</v>
      </c>
      <c r="E32" s="68">
        <v>8657985</v>
      </c>
      <c r="F32" s="69">
        <v>0.63341325689764327</v>
      </c>
      <c r="G32" s="70">
        <v>8870710</v>
      </c>
      <c r="H32" s="69">
        <v>0.22838208092198897</v>
      </c>
      <c r="I32" s="69">
        <v>0.62299601722973696</v>
      </c>
      <c r="J32" s="71">
        <v>1.2413212897266963</v>
      </c>
    </row>
    <row r="33" spans="1:10" ht="15" customHeight="1">
      <c r="A33">
        <v>830005066</v>
      </c>
      <c r="B33" t="s">
        <v>119</v>
      </c>
      <c r="C33" t="s">
        <v>137</v>
      </c>
      <c r="D33" s="13">
        <v>9.1971623035082537</v>
      </c>
      <c r="E33" s="68">
        <v>12053255</v>
      </c>
      <c r="F33" s="69">
        <v>0.12074355140839335</v>
      </c>
      <c r="G33" s="70">
        <v>12091394</v>
      </c>
      <c r="H33" s="69">
        <v>3.2768924013077523E-2</v>
      </c>
      <c r="I33" s="69">
        <v>3.726890381704541E-2</v>
      </c>
      <c r="J33" s="71">
        <v>1.3539841355687758</v>
      </c>
    </row>
    <row r="34" spans="1:10" ht="15" customHeight="1">
      <c r="A34">
        <v>830086645</v>
      </c>
      <c r="B34" t="s">
        <v>100</v>
      </c>
      <c r="C34" t="s">
        <v>102</v>
      </c>
      <c r="D34" s="13">
        <v>6.7911305445767489</v>
      </c>
      <c r="E34" s="68">
        <v>8063159</v>
      </c>
      <c r="F34" s="69">
        <v>0.24273533300194258</v>
      </c>
      <c r="G34" s="70">
        <v>13570513</v>
      </c>
      <c r="H34" s="69">
        <v>2.1669450453102816E-2</v>
      </c>
      <c r="I34" s="69">
        <v>2.8615425223792203E-2</v>
      </c>
      <c r="J34" s="71">
        <v>1.7088729586650295</v>
      </c>
    </row>
    <row r="35" spans="1:10" ht="15" customHeight="1">
      <c r="A35">
        <v>900803419</v>
      </c>
      <c r="B35" t="s">
        <v>133</v>
      </c>
      <c r="C35" t="s">
        <v>137</v>
      </c>
      <c r="D35" s="13">
        <v>4.8327974827674867</v>
      </c>
      <c r="E35" s="68">
        <v>1565257</v>
      </c>
      <c r="F35" s="69">
        <v>0.20266028690088586</v>
      </c>
      <c r="G35" s="70">
        <v>1606736</v>
      </c>
      <c r="H35" s="69">
        <v>0.29988224032204519</v>
      </c>
      <c r="I35" s="69">
        <v>0.37610347935192839</v>
      </c>
      <c r="J35" s="71">
        <v>1.7541589863423273</v>
      </c>
    </row>
    <row r="36" spans="1:10" ht="15" customHeight="1">
      <c r="A36">
        <v>830078517</v>
      </c>
      <c r="B36" t="s">
        <v>121</v>
      </c>
      <c r="C36" t="s">
        <v>137</v>
      </c>
      <c r="D36" s="13">
        <v>2.6273413291965388</v>
      </c>
      <c r="E36" s="68">
        <v>820333</v>
      </c>
      <c r="F36" s="69">
        <v>0.49796836980579223</v>
      </c>
      <c r="G36" s="70">
        <v>766899</v>
      </c>
      <c r="H36" s="69">
        <v>2.9031985655846363E-2</v>
      </c>
      <c r="I36" s="69">
        <v>5.7828997038723483E-2</v>
      </c>
      <c r="J36" s="71">
        <v>1.8474131467133217</v>
      </c>
    </row>
    <row r="37" spans="1:10" ht="15" customHeight="1">
      <c r="A37">
        <v>830115597</v>
      </c>
      <c r="B37" t="s">
        <v>122</v>
      </c>
      <c r="C37" t="s">
        <v>102</v>
      </c>
      <c r="D37" s="13">
        <v>1.6134712032272369</v>
      </c>
      <c r="E37" s="68">
        <v>4206807</v>
      </c>
      <c r="F37" s="69">
        <v>0.69575362886475778</v>
      </c>
      <c r="G37" s="70">
        <v>3640843</v>
      </c>
      <c r="H37" s="69">
        <v>3.8999364823842447E-2</v>
      </c>
      <c r="I37" s="69">
        <v>0.12818350035966944</v>
      </c>
      <c r="J37" s="71">
        <v>1.8830231920078759</v>
      </c>
    </row>
    <row r="38" spans="1:10" ht="15" customHeight="1">
      <c r="A38">
        <v>802017627</v>
      </c>
      <c r="B38" t="s">
        <v>113</v>
      </c>
      <c r="C38" t="s">
        <v>137</v>
      </c>
      <c r="D38" s="13">
        <v>22.066611631746621</v>
      </c>
      <c r="E38" s="68">
        <v>3623710</v>
      </c>
      <c r="F38" s="69">
        <v>8.8999519759202367E-2</v>
      </c>
      <c r="G38" s="70">
        <v>3685805</v>
      </c>
      <c r="H38" s="69">
        <v>6.4003270481849837E-3</v>
      </c>
      <c r="I38" s="69">
        <v>7.0256022768431861E-3</v>
      </c>
      <c r="J38" s="71">
        <v>1.9859651813789401</v>
      </c>
    </row>
    <row r="39" spans="1:10" ht="15" customHeight="1">
      <c r="A39">
        <v>900433545</v>
      </c>
      <c r="B39" t="s">
        <v>131</v>
      </c>
      <c r="C39" t="s">
        <v>137</v>
      </c>
      <c r="D39" s="13">
        <v>12.877810510843434</v>
      </c>
      <c r="E39" s="68">
        <v>7628310</v>
      </c>
      <c r="F39" s="69">
        <v>0.34581870152327199</v>
      </c>
      <c r="G39" s="70">
        <v>5577886</v>
      </c>
      <c r="H39" s="69">
        <v>1.9738664593760124E-2</v>
      </c>
      <c r="I39" s="69">
        <v>3.0173079908768306E-2</v>
      </c>
      <c r="J39" s="71">
        <v>2.1439745222929938</v>
      </c>
    </row>
    <row r="40" spans="1:10" ht="15" customHeight="1">
      <c r="A40">
        <v>900172144</v>
      </c>
      <c r="B40" t="s">
        <v>101</v>
      </c>
      <c r="C40" t="s">
        <v>102</v>
      </c>
      <c r="D40" s="13">
        <v>1.7557445893393708</v>
      </c>
      <c r="E40" s="68">
        <v>632562</v>
      </c>
      <c r="F40" s="69">
        <v>0.63642181182738067</v>
      </c>
      <c r="G40" s="70">
        <v>898818</v>
      </c>
      <c r="H40" s="69">
        <v>5.1743728624332311E-2</v>
      </c>
      <c r="I40" s="69">
        <v>0.14231802211348682</v>
      </c>
      <c r="J40" s="71">
        <v>2.1718933052617282</v>
      </c>
    </row>
    <row r="41" spans="1:10" ht="15" customHeight="1">
      <c r="A41">
        <v>830029757</v>
      </c>
      <c r="B41" t="s">
        <v>105</v>
      </c>
      <c r="C41" t="s">
        <v>137</v>
      </c>
      <c r="D41" s="13">
        <v>1.6598464274818336</v>
      </c>
      <c r="E41" s="68">
        <v>9308765</v>
      </c>
      <c r="F41" s="69">
        <v>0.56472372186341158</v>
      </c>
      <c r="G41" s="70">
        <v>12862589</v>
      </c>
      <c r="H41" s="69">
        <v>4.3710978957240583E-2</v>
      </c>
      <c r="I41" s="69">
        <v>0.10042122934970557</v>
      </c>
      <c r="J41" s="71">
        <v>2.2027196406554559</v>
      </c>
    </row>
    <row r="42" spans="1:10" ht="15" customHeight="1">
      <c r="A42">
        <v>800145764</v>
      </c>
      <c r="B42" t="s">
        <v>103</v>
      </c>
      <c r="C42" t="s">
        <v>102</v>
      </c>
      <c r="D42" s="13">
        <v>1.0449166217429722</v>
      </c>
      <c r="E42" s="68">
        <v>124897</v>
      </c>
      <c r="F42" s="69">
        <v>0.36800627658628721</v>
      </c>
      <c r="G42" s="70">
        <v>18682551</v>
      </c>
      <c r="H42" s="69">
        <v>1.3908356914846617E-2</v>
      </c>
      <c r="I42" s="69">
        <v>2.2007112412004121E-2</v>
      </c>
      <c r="J42" s="71">
        <v>2.2291868856369859</v>
      </c>
    </row>
    <row r="43" spans="1:10" ht="15" customHeight="1">
      <c r="A43">
        <v>890927411</v>
      </c>
      <c r="B43" t="s">
        <v>124</v>
      </c>
      <c r="C43" t="s">
        <v>137</v>
      </c>
      <c r="D43" s="13">
        <v>2.0249237401879041</v>
      </c>
      <c r="E43" s="68">
        <v>3023976</v>
      </c>
      <c r="F43" s="69">
        <v>0.65465630947739106</v>
      </c>
      <c r="G43" s="70">
        <v>2282421</v>
      </c>
      <c r="H43" s="69">
        <v>5.6063211960305205E-2</v>
      </c>
      <c r="I43" s="69">
        <v>0.162340339490392</v>
      </c>
      <c r="J43" s="71">
        <v>2.2536204117629168</v>
      </c>
    </row>
    <row r="44" spans="1:10" ht="15" customHeight="1">
      <c r="A44">
        <v>900134570</v>
      </c>
      <c r="B44" t="s">
        <v>109</v>
      </c>
      <c r="C44" t="s">
        <v>102</v>
      </c>
      <c r="D44" s="13">
        <v>1.8198569149160295</v>
      </c>
      <c r="E44" s="68">
        <v>42495591</v>
      </c>
      <c r="F44" s="69">
        <v>0.68120628187406584</v>
      </c>
      <c r="G44" s="70">
        <v>41339818</v>
      </c>
      <c r="H44" s="69">
        <v>3.8984186103985928E-2</v>
      </c>
      <c r="I44" s="69">
        <v>0.12228655675262044</v>
      </c>
      <c r="J44" s="71">
        <v>2.9324435792338632</v>
      </c>
    </row>
    <row r="45" spans="1:10" ht="15" customHeight="1">
      <c r="A45">
        <v>830134971</v>
      </c>
      <c r="B45" t="s">
        <v>135</v>
      </c>
      <c r="C45" t="s">
        <v>102</v>
      </c>
      <c r="D45" s="13">
        <v>1.281134020126165</v>
      </c>
      <c r="E45" s="68">
        <v>9064661</v>
      </c>
      <c r="F45" s="69">
        <v>0.63071133472178309</v>
      </c>
      <c r="G45" s="70">
        <v>19584577</v>
      </c>
      <c r="H45" s="69">
        <v>0.17949095215686114</v>
      </c>
      <c r="I45" s="69">
        <v>0.48604511601144107</v>
      </c>
      <c r="J45" s="71">
        <v>3.1081425339344353</v>
      </c>
    </row>
    <row r="46" spans="1:10" ht="15" customHeight="1">
      <c r="A46">
        <v>805012368</v>
      </c>
      <c r="B46" t="s">
        <v>106</v>
      </c>
      <c r="C46" t="s">
        <v>102</v>
      </c>
      <c r="D46" s="13">
        <v>1.5000446331083666</v>
      </c>
      <c r="E46" s="68">
        <v>12363003</v>
      </c>
      <c r="F46" s="69">
        <v>0.59689229531366916</v>
      </c>
      <c r="G46" s="70">
        <v>21515804</v>
      </c>
      <c r="H46" s="69">
        <v>0.17536081194230382</v>
      </c>
      <c r="I46" s="69">
        <v>0.43502222831180282</v>
      </c>
      <c r="J46" s="71">
        <v>3.4147995944496961</v>
      </c>
    </row>
    <row r="47" spans="1:10" ht="15" customHeight="1">
      <c r="A47">
        <v>806014553</v>
      </c>
      <c r="B47" t="s">
        <v>107</v>
      </c>
      <c r="C47" t="s">
        <v>102</v>
      </c>
      <c r="D47" s="13">
        <v>2.0712622709228454</v>
      </c>
      <c r="E47" s="68">
        <v>64686891</v>
      </c>
      <c r="F47" s="69">
        <v>0.62411906864570366</v>
      </c>
      <c r="G47" s="70">
        <v>58726105</v>
      </c>
      <c r="H47" s="69">
        <v>3.0608574820419822E-2</v>
      </c>
      <c r="I47" s="69">
        <v>8.1431571189677907E-2</v>
      </c>
      <c r="J47" s="71">
        <v>3.6796226319276286</v>
      </c>
    </row>
    <row r="48" spans="1:10" ht="15" customHeight="1">
      <c r="A48">
        <v>830067633</v>
      </c>
      <c r="B48" t="s">
        <v>111</v>
      </c>
      <c r="C48" t="s">
        <v>137</v>
      </c>
      <c r="D48" s="13">
        <v>2.0562940457065166</v>
      </c>
      <c r="E48" s="68">
        <v>10493074</v>
      </c>
      <c r="F48" s="69">
        <v>0.53032574972380253</v>
      </c>
      <c r="G48" s="70">
        <v>21307715</v>
      </c>
      <c r="H48" s="69">
        <v>4.0216098011491036E-2</v>
      </c>
      <c r="I48" s="69">
        <v>8.5625511698462276E-2</v>
      </c>
      <c r="J48" s="71">
        <v>3.9120452167349948</v>
      </c>
    </row>
    <row r="49" spans="1:10" ht="15" customHeight="1">
      <c r="A49">
        <v>830141109</v>
      </c>
      <c r="B49" t="s">
        <v>96</v>
      </c>
      <c r="C49" t="s">
        <v>102</v>
      </c>
      <c r="D49" s="13">
        <v>1.6927515601042835</v>
      </c>
      <c r="E49" s="68">
        <v>10031682</v>
      </c>
      <c r="F49" s="69">
        <v>0.42583273571618963</v>
      </c>
      <c r="G49" s="70">
        <v>32709910</v>
      </c>
      <c r="H49" s="69">
        <v>4.7092149009014594E-2</v>
      </c>
      <c r="I49" s="69">
        <v>8.2018171251464767E-2</v>
      </c>
      <c r="J49" s="71">
        <v>5.2111958447289908</v>
      </c>
    </row>
    <row r="50" spans="1:10" ht="15" customHeight="1">
      <c r="A50">
        <v>830095014</v>
      </c>
      <c r="B50" t="s">
        <v>98</v>
      </c>
      <c r="C50" t="s">
        <v>102</v>
      </c>
      <c r="D50" s="13">
        <v>1.075472894019778</v>
      </c>
      <c r="E50" s="68">
        <v>240530</v>
      </c>
      <c r="F50" s="69">
        <v>0.90131709262533821</v>
      </c>
      <c r="G50" s="70">
        <v>519124</v>
      </c>
      <c r="H50" s="69">
        <v>0.10815914606258005</v>
      </c>
      <c r="I50" s="69">
        <v>1.0960271534354027</v>
      </c>
      <c r="J50" s="71">
        <v>5.2329072013243811</v>
      </c>
    </row>
    <row r="51" spans="1:10" ht="15" customHeight="1">
      <c r="A51">
        <v>900314578</v>
      </c>
      <c r="B51" t="s">
        <v>127</v>
      </c>
      <c r="C51" t="s">
        <v>137</v>
      </c>
      <c r="D51" s="13">
        <v>1.5563367402702104</v>
      </c>
      <c r="E51" s="68">
        <v>1028216</v>
      </c>
      <c r="F51" s="69">
        <v>0.75160947057651506</v>
      </c>
      <c r="G51" s="70">
        <v>724312</v>
      </c>
      <c r="H51" s="69">
        <v>8.6871459430504783E-2</v>
      </c>
      <c r="I51" s="69">
        <v>0.34973740597974351</v>
      </c>
      <c r="J51" s="71">
        <v>5.3665868694786347</v>
      </c>
    </row>
    <row r="52" spans="1:10" ht="15" customHeight="1">
      <c r="A52">
        <v>900315448</v>
      </c>
      <c r="B52" t="s">
        <v>128</v>
      </c>
      <c r="C52" t="s">
        <v>137</v>
      </c>
      <c r="D52" s="13">
        <v>1.9982288744650791</v>
      </c>
      <c r="E52" s="68">
        <v>1365070</v>
      </c>
      <c r="F52" s="69">
        <v>0.75697825896099136</v>
      </c>
      <c r="G52" s="70">
        <v>1915510</v>
      </c>
      <c r="H52" s="69">
        <v>5.8279747456626778E-2</v>
      </c>
      <c r="I52" s="69">
        <v>0.23981289578232429</v>
      </c>
      <c r="J52" s="71">
        <v>5.9290370045303771</v>
      </c>
    </row>
    <row r="53" spans="1:10" ht="15" customHeight="1">
      <c r="A53">
        <v>800198467</v>
      </c>
      <c r="B53" t="s">
        <v>104</v>
      </c>
      <c r="C53" t="s">
        <v>102</v>
      </c>
      <c r="D53" s="13">
        <v>1.5039123749243801</v>
      </c>
      <c r="E53" s="68">
        <v>3857484</v>
      </c>
      <c r="F53" s="69">
        <v>0.70079564193020127</v>
      </c>
      <c r="G53" s="70">
        <v>4633625</v>
      </c>
      <c r="H53" s="69">
        <v>4.7333323905760692E-2</v>
      </c>
      <c r="I53" s="69">
        <v>0.15819730772343468</v>
      </c>
      <c r="J53" s="71">
        <v>7.2438508592491573</v>
      </c>
    </row>
    <row r="54" spans="1:10" ht="15" customHeight="1">
      <c r="A54">
        <v>800077715</v>
      </c>
      <c r="B54" t="s">
        <v>112</v>
      </c>
      <c r="C54" t="s">
        <v>137</v>
      </c>
      <c r="D54" s="13">
        <v>1.747732690317473</v>
      </c>
      <c r="E54" s="68">
        <v>8570379</v>
      </c>
      <c r="F54" s="69">
        <v>0.64116410178883099</v>
      </c>
      <c r="G54" s="70">
        <v>7517189</v>
      </c>
      <c r="H54" s="69">
        <v>0.1251239389558009</v>
      </c>
      <c r="I54" s="69">
        <v>0.34869403975342378</v>
      </c>
      <c r="J54" s="71">
        <v>13.143256131131759</v>
      </c>
    </row>
    <row r="55" spans="1:10" ht="15" customHeight="1">
      <c r="A55">
        <v>860069182</v>
      </c>
      <c r="B55" t="s">
        <v>108</v>
      </c>
      <c r="C55" t="s">
        <v>102</v>
      </c>
      <c r="D55" s="13">
        <v>2.8219119083683832</v>
      </c>
      <c r="E55" s="68">
        <v>16700929</v>
      </c>
      <c r="F55" s="69">
        <v>0.46603030518694111</v>
      </c>
      <c r="G55" s="70">
        <v>58094452</v>
      </c>
      <c r="H55" s="69">
        <v>4.2790618217920018E-2</v>
      </c>
      <c r="I55" s="69">
        <v>8.0136791719801398E-2</v>
      </c>
      <c r="J55" s="71">
        <v>19.090257844407631</v>
      </c>
    </row>
    <row r="56" spans="1:10" ht="15" customHeight="1">
      <c r="A56">
        <v>900160978</v>
      </c>
      <c r="B56" t="s">
        <v>125</v>
      </c>
      <c r="C56" t="s">
        <v>102</v>
      </c>
      <c r="D56" s="13">
        <v>1.650333636523454</v>
      </c>
      <c r="E56" s="68">
        <v>425419</v>
      </c>
      <c r="F56" s="69">
        <v>0.49536894348604094</v>
      </c>
      <c r="G56" s="70">
        <v>666386</v>
      </c>
      <c r="H56" s="69">
        <v>8.3612701158085972E-2</v>
      </c>
      <c r="I56" s="69">
        <v>0.16569075580819526</v>
      </c>
      <c r="J56" s="71">
        <v>90.875720164609049</v>
      </c>
    </row>
    <row r="57" spans="1:10" ht="15" customHeight="1">
      <c r="A57">
        <v>900221739</v>
      </c>
      <c r="B57" t="s">
        <v>97</v>
      </c>
      <c r="C57" t="s">
        <v>102</v>
      </c>
      <c r="D57" s="13">
        <v>2.4170407704198165</v>
      </c>
      <c r="E57" s="68">
        <v>2948193</v>
      </c>
      <c r="F57" s="69">
        <v>0.89143621492739733</v>
      </c>
      <c r="G57" s="70">
        <v>683306</v>
      </c>
      <c r="H57" s="69">
        <v>0.33394247997037202</v>
      </c>
      <c r="I57" s="69">
        <v>3.0760025522972136</v>
      </c>
      <c r="J57" s="71">
        <v>191.59990884229717</v>
      </c>
    </row>
    <row r="58" spans="1:10" ht="15" customHeight="1">
      <c r="A58">
        <v>860528320</v>
      </c>
      <c r="B58" t="s">
        <v>136</v>
      </c>
      <c r="C58" t="s">
        <v>137</v>
      </c>
      <c r="D58" s="13">
        <v>3.5734180740014581</v>
      </c>
      <c r="E58" s="68">
        <v>12642467</v>
      </c>
      <c r="F58" s="69">
        <v>0.23506987813454125</v>
      </c>
      <c r="G58" s="70">
        <v>17737537</v>
      </c>
      <c r="H58" s="69">
        <v>7.1014260941475111E-3</v>
      </c>
      <c r="I58" s="69">
        <v>9.28375794226673E-3</v>
      </c>
      <c r="J58" s="71" t="s">
        <v>91</v>
      </c>
    </row>
    <row r="59" spans="1:10" ht="15" customHeight="1">
      <c r="A59">
        <v>830053209</v>
      </c>
      <c r="B59" t="s">
        <v>134</v>
      </c>
      <c r="C59" t="s">
        <v>102</v>
      </c>
      <c r="D59" s="13">
        <v>2.7126002124430317</v>
      </c>
      <c r="E59" s="68">
        <v>6526555</v>
      </c>
      <c r="F59" s="69">
        <v>0.44271075613745819</v>
      </c>
      <c r="G59" s="70">
        <v>6146999</v>
      </c>
      <c r="H59" s="69">
        <v>4.2504213667650122E-2</v>
      </c>
      <c r="I59" s="69">
        <v>7.6269574795766196E-2</v>
      </c>
      <c r="J59" s="71" t="s">
        <v>91</v>
      </c>
    </row>
    <row r="60" spans="1:10" ht="15" customHeight="1">
      <c r="A60" s="67"/>
      <c r="B60" s="67"/>
      <c r="C60" s="67"/>
      <c r="D60" s="54"/>
      <c r="E60" s="58"/>
      <c r="F60" s="60"/>
      <c r="G60" s="59"/>
      <c r="H60" s="60"/>
      <c r="I60" s="60"/>
      <c r="J60" s="57"/>
    </row>
    <row r="61" spans="1:10" ht="15" customHeight="1">
      <c r="A61" s="52"/>
      <c r="B61" s="52"/>
      <c r="C61" s="53"/>
      <c r="D61" s="54"/>
      <c r="E61" s="58"/>
      <c r="F61" s="60"/>
      <c r="G61" s="59"/>
      <c r="H61" s="60"/>
      <c r="I61" s="60"/>
      <c r="J61" s="57"/>
    </row>
    <row r="62" spans="1:10" ht="12.75" thickBot="1"/>
    <row r="63" spans="1:10" ht="40.5" customHeight="1" thickTop="1" thickBot="1">
      <c r="A63" s="31" t="s">
        <v>46</v>
      </c>
      <c r="B63" s="29">
        <f>COUNTA(B20:B61)</f>
        <v>40</v>
      </c>
    </row>
    <row r="64" spans="1:10" ht="12.75" thickTop="1"/>
    <row r="65" spans="1:10" ht="15.75" customHeight="1">
      <c r="A65" s="79" t="s">
        <v>68</v>
      </c>
      <c r="B65" s="15" t="s">
        <v>57</v>
      </c>
      <c r="D65" s="13">
        <f t="shared" ref="D65:J65" si="0">SUBTOTAL(1,D20:D59)</f>
        <v>3.294524678060931</v>
      </c>
      <c r="E65" s="55">
        <f t="shared" si="0"/>
        <v>8153695.5250000004</v>
      </c>
      <c r="F65" s="61">
        <f t="shared" si="0"/>
        <v>0.51887542885281168</v>
      </c>
      <c r="G65" s="13">
        <f t="shared" si="0"/>
        <v>11199621.550000001</v>
      </c>
      <c r="H65" s="61">
        <f t="shared" si="0"/>
        <v>8.0310179631833012E-2</v>
      </c>
      <c r="I65" s="61">
        <f t="shared" si="0"/>
        <v>0.27912001411642967</v>
      </c>
      <c r="J65" s="13">
        <f t="shared" si="0"/>
        <v>10.360318897516999</v>
      </c>
    </row>
    <row r="66" spans="1:10">
      <c r="A66" s="79"/>
      <c r="B66" s="15" t="s">
        <v>10</v>
      </c>
      <c r="D66" s="13">
        <f t="shared" ref="D66:J66" si="1">SUBTOTAL(7,D20:D59)</f>
        <v>3.9623613433466489</v>
      </c>
      <c r="E66" s="55">
        <f t="shared" si="1"/>
        <v>11755741.360897208</v>
      </c>
      <c r="F66" s="61">
        <f t="shared" si="1"/>
        <v>0.2022788865650873</v>
      </c>
      <c r="G66" s="13">
        <f t="shared" si="1"/>
        <v>14246973.983164256</v>
      </c>
      <c r="H66" s="61">
        <f t="shared" si="1"/>
        <v>8.2518722011784604E-2</v>
      </c>
      <c r="I66" s="61">
        <f t="shared" si="1"/>
        <v>0.51235978303945939</v>
      </c>
      <c r="J66" s="13">
        <f t="shared" si="1"/>
        <v>33.575450712452913</v>
      </c>
    </row>
    <row r="67" spans="1:10">
      <c r="A67" s="79"/>
      <c r="B67" s="15" t="s">
        <v>11</v>
      </c>
      <c r="D67" s="13">
        <f t="shared" ref="D67:J67" si="2">SUBTOTAL(5,D20:D59)</f>
        <v>1.0449166217429722</v>
      </c>
      <c r="E67" s="55">
        <f t="shared" si="2"/>
        <v>124897</v>
      </c>
      <c r="F67" s="61">
        <f t="shared" si="2"/>
        <v>8.8999519759202367E-2</v>
      </c>
      <c r="G67" s="13">
        <f t="shared" si="2"/>
        <v>519124</v>
      </c>
      <c r="H67" s="61">
        <f t="shared" si="2"/>
        <v>6.4003270481849837E-3</v>
      </c>
      <c r="I67" s="61">
        <f t="shared" si="2"/>
        <v>7.0256022768431861E-3</v>
      </c>
      <c r="J67" s="13">
        <f t="shared" si="2"/>
        <v>0.61141914654688378</v>
      </c>
    </row>
    <row r="68" spans="1:10">
      <c r="A68" s="79"/>
      <c r="B68" s="15" t="s">
        <v>12</v>
      </c>
      <c r="D68" s="13">
        <f t="shared" ref="D68:J68" si="3">SUBTOTAL(4,D20:D59)</f>
        <v>22.066611631746621</v>
      </c>
      <c r="E68" s="55">
        <f t="shared" si="3"/>
        <v>64686891</v>
      </c>
      <c r="F68" s="61">
        <f t="shared" si="3"/>
        <v>0.90131709262533821</v>
      </c>
      <c r="G68" s="13">
        <f t="shared" si="3"/>
        <v>58726105</v>
      </c>
      <c r="H68" s="61">
        <f t="shared" si="3"/>
        <v>0.33394247997037202</v>
      </c>
      <c r="I68" s="61">
        <f t="shared" si="3"/>
        <v>3.0760025522972136</v>
      </c>
      <c r="J68" s="13">
        <f t="shared" si="3"/>
        <v>191.59990884229717</v>
      </c>
    </row>
    <row r="71" spans="1:10" ht="36">
      <c r="A71" s="32" t="s">
        <v>86</v>
      </c>
      <c r="B71" s="80" t="s">
        <v>74</v>
      </c>
      <c r="C71" s="80"/>
      <c r="D71" s="80"/>
      <c r="E71" s="80"/>
      <c r="F71" s="80"/>
      <c r="G71" s="80"/>
      <c r="H71" s="80"/>
      <c r="I71" s="80"/>
      <c r="J71" s="80"/>
    </row>
    <row r="72" spans="1:10">
      <c r="B72" s="14"/>
      <c r="D72" s="21"/>
    </row>
    <row r="73" spans="1:10">
      <c r="B73" s="56" t="s">
        <v>20</v>
      </c>
      <c r="C73" s="87" t="s">
        <v>15</v>
      </c>
      <c r="D73" s="87"/>
      <c r="E73" s="38"/>
    </row>
    <row r="74" spans="1:10">
      <c r="B74" s="2" t="s">
        <v>76</v>
      </c>
      <c r="C74" s="3">
        <f>COUNTIF(D20:D59,"&gt;=0")-COUNTIF(D20:D59,"&gt;1")</f>
        <v>0</v>
      </c>
      <c r="D74" s="4">
        <f>+C74/$B$63</f>
        <v>0</v>
      </c>
      <c r="E74" s="36"/>
      <c r="G74" s="22"/>
    </row>
    <row r="75" spans="1:10">
      <c r="B75" s="2" t="s">
        <v>77</v>
      </c>
      <c r="C75" s="3">
        <f>COUNTIF(D20:D59,"&gt;=1")-COUNTIF(D20:D59,"&gt;2")</f>
        <v>21</v>
      </c>
      <c r="D75" s="4">
        <f t="shared" ref="D75:D81" si="4">+C75/$B$63</f>
        <v>0.52500000000000002</v>
      </c>
      <c r="E75" s="36"/>
    </row>
    <row r="76" spans="1:10">
      <c r="B76" s="2" t="s">
        <v>27</v>
      </c>
      <c r="C76" s="3">
        <f>COUNTIF(D20:D59,"&gt;=2")-COUNTIF(D20:D59,"&gt;5")</f>
        <v>14</v>
      </c>
      <c r="D76" s="4">
        <f t="shared" si="4"/>
        <v>0.35</v>
      </c>
      <c r="E76" s="36"/>
    </row>
    <row r="77" spans="1:10">
      <c r="B77" s="5" t="s">
        <v>21</v>
      </c>
      <c r="C77" s="3">
        <f>COUNTIF(D20:D59,"&gt;=5")-COUNTIF(D20:D59,"&gt;10")</f>
        <v>3</v>
      </c>
      <c r="D77" s="4">
        <f t="shared" si="4"/>
        <v>7.4999999999999997E-2</v>
      </c>
      <c r="E77" s="36"/>
    </row>
    <row r="78" spans="1:10">
      <c r="B78" s="2" t="s">
        <v>28</v>
      </c>
      <c r="C78" s="3">
        <f>COUNTIF(D20:D59,"&gt;=10")-COUNTIF(D20:D59,"&gt;20")</f>
        <v>1</v>
      </c>
      <c r="D78" s="4">
        <f t="shared" si="4"/>
        <v>2.5000000000000001E-2</v>
      </c>
      <c r="E78" s="36"/>
    </row>
    <row r="79" spans="1:10">
      <c r="B79" s="2" t="s">
        <v>22</v>
      </c>
      <c r="C79" s="3">
        <f>COUNTIF(D20:D59,"&gt;=20")-COUNTIF(D20:D59,"&gt;30")</f>
        <v>1</v>
      </c>
      <c r="D79" s="4">
        <f t="shared" si="4"/>
        <v>2.5000000000000001E-2</v>
      </c>
      <c r="E79" s="36"/>
    </row>
    <row r="80" spans="1:10">
      <c r="B80" s="2" t="s">
        <v>23</v>
      </c>
      <c r="C80" s="3">
        <f>COUNTIF(D20:D59,"&gt;=30")-COUNTIF(D20:D59,"&gt;50")</f>
        <v>0</v>
      </c>
      <c r="D80" s="4">
        <f t="shared" si="4"/>
        <v>0</v>
      </c>
      <c r="E80" s="36"/>
    </row>
    <row r="81" spans="2:10">
      <c r="B81" s="2" t="s">
        <v>24</v>
      </c>
      <c r="C81" s="3">
        <f>COUNTIF(D20:D59,"&gt;50")</f>
        <v>0</v>
      </c>
      <c r="D81" s="4">
        <f t="shared" si="4"/>
        <v>0</v>
      </c>
      <c r="E81" s="36"/>
    </row>
    <row r="82" spans="2:10">
      <c r="B82" s="34" t="s">
        <v>14</v>
      </c>
      <c r="C82" s="6">
        <f>SUM(C74:C81)</f>
        <v>40</v>
      </c>
      <c r="D82" s="7">
        <f>SUM(D74:D81)</f>
        <v>1</v>
      </c>
      <c r="E82" s="37"/>
    </row>
    <row r="86" spans="2:10" ht="36" customHeight="1">
      <c r="B86" s="80" t="s">
        <v>73</v>
      </c>
      <c r="C86" s="80"/>
      <c r="D86" s="80"/>
      <c r="E86" s="80"/>
      <c r="F86" s="80"/>
      <c r="G86" s="80"/>
      <c r="H86" s="80"/>
      <c r="I86" s="80"/>
      <c r="J86" s="80"/>
    </row>
    <row r="88" spans="2:10">
      <c r="B88" s="35" t="s">
        <v>20</v>
      </c>
      <c r="C88" s="88" t="s">
        <v>15</v>
      </c>
      <c r="D88" s="89"/>
      <c r="E88" s="39"/>
    </row>
    <row r="89" spans="2:10">
      <c r="B89" s="2" t="s">
        <v>29</v>
      </c>
      <c r="C89" s="3">
        <f>COUNTIF(E20:E59,"&lt;0")</f>
        <v>0</v>
      </c>
      <c r="D89" s="4">
        <f>+C89/$B$63</f>
        <v>0</v>
      </c>
      <c r="E89" s="36"/>
    </row>
    <row r="90" spans="2:10">
      <c r="B90" s="2" t="s">
        <v>30</v>
      </c>
      <c r="C90" s="3">
        <f>COUNTIF(E20:E59,"=0")</f>
        <v>0</v>
      </c>
      <c r="D90" s="4">
        <f>+C90/$B$63</f>
        <v>0</v>
      </c>
      <c r="E90" s="36"/>
    </row>
    <row r="91" spans="2:10">
      <c r="B91" s="2" t="s">
        <v>31</v>
      </c>
      <c r="C91" s="3">
        <f>COUNTIF(E20:E59,"&gt;0")</f>
        <v>40</v>
      </c>
      <c r="D91" s="4">
        <f>+C91/$B$63</f>
        <v>1</v>
      </c>
      <c r="E91" s="36"/>
    </row>
    <row r="92" spans="2:10">
      <c r="B92" s="34" t="s">
        <v>14</v>
      </c>
      <c r="C92" s="6">
        <f>SUM(C89:C91)</f>
        <v>40</v>
      </c>
      <c r="D92" s="7">
        <f>SUM(D89:D91)</f>
        <v>1</v>
      </c>
      <c r="E92" s="37"/>
    </row>
    <row r="97" spans="2:10" ht="36" customHeight="1">
      <c r="B97" s="80" t="s">
        <v>72</v>
      </c>
      <c r="C97" s="80"/>
      <c r="D97" s="80"/>
      <c r="E97" s="80"/>
      <c r="F97" s="80"/>
      <c r="G97" s="80"/>
      <c r="H97" s="80"/>
      <c r="I97" s="80"/>
      <c r="J97" s="80"/>
    </row>
    <row r="99" spans="2:10">
      <c r="B99" s="35" t="s">
        <v>20</v>
      </c>
      <c r="C99" s="88" t="s">
        <v>15</v>
      </c>
      <c r="D99" s="89"/>
      <c r="E99" s="42"/>
    </row>
    <row r="100" spans="2:10">
      <c r="B100" s="2" t="s">
        <v>32</v>
      </c>
      <c r="C100" s="3">
        <f>COUNTIF(F20:F59,"&gt;=0")-COUNTIF(F20:F59,"&gt;15%")</f>
        <v>2</v>
      </c>
      <c r="D100" s="40">
        <f t="shared" ref="D100:D106" si="5">+C100/$B$63</f>
        <v>0.05</v>
      </c>
      <c r="E100" s="36"/>
      <c r="F100" s="9"/>
    </row>
    <row r="101" spans="2:10">
      <c r="B101" s="2" t="s">
        <v>33</v>
      </c>
      <c r="C101" s="3">
        <f>COUNTIF(F20:F59,"&gt;15%")-COUNTIF(F20:F59,"&gt;30%")</f>
        <v>4</v>
      </c>
      <c r="D101" s="40">
        <f t="shared" si="5"/>
        <v>0.1</v>
      </c>
      <c r="E101" s="36"/>
      <c r="F101" s="9"/>
    </row>
    <row r="102" spans="2:10">
      <c r="B102" s="2" t="s">
        <v>34</v>
      </c>
      <c r="C102" s="3">
        <f>COUNTIF(F20:F59,"&gt;30%")-COUNTIF(F20:F59,"&gt;45%")</f>
        <v>10</v>
      </c>
      <c r="D102" s="40">
        <f t="shared" si="5"/>
        <v>0.25</v>
      </c>
      <c r="E102" s="36"/>
      <c r="F102" s="9"/>
    </row>
    <row r="103" spans="2:10">
      <c r="B103" s="2" t="s">
        <v>35</v>
      </c>
      <c r="C103" s="3">
        <f>COUNTIF(F20:F59,"&gt;45%")-COUNTIF(F20:F59,"&gt;60%")</f>
        <v>8</v>
      </c>
      <c r="D103" s="40">
        <f t="shared" si="5"/>
        <v>0.2</v>
      </c>
      <c r="E103" s="36"/>
      <c r="F103" s="9"/>
    </row>
    <row r="104" spans="2:10">
      <c r="B104" s="2" t="s">
        <v>36</v>
      </c>
      <c r="C104" s="3">
        <f>COUNTIF(F20:F59,"&gt;60%")-COUNTIF(F20:F59,"&gt;75%")</f>
        <v>11</v>
      </c>
      <c r="D104" s="40">
        <f t="shared" si="5"/>
        <v>0.27500000000000002</v>
      </c>
      <c r="E104" s="36"/>
      <c r="F104" s="9"/>
    </row>
    <row r="105" spans="2:10">
      <c r="B105" s="2" t="s">
        <v>37</v>
      </c>
      <c r="C105" s="3">
        <f>COUNTIF(F20:F59,"&gt;75%")-COUNTIF(F20:F59,"&gt;90%")</f>
        <v>4</v>
      </c>
      <c r="D105" s="40">
        <f t="shared" si="5"/>
        <v>0.1</v>
      </c>
      <c r="E105" s="36"/>
      <c r="F105" s="9"/>
    </row>
    <row r="106" spans="2:10">
      <c r="B106" s="2" t="s">
        <v>38</v>
      </c>
      <c r="C106" s="3">
        <f>COUNTIF(F20:F59,"&gt;90%")</f>
        <v>1</v>
      </c>
      <c r="D106" s="40">
        <f t="shared" si="5"/>
        <v>2.5000000000000001E-2</v>
      </c>
      <c r="E106" s="36"/>
      <c r="F106" s="9"/>
    </row>
    <row r="107" spans="2:10">
      <c r="B107" s="33" t="s">
        <v>14</v>
      </c>
      <c r="C107" s="6">
        <f>SUM(C100:C106)</f>
        <v>40</v>
      </c>
      <c r="D107" s="41">
        <f>SUM(D100:D106)</f>
        <v>1</v>
      </c>
      <c r="E107" s="37"/>
      <c r="F107" s="48"/>
    </row>
    <row r="112" spans="2:10" ht="36" customHeight="1">
      <c r="B112" s="80" t="s">
        <v>69</v>
      </c>
      <c r="C112" s="80"/>
      <c r="D112" s="80"/>
      <c r="E112" s="80"/>
      <c r="F112" s="80"/>
      <c r="G112" s="80"/>
      <c r="H112" s="80"/>
      <c r="I112" s="80"/>
      <c r="J112" s="80"/>
    </row>
    <row r="114" spans="2:10">
      <c r="B114" s="35" t="s">
        <v>20</v>
      </c>
      <c r="C114" s="94" t="s">
        <v>15</v>
      </c>
      <c r="D114" s="94"/>
      <c r="E114" s="43"/>
    </row>
    <row r="115" spans="2:10">
      <c r="B115" s="2" t="s">
        <v>29</v>
      </c>
      <c r="C115" s="3">
        <f>COUNTIF(G20:G59,"&lt;0")</f>
        <v>0</v>
      </c>
      <c r="D115" s="4">
        <f>+C115/$B$63</f>
        <v>0</v>
      </c>
      <c r="E115" s="10"/>
    </row>
    <row r="116" spans="2:10">
      <c r="B116" s="2" t="s">
        <v>30</v>
      </c>
      <c r="C116" s="3">
        <f>COUNTIF(G20:G59,"=0")</f>
        <v>0</v>
      </c>
      <c r="D116" s="4">
        <f>+C116/$B$63</f>
        <v>0</v>
      </c>
      <c r="E116" s="10"/>
    </row>
    <row r="117" spans="2:10">
      <c r="B117" s="2" t="s">
        <v>39</v>
      </c>
      <c r="C117" s="3">
        <f>COUNTIF(G20:G59,"&gt;0")-COUNTIF(G20:G59,"&gt;10000000")</f>
        <v>26</v>
      </c>
      <c r="D117" s="4">
        <f>+C117/$B$63</f>
        <v>0.65</v>
      </c>
      <c r="E117" s="10"/>
    </row>
    <row r="118" spans="2:10">
      <c r="B118" s="2" t="s">
        <v>40</v>
      </c>
      <c r="C118" s="3">
        <f>COUNTIF(G20:G59,"&gt;10000000")-COUNTIF(G20:G59,"&gt;100000000")</f>
        <v>14</v>
      </c>
      <c r="D118" s="4">
        <f>+C118/$B$63</f>
        <v>0.35</v>
      </c>
      <c r="E118" s="10"/>
    </row>
    <row r="119" spans="2:10">
      <c r="B119" s="2" t="s">
        <v>41</v>
      </c>
      <c r="C119" s="3">
        <f>COUNTIF(G20:G59,"&gt;100000000")</f>
        <v>0</v>
      </c>
      <c r="D119" s="4">
        <f>+C119/$B$63</f>
        <v>0</v>
      </c>
      <c r="E119" s="10"/>
    </row>
    <row r="120" spans="2:10">
      <c r="B120" s="34" t="s">
        <v>14</v>
      </c>
      <c r="C120" s="6">
        <f>SUM(C115:C119)</f>
        <v>40</v>
      </c>
      <c r="D120" s="7">
        <f>SUM(D115:D119)</f>
        <v>1</v>
      </c>
      <c r="E120" s="8"/>
    </row>
    <row r="125" spans="2:10" ht="36" customHeight="1">
      <c r="B125" s="80" t="s">
        <v>70</v>
      </c>
      <c r="C125" s="80"/>
      <c r="D125" s="80"/>
      <c r="E125" s="80"/>
      <c r="F125" s="80"/>
      <c r="G125" s="80"/>
      <c r="H125" s="80"/>
      <c r="I125" s="80"/>
      <c r="J125" s="80"/>
    </row>
    <row r="127" spans="2:10">
      <c r="B127" s="35" t="s">
        <v>20</v>
      </c>
      <c r="C127" s="87" t="s">
        <v>15</v>
      </c>
      <c r="D127" s="87"/>
      <c r="E127" s="44"/>
    </row>
    <row r="128" spans="2:10">
      <c r="B128" s="2" t="s">
        <v>42</v>
      </c>
      <c r="C128" s="3">
        <f>COUNTIF(J20:J59,"=0")</f>
        <v>0</v>
      </c>
      <c r="D128" s="4">
        <f t="shared" ref="D128:D134" si="6">+C128/$B$63</f>
        <v>0</v>
      </c>
      <c r="E128" s="10"/>
    </row>
    <row r="129" spans="2:10">
      <c r="B129" s="2" t="s">
        <v>29</v>
      </c>
      <c r="C129" s="3">
        <f>COUNTIF(J20:J59,"&lt;0")</f>
        <v>0</v>
      </c>
      <c r="D129" s="4">
        <f t="shared" si="6"/>
        <v>0</v>
      </c>
      <c r="E129" s="10"/>
    </row>
    <row r="130" spans="2:10">
      <c r="B130" s="2" t="s">
        <v>25</v>
      </c>
      <c r="C130" s="3">
        <f>COUNTIF(J20:J59,"&gt;0")-COUNTIF(J20:J59,"&gt;1")</f>
        <v>11</v>
      </c>
      <c r="D130" s="4">
        <f t="shared" si="6"/>
        <v>0.27500000000000002</v>
      </c>
      <c r="E130" s="10"/>
    </row>
    <row r="131" spans="2:10">
      <c r="B131" s="2" t="s">
        <v>26</v>
      </c>
      <c r="C131" s="3">
        <f>COUNTIF(J20:J59,"&gt;1")-COUNTIF(J20:J59,"&gt;2")</f>
        <v>8</v>
      </c>
      <c r="D131" s="4">
        <f t="shared" si="6"/>
        <v>0.2</v>
      </c>
      <c r="E131" s="10"/>
    </row>
    <row r="132" spans="2:10">
      <c r="B132" s="2" t="s">
        <v>43</v>
      </c>
      <c r="C132" s="3">
        <f>COUNTIF(J20:J59,"&gt;2")-COUNTIF(J20:J59,"&gt;4")</f>
        <v>10</v>
      </c>
      <c r="D132" s="4">
        <f t="shared" si="6"/>
        <v>0.25</v>
      </c>
      <c r="E132" s="10"/>
    </row>
    <row r="133" spans="2:10">
      <c r="B133" s="2" t="s">
        <v>44</v>
      </c>
      <c r="C133" s="3">
        <f>COUNTIF(J20:J59,"&gt;4")-COUNTIF(J20:J59,"&gt;6")</f>
        <v>4</v>
      </c>
      <c r="D133" s="4">
        <f t="shared" si="6"/>
        <v>0.1</v>
      </c>
      <c r="E133" s="10"/>
    </row>
    <row r="134" spans="2:10">
      <c r="B134" s="2" t="s">
        <v>45</v>
      </c>
      <c r="C134" s="3">
        <f>COUNTIF(J20:J59,"&gt;6")+COUNTBLANK(J20:J59)</f>
        <v>7</v>
      </c>
      <c r="D134" s="4">
        <f t="shared" si="6"/>
        <v>0.17499999999999999</v>
      </c>
      <c r="E134" s="10"/>
    </row>
    <row r="135" spans="2:10">
      <c r="B135" s="34" t="s">
        <v>14</v>
      </c>
      <c r="C135" s="6">
        <f>SUM(C128:C134)</f>
        <v>40</v>
      </c>
      <c r="D135" s="7">
        <f>SUM(D128:D134)</f>
        <v>1</v>
      </c>
      <c r="E135" s="8"/>
    </row>
    <row r="139" spans="2:10" ht="36" customHeight="1">
      <c r="B139" s="80" t="s">
        <v>71</v>
      </c>
      <c r="C139" s="80"/>
      <c r="D139" s="80"/>
      <c r="E139" s="80"/>
      <c r="F139" s="80"/>
      <c r="G139" s="80"/>
      <c r="H139" s="80"/>
      <c r="I139" s="80"/>
      <c r="J139" s="80"/>
    </row>
    <row r="141" spans="2:10">
      <c r="B141" s="35" t="s">
        <v>20</v>
      </c>
      <c r="C141" s="91" t="s">
        <v>15</v>
      </c>
      <c r="D141" s="91"/>
      <c r="E141" s="39"/>
    </row>
    <row r="142" spans="2:10">
      <c r="B142" s="2" t="s">
        <v>29</v>
      </c>
      <c r="C142" s="3">
        <f>COUNTIF(H20:H59,"&lt;0%")</f>
        <v>0</v>
      </c>
      <c r="D142" s="4">
        <f t="shared" ref="D142:D148" si="7">+C142/$B$63</f>
        <v>0</v>
      </c>
      <c r="E142" s="36"/>
    </row>
    <row r="143" spans="2:10">
      <c r="B143" s="2" t="s">
        <v>30</v>
      </c>
      <c r="C143" s="3">
        <f>COUNTIF(H20:H59,"=0%")</f>
        <v>0</v>
      </c>
      <c r="D143" s="4">
        <f t="shared" si="7"/>
        <v>0</v>
      </c>
      <c r="E143" s="36"/>
    </row>
    <row r="144" spans="2:10">
      <c r="B144" s="2" t="s">
        <v>25</v>
      </c>
      <c r="C144" s="3">
        <f>COUNTIF(H20:H59,"&gt;0%")-COUNTIF(H20:H59,"&gt;1%")</f>
        <v>3</v>
      </c>
      <c r="D144" s="4">
        <f t="shared" si="7"/>
        <v>7.4999999999999997E-2</v>
      </c>
      <c r="E144" s="36"/>
    </row>
    <row r="145" spans="2:10">
      <c r="B145" s="2" t="s">
        <v>26</v>
      </c>
      <c r="C145" s="3">
        <f>COUNTIF(H20:H59,"&gt;1%")-COUNTIF(H20:H59,"&gt;2%")</f>
        <v>3</v>
      </c>
      <c r="D145" s="4">
        <f t="shared" si="7"/>
        <v>7.4999999999999997E-2</v>
      </c>
      <c r="E145" s="36"/>
    </row>
    <row r="146" spans="2:10">
      <c r="B146" s="2" t="s">
        <v>47</v>
      </c>
      <c r="C146" s="3">
        <f>COUNTIF(H20:H59,"&gt;2%")-COUNTIF(H20:H59,"&gt;3%")</f>
        <v>4</v>
      </c>
      <c r="D146" s="4">
        <f t="shared" si="7"/>
        <v>0.1</v>
      </c>
      <c r="E146" s="36"/>
    </row>
    <row r="147" spans="2:10">
      <c r="B147" s="2" t="s">
        <v>48</v>
      </c>
      <c r="C147" s="3">
        <f>COUNTIF(H20:H59,"&gt;3%")-COUNTIF(H20:H59,"&gt;4%")</f>
        <v>4</v>
      </c>
      <c r="D147" s="4">
        <f t="shared" si="7"/>
        <v>0.1</v>
      </c>
      <c r="E147" s="36"/>
    </row>
    <row r="148" spans="2:10">
      <c r="B148" s="2" t="s">
        <v>49</v>
      </c>
      <c r="C148" s="3">
        <f>COUNTIF(H20:H59,"&gt;4%")</f>
        <v>26</v>
      </c>
      <c r="D148" s="4">
        <f t="shared" si="7"/>
        <v>0.65</v>
      </c>
      <c r="E148" s="36"/>
    </row>
    <row r="149" spans="2:10">
      <c r="B149" s="34" t="s">
        <v>14</v>
      </c>
      <c r="C149" s="6">
        <f>SUM(C142:C148)</f>
        <v>40</v>
      </c>
      <c r="D149" s="7">
        <f>SUM(D142:D148)</f>
        <v>1</v>
      </c>
      <c r="E149" s="37"/>
    </row>
    <row r="153" spans="2:10" ht="36" customHeight="1">
      <c r="B153" s="90" t="s">
        <v>75</v>
      </c>
      <c r="C153" s="90"/>
      <c r="D153" s="90"/>
      <c r="E153" s="90"/>
      <c r="F153" s="90"/>
      <c r="G153" s="90"/>
      <c r="H153" s="90"/>
      <c r="I153" s="90"/>
      <c r="J153" s="90"/>
    </row>
    <row r="155" spans="2:10">
      <c r="B155" s="35" t="s">
        <v>20</v>
      </c>
      <c r="C155" s="94" t="s">
        <v>15</v>
      </c>
      <c r="D155" s="94"/>
      <c r="E155" s="44"/>
    </row>
    <row r="156" spans="2:10">
      <c r="B156" s="2" t="s">
        <v>29</v>
      </c>
      <c r="C156" s="3">
        <f>COUNTIF(I20:I59,"&lt;0")</f>
        <v>0</v>
      </c>
      <c r="D156" s="4">
        <f t="shared" ref="D156:D162" si="8">+C156/$B$63</f>
        <v>0</v>
      </c>
      <c r="E156" s="10"/>
    </row>
    <row r="157" spans="2:10">
      <c r="B157" s="2" t="s">
        <v>30</v>
      </c>
      <c r="C157" s="3">
        <f>COUNTIF(I20:I59,"=0")</f>
        <v>0</v>
      </c>
      <c r="D157" s="4">
        <f t="shared" si="8"/>
        <v>0</v>
      </c>
      <c r="E157" s="10"/>
    </row>
    <row r="158" spans="2:10">
      <c r="B158" s="2" t="s">
        <v>50</v>
      </c>
      <c r="C158" s="3">
        <f>COUNTIF(I20:I59,"&gt;0%")-COUNTIF(I20:I59,"&gt;2%")</f>
        <v>3</v>
      </c>
      <c r="D158" s="4">
        <f t="shared" si="8"/>
        <v>7.4999999999999997E-2</v>
      </c>
      <c r="E158" s="10"/>
    </row>
    <row r="159" spans="2:10">
      <c r="B159" s="2" t="s">
        <v>43</v>
      </c>
      <c r="C159" s="3">
        <f>COUNTIF(I20:I59,"&gt;2%")-COUNTIF(I20:I59,"&gt;4%")</f>
        <v>5</v>
      </c>
      <c r="D159" s="4">
        <f t="shared" si="8"/>
        <v>0.125</v>
      </c>
      <c r="E159" s="10"/>
    </row>
    <row r="160" spans="2:10">
      <c r="B160" s="2" t="s">
        <v>44</v>
      </c>
      <c r="C160" s="3">
        <f>COUNTIF(I20:I59,"&gt;4%")-COUNTIF(I20:I59,"&gt;6%")</f>
        <v>3</v>
      </c>
      <c r="D160" s="4">
        <f t="shared" si="8"/>
        <v>7.4999999999999997E-2</v>
      </c>
      <c r="E160" s="10"/>
    </row>
    <row r="161" spans="1:13">
      <c r="B161" s="2" t="s">
        <v>51</v>
      </c>
      <c r="C161" s="3">
        <f>COUNTIF(I20:I59,"&gt;6%")-COUNTIF(I20:I59,"&gt;8%")</f>
        <v>2</v>
      </c>
      <c r="D161" s="4">
        <f t="shared" si="8"/>
        <v>0.05</v>
      </c>
      <c r="E161" s="10"/>
    </row>
    <row r="162" spans="1:13">
      <c r="B162" s="2" t="s">
        <v>52</v>
      </c>
      <c r="C162" s="3">
        <f>COUNTIF(I20:I59,"&gt;8%")</f>
        <v>27</v>
      </c>
      <c r="D162" s="4">
        <f t="shared" si="8"/>
        <v>0.67500000000000004</v>
      </c>
      <c r="E162" s="10"/>
    </row>
    <row r="163" spans="1:13">
      <c r="B163" s="34" t="s">
        <v>14</v>
      </c>
      <c r="C163" s="6">
        <f>SUM(C156:C162)</f>
        <v>40</v>
      </c>
      <c r="D163" s="7">
        <f>SUM(D156:D162)</f>
        <v>1</v>
      </c>
      <c r="E163" s="8"/>
    </row>
    <row r="168" spans="1:13" ht="97.5" customHeight="1">
      <c r="A168" s="32" t="s">
        <v>92</v>
      </c>
      <c r="B168" s="45" t="s">
        <v>79</v>
      </c>
      <c r="C168" s="92" t="s">
        <v>53</v>
      </c>
      <c r="D168" s="92"/>
      <c r="E168" s="92"/>
      <c r="F168" s="45" t="s">
        <v>78</v>
      </c>
      <c r="G168" s="45" t="s">
        <v>85</v>
      </c>
      <c r="H168" s="45" t="s">
        <v>80</v>
      </c>
      <c r="I168" s="45" t="s">
        <v>81</v>
      </c>
      <c r="J168" s="45" t="s">
        <v>82</v>
      </c>
      <c r="K168" s="45" t="s">
        <v>83</v>
      </c>
      <c r="L168" s="45" t="s">
        <v>84</v>
      </c>
      <c r="M168" s="45" t="s">
        <v>54</v>
      </c>
    </row>
    <row r="169" spans="1:13" ht="53.25" customHeight="1">
      <c r="B169" s="62"/>
      <c r="C169" s="93"/>
      <c r="D169" s="93"/>
      <c r="E169" s="93"/>
      <c r="F169" s="63"/>
      <c r="G169" s="64"/>
      <c r="H169" s="65"/>
      <c r="I169" s="64"/>
      <c r="J169" s="63"/>
      <c r="K169" s="66"/>
      <c r="L169" s="66"/>
      <c r="M169" s="64"/>
    </row>
    <row r="170" spans="1:13" ht="12.75" thickBot="1"/>
    <row r="171" spans="1:13" ht="37.5" thickTop="1" thickBot="1">
      <c r="B171" s="72"/>
      <c r="C171" s="73"/>
      <c r="D171" s="74" t="s">
        <v>3</v>
      </c>
      <c r="E171" s="74" t="s">
        <v>4</v>
      </c>
      <c r="F171" s="74" t="s">
        <v>5</v>
      </c>
      <c r="G171" s="74" t="s">
        <v>6</v>
      </c>
      <c r="H171" s="74" t="s">
        <v>7</v>
      </c>
      <c r="I171" s="74" t="s">
        <v>8</v>
      </c>
      <c r="J171" s="75" t="s">
        <v>9</v>
      </c>
    </row>
    <row r="172" spans="1:13" ht="25.5" thickTop="1" thickBot="1">
      <c r="A172" s="30" t="s">
        <v>87</v>
      </c>
      <c r="B172" s="76" t="s">
        <v>88</v>
      </c>
      <c r="C172" s="77"/>
      <c r="D172" s="20" t="s">
        <v>95</v>
      </c>
      <c r="E172" s="19" t="s">
        <v>141</v>
      </c>
      <c r="F172" s="19" t="s">
        <v>58</v>
      </c>
      <c r="G172" s="19" t="s">
        <v>142</v>
      </c>
      <c r="H172" s="19" t="s">
        <v>59</v>
      </c>
      <c r="I172" s="19" t="s">
        <v>59</v>
      </c>
      <c r="J172" s="19" t="s">
        <v>60</v>
      </c>
    </row>
    <row r="173" spans="1:13" ht="25.5" customHeight="1" thickTop="1" thickBot="1">
      <c r="B173" s="76" t="s">
        <v>17</v>
      </c>
      <c r="C173" s="77"/>
      <c r="D173" s="49">
        <f>COUNTIF(D20:D61,"&gt;=1,2")/$B$63</f>
        <v>0.95</v>
      </c>
      <c r="E173" s="50">
        <f>COUNTIF(E20:E61,"&gt;=36800")/$B$63</f>
        <v>1</v>
      </c>
      <c r="F173" s="50">
        <f>COUNTIF(F20:F61,"&lt;=70%")/$B$63</f>
        <v>0.82499999999999996</v>
      </c>
      <c r="G173" s="50">
        <f>COUNTIF(G20:G61,"&gt;=36800")/$B$63</f>
        <v>1</v>
      </c>
      <c r="H173" s="50">
        <f>COUNTIF(H20:H61,"&gt;=2%")/$B$63</f>
        <v>0.85</v>
      </c>
      <c r="I173" s="50">
        <f>COUNTIF(I20:I61,"&gt;=2%")/$B$63</f>
        <v>0.92500000000000004</v>
      </c>
      <c r="J173" s="51">
        <f>(COUNTIF(J20:J61,"&gt;=2")+COUNTBLANK(J20:J61))/$B$63</f>
        <v>0.57499999999999996</v>
      </c>
    </row>
    <row r="174" spans="1:13" ht="12.75" thickTop="1"/>
    <row r="175" spans="1:13">
      <c r="G175" s="46"/>
    </row>
    <row r="176" spans="1:13">
      <c r="G176" s="46"/>
    </row>
    <row r="177" spans="1:7">
      <c r="G177" s="46"/>
    </row>
    <row r="179" spans="1:7" ht="15">
      <c r="A179" s="1" t="s">
        <v>18</v>
      </c>
      <c r="B179" s="1" t="s">
        <v>94</v>
      </c>
    </row>
    <row r="180" spans="1:7" ht="15">
      <c r="A180" s="1" t="s">
        <v>19</v>
      </c>
      <c r="B180" s="1" t="s">
        <v>90</v>
      </c>
      <c r="C180" s="1"/>
      <c r="E180" s="22">
        <f>+F11</f>
        <v>36800000</v>
      </c>
      <c r="G180" s="22">
        <f>+H11</f>
        <v>36800000</v>
      </c>
    </row>
    <row r="181" spans="1:7">
      <c r="G181" s="46"/>
    </row>
    <row r="182" spans="1:7">
      <c r="G182" s="46"/>
    </row>
    <row r="183" spans="1:7">
      <c r="G183" s="46"/>
    </row>
    <row r="184" spans="1:7">
      <c r="G184" s="46"/>
    </row>
    <row r="185" spans="1:7">
      <c r="G185" s="46"/>
    </row>
    <row r="186" spans="1:7">
      <c r="G186" s="46"/>
    </row>
    <row r="187" spans="1:7">
      <c r="G187" s="46"/>
    </row>
    <row r="188" spans="1:7">
      <c r="G188" s="46"/>
    </row>
    <row r="189" spans="1:7">
      <c r="G189" s="46"/>
    </row>
    <row r="190" spans="1:7">
      <c r="G190" s="46"/>
    </row>
    <row r="191" spans="1:7">
      <c r="G191" s="46"/>
    </row>
    <row r="192" spans="1:7">
      <c r="G192" s="46"/>
    </row>
    <row r="193" spans="7:7">
      <c r="G193" s="46"/>
    </row>
    <row r="194" spans="7:7">
      <c r="G194" s="46"/>
    </row>
    <row r="195" spans="7:7">
      <c r="G195" s="46"/>
    </row>
    <row r="196" spans="7:7">
      <c r="G196" s="46"/>
    </row>
  </sheetData>
  <autoFilter ref="A19:J61"/>
  <sortState ref="A20:M127">
    <sortCondition ref="J20:J127"/>
  </sortState>
  <mergeCells count="26">
    <mergeCell ref="C168:E168"/>
    <mergeCell ref="C169:E169"/>
    <mergeCell ref="C155:D155"/>
    <mergeCell ref="A10:H10"/>
    <mergeCell ref="A13:J13"/>
    <mergeCell ref="B112:J112"/>
    <mergeCell ref="B125:J125"/>
    <mergeCell ref="B139:J139"/>
    <mergeCell ref="C114:D114"/>
    <mergeCell ref="C127:D127"/>
    <mergeCell ref="B172:C172"/>
    <mergeCell ref="B173:C173"/>
    <mergeCell ref="F4:J4"/>
    <mergeCell ref="F3:J3"/>
    <mergeCell ref="A65:A68"/>
    <mergeCell ref="B71:J71"/>
    <mergeCell ref="F5:J5"/>
    <mergeCell ref="B8:F8"/>
    <mergeCell ref="H8:J8"/>
    <mergeCell ref="B86:J86"/>
    <mergeCell ref="B97:J97"/>
    <mergeCell ref="C73:D73"/>
    <mergeCell ref="C88:D88"/>
    <mergeCell ref="C99:D99"/>
    <mergeCell ref="B153:J153"/>
    <mergeCell ref="C141:D141"/>
  </mergeCells>
  <pageMargins left="0.70866141732283472" right="0.70866141732283472" top="0.74803149606299213" bottom="0.74803149606299213" header="0.31496062992125984" footer="0.31496062992125984"/>
  <pageSetup scale="4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D10"/>
  <sheetViews>
    <sheetView topLeftCell="A8" workbookViewId="0">
      <selection activeCell="D10" sqref="D10"/>
    </sheetView>
  </sheetViews>
  <sheetFormatPr baseColWidth="10" defaultRowHeight="15"/>
  <sheetData>
    <row r="9" spans="4:4">
      <c r="D9" t="s">
        <v>137</v>
      </c>
    </row>
    <row r="10" spans="4:4">
      <c r="D10" t="s">
        <v>102</v>
      </c>
    </row>
  </sheetData>
  <sortState ref="D9:D48">
    <sortCondition ref="D9:D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 1</vt:lpstr>
      <vt:lpstr>Hoja1</vt:lpstr>
      <vt:lpstr>'HOJA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Katherinne Rodriguez Lozano</dc:creator>
  <cp:lastModifiedBy>Henry Oviedo Gongora</cp:lastModifiedBy>
  <cp:lastPrinted>2020-04-24T20:05:22Z</cp:lastPrinted>
  <dcterms:created xsi:type="dcterms:W3CDTF">2018-11-28T12:47:08Z</dcterms:created>
  <dcterms:modified xsi:type="dcterms:W3CDTF">2022-04-28T13:06:11Z</dcterms:modified>
</cp:coreProperties>
</file>