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Users\Sony\Downloads\Pliegos definitivos\"/>
    </mc:Choice>
  </mc:AlternateContent>
  <xr:revisionPtr revIDLastSave="0" documentId="8_{A38E0DFA-625E-4B87-A2B3-BC647AC3B7EC}" xr6:coauthVersionLast="45" xr6:coauthVersionMax="45" xr10:uidLastSave="{00000000-0000-0000-0000-000000000000}"/>
  <bookViews>
    <workbookView xWindow="-120" yWindow="-120" windowWidth="21840" windowHeight="13140" activeTab="2" xr2:uid="{00000000-000D-0000-FFFF-FFFF00000000}"/>
  </bookViews>
  <sheets>
    <sheet name="Cotización" sheetId="2" r:id="rId1"/>
    <sheet name="Hoja1" sheetId="5" r:id="rId2"/>
    <sheet name="Cuadros" sheetId="3" r:id="rId3"/>
    <sheet name="Justificación" sheetId="4" r:id="rId4"/>
  </sheet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5" i="3" l="1"/>
  <c r="F6" i="3"/>
  <c r="F7" i="3"/>
  <c r="F8" i="3"/>
  <c r="F9" i="3"/>
  <c r="F10" i="3"/>
  <c r="H16" i="3"/>
  <c r="F16" i="3"/>
  <c r="F4" i="3"/>
  <c r="F26" i="5"/>
  <c r="F28" i="5" s="1"/>
  <c r="F11" i="3" l="1"/>
  <c r="F17" i="3" s="1"/>
  <c r="S39" i="2"/>
  <c r="S38" i="2"/>
  <c r="S25" i="2"/>
  <c r="V25" i="2" s="1"/>
  <c r="W25" i="2" s="1"/>
  <c r="S24" i="2"/>
  <c r="V24" i="2" s="1"/>
  <c r="W24" i="2" s="1"/>
  <c r="S23" i="2"/>
  <c r="V23" i="2" s="1"/>
  <c r="W23" i="2" s="1"/>
  <c r="S22" i="2"/>
  <c r="V22" i="2" s="1"/>
  <c r="W22" i="2" s="1"/>
  <c r="M22" i="2"/>
  <c r="N22" i="2"/>
  <c r="P22" i="2"/>
  <c r="T39" i="2"/>
  <c r="T38" i="2"/>
  <c r="Q39" i="2"/>
  <c r="Q38" i="2"/>
  <c r="P38" i="2"/>
  <c r="T25" i="2"/>
  <c r="T24" i="2"/>
  <c r="T23" i="2"/>
  <c r="P39" i="2"/>
  <c r="K32" i="2"/>
  <c r="K33" i="2"/>
  <c r="K31" i="2"/>
  <c r="K35" i="2" s="1"/>
  <c r="K23" i="2"/>
  <c r="K24" i="2"/>
  <c r="K25" i="2"/>
  <c r="K26" i="2"/>
  <c r="K27" i="2"/>
  <c r="K28" i="2"/>
  <c r="K22" i="2"/>
  <c r="Y33" i="2"/>
  <c r="W45" i="2"/>
  <c r="W47" i="2" s="1"/>
  <c r="F20" i="3" l="1"/>
  <c r="F21" i="3"/>
  <c r="K29" i="2"/>
  <c r="K36" i="2" s="1"/>
  <c r="R38" i="2"/>
  <c r="R39" i="2"/>
  <c r="I44" i="2"/>
  <c r="F22" i="3" l="1"/>
  <c r="F23" i="3" s="1"/>
  <c r="F24" i="3" s="1"/>
  <c r="K38" i="2"/>
  <c r="K39" i="2"/>
  <c r="K40" i="2" s="1"/>
  <c r="H44" i="2"/>
  <c r="U39" i="2"/>
  <c r="K41" i="2" l="1"/>
  <c r="K42" i="2" s="1"/>
  <c r="U24" i="2"/>
  <c r="U25" i="2"/>
  <c r="U23" i="2"/>
  <c r="I45" i="2"/>
  <c r="H45" i="2"/>
  <c r="M44" i="2"/>
  <c r="M32" i="2"/>
  <c r="S32" i="2" s="1"/>
  <c r="M33" i="2"/>
  <c r="S33" i="2" s="1"/>
  <c r="V33" i="2" s="1"/>
  <c r="W33" i="2" s="1"/>
  <c r="M31" i="2"/>
  <c r="S31" i="2" s="1"/>
  <c r="V31" i="2" s="1"/>
  <c r="W31" i="2" s="1"/>
  <c r="M23" i="2"/>
  <c r="M24" i="2"/>
  <c r="M25" i="2"/>
  <c r="M26" i="2"/>
  <c r="M27" i="2"/>
  <c r="M28" i="2"/>
  <c r="S28" i="2" s="1"/>
  <c r="S27" i="2" l="1"/>
  <c r="V27" i="2" s="1"/>
  <c r="W27" i="2" s="1"/>
  <c r="S26" i="2"/>
  <c r="V26" i="2" s="1"/>
  <c r="W26" i="2" s="1"/>
  <c r="T22" i="2"/>
  <c r="Q31" i="2"/>
  <c r="T31" i="2"/>
  <c r="P31" i="2"/>
  <c r="T27" i="2"/>
  <c r="U27" i="2" s="1"/>
  <c r="P27" i="2"/>
  <c r="Q27" i="2"/>
  <c r="Q26" i="2"/>
  <c r="T26" i="2"/>
  <c r="P26" i="2"/>
  <c r="P23" i="2"/>
  <c r="Q23" i="2"/>
  <c r="Q22" i="2"/>
  <c r="Q25" i="2"/>
  <c r="P25" i="2"/>
  <c r="T33" i="2"/>
  <c r="P33" i="2"/>
  <c r="Q33" i="2"/>
  <c r="P28" i="2"/>
  <c r="Q28" i="2"/>
  <c r="T28" i="2"/>
  <c r="U28" i="2" s="1"/>
  <c r="P24" i="2"/>
  <c r="Q24" i="2"/>
  <c r="T32" i="2"/>
  <c r="V32" i="2" s="1"/>
  <c r="W32" i="2" s="1"/>
  <c r="W35" i="2" s="1"/>
  <c r="P32" i="2"/>
  <c r="Q32" i="2"/>
  <c r="V28" i="2"/>
  <c r="W28" i="2" s="1"/>
  <c r="M45" i="2"/>
  <c r="L46" i="2"/>
  <c r="L44" i="2"/>
  <c r="R28" i="2" l="1"/>
  <c r="R33" i="2"/>
  <c r="R22" i="2"/>
  <c r="R27" i="2"/>
  <c r="R25" i="2"/>
  <c r="U22" i="2"/>
  <c r="R32" i="2"/>
  <c r="R24" i="2"/>
  <c r="R23" i="2"/>
  <c r="R31" i="2"/>
  <c r="R26" i="2"/>
  <c r="W29" i="2"/>
  <c r="W36" i="2" s="1"/>
  <c r="U32" i="2"/>
  <c r="X29" i="2"/>
  <c r="Y29" i="2" s="1"/>
  <c r="U26" i="2"/>
  <c r="N32" i="2"/>
  <c r="I32" i="2"/>
  <c r="G32" i="2"/>
  <c r="W39" i="2" l="1"/>
  <c r="W38" i="2"/>
  <c r="W40" i="2" s="1"/>
  <c r="R29" i="2"/>
  <c r="R35" i="2"/>
  <c r="E32" i="2"/>
  <c r="E33" i="2"/>
  <c r="B29" i="2"/>
  <c r="W41" i="2" l="1"/>
  <c r="W42" i="2" s="1"/>
  <c r="T40" i="2"/>
  <c r="U33" i="2" l="1"/>
  <c r="U38" i="2"/>
  <c r="U31" i="2"/>
  <c r="U35" i="2" s="1"/>
  <c r="N33" i="2" l="1"/>
  <c r="N31" i="2"/>
  <c r="N28" i="2"/>
  <c r="N27" i="2"/>
  <c r="N26" i="2"/>
  <c r="N23" i="2"/>
  <c r="I33" i="2"/>
  <c r="I31" i="2"/>
  <c r="I23" i="2"/>
  <c r="I26" i="2"/>
  <c r="I27" i="2"/>
  <c r="I28" i="2"/>
  <c r="G33" i="2"/>
  <c r="G31" i="2"/>
  <c r="G23" i="2"/>
  <c r="G26" i="2"/>
  <c r="G27" i="2"/>
  <c r="G28" i="2"/>
  <c r="E31" i="2"/>
  <c r="E23" i="2"/>
  <c r="E26" i="2"/>
  <c r="E27" i="2"/>
  <c r="E28" i="2"/>
  <c r="N35" i="2" l="1"/>
  <c r="E35" i="2"/>
  <c r="I35" i="2"/>
  <c r="G35" i="2"/>
  <c r="U29" i="2" l="1"/>
  <c r="N25" i="2" l="1"/>
  <c r="N24" i="2"/>
  <c r="I25" i="2"/>
  <c r="G25" i="2"/>
  <c r="E25" i="2"/>
  <c r="I22" i="2"/>
  <c r="G22" i="2"/>
  <c r="E22" i="2"/>
  <c r="G24" i="2"/>
  <c r="E24" i="2"/>
  <c r="I24" i="2"/>
  <c r="I29" i="2" l="1"/>
  <c r="N29" i="2"/>
  <c r="N36" i="2" s="1"/>
  <c r="E29" i="2"/>
  <c r="E36" i="2" s="1"/>
  <c r="G29" i="2"/>
  <c r="G36" i="2" s="1"/>
  <c r="N39" i="2" l="1"/>
  <c r="N38" i="2"/>
  <c r="G39" i="2"/>
  <c r="G38" i="2"/>
  <c r="E38" i="2"/>
  <c r="E39" i="2"/>
  <c r="I36" i="2"/>
  <c r="G40" i="2" l="1"/>
  <c r="N40" i="2"/>
  <c r="N41" i="2" s="1"/>
  <c r="N42" i="2" s="1"/>
  <c r="E40" i="2"/>
  <c r="E42" i="2" s="1"/>
  <c r="I39" i="2"/>
  <c r="I38" i="2"/>
  <c r="G41" i="2"/>
  <c r="G42" i="2" s="1"/>
  <c r="I40" i="2" l="1"/>
  <c r="I4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Jose Antonio Reina Guevara</author>
  </authors>
  <commentList>
    <comment ref="L25" authorId="0" shapeId="0" xr:uid="{00000000-0006-0000-0000-000001000000}">
      <text>
        <r>
          <rPr>
            <b/>
            <sz val="9"/>
            <color rgb="FF000000"/>
            <rFont val="Tahoma"/>
            <family val="2"/>
          </rPr>
          <t>Jose Antonio Reina Guevara:</t>
        </r>
        <r>
          <rPr>
            <sz val="9"/>
            <color rgb="FF000000"/>
            <rFont val="Tahoma"/>
            <family val="2"/>
          </rPr>
          <t xml:space="preserve">
</t>
        </r>
        <r>
          <rPr>
            <sz val="9"/>
            <color rgb="FF000000"/>
            <rFont val="Tahoma"/>
            <family val="2"/>
          </rPr>
          <t>Se toma el valor de los coordinadores de la propuesta y se saca valor por unidad</t>
        </r>
      </text>
    </comment>
    <comment ref="L26" authorId="0" shapeId="0" xr:uid="{00000000-0006-0000-0000-000002000000}">
      <text>
        <r>
          <rPr>
            <b/>
            <sz val="9"/>
            <color rgb="FF000000"/>
            <rFont val="Tahoma"/>
            <family val="2"/>
          </rPr>
          <t>Jose Antonio Reina Guevara:</t>
        </r>
        <r>
          <rPr>
            <sz val="9"/>
            <color rgb="FF000000"/>
            <rFont val="Tahoma"/>
            <family val="2"/>
          </rPr>
          <t xml:space="preserve">
</t>
        </r>
        <r>
          <rPr>
            <sz val="9"/>
            <color rgb="FF000000"/>
            <rFont val="Tahoma"/>
            <family val="2"/>
          </rPr>
          <t>Se toma el valor de los coordinadores de la propuesta y se saca valor por unidad</t>
        </r>
      </text>
    </comment>
    <comment ref="L27" authorId="0" shapeId="0" xr:uid="{00000000-0006-0000-0000-000003000000}">
      <text>
        <r>
          <rPr>
            <b/>
            <sz val="9"/>
            <color rgb="FF000000"/>
            <rFont val="Tahoma"/>
            <family val="2"/>
          </rPr>
          <t>Jose Antonio Reina Guevara:</t>
        </r>
        <r>
          <rPr>
            <sz val="9"/>
            <color rgb="FF000000"/>
            <rFont val="Tahoma"/>
            <family val="2"/>
          </rPr>
          <t xml:space="preserve">
</t>
        </r>
        <r>
          <rPr>
            <sz val="9"/>
            <color rgb="FF000000"/>
            <rFont val="Tahoma"/>
            <family val="2"/>
          </rPr>
          <t>Se toma el valor de los coordinadores de la propuesta y se saca valor por unidad</t>
        </r>
      </text>
    </comment>
    <comment ref="L28" authorId="0" shapeId="0" xr:uid="{00000000-0006-0000-0000-000004000000}">
      <text>
        <r>
          <rPr>
            <b/>
            <sz val="9"/>
            <color rgb="FF000000"/>
            <rFont val="Tahoma"/>
            <family val="2"/>
          </rPr>
          <t>Jose Antonio Reina Guevara:</t>
        </r>
        <r>
          <rPr>
            <sz val="9"/>
            <color rgb="FF000000"/>
            <rFont val="Tahoma"/>
            <family val="2"/>
          </rPr>
          <t xml:space="preserve">
</t>
        </r>
        <r>
          <rPr>
            <sz val="9"/>
            <color rgb="FF000000"/>
            <rFont val="Tahoma"/>
            <family val="2"/>
          </rPr>
          <t>No aparece este perfil, se toma el de monitoreo de la propuesta</t>
        </r>
      </text>
    </comment>
    <comment ref="L31" authorId="0" shapeId="0" xr:uid="{00000000-0006-0000-0000-000005000000}">
      <text>
        <r>
          <rPr>
            <b/>
            <sz val="9"/>
            <color rgb="FF000000"/>
            <rFont val="Tahoma"/>
            <family val="2"/>
          </rPr>
          <t>Jose Antonio Reina Guevara:</t>
        </r>
        <r>
          <rPr>
            <sz val="9"/>
            <color rgb="FF000000"/>
            <rFont val="Tahoma"/>
            <family val="2"/>
          </rPr>
          <t xml:space="preserve">
</t>
        </r>
        <r>
          <rPr>
            <sz val="9"/>
            <color rgb="FF000000"/>
            <rFont val="Tahoma"/>
            <family val="2"/>
          </rPr>
          <t>Se relaciona en la propuesta (2); se divide el valor para sacar unidad</t>
        </r>
      </text>
    </comment>
  </commentList>
</comments>
</file>

<file path=xl/sharedStrings.xml><?xml version="1.0" encoding="utf-8"?>
<sst xmlns="http://schemas.openxmlformats.org/spreadsheetml/2006/main" count="280" uniqueCount="91">
  <si>
    <t>Rubro</t>
  </si>
  <si>
    <t>Cantidad</t>
  </si>
  <si>
    <t>Tiempo</t>
  </si>
  <si>
    <t>Valor</t>
  </si>
  <si>
    <t xml:space="preserve">TOTAL </t>
  </si>
  <si>
    <t>Talento Humano Mínimo Requerido</t>
  </si>
  <si>
    <t xml:space="preserve">COSTOS INDIRECTOS DE OPERACIÓN </t>
  </si>
  <si>
    <t>1. Presentación de la Institución de Educación Superior</t>
  </si>
  <si>
    <t xml:space="preserve">DATOS DEL PROPONENTE </t>
  </si>
  <si>
    <t>Nombre Institución de Educación Superior</t>
  </si>
  <si>
    <t>Dirección de correspondencia</t>
  </si>
  <si>
    <t>Teléfono</t>
  </si>
  <si>
    <t>Correo electrónico</t>
  </si>
  <si>
    <t>Nombre del Rector</t>
  </si>
  <si>
    <t>Nombre del responsable de esta propuesta</t>
  </si>
  <si>
    <t>N/A</t>
  </si>
  <si>
    <t>VALOR UNITARIO</t>
  </si>
  <si>
    <t xml:space="preserve">VALOR TOTAL </t>
  </si>
  <si>
    <t>PROMEDIO SIMPLE</t>
  </si>
  <si>
    <t>DESVIACIÓN ESTANDAR</t>
  </si>
  <si>
    <t>COEFICIENTE DE VARIACIÓN</t>
  </si>
  <si>
    <t xml:space="preserve">COTIZACIONES </t>
  </si>
  <si>
    <t xml:space="preserve">DISPONIBILIDAD </t>
  </si>
  <si>
    <t xml:space="preserve">VARIACIÓN </t>
  </si>
  <si>
    <t>VALORES DE REFERENCIA</t>
  </si>
  <si>
    <t>Formato presentación propuesta económico Ecosistemas 2022</t>
  </si>
  <si>
    <t>U.PEREIRA</t>
  </si>
  <si>
    <t>GERENTE</t>
  </si>
  <si>
    <t>ASESOR DE ALIANZAS</t>
  </si>
  <si>
    <t>ASESOR DE PERMANENCIA</t>
  </si>
  <si>
    <t>COORDINADOR DE ECOSISTEMAS</t>
  </si>
  <si>
    <t>PROFESIONAL DE ACOMPAÑAMIENTO</t>
  </si>
  <si>
    <t>TUTOR</t>
  </si>
  <si>
    <t>ADMINISTRADOR RECURSOS Y HERRAMIENTAS</t>
  </si>
  <si>
    <t>Logística y Operación</t>
  </si>
  <si>
    <t xml:space="preserve">Subtotal   </t>
  </si>
  <si>
    <t>TOTAL COSTOS DIRECTOS DE OPERACIÓN</t>
  </si>
  <si>
    <t>Subtotal</t>
  </si>
  <si>
    <t>Administración y utilidad</t>
  </si>
  <si>
    <t>Gastos de Administración</t>
  </si>
  <si>
    <t>Utilidad</t>
  </si>
  <si>
    <t>Subtotal antes de IVA</t>
  </si>
  <si>
    <t>IVA</t>
  </si>
  <si>
    <t>VALOR TOTAL DEL PROYECTO</t>
  </si>
  <si>
    <t>CORPORACIÓN UNIFICADA NACIONAL DE EDUCACIÓN SUPERIOR</t>
  </si>
  <si>
    <t>Gastos de desplazamiento tiquetes aereo  (Ida y regreso)</t>
  </si>
  <si>
    <t>Gastos de desplazamiento tiquetes terrestre  (Ida y regreso)</t>
  </si>
  <si>
    <t>Gastos de desplazamiento - viaticos</t>
  </si>
  <si>
    <t>PRECIO MEN CONTRATO 2546507-2021</t>
  </si>
  <si>
    <t>VALOR UNITARIO 2021</t>
  </si>
  <si>
    <t>Promedio</t>
  </si>
  <si>
    <t>Desv</t>
  </si>
  <si>
    <t>DV</t>
  </si>
  <si>
    <t>Media Arit</t>
  </si>
  <si>
    <t>Podada</t>
  </si>
  <si>
    <t>CORPOEDUCACIÓN</t>
  </si>
  <si>
    <t>VALOR UNITARIO DE MERCADO (REDONDEADO)</t>
  </si>
  <si>
    <t>PROMEDIO ELIMINACION DE EXTREMO Y/O ATIPICOS (PEEA)</t>
  </si>
  <si>
    <t>DESVIACIÓN ESTANDAR ELIMINACION DE EXTREMO Y/O ATIPICOS</t>
  </si>
  <si>
    <t>CV ELIMINACION DE EXTREMO Y/O ATIPICOS</t>
  </si>
  <si>
    <t>Decrero 979-2021</t>
  </si>
  <si>
    <t>Menor valor de mercado</t>
  </si>
  <si>
    <t>(-) desviacion estandar</t>
  </si>
  <si>
    <t>LAB Serendepia</t>
  </si>
  <si>
    <t>ITEM</t>
  </si>
  <si>
    <t>1.1</t>
  </si>
  <si>
    <t>1.2</t>
  </si>
  <si>
    <t>1.3</t>
  </si>
  <si>
    <t>1.4</t>
  </si>
  <si>
    <t>1.5</t>
  </si>
  <si>
    <t>1.6</t>
  </si>
  <si>
    <t>1.7</t>
  </si>
  <si>
    <t>2.1</t>
  </si>
  <si>
    <t>2.2</t>
  </si>
  <si>
    <t>2.3</t>
  </si>
  <si>
    <t>3.1</t>
  </si>
  <si>
    <t>3.2</t>
  </si>
  <si>
    <t>1. COSTEO INTERNO</t>
  </si>
  <si>
    <t>TABLA A – ANÁLISIS DE PRECIOS UNITARIOS</t>
  </si>
  <si>
    <t>COTIZACIÓN 1</t>
  </si>
  <si>
    <t>COTIZACIÓN 2</t>
  </si>
  <si>
    <t>COTIZACIÓN 3</t>
  </si>
  <si>
    <t>COTIZACIÓN 4</t>
  </si>
  <si>
    <t>1+2</t>
  </si>
  <si>
    <t>JUSTIFICACIÓN</t>
  </si>
  <si>
    <t>CV</t>
  </si>
  <si>
    <t>Para determinar el costo mensual, se tomó como base los valores unitarios cotizados y de referencia, se calculó el promedio (media aritmética) y el valor promedio después de la eliminación de extremo y/o atipicos (PEEA), esto último con el fin de ser consistentes con los valores históricos del MEN; posteriormente se realizó el cálculo de la desviación estándar y el coeficiente de variación tanto para la media aritmética, como para el  valor PEEA; en este sentido se selecciona el valor unitario de mercado que presenta el menor coeficiente de variación.</t>
  </si>
  <si>
    <t>Para determinar el porcentaje se tomó como base los valores unitarios cotizados y de referencia, se calculó el promedio (media aritmética) y el valor promedio después de eliminar el extremo o atípico (PEEA); a pesar de que el coeficiente de variación para el valor PEEA arrojó un porcentaje inferior al de la media aritmética, se considera alto para lo que el MEN ha venido costeando históricamente, en este sentido, con el fin de ser consistentes con los valores históricos del MEN y procurando así una eficiencia del recursos público, se seleccionó como precio de mercado en este ítem el valor PEEA descontando la desviación estándar del PEEA.</t>
  </si>
  <si>
    <t>Para determinar el costo se tomó como base los valores unitarios cotizados y de referencia, se calculó el promedio (media aritmética) y el valor promedio después de la eliminación de extremo y/o atípicos (PEEA), esto último con el fin de ser consistentes con los valores históricos del MEN; posteriormente se realizó el cálculo de la desviación estándar y el coeficiente de variación tanto para la media aritmética, como para el  valor PEEA; en este sentido se selecciona el valor unitario de mercado que presenta el menor coeficiente de variación.</t>
  </si>
  <si>
    <t>Para determinar el costo se tomó como base los valores unitarios cotizados y de referencia, se calculó el promedio (media aritmética) y el valor promedio después de eliminar el extremo superior y atípico  (PEESA), esto último con el fin de ser consistentes con los valores históricos del MEN; a pesar de que el coeficiente de variación para el valor PEESA arrojó un precio inferior al de la media aritmética, se considera alto para lo que el MEN tiene establecido en el Decreto 979 del 2021 con relación a la escala de viáticos de los servidores públicos, para efectuar el cálculo anterior se promediaron los valores unitarios de mercado del talento humano y se aplicó el 70%, este resultado se ubicó en la table del artículo 1 "Escala de viáticos" Decreto 979 del 2021 y el resultado obtenido de viáticos diarios se indexo a valor presente para el año 2022; de esta manera se pudo confirmar que el valor PEESA es consistente con los valores establecidos en el Decreto 979 del 2021.</t>
  </si>
  <si>
    <t>Para determinar el porcentaje se tomó como base los valores unitarios cotizados y de referencia, se calculó el promedio (media aritmética) y el valor promedio después de la eliminación de extremo y/o atípicos (PEEA), esto último con el fin de ser consistentes con los valores históricos del MEN; posteriormente se realizó el cálculo de la desviación estándar y el coeficiente de variación tanto para la media aritmética, como para el  valor PEEA; en este sentido se selecciona el valor unitario de mercado que presenta el menor coeficiente de variación.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</si>
</sst>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164" formatCode="_(&quot;$&quot;\ * #,##0.00_);_(&quot;$&quot;\ * \(#,##0.00\);_(&quot;$&quot;\ * &quot;-&quot;??_);_(@_)"/>
    <numFmt numFmtId="165" formatCode="0.0%"/>
    <numFmt numFmtId="166" formatCode="&quot;$&quot;#,##0"/>
    <numFmt numFmtId="167" formatCode="#,##0.0"/>
    <numFmt numFmtId="168" formatCode="&quot;$&quot;\ #,##0.0"/>
    <numFmt numFmtId="169" formatCode="&quot;$&quot;\ #,##0"/>
    <numFmt numFmtId="170" formatCode="_-&quot;$&quot;\ * #,##0.00_-;\-&quot;$&quot;\ * #,##0.00_-;_-&quot;$&quot;\ * &quot;-&quot;_-;_-@_-"/>
    <numFmt numFmtId="171" formatCode="&quot;$&quot;\ #,##0.00"/>
    <numFmt numFmtId="172" formatCode="&quot;$&quot;#,##0.00"/>
  </numFmts>
  <fonts count="28" x14ac:knownFonts="1">
    <font>
      <sz val="11"/>
      <color theme="1"/>
      <name val="Calibri"/>
      <family val="2"/>
      <scheme val="minor"/>
    </font>
    <font>
      <sz val="11"/>
      <color theme="1"/>
      <name val="Calibri"/>
      <family val="2"/>
      <scheme val="minor"/>
    </font>
    <font>
      <sz val="11"/>
      <color theme="1"/>
      <name val="Arial Narrow"/>
      <family val="2"/>
    </font>
    <font>
      <u/>
      <sz val="12"/>
      <color theme="10"/>
      <name val="Calibri"/>
      <family val="2"/>
      <scheme val="minor"/>
    </font>
    <font>
      <b/>
      <sz val="11"/>
      <color theme="1"/>
      <name val="Arial Narrow"/>
      <family val="2"/>
    </font>
    <font>
      <b/>
      <sz val="11"/>
      <color theme="0"/>
      <name val="Arial Narrow"/>
      <family val="2"/>
    </font>
    <font>
      <b/>
      <sz val="14"/>
      <color theme="1"/>
      <name val="Arial Narrow"/>
      <family val="2"/>
    </font>
    <font>
      <sz val="10"/>
      <color theme="1"/>
      <name val="Arial Narrow"/>
      <family val="2"/>
    </font>
    <font>
      <b/>
      <sz val="10"/>
      <color theme="1"/>
      <name val="Arial Narrow"/>
      <family val="2"/>
    </font>
    <font>
      <b/>
      <sz val="11"/>
      <color rgb="FFFF0000"/>
      <name val="Arial Narrow"/>
      <family val="2"/>
    </font>
    <font>
      <b/>
      <sz val="10"/>
      <color theme="0"/>
      <name val="Arial Narrow"/>
      <family val="2"/>
    </font>
    <font>
      <u/>
      <sz val="10"/>
      <color theme="10"/>
      <name val="Arial Narrow"/>
      <family val="2"/>
    </font>
    <font>
      <sz val="10"/>
      <name val="Arial Narrow"/>
      <family val="2"/>
    </font>
    <font>
      <b/>
      <sz val="10"/>
      <name val="Arial Narrow"/>
      <family val="2"/>
    </font>
    <font>
      <sz val="10"/>
      <color theme="1"/>
      <name val="Arial"/>
      <family val="2"/>
    </font>
    <font>
      <b/>
      <sz val="10"/>
      <color theme="1"/>
      <name val="Arial"/>
      <family val="2"/>
    </font>
    <font>
      <b/>
      <sz val="9"/>
      <color rgb="FF000000"/>
      <name val="Tahoma"/>
      <family val="2"/>
    </font>
    <font>
      <sz val="9"/>
      <color rgb="FF000000"/>
      <name val="Tahoma"/>
      <family val="2"/>
    </font>
    <font>
      <b/>
      <sz val="6"/>
      <color theme="1"/>
      <name val="Arial"/>
      <family val="2"/>
    </font>
    <font>
      <sz val="6"/>
      <color theme="1"/>
      <name val="Arial"/>
      <family val="2"/>
    </font>
    <font>
      <b/>
      <sz val="6"/>
      <color theme="0"/>
      <name val="Arial"/>
      <family val="2"/>
    </font>
    <font>
      <sz val="6"/>
      <name val="Arial"/>
      <family val="2"/>
    </font>
    <font>
      <b/>
      <sz val="6"/>
      <name val="Arial"/>
      <family val="2"/>
    </font>
    <font>
      <sz val="6"/>
      <color theme="0"/>
      <name val="Arial"/>
      <family val="2"/>
    </font>
    <font>
      <b/>
      <sz val="5"/>
      <color theme="0"/>
      <name val="Arial"/>
      <family val="2"/>
    </font>
    <font>
      <sz val="5"/>
      <color theme="1"/>
      <name val="Arial"/>
      <family val="2"/>
    </font>
    <font>
      <b/>
      <sz val="9"/>
      <color theme="0"/>
      <name val="Arial Narrow"/>
      <family val="2"/>
    </font>
    <font>
      <sz val="6"/>
      <color rgb="FFFF0000"/>
      <name val="Arial"/>
      <family val="2"/>
    </font>
  </fonts>
  <fills count="17">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0"/>
        <bgColor indexed="64"/>
      </patternFill>
    </fill>
    <fill>
      <patternFill patternType="solid">
        <fgColor rgb="FF00557A"/>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rgb="FF002060"/>
        <bgColor indexed="64"/>
      </patternFill>
    </fill>
    <fill>
      <patternFill patternType="solid">
        <fgColor theme="8" tint="-0.499984740745262"/>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style="thin">
        <color indexed="64"/>
      </top>
      <bottom/>
      <diagonal/>
    </border>
  </borders>
  <cellStyleXfs count="5">
    <xf numFmtId="0" fontId="0" fillId="0" borderId="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Alignment="0" applyProtection="0"/>
    <xf numFmtId="164" fontId="1" fillId="0" borderId="0" applyFont="0" applyFill="0" applyBorder="0" applyAlignment="0" applyProtection="0"/>
  </cellStyleXfs>
  <cellXfs count="236">
    <xf numFmtId="0" fontId="0" fillId="0" borderId="0" xfId="0"/>
    <xf numFmtId="0" fontId="2" fillId="0" borderId="0" xfId="0" applyFont="1"/>
    <xf numFmtId="0" fontId="2" fillId="0" borderId="0" xfId="0" applyFont="1" applyFill="1"/>
    <xf numFmtId="0" fontId="7" fillId="0" borderId="0" xfId="0" applyFont="1"/>
    <xf numFmtId="0" fontId="5" fillId="11" borderId="0" xfId="0" applyFont="1" applyFill="1" applyAlignment="1">
      <alignment horizontal="center" vertical="center" wrapText="1"/>
    </xf>
    <xf numFmtId="0" fontId="4"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4" fillId="0" borderId="0" xfId="0" applyFont="1"/>
    <xf numFmtId="10" fontId="2" fillId="0" borderId="0" xfId="0" applyNumberFormat="1" applyFont="1"/>
    <xf numFmtId="42" fontId="2" fillId="0" borderId="0" xfId="0" applyNumberFormat="1" applyFont="1"/>
    <xf numFmtId="0" fontId="8" fillId="0" borderId="0" xfId="0" applyFont="1" applyAlignment="1"/>
    <xf numFmtId="0" fontId="8" fillId="0" borderId="0" xfId="0" applyFont="1"/>
    <xf numFmtId="0" fontId="7" fillId="0" borderId="1" xfId="0" applyFont="1" applyBorder="1" applyAlignment="1">
      <alignment vertical="center"/>
    </xf>
    <xf numFmtId="0" fontId="8" fillId="0" borderId="0" xfId="0" applyFont="1" applyFill="1" applyBorder="1" applyAlignment="1">
      <alignment vertical="center"/>
    </xf>
    <xf numFmtId="0" fontId="8" fillId="2" borderId="1" xfId="0" applyFont="1" applyFill="1" applyBorder="1" applyAlignment="1">
      <alignment horizontal="center" vertical="center"/>
    </xf>
    <xf numFmtId="0" fontId="7" fillId="0" borderId="1" xfId="0" applyFont="1" applyBorder="1" applyAlignment="1">
      <alignment horizontal="justify" vertical="center" wrapText="1"/>
    </xf>
    <xf numFmtId="166" fontId="7" fillId="0" borderId="1" xfId="1" applyNumberFormat="1" applyFont="1" applyFill="1" applyBorder="1" applyAlignment="1">
      <alignment horizontal="center" vertical="center"/>
    </xf>
    <xf numFmtId="166" fontId="7" fillId="0" borderId="1" xfId="1" applyNumberFormat="1" applyFont="1" applyFill="1" applyBorder="1"/>
    <xf numFmtId="10" fontId="7" fillId="0" borderId="1" xfId="2" applyNumberFormat="1" applyFont="1" applyFill="1" applyBorder="1"/>
    <xf numFmtId="0" fontId="7" fillId="0" borderId="1" xfId="0" applyFont="1" applyFill="1" applyBorder="1" applyAlignment="1">
      <alignment horizontal="justify" vertical="center" wrapText="1"/>
    </xf>
    <xf numFmtId="0" fontId="12" fillId="0" borderId="1" xfId="0" applyFont="1" applyFill="1" applyBorder="1" applyAlignment="1">
      <alignment horizontal="center" vertical="center"/>
    </xf>
    <xf numFmtId="0" fontId="8" fillId="2" borderId="1" xfId="0" applyFont="1" applyFill="1" applyBorder="1"/>
    <xf numFmtId="166" fontId="13" fillId="2" borderId="1" xfId="0" applyNumberFormat="1" applyFont="1" applyFill="1" applyBorder="1"/>
    <xf numFmtId="166" fontId="8" fillId="0" borderId="1" xfId="1" applyNumberFormat="1" applyFont="1" applyFill="1" applyBorder="1" applyAlignment="1">
      <alignment horizontal="right"/>
    </xf>
    <xf numFmtId="10" fontId="13" fillId="2" borderId="1" xfId="2" applyNumberFormat="1" applyFont="1" applyFill="1" applyBorder="1"/>
    <xf numFmtId="165" fontId="13" fillId="2" borderId="1" xfId="0" applyNumberFormat="1" applyFont="1" applyFill="1" applyBorder="1"/>
    <xf numFmtId="0" fontId="8" fillId="3" borderId="1" xfId="0" applyFont="1" applyFill="1" applyBorder="1" applyAlignment="1"/>
    <xf numFmtId="0" fontId="8" fillId="3" borderId="1" xfId="0" applyFont="1" applyFill="1" applyBorder="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0" fontId="7" fillId="0" borderId="1" xfId="2" applyNumberFormat="1" applyFont="1" applyFill="1" applyBorder="1" applyAlignment="1">
      <alignment vertical="center"/>
    </xf>
    <xf numFmtId="165" fontId="7" fillId="0" borderId="1" xfId="2" applyNumberFormat="1" applyFont="1" applyFill="1" applyBorder="1" applyAlignment="1">
      <alignment horizontal="right" vertical="center"/>
    </xf>
    <xf numFmtId="165" fontId="7" fillId="0" borderId="1" xfId="2" applyNumberFormat="1" applyFont="1" applyFill="1" applyBorder="1" applyAlignment="1">
      <alignment horizontal="right"/>
    </xf>
    <xf numFmtId="10" fontId="8" fillId="2" borderId="1" xfId="0" applyNumberFormat="1" applyFont="1" applyFill="1" applyBorder="1"/>
    <xf numFmtId="165" fontId="8" fillId="2" borderId="1" xfId="2" applyNumberFormat="1" applyFont="1" applyFill="1" applyBorder="1"/>
    <xf numFmtId="0" fontId="8" fillId="3" borderId="1" xfId="0" applyFont="1" applyFill="1" applyBorder="1"/>
    <xf numFmtId="0" fontId="7" fillId="0" borderId="1" xfId="0" applyFont="1" applyBorder="1" applyAlignment="1">
      <alignment horizontal="left" vertical="center" wrapText="1"/>
    </xf>
    <xf numFmtId="0" fontId="7" fillId="0" borderId="1" xfId="0" applyFont="1" applyBorder="1" applyAlignment="1">
      <alignment wrapText="1"/>
    </xf>
    <xf numFmtId="9" fontId="8" fillId="0" borderId="1" xfId="0" applyNumberFormat="1" applyFont="1" applyBorder="1" applyAlignment="1">
      <alignment horizontal="center" vertical="center"/>
    </xf>
    <xf numFmtId="9" fontId="7" fillId="0" borderId="1" xfId="2" applyFont="1" applyFill="1" applyBorder="1" applyAlignment="1">
      <alignment horizontal="center" vertical="center"/>
    </xf>
    <xf numFmtId="165" fontId="7" fillId="0" borderId="1" xfId="2" applyNumberFormat="1" applyFont="1" applyFill="1" applyBorder="1"/>
    <xf numFmtId="10" fontId="7" fillId="0" borderId="1" xfId="2" applyNumberFormat="1" applyFont="1" applyFill="1" applyBorder="1" applyAlignment="1">
      <alignment horizontal="right"/>
    </xf>
    <xf numFmtId="0" fontId="8" fillId="3" borderId="1" xfId="0" applyFont="1" applyFill="1" applyBorder="1" applyAlignment="1">
      <alignment horizontal="center" vertical="center"/>
    </xf>
    <xf numFmtId="10" fontId="8" fillId="3" borderId="1" xfId="0" applyNumberFormat="1" applyFont="1" applyFill="1" applyBorder="1" applyAlignment="1">
      <alignment horizontal="center" vertical="center"/>
    </xf>
    <xf numFmtId="166" fontId="7" fillId="0" borderId="1" xfId="1" applyNumberFormat="1" applyFont="1" applyFill="1" applyBorder="1" applyAlignment="1">
      <alignment horizontal="right" vertical="center"/>
    </xf>
    <xf numFmtId="166" fontId="7" fillId="0" borderId="1" xfId="1" applyNumberFormat="1" applyFont="1" applyFill="1" applyBorder="1" applyAlignment="1">
      <alignment horizontal="right"/>
    </xf>
    <xf numFmtId="166" fontId="8" fillId="2" borderId="1" xfId="0" applyNumberFormat="1" applyFont="1" applyFill="1" applyBorder="1"/>
    <xf numFmtId="166" fontId="8" fillId="3" borderId="1" xfId="1" applyNumberFormat="1" applyFont="1" applyFill="1" applyBorder="1"/>
    <xf numFmtId="166" fontId="8" fillId="3" borderId="1" xfId="0" applyNumberFormat="1" applyFont="1" applyFill="1" applyBorder="1" applyAlignment="1"/>
    <xf numFmtId="166" fontId="2" fillId="0" borderId="0" xfId="0" applyNumberFormat="1" applyFont="1"/>
    <xf numFmtId="166" fontId="4" fillId="3" borderId="1" xfId="0" applyNumberFormat="1" applyFont="1" applyFill="1" applyBorder="1" applyAlignment="1">
      <alignment horizontal="center" vertical="center" wrapText="1"/>
    </xf>
    <xf numFmtId="166" fontId="8" fillId="3" borderId="1" xfId="0" applyNumberFormat="1" applyFont="1" applyFill="1" applyBorder="1" applyAlignment="1">
      <alignment horizontal="center"/>
    </xf>
    <xf numFmtId="166" fontId="7" fillId="0" borderId="1" xfId="1" applyNumberFormat="1" applyFont="1" applyFill="1" applyBorder="1" applyAlignment="1">
      <alignment vertical="center"/>
    </xf>
    <xf numFmtId="0" fontId="14" fillId="5" borderId="1" xfId="0" applyFont="1" applyFill="1" applyBorder="1" applyAlignment="1">
      <alignment vertical="center" wrapText="1"/>
    </xf>
    <xf numFmtId="0" fontId="10" fillId="14" borderId="1" xfId="0" applyFont="1" applyFill="1" applyBorder="1"/>
    <xf numFmtId="0" fontId="10" fillId="14" borderId="1" xfId="0" applyFont="1" applyFill="1" applyBorder="1" applyAlignment="1">
      <alignment horizontal="center" vertical="center"/>
    </xf>
    <xf numFmtId="0" fontId="8" fillId="13" borderId="1" xfId="0" applyFont="1" applyFill="1" applyBorder="1" applyAlignment="1">
      <alignment horizontal="left" vertical="center"/>
    </xf>
    <xf numFmtId="0" fontId="10" fillId="15" borderId="1" xfId="0" applyFont="1" applyFill="1" applyBorder="1" applyAlignment="1"/>
    <xf numFmtId="0" fontId="8" fillId="13" borderId="1" xfId="0" applyFont="1" applyFill="1" applyBorder="1" applyAlignment="1"/>
    <xf numFmtId="0" fontId="15" fillId="13" borderId="1" xfId="0" applyFont="1" applyFill="1" applyBorder="1" applyAlignment="1">
      <alignment horizontal="center" vertical="center" wrapText="1"/>
    </xf>
    <xf numFmtId="0" fontId="10" fillId="14" borderId="1" xfId="0" applyFont="1" applyFill="1" applyBorder="1" applyAlignment="1">
      <alignment horizontal="left"/>
    </xf>
    <xf numFmtId="0" fontId="13" fillId="13" borderId="1" xfId="0" applyFont="1" applyFill="1" applyBorder="1"/>
    <xf numFmtId="0" fontId="13" fillId="0" borderId="1" xfId="0" applyFont="1" applyFill="1" applyBorder="1"/>
    <xf numFmtId="165" fontId="7" fillId="0" borderId="1" xfId="2" applyNumberFormat="1" applyFont="1" applyFill="1" applyBorder="1" applyAlignment="1">
      <alignment horizontal="center" vertical="center"/>
    </xf>
    <xf numFmtId="167" fontId="2" fillId="0" borderId="0" xfId="0" applyNumberFormat="1" applyFont="1"/>
    <xf numFmtId="9" fontId="2" fillId="0" borderId="0" xfId="2" applyFont="1"/>
    <xf numFmtId="165" fontId="2" fillId="0" borderId="0" xfId="2" applyNumberFormat="1" applyFont="1"/>
    <xf numFmtId="165" fontId="2" fillId="0" borderId="0" xfId="0" applyNumberFormat="1" applyFont="1"/>
    <xf numFmtId="165" fontId="2" fillId="16" borderId="0" xfId="0" applyNumberFormat="1" applyFont="1" applyFill="1"/>
    <xf numFmtId="0" fontId="2" fillId="0" borderId="0" xfId="0" applyFont="1" applyAlignment="1">
      <alignment horizontal="center" wrapText="1"/>
    </xf>
    <xf numFmtId="168" fontId="2" fillId="0" borderId="0" xfId="0" applyNumberFormat="1" applyFont="1"/>
    <xf numFmtId="9" fontId="8" fillId="3" borderId="1" xfId="2" applyFont="1" applyFill="1" applyBorder="1" applyAlignment="1">
      <alignment horizontal="center" vertical="center"/>
    </xf>
    <xf numFmtId="0" fontId="2" fillId="0" borderId="0" xfId="0" applyFont="1" applyBorder="1" applyAlignment="1">
      <alignment horizontal="center" wrapText="1"/>
    </xf>
    <xf numFmtId="166" fontId="7" fillId="0" borderId="1" xfId="2" applyNumberFormat="1" applyFont="1" applyFill="1" applyBorder="1"/>
    <xf numFmtId="3" fontId="2" fillId="0" borderId="0" xfId="0" applyNumberFormat="1" applyFont="1" applyFill="1"/>
    <xf numFmtId="9" fontId="7" fillId="0" borderId="1" xfId="2" applyFont="1" applyFill="1" applyBorder="1" applyAlignment="1">
      <alignment horizontal="right"/>
    </xf>
    <xf numFmtId="0" fontId="19" fillId="0" borderId="0" xfId="0" applyFont="1" applyAlignment="1">
      <alignment vertical="center"/>
    </xf>
    <xf numFmtId="0" fontId="19" fillId="0" borderId="0" xfId="0" applyFont="1" applyFill="1" applyBorder="1" applyAlignment="1">
      <alignment vertical="center"/>
    </xf>
    <xf numFmtId="0" fontId="19" fillId="0" borderId="0" xfId="0" applyFont="1" applyFill="1" applyBorder="1" applyAlignment="1">
      <alignment horizontal="justify" vertical="center" wrapText="1"/>
    </xf>
    <xf numFmtId="0" fontId="20" fillId="14" borderId="1" xfId="0" applyFont="1" applyFill="1" applyBorder="1" applyAlignment="1">
      <alignment horizontal="center" vertical="center"/>
    </xf>
    <xf numFmtId="169" fontId="20" fillId="14" borderId="1" xfId="0" applyNumberFormat="1" applyFont="1" applyFill="1" applyBorder="1" applyAlignment="1">
      <alignment horizontal="center" vertical="center" wrapText="1"/>
    </xf>
    <xf numFmtId="169" fontId="20" fillId="14" borderId="1" xfId="0" applyNumberFormat="1" applyFont="1" applyFill="1"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justify" vertical="center" wrapText="1"/>
    </xf>
    <xf numFmtId="0" fontId="21" fillId="0" borderId="1" xfId="0" applyFont="1" applyFill="1" applyBorder="1" applyAlignment="1">
      <alignment horizontal="center" vertical="center"/>
    </xf>
    <xf numFmtId="169" fontId="19" fillId="0" borderId="1" xfId="4" applyNumberFormat="1" applyFont="1" applyBorder="1" applyAlignment="1">
      <alignment vertical="center"/>
    </xf>
    <xf numFmtId="0" fontId="19" fillId="0" borderId="1" xfId="0" applyFont="1" applyFill="1" applyBorder="1" applyAlignment="1">
      <alignment horizontal="justify" vertical="center" wrapText="1"/>
    </xf>
    <xf numFmtId="0" fontId="20" fillId="14" borderId="1" xfId="0" applyFont="1" applyFill="1" applyBorder="1" applyAlignment="1">
      <alignment vertical="center"/>
    </xf>
    <xf numFmtId="0" fontId="19" fillId="5" borderId="1" xfId="0" applyFont="1" applyFill="1" applyBorder="1" applyAlignment="1">
      <alignment vertical="center" wrapText="1"/>
    </xf>
    <xf numFmtId="0" fontId="19" fillId="0" borderId="1" xfId="0" applyFont="1" applyBorder="1" applyAlignment="1">
      <alignment horizontal="center" vertical="center" wrapText="1"/>
    </xf>
    <xf numFmtId="169" fontId="20" fillId="14" borderId="1" xfId="0" applyNumberFormat="1" applyFont="1" applyFill="1" applyBorder="1" applyAlignment="1">
      <alignment vertical="center"/>
    </xf>
    <xf numFmtId="0" fontId="22" fillId="0" borderId="1" xfId="0" applyFont="1" applyFill="1" applyBorder="1" applyAlignment="1">
      <alignment horizontal="center" vertical="center"/>
    </xf>
    <xf numFmtId="0" fontId="19" fillId="14" borderId="1" xfId="0" applyFont="1" applyFill="1" applyBorder="1" applyAlignment="1">
      <alignment horizontal="center" vertical="center"/>
    </xf>
    <xf numFmtId="0" fontId="19" fillId="0" borderId="0" xfId="0" applyFont="1" applyAlignment="1">
      <alignment horizontal="center" vertical="center"/>
    </xf>
    <xf numFmtId="169" fontId="19" fillId="0" borderId="0" xfId="0" applyNumberFormat="1" applyFont="1" applyAlignment="1">
      <alignment vertical="center"/>
    </xf>
    <xf numFmtId="0" fontId="18" fillId="0" borderId="0" xfId="0" applyFont="1" applyAlignment="1">
      <alignment vertical="center"/>
    </xf>
    <xf numFmtId="0" fontId="18" fillId="3" borderId="1" xfId="0" applyFont="1" applyFill="1" applyBorder="1" applyAlignment="1">
      <alignment horizontal="center" vertical="center" wrapText="1"/>
    </xf>
    <xf numFmtId="169" fontId="18" fillId="3" borderId="1" xfId="0" applyNumberFormat="1" applyFont="1" applyFill="1" applyBorder="1" applyAlignment="1">
      <alignment horizontal="center" vertical="center" wrapText="1"/>
    </xf>
    <xf numFmtId="0" fontId="19" fillId="0" borderId="1" xfId="0" applyFont="1" applyBorder="1" applyAlignment="1">
      <alignment horizontal="left" vertical="center" wrapText="1"/>
    </xf>
    <xf numFmtId="9" fontId="19" fillId="0" borderId="1" xfId="2" applyFont="1" applyFill="1" applyBorder="1" applyAlignment="1">
      <alignment horizontal="center" vertical="center"/>
    </xf>
    <xf numFmtId="169" fontId="19" fillId="0" borderId="1" xfId="2" applyNumberFormat="1" applyFont="1" applyFill="1" applyBorder="1" applyAlignment="1">
      <alignment horizontal="center" vertical="center"/>
    </xf>
    <xf numFmtId="169" fontId="19" fillId="0" borderId="1" xfId="2" applyNumberFormat="1" applyFont="1" applyFill="1" applyBorder="1" applyAlignment="1">
      <alignment horizontal="right" vertical="center"/>
    </xf>
    <xf numFmtId="10" fontId="19" fillId="0" borderId="1" xfId="2" applyNumberFormat="1" applyFont="1" applyBorder="1" applyAlignment="1">
      <alignment vertical="center"/>
    </xf>
    <xf numFmtId="0" fontId="20" fillId="14" borderId="1" xfId="0" applyFont="1" applyFill="1" applyBorder="1" applyAlignment="1">
      <alignment horizontal="center" vertical="center" wrapText="1"/>
    </xf>
    <xf numFmtId="0" fontId="20" fillId="15" borderId="1" xfId="0" applyFont="1" applyFill="1" applyBorder="1" applyAlignment="1">
      <alignment vertical="center"/>
    </xf>
    <xf numFmtId="0" fontId="18" fillId="13" borderId="1" xfId="0" applyFont="1" applyFill="1" applyBorder="1" applyAlignment="1">
      <alignment vertical="center" wrapText="1"/>
    </xf>
    <xf numFmtId="0" fontId="23" fillId="14" borderId="1" xfId="0" applyFont="1" applyFill="1" applyBorder="1" applyAlignment="1">
      <alignment vertical="center"/>
    </xf>
    <xf numFmtId="0" fontId="21" fillId="5" borderId="1" xfId="0" applyFont="1" applyFill="1" applyBorder="1" applyAlignment="1">
      <alignment horizontal="center" vertical="center"/>
    </xf>
    <xf numFmtId="0" fontId="21" fillId="5" borderId="1" xfId="0" applyFont="1" applyFill="1" applyBorder="1" applyAlignment="1">
      <alignment horizontal="left" vertical="center"/>
    </xf>
    <xf numFmtId="169" fontId="19" fillId="0" borderId="1" xfId="1" applyNumberFormat="1" applyFont="1" applyFill="1" applyBorder="1" applyAlignment="1">
      <alignment horizontal="right" vertical="center"/>
    </xf>
    <xf numFmtId="10" fontId="19" fillId="0" borderId="1" xfId="2" applyNumberFormat="1" applyFont="1" applyFill="1" applyBorder="1" applyAlignment="1">
      <alignment horizontal="center" vertical="center"/>
    </xf>
    <xf numFmtId="10" fontId="19" fillId="0" borderId="1" xfId="2" applyNumberFormat="1" applyFont="1" applyFill="1" applyBorder="1" applyAlignment="1">
      <alignment horizontal="right" vertical="center"/>
    </xf>
    <xf numFmtId="0" fontId="25" fillId="0" borderId="0" xfId="0" applyFont="1"/>
    <xf numFmtId="166" fontId="25" fillId="0" borderId="1" xfId="1" applyNumberFormat="1" applyFont="1" applyFill="1" applyBorder="1" applyAlignment="1">
      <alignment vertical="center"/>
    </xf>
    <xf numFmtId="10" fontId="25" fillId="0" borderId="1" xfId="2" applyNumberFormat="1" applyFont="1" applyFill="1" applyBorder="1" applyAlignment="1">
      <alignment vertical="center"/>
    </xf>
    <xf numFmtId="9" fontId="25" fillId="0" borderId="1" xfId="2" applyFont="1" applyFill="1" applyBorder="1" applyAlignment="1">
      <alignment vertical="center"/>
    </xf>
    <xf numFmtId="166" fontId="25" fillId="0" borderId="1" xfId="2" applyNumberFormat="1" applyFont="1" applyFill="1" applyBorder="1" applyAlignment="1">
      <alignment vertical="center"/>
    </xf>
    <xf numFmtId="0" fontId="25" fillId="0" borderId="1" xfId="0" applyFont="1" applyBorder="1" applyAlignment="1">
      <alignment horizontal="center" vertical="center" wrapText="1"/>
    </xf>
    <xf numFmtId="9" fontId="25" fillId="0" borderId="1" xfId="2" applyNumberFormat="1" applyFont="1" applyFill="1" applyBorder="1" applyAlignment="1">
      <alignment vertical="center"/>
    </xf>
    <xf numFmtId="166" fontId="25" fillId="0" borderId="1" xfId="1" applyNumberFormat="1" applyFont="1" applyFill="1" applyBorder="1" applyAlignment="1">
      <alignment horizontal="right" vertical="center"/>
    </xf>
    <xf numFmtId="165" fontId="25" fillId="0" borderId="1" xfId="2" applyNumberFormat="1" applyFont="1" applyFill="1" applyBorder="1" applyAlignment="1">
      <alignment horizontal="right" vertical="center"/>
    </xf>
    <xf numFmtId="0" fontId="25" fillId="0" borderId="1" xfId="0" applyFont="1" applyBorder="1" applyAlignment="1">
      <alignment horizontal="center" vertical="center"/>
    </xf>
    <xf numFmtId="0" fontId="25" fillId="0" borderId="1" xfId="0" applyFont="1" applyBorder="1" applyAlignment="1">
      <alignment horizontal="left" vertical="center" wrapText="1"/>
    </xf>
    <xf numFmtId="165" fontId="25" fillId="0" borderId="1" xfId="2" applyNumberFormat="1" applyFont="1" applyFill="1" applyBorder="1" applyAlignment="1">
      <alignment vertical="center"/>
    </xf>
    <xf numFmtId="10" fontId="25" fillId="0" borderId="1" xfId="2" applyNumberFormat="1" applyFont="1" applyFill="1" applyBorder="1" applyAlignment="1">
      <alignment horizontal="right" vertical="center"/>
    </xf>
    <xf numFmtId="0" fontId="25" fillId="0" borderId="0" xfId="0" applyFont="1" applyAlignment="1">
      <alignment vertical="center"/>
    </xf>
    <xf numFmtId="0" fontId="25" fillId="0" borderId="0" xfId="0" applyFont="1" applyAlignment="1">
      <alignment horizontal="left"/>
    </xf>
    <xf numFmtId="0" fontId="24" fillId="14" borderId="1" xfId="0" applyFont="1" applyFill="1" applyBorder="1" applyAlignment="1">
      <alignment horizontal="center" vertical="center"/>
    </xf>
    <xf numFmtId="0" fontId="24" fillId="14" borderId="1" xfId="0" applyFont="1" applyFill="1" applyBorder="1" applyAlignment="1">
      <alignment horizontal="left" vertical="center" wrapText="1"/>
    </xf>
    <xf numFmtId="0" fontId="25" fillId="0" borderId="1" xfId="0" applyFont="1" applyFill="1" applyBorder="1" applyAlignment="1">
      <alignment horizontal="left" vertical="center" wrapText="1"/>
    </xf>
    <xf numFmtId="0" fontId="24" fillId="15" borderId="1" xfId="0" applyFont="1" applyFill="1" applyBorder="1" applyAlignment="1">
      <alignment horizontal="center" vertical="center"/>
    </xf>
    <xf numFmtId="0" fontId="25" fillId="5" borderId="1" xfId="0" applyFont="1" applyFill="1" applyBorder="1" applyAlignment="1">
      <alignment horizontal="left" vertical="center" wrapText="1"/>
    </xf>
    <xf numFmtId="170" fontId="2" fillId="0" borderId="0" xfId="1" applyNumberFormat="1" applyFont="1"/>
    <xf numFmtId="170" fontId="5" fillId="11" borderId="0" xfId="1" applyNumberFormat="1" applyFont="1" applyFill="1" applyAlignment="1">
      <alignment horizontal="center" vertical="center" wrapText="1"/>
    </xf>
    <xf numFmtId="170" fontId="7" fillId="0" borderId="1" xfId="1" applyNumberFormat="1" applyFont="1" applyFill="1" applyBorder="1"/>
    <xf numFmtId="170" fontId="13" fillId="2" borderId="1" xfId="1" applyNumberFormat="1" applyFont="1" applyFill="1" applyBorder="1"/>
    <xf numFmtId="170" fontId="8" fillId="3" borderId="1" xfId="1" applyNumberFormat="1" applyFont="1" applyFill="1" applyBorder="1" applyAlignment="1">
      <alignment horizontal="center"/>
    </xf>
    <xf numFmtId="170" fontId="8" fillId="2" borderId="1" xfId="1" applyNumberFormat="1" applyFont="1" applyFill="1" applyBorder="1"/>
    <xf numFmtId="170" fontId="8" fillId="3" borderId="1" xfId="1" applyNumberFormat="1" applyFont="1" applyFill="1" applyBorder="1" applyAlignment="1"/>
    <xf numFmtId="170" fontId="7" fillId="0" borderId="1" xfId="1" applyNumberFormat="1" applyFont="1" applyFill="1" applyBorder="1" applyAlignment="1">
      <alignment horizontal="right"/>
    </xf>
    <xf numFmtId="170" fontId="8" fillId="3" borderId="1" xfId="1" applyNumberFormat="1" applyFont="1" applyFill="1" applyBorder="1" applyAlignment="1">
      <alignment horizontal="right" vertical="center"/>
    </xf>
    <xf numFmtId="170" fontId="8" fillId="3" borderId="1" xfId="1" applyNumberFormat="1" applyFont="1" applyFill="1" applyBorder="1"/>
    <xf numFmtId="170" fontId="4" fillId="2" borderId="1" xfId="1" applyNumberFormat="1" applyFont="1" applyFill="1" applyBorder="1" applyAlignment="1">
      <alignment horizontal="right" vertical="center"/>
    </xf>
    <xf numFmtId="170" fontId="4" fillId="0" borderId="0" xfId="1" applyNumberFormat="1" applyFont="1"/>
    <xf numFmtId="170" fontId="9" fillId="0" borderId="0" xfId="1" applyNumberFormat="1" applyFont="1"/>
    <xf numFmtId="9" fontId="7" fillId="7" borderId="1" xfId="2" applyFont="1" applyFill="1" applyBorder="1"/>
    <xf numFmtId="9" fontId="7" fillId="7" borderId="1" xfId="2" applyNumberFormat="1" applyFont="1" applyFill="1" applyBorder="1"/>
    <xf numFmtId="10" fontId="7" fillId="7" borderId="1" xfId="2" applyNumberFormat="1" applyFont="1" applyFill="1" applyBorder="1" applyAlignment="1">
      <alignment horizontal="right"/>
    </xf>
    <xf numFmtId="0" fontId="2" fillId="0" borderId="0" xfId="0" applyFont="1" applyAlignment="1">
      <alignment horizontal="center" wrapText="1"/>
    </xf>
    <xf numFmtId="0" fontId="2" fillId="0" borderId="0" xfId="0" applyFont="1" applyAlignment="1">
      <alignment horizontal="center"/>
    </xf>
    <xf numFmtId="0" fontId="2" fillId="0" borderId="0" xfId="0" applyFont="1" applyFill="1" applyAlignment="1">
      <alignment horizontal="center"/>
    </xf>
    <xf numFmtId="0" fontId="10" fillId="15" borderId="1" xfId="0" applyFont="1" applyFill="1" applyBorder="1" applyAlignment="1">
      <alignment horizontal="center"/>
    </xf>
    <xf numFmtId="0" fontId="10" fillId="15" borderId="1" xfId="0" applyFont="1" applyFill="1" applyBorder="1" applyAlignment="1">
      <alignment horizontal="center" vertical="center"/>
    </xf>
    <xf numFmtId="0" fontId="2" fillId="5" borderId="0" xfId="0" applyFont="1" applyFill="1"/>
    <xf numFmtId="0" fontId="2" fillId="5" borderId="0" xfId="0" applyFont="1" applyFill="1" applyAlignment="1">
      <alignment horizontal="center"/>
    </xf>
    <xf numFmtId="170" fontId="2" fillId="5" borderId="0" xfId="1" applyNumberFormat="1" applyFont="1" applyFill="1"/>
    <xf numFmtId="0" fontId="2" fillId="5" borderId="0" xfId="0" applyFont="1" applyFill="1" applyBorder="1" applyAlignment="1">
      <alignment horizontal="center"/>
    </xf>
    <xf numFmtId="170" fontId="13" fillId="12" borderId="1" xfId="1" applyNumberFormat="1" applyFont="1" applyFill="1" applyBorder="1"/>
    <xf numFmtId="0" fontId="15" fillId="13" borderId="5" xfId="0" applyFont="1" applyFill="1" applyBorder="1" applyAlignment="1">
      <alignment vertical="center" wrapText="1"/>
    </xf>
    <xf numFmtId="0" fontId="15" fillId="13" borderId="6" xfId="0" applyFont="1" applyFill="1" applyBorder="1" applyAlignment="1">
      <alignment vertical="center" wrapText="1"/>
    </xf>
    <xf numFmtId="0" fontId="15" fillId="13" borderId="7" xfId="0" applyFont="1" applyFill="1" applyBorder="1" applyAlignment="1">
      <alignment vertical="center" wrapText="1"/>
    </xf>
    <xf numFmtId="170" fontId="8" fillId="12" borderId="1" xfId="1" applyNumberFormat="1" applyFont="1" applyFill="1" applyBorder="1"/>
    <xf numFmtId="170" fontId="10" fillId="14" borderId="1" xfId="1" applyNumberFormat="1" applyFont="1" applyFill="1" applyBorder="1"/>
    <xf numFmtId="170" fontId="5" fillId="14" borderId="1" xfId="1" applyNumberFormat="1" applyFont="1" applyFill="1" applyBorder="1" applyAlignment="1">
      <alignment horizontal="right" vertical="center"/>
    </xf>
    <xf numFmtId="0" fontId="26" fillId="11" borderId="0" xfId="0" applyFont="1" applyFill="1" applyAlignment="1">
      <alignment horizontal="center" vertical="center" wrapText="1"/>
    </xf>
    <xf numFmtId="170" fontId="26" fillId="11" borderId="0" xfId="1" applyNumberFormat="1" applyFont="1" applyFill="1" applyAlignment="1">
      <alignment horizontal="center" vertical="center" wrapText="1"/>
    </xf>
    <xf numFmtId="171" fontId="20" fillId="14" borderId="1" xfId="4" applyNumberFormat="1" applyFont="1" applyFill="1" applyBorder="1" applyAlignment="1">
      <alignment vertical="center"/>
    </xf>
    <xf numFmtId="171" fontId="19" fillId="0" borderId="1" xfId="4" applyNumberFormat="1" applyFont="1" applyBorder="1" applyAlignment="1">
      <alignment vertical="center"/>
    </xf>
    <xf numFmtId="171" fontId="18" fillId="12" borderId="1" xfId="4" applyNumberFormat="1" applyFont="1" applyFill="1" applyBorder="1" applyAlignment="1">
      <alignment horizontal="center" vertical="center" wrapText="1"/>
    </xf>
    <xf numFmtId="171" fontId="20" fillId="14" borderId="1" xfId="0" applyNumberFormat="1" applyFont="1" applyFill="1" applyBorder="1" applyAlignment="1">
      <alignment horizontal="center" vertical="center"/>
    </xf>
    <xf numFmtId="0" fontId="27" fillId="0" borderId="1" xfId="0" applyFont="1" applyFill="1" applyBorder="1" applyAlignment="1">
      <alignment horizontal="center" vertical="center"/>
    </xf>
    <xf numFmtId="42" fontId="19" fillId="0" borderId="0" xfId="1" applyFont="1" applyAlignment="1">
      <alignment vertical="center"/>
    </xf>
    <xf numFmtId="172" fontId="19" fillId="0" borderId="0" xfId="0" applyNumberFormat="1" applyFont="1" applyAlignment="1">
      <alignment vertical="center"/>
    </xf>
    <xf numFmtId="2" fontId="19" fillId="0" borderId="0" xfId="0" applyNumberFormat="1" applyFont="1" applyFill="1" applyBorder="1" applyAlignment="1">
      <alignment vertical="center"/>
    </xf>
    <xf numFmtId="171" fontId="19" fillId="0" borderId="0" xfId="0" applyNumberFormat="1" applyFont="1" applyAlignment="1">
      <alignment vertical="center"/>
    </xf>
    <xf numFmtId="0" fontId="2" fillId="0" borderId="9" xfId="0" applyFont="1" applyBorder="1" applyAlignment="1">
      <alignment horizontal="center" wrapText="1"/>
    </xf>
    <xf numFmtId="0" fontId="2" fillId="0" borderId="0" xfId="0" applyFont="1" applyAlignment="1">
      <alignment horizontal="center" wrapText="1"/>
    </xf>
    <xf numFmtId="0" fontId="4" fillId="12" borderId="0" xfId="0" applyFont="1" applyFill="1" applyAlignment="1">
      <alignment horizontal="center" vertical="center" wrapText="1"/>
    </xf>
    <xf numFmtId="0" fontId="8" fillId="0" borderId="1" xfId="0" applyFont="1" applyBorder="1" applyAlignment="1">
      <alignment horizontal="center" vertical="center" wrapText="1"/>
    </xf>
    <xf numFmtId="0" fontId="10" fillId="6" borderId="5" xfId="0" applyFont="1" applyFill="1" applyBorder="1" applyAlignment="1">
      <alignment horizontal="center" vertical="center"/>
    </xf>
    <xf numFmtId="0" fontId="10" fillId="6" borderId="6" xfId="0" applyFont="1" applyFill="1" applyBorder="1" applyAlignment="1">
      <alignment horizontal="center" vertical="center"/>
    </xf>
    <xf numFmtId="0" fontId="8" fillId="5" borderId="1" xfId="0" applyFont="1" applyFill="1" applyBorder="1" applyAlignment="1">
      <alignment horizontal="left" vertical="center" wrapText="1"/>
    </xf>
    <xf numFmtId="0" fontId="8" fillId="5" borderId="1" xfId="0" applyFont="1" applyFill="1" applyBorder="1" applyAlignment="1">
      <alignment horizontal="left" vertical="center"/>
    </xf>
    <xf numFmtId="0" fontId="6" fillId="12" borderId="0" xfId="0" applyFont="1" applyFill="1" applyAlignment="1">
      <alignment horizontal="center" vertical="center"/>
    </xf>
    <xf numFmtId="0" fontId="6" fillId="12" borderId="4" xfId="0" applyFont="1" applyFill="1" applyBorder="1" applyAlignment="1">
      <alignment horizontal="center" vertical="center"/>
    </xf>
    <xf numFmtId="0" fontId="4" fillId="7" borderId="5"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9" borderId="7" xfId="0" applyFont="1" applyFill="1" applyBorder="1" applyAlignment="1">
      <alignment horizontal="center" vertical="center" wrapText="1"/>
    </xf>
    <xf numFmtId="0" fontId="4" fillId="10" borderId="5"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2" fillId="0" borderId="8" xfId="0" applyFont="1" applyBorder="1" applyAlignment="1">
      <alignment horizontal="left" wrapText="1"/>
    </xf>
    <xf numFmtId="0" fontId="2" fillId="0" borderId="0" xfId="0" applyFont="1" applyBorder="1" applyAlignment="1">
      <alignment horizontal="left" wrapText="1"/>
    </xf>
    <xf numFmtId="0" fontId="8" fillId="5" borderId="5"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11" fillId="5" borderId="1" xfId="3" applyFont="1" applyFill="1" applyBorder="1" applyAlignment="1" applyProtection="1">
      <alignment horizontal="left" vertical="center"/>
    </xf>
    <xf numFmtId="0" fontId="10" fillId="4" borderId="0" xfId="0" applyFont="1" applyFill="1" applyAlignment="1">
      <alignment horizontal="center"/>
    </xf>
    <xf numFmtId="0" fontId="10" fillId="4" borderId="4" xfId="0" applyFont="1" applyFill="1" applyBorder="1" applyAlignment="1">
      <alignment horizont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5" borderId="5" xfId="0" applyFont="1" applyFill="1" applyBorder="1" applyAlignment="1">
      <alignment horizontal="left" vertical="center"/>
    </xf>
    <xf numFmtId="0" fontId="8" fillId="5" borderId="7" xfId="0" applyFont="1" applyFill="1" applyBorder="1" applyAlignment="1">
      <alignment horizontal="left" vertical="center"/>
    </xf>
    <xf numFmtId="0" fontId="13" fillId="2" borderId="1" xfId="0" applyFont="1" applyFill="1" applyBorder="1" applyAlignment="1">
      <alignment horizontal="center"/>
    </xf>
    <xf numFmtId="0" fontId="10" fillId="14" borderId="5" xfId="0" applyFont="1" applyFill="1" applyBorder="1" applyAlignment="1">
      <alignment horizontal="center"/>
    </xf>
    <xf numFmtId="0" fontId="10" fillId="14" borderId="6" xfId="0" applyFont="1" applyFill="1" applyBorder="1" applyAlignment="1">
      <alignment horizontal="center"/>
    </xf>
    <xf numFmtId="0" fontId="10" fillId="14" borderId="7" xfId="0" applyFont="1" applyFill="1" applyBorder="1" applyAlignment="1">
      <alignment horizontal="center"/>
    </xf>
    <xf numFmtId="0" fontId="4" fillId="5" borderId="0" xfId="0" applyFont="1" applyFill="1" applyAlignment="1">
      <alignment horizontal="center" vertical="center" wrapText="1"/>
    </xf>
    <xf numFmtId="0" fontId="2" fillId="5" borderId="0" xfId="0" applyFont="1" applyFill="1" applyBorder="1" applyAlignment="1">
      <alignment horizontal="left" wrapText="1"/>
    </xf>
    <xf numFmtId="0" fontId="15" fillId="13" borderId="5" xfId="0" applyFont="1" applyFill="1" applyBorder="1" applyAlignment="1">
      <alignment horizontal="left" vertical="center" wrapText="1"/>
    </xf>
    <xf numFmtId="0" fontId="15" fillId="13" borderId="6" xfId="0" applyFont="1" applyFill="1" applyBorder="1" applyAlignment="1">
      <alignment horizontal="left" vertical="center" wrapText="1"/>
    </xf>
    <xf numFmtId="0" fontId="15" fillId="13" borderId="7" xfId="0" applyFont="1" applyFill="1" applyBorder="1" applyAlignment="1">
      <alignment horizontal="left" vertical="center" wrapText="1"/>
    </xf>
    <xf numFmtId="0" fontId="13" fillId="13" borderId="5" xfId="0" applyFont="1" applyFill="1" applyBorder="1" applyAlignment="1">
      <alignment horizontal="left"/>
    </xf>
    <xf numFmtId="0" fontId="13" fillId="13" borderId="6" xfId="0" applyFont="1" applyFill="1" applyBorder="1" applyAlignment="1">
      <alignment horizontal="left"/>
    </xf>
    <xf numFmtId="0" fontId="13" fillId="13" borderId="7" xfId="0" applyFont="1" applyFill="1" applyBorder="1" applyAlignment="1">
      <alignment horizontal="left"/>
    </xf>
    <xf numFmtId="0" fontId="10" fillId="14" borderId="5" xfId="0" applyFont="1" applyFill="1" applyBorder="1" applyAlignment="1">
      <alignment horizontal="left"/>
    </xf>
    <xf numFmtId="0" fontId="10" fillId="14" borderId="6" xfId="0" applyFont="1" applyFill="1" applyBorder="1" applyAlignment="1">
      <alignment horizontal="left"/>
    </xf>
    <xf numFmtId="0" fontId="10" fillId="14" borderId="7" xfId="0" applyFont="1" applyFill="1" applyBorder="1" applyAlignment="1">
      <alignment horizontal="left"/>
    </xf>
    <xf numFmtId="0" fontId="18" fillId="0" borderId="0" xfId="0" applyFont="1" applyBorder="1" applyAlignment="1">
      <alignment horizontal="left" vertical="center"/>
    </xf>
    <xf numFmtId="0" fontId="18" fillId="12" borderId="1" xfId="0" applyFont="1" applyFill="1" applyBorder="1" applyAlignment="1">
      <alignment horizontal="center" vertical="center" wrapText="1"/>
    </xf>
    <xf numFmtId="0" fontId="20" fillId="14" borderId="5" xfId="0" applyFont="1" applyFill="1" applyBorder="1" applyAlignment="1">
      <alignment horizontal="center" vertical="center"/>
    </xf>
    <xf numFmtId="0" fontId="20" fillId="14" borderId="6" xfId="0" applyFont="1" applyFill="1" applyBorder="1" applyAlignment="1">
      <alignment horizontal="center" vertical="center"/>
    </xf>
    <xf numFmtId="0" fontId="20" fillId="14" borderId="7" xfId="0" applyFont="1" applyFill="1" applyBorder="1" applyAlignment="1">
      <alignment horizontal="center" vertical="center"/>
    </xf>
    <xf numFmtId="0" fontId="19" fillId="0" borderId="1" xfId="0" applyFont="1" applyBorder="1" applyAlignment="1">
      <alignment horizontal="left" vertical="center" wrapText="1"/>
    </xf>
    <xf numFmtId="0" fontId="22" fillId="0" borderId="1" xfId="0" applyFont="1" applyFill="1" applyBorder="1" applyAlignment="1">
      <alignment horizontal="left" vertical="center"/>
    </xf>
    <xf numFmtId="0" fontId="20" fillId="14" borderId="1" xfId="0" applyFont="1" applyFill="1" applyBorder="1" applyAlignment="1">
      <alignment horizontal="center" vertical="center"/>
    </xf>
    <xf numFmtId="0" fontId="18" fillId="0" borderId="0" xfId="0" applyFont="1" applyAlignment="1">
      <alignment horizontal="center" vertical="center"/>
    </xf>
    <xf numFmtId="0" fontId="18" fillId="12" borderId="5" xfId="0" applyFont="1" applyFill="1" applyBorder="1" applyAlignment="1">
      <alignment horizontal="center" vertical="center" wrapText="1"/>
    </xf>
    <xf numFmtId="0" fontId="18" fillId="12" borderId="6" xfId="0" applyFont="1" applyFill="1" applyBorder="1" applyAlignment="1">
      <alignment horizontal="center" vertical="center" wrapText="1"/>
    </xf>
    <xf numFmtId="0" fontId="18" fillId="12" borderId="7" xfId="0" applyFont="1" applyFill="1" applyBorder="1" applyAlignment="1">
      <alignment horizontal="center" vertical="center" wrapText="1"/>
    </xf>
    <xf numFmtId="0" fontId="24" fillId="14" borderId="1" xfId="0" applyFont="1" applyFill="1" applyBorder="1" applyAlignment="1">
      <alignment horizontal="center" vertical="center" wrapText="1"/>
    </xf>
    <xf numFmtId="0" fontId="24" fillId="15" borderId="1" xfId="0" applyFont="1" applyFill="1" applyBorder="1" applyAlignment="1">
      <alignment horizontal="center"/>
    </xf>
  </cellXfs>
  <cellStyles count="5">
    <cellStyle name="Hipervínculo" xfId="3" builtinId="8"/>
    <cellStyle name="Moneda" xfId="4" builtinId="4"/>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25400</xdr:colOff>
      <xdr:row>0</xdr:row>
      <xdr:rowOff>38100</xdr:rowOff>
    </xdr:from>
    <xdr:to>
      <xdr:col>0</xdr:col>
      <xdr:colOff>4305008</xdr:colOff>
      <xdr:row>2</xdr:row>
      <xdr:rowOff>257462</xdr:rowOff>
    </xdr:to>
    <xdr:pic>
      <xdr:nvPicPr>
        <xdr:cNvPr id="2" name="Imagen 1">
          <a:extLst>
            <a:ext uri="{FF2B5EF4-FFF2-40B4-BE49-F238E27FC236}">
              <a16:creationId xmlns:a16="http://schemas.microsoft.com/office/drawing/2014/main" id="{C433C6C1-E0E6-EC4C-A2B8-6AD5C97869D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a:ext>
          </a:extLst>
        </a:blip>
        <a:srcRect/>
        <a:stretch/>
      </xdr:blipFill>
      <xdr:spPr>
        <a:xfrm>
          <a:off x="25400" y="38100"/>
          <a:ext cx="4279608" cy="8289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8"/>
  <sheetViews>
    <sheetView topLeftCell="B17" zoomScale="90" zoomScaleNormal="90" workbookViewId="0">
      <selection activeCell="W29" sqref="W29"/>
    </sheetView>
  </sheetViews>
  <sheetFormatPr baseColWidth="10" defaultColWidth="11.42578125" defaultRowHeight="16.5" x14ac:dyDescent="0.3"/>
  <cols>
    <col min="1" max="1" width="67.85546875" style="1" customWidth="1"/>
    <col min="2" max="2" width="7.140625" style="1" customWidth="1"/>
    <col min="3" max="3" width="8.42578125" style="1" customWidth="1"/>
    <col min="4" max="4" width="10.7109375" style="1" customWidth="1"/>
    <col min="5" max="5" width="13.28515625" style="3" customWidth="1"/>
    <col min="6" max="6" width="16.28515625" style="1" customWidth="1"/>
    <col min="7" max="7" width="12.85546875" style="1" customWidth="1"/>
    <col min="8" max="8" width="16.42578125" style="1" bestFit="1" customWidth="1"/>
    <col min="9" max="9" width="16.42578125" style="49" customWidth="1"/>
    <col min="10" max="10" width="11.140625" style="49" customWidth="1"/>
    <col min="11" max="11" width="12.42578125" style="49" customWidth="1"/>
    <col min="12" max="12" width="10.140625" style="1" customWidth="1"/>
    <col min="13" max="13" width="11.42578125" style="1" customWidth="1"/>
    <col min="14" max="14" width="16.7109375" style="49" hidden="1" customWidth="1"/>
    <col min="15" max="15" width="3" style="1" customWidth="1"/>
    <col min="16" max="16" width="10.140625" style="1" customWidth="1"/>
    <col min="17" max="17" width="11.28515625" style="1" bestFit="1" customWidth="1"/>
    <col min="18" max="18" width="12.28515625" style="1" bestFit="1" customWidth="1"/>
    <col min="19" max="19" width="13.42578125" style="1" customWidth="1"/>
    <col min="20" max="20" width="16.28515625" style="1" customWidth="1"/>
    <col min="21" max="21" width="14" style="1" customWidth="1"/>
    <col min="22" max="22" width="15.7109375" style="1" customWidth="1"/>
    <col min="23" max="23" width="19" style="132" customWidth="1"/>
    <col min="24" max="24" width="22.7109375" style="1" customWidth="1"/>
    <col min="25" max="25" width="13.28515625" style="1" bestFit="1" customWidth="1"/>
    <col min="26" max="16384" width="11.42578125" style="1"/>
  </cols>
  <sheetData>
    <row r="1" spans="1:3" ht="24" customHeight="1" x14ac:dyDescent="0.3">
      <c r="A1" s="3"/>
      <c r="B1" s="178" t="s">
        <v>25</v>
      </c>
      <c r="C1" s="178"/>
    </row>
    <row r="2" spans="1:3" ht="24" customHeight="1" x14ac:dyDescent="0.3">
      <c r="A2" s="10"/>
      <c r="B2" s="178"/>
      <c r="C2" s="178"/>
    </row>
    <row r="3" spans="1:3" ht="24" customHeight="1" x14ac:dyDescent="0.3">
      <c r="A3" s="10"/>
      <c r="B3" s="178"/>
      <c r="C3" s="178"/>
    </row>
    <row r="4" spans="1:3" x14ac:dyDescent="0.3">
      <c r="A4" s="3"/>
      <c r="B4" s="3"/>
      <c r="C4" s="3"/>
    </row>
    <row r="5" spans="1:3" x14ac:dyDescent="0.3">
      <c r="A5" s="3"/>
      <c r="B5" s="3"/>
      <c r="C5" s="3"/>
    </row>
    <row r="6" spans="1:3" x14ac:dyDescent="0.3">
      <c r="A6" s="11" t="s">
        <v>7</v>
      </c>
      <c r="B6" s="3"/>
      <c r="C6" s="3"/>
    </row>
    <row r="7" spans="1:3" x14ac:dyDescent="0.3">
      <c r="A7" s="3"/>
      <c r="B7" s="3"/>
      <c r="C7" s="3"/>
    </row>
    <row r="8" spans="1:3" x14ac:dyDescent="0.3">
      <c r="A8" s="179" t="s">
        <v>8</v>
      </c>
      <c r="B8" s="180"/>
      <c r="C8" s="180"/>
    </row>
    <row r="9" spans="1:3" x14ac:dyDescent="0.3">
      <c r="A9" s="12" t="s">
        <v>9</v>
      </c>
      <c r="B9" s="181"/>
      <c r="C9" s="182"/>
    </row>
    <row r="10" spans="1:3" x14ac:dyDescent="0.3">
      <c r="A10" s="12" t="s">
        <v>13</v>
      </c>
      <c r="B10" s="198"/>
      <c r="C10" s="199"/>
    </row>
    <row r="11" spans="1:3" x14ac:dyDescent="0.3">
      <c r="A11" s="12" t="s">
        <v>14</v>
      </c>
      <c r="B11" s="182"/>
      <c r="C11" s="182"/>
    </row>
    <row r="12" spans="1:3" x14ac:dyDescent="0.3">
      <c r="A12" s="12" t="s">
        <v>10</v>
      </c>
      <c r="B12" s="182"/>
      <c r="C12" s="182"/>
    </row>
    <row r="13" spans="1:3" x14ac:dyDescent="0.3">
      <c r="A13" s="12" t="s">
        <v>11</v>
      </c>
      <c r="B13" s="205"/>
      <c r="C13" s="206"/>
    </row>
    <row r="14" spans="1:3" x14ac:dyDescent="0.3">
      <c r="A14" s="12" t="s">
        <v>12</v>
      </c>
      <c r="B14" s="200"/>
      <c r="C14" s="182"/>
    </row>
    <row r="15" spans="1:3" x14ac:dyDescent="0.3">
      <c r="A15" s="3"/>
      <c r="B15" s="3"/>
      <c r="C15" s="3"/>
    </row>
    <row r="16" spans="1:3" x14ac:dyDescent="0.3">
      <c r="A16" s="3"/>
      <c r="B16" s="3"/>
      <c r="C16" s="3"/>
    </row>
    <row r="17" spans="1:25" x14ac:dyDescent="0.3">
      <c r="A17" s="13"/>
      <c r="B17" s="3"/>
      <c r="C17" s="3"/>
    </row>
    <row r="18" spans="1:25" x14ac:dyDescent="0.3">
      <c r="A18" s="201"/>
      <c r="B18" s="201"/>
      <c r="C18" s="201"/>
      <c r="D18" s="183" t="s">
        <v>21</v>
      </c>
      <c r="E18" s="183"/>
      <c r="F18" s="183"/>
      <c r="G18" s="183"/>
      <c r="H18" s="183"/>
      <c r="I18" s="183"/>
      <c r="J18" s="183"/>
      <c r="K18" s="183"/>
      <c r="L18" s="183"/>
      <c r="M18" s="183"/>
      <c r="N18" s="183"/>
    </row>
    <row r="19" spans="1:25" ht="14.1" customHeight="1" x14ac:dyDescent="0.3">
      <c r="A19" s="202"/>
      <c r="B19" s="202"/>
      <c r="C19" s="202"/>
      <c r="D19" s="184"/>
      <c r="E19" s="184"/>
      <c r="F19" s="184"/>
      <c r="G19" s="184"/>
      <c r="H19" s="184"/>
      <c r="I19" s="184"/>
      <c r="J19" s="184"/>
      <c r="K19" s="184"/>
      <c r="L19" s="184"/>
      <c r="M19" s="184"/>
      <c r="N19" s="184"/>
    </row>
    <row r="20" spans="1:25" ht="53.25" customHeight="1" x14ac:dyDescent="0.3">
      <c r="A20" s="55" t="s">
        <v>0</v>
      </c>
      <c r="B20" s="203" t="s">
        <v>1</v>
      </c>
      <c r="C20" s="203" t="s">
        <v>2</v>
      </c>
      <c r="D20" s="185" t="s">
        <v>26</v>
      </c>
      <c r="E20" s="186"/>
      <c r="F20" s="187" t="s">
        <v>55</v>
      </c>
      <c r="G20" s="188"/>
      <c r="H20" s="189" t="s">
        <v>44</v>
      </c>
      <c r="I20" s="190"/>
      <c r="J20" s="194" t="s">
        <v>63</v>
      </c>
      <c r="K20" s="195"/>
      <c r="L20" s="191" t="s">
        <v>48</v>
      </c>
      <c r="M20" s="192"/>
      <c r="N20" s="193"/>
      <c r="P20" s="177" t="s">
        <v>24</v>
      </c>
      <c r="Q20" s="177"/>
      <c r="R20" s="177"/>
      <c r="S20" s="177"/>
      <c r="T20" s="177"/>
      <c r="U20" s="177"/>
      <c r="V20" s="177"/>
      <c r="W20" s="177"/>
    </row>
    <row r="21" spans="1:25" ht="82.5" x14ac:dyDescent="0.3">
      <c r="A21" s="56" t="s">
        <v>5</v>
      </c>
      <c r="B21" s="204"/>
      <c r="C21" s="204"/>
      <c r="D21" s="5" t="s">
        <v>16</v>
      </c>
      <c r="E21" s="6" t="s">
        <v>17</v>
      </c>
      <c r="F21" s="5" t="s">
        <v>16</v>
      </c>
      <c r="G21" s="5" t="s">
        <v>17</v>
      </c>
      <c r="H21" s="5" t="s">
        <v>16</v>
      </c>
      <c r="I21" s="50" t="s">
        <v>17</v>
      </c>
      <c r="J21" s="5" t="s">
        <v>16</v>
      </c>
      <c r="K21" s="50" t="s">
        <v>17</v>
      </c>
      <c r="L21" s="5" t="s">
        <v>49</v>
      </c>
      <c r="M21" s="5" t="s">
        <v>16</v>
      </c>
      <c r="N21" s="50" t="s">
        <v>17</v>
      </c>
      <c r="P21" s="4" t="s">
        <v>18</v>
      </c>
      <c r="Q21" s="4" t="s">
        <v>19</v>
      </c>
      <c r="R21" s="4" t="s">
        <v>20</v>
      </c>
      <c r="S21" s="4" t="s">
        <v>57</v>
      </c>
      <c r="T21" s="4" t="s">
        <v>58</v>
      </c>
      <c r="U21" s="4" t="s">
        <v>59</v>
      </c>
      <c r="V21" s="4" t="s">
        <v>56</v>
      </c>
      <c r="W21" s="133" t="s">
        <v>17</v>
      </c>
    </row>
    <row r="22" spans="1:25" ht="15.95" customHeight="1" x14ac:dyDescent="0.3">
      <c r="A22" s="15" t="s">
        <v>27</v>
      </c>
      <c r="B22" s="20">
        <v>1</v>
      </c>
      <c r="C22" s="20">
        <v>6.5</v>
      </c>
      <c r="D22" s="16">
        <v>8500000</v>
      </c>
      <c r="E22" s="17">
        <f>B22*C22*D22</f>
        <v>55250000</v>
      </c>
      <c r="F22" s="16">
        <v>9000000</v>
      </c>
      <c r="G22" s="17">
        <f>B22*C22*F22</f>
        <v>58500000</v>
      </c>
      <c r="H22" s="16">
        <v>3500000</v>
      </c>
      <c r="I22" s="17">
        <f>B22*C22*H22</f>
        <v>22750000</v>
      </c>
      <c r="J22" s="17">
        <v>10000000</v>
      </c>
      <c r="K22" s="17">
        <f>+B22*C22*J22</f>
        <v>65000000</v>
      </c>
      <c r="L22" s="16">
        <v>9816800</v>
      </c>
      <c r="M22" s="16">
        <f>L22*(5.62/100)+L22</f>
        <v>10368504.16</v>
      </c>
      <c r="N22" s="17">
        <f>B22*C22*L22</f>
        <v>63809200</v>
      </c>
      <c r="P22" s="17">
        <f>AVERAGE(D22,F22,H22,J22,M22)</f>
        <v>8273700.8319999995</v>
      </c>
      <c r="Q22" s="17">
        <f>STDEV(D22,F22,H22,J22,M22)</f>
        <v>2771969.1208935725</v>
      </c>
      <c r="R22" s="18">
        <f t="shared" ref="R22:R28" si="0">Q22/P22*100%</f>
        <v>0.33503376266307483</v>
      </c>
      <c r="S22" s="17">
        <f>AVERAGE(D22,F22,J22,M22)</f>
        <v>9467126.0399999991</v>
      </c>
      <c r="T22" s="17">
        <f>STDEV(D22,F22,J22,M22)</f>
        <v>866020.91717482579</v>
      </c>
      <c r="U22" s="145">
        <f t="shared" ref="U22:U28" si="1">T22/S22*100%</f>
        <v>9.147664386380408E-2</v>
      </c>
      <c r="V22" s="73">
        <f>ROUND(S22,0)</f>
        <v>9467126</v>
      </c>
      <c r="W22" s="134">
        <f>ROUND(B22*C22*V22,0)</f>
        <v>61536319</v>
      </c>
    </row>
    <row r="23" spans="1:25" s="2" customFormat="1" x14ac:dyDescent="0.3">
      <c r="A23" s="19" t="s">
        <v>28</v>
      </c>
      <c r="B23" s="20">
        <v>1</v>
      </c>
      <c r="C23" s="20">
        <v>6.5</v>
      </c>
      <c r="D23" s="16">
        <v>7500000</v>
      </c>
      <c r="E23" s="17">
        <f t="shared" ref="E23:E28" si="2">B23*C23*D23</f>
        <v>48750000</v>
      </c>
      <c r="F23" s="16">
        <v>6500000</v>
      </c>
      <c r="G23" s="17">
        <f t="shared" ref="G23:G28" si="3">B23*C23*F23</f>
        <v>42250000</v>
      </c>
      <c r="H23" s="16">
        <v>2900000</v>
      </c>
      <c r="I23" s="17">
        <f t="shared" ref="I23:I28" si="4">B23*C23*H23</f>
        <v>18850000</v>
      </c>
      <c r="J23" s="17">
        <v>6000000</v>
      </c>
      <c r="K23" s="17">
        <f t="shared" ref="K23:K28" si="5">+B23*C23*J23</f>
        <v>39000000</v>
      </c>
      <c r="L23" s="16">
        <v>8643641</v>
      </c>
      <c r="M23" s="16">
        <f t="shared" ref="M23:M28" si="6">L23*(5.62/100)+L23</f>
        <v>9129413.6241999995</v>
      </c>
      <c r="N23" s="17">
        <f t="shared" ref="N23:N28" si="7">B23*C23*L23</f>
        <v>56183666.5</v>
      </c>
      <c r="P23" s="17">
        <f t="shared" ref="P23:P28" si="8">AVERAGE(D23,F23,H23,J23,M23)</f>
        <v>6405882.7248400003</v>
      </c>
      <c r="Q23" s="17">
        <f t="shared" ref="Q23:Q28" si="9">STDEV(D23,F23,H23,J23,M23)</f>
        <v>2295622.230448144</v>
      </c>
      <c r="R23" s="18">
        <f t="shared" si="0"/>
        <v>0.35836157623467602</v>
      </c>
      <c r="S23" s="17">
        <f>AVERAGE(D23,F23,J23)</f>
        <v>6666666.666666667</v>
      </c>
      <c r="T23" s="17">
        <f>STDEV(D23,F23,J23)</f>
        <v>763762.61582597333</v>
      </c>
      <c r="U23" s="145">
        <f t="shared" si="1"/>
        <v>0.114564392373896</v>
      </c>
      <c r="V23" s="73">
        <f t="shared" ref="V23:V27" si="10">ROUND(S23,0)</f>
        <v>6666667</v>
      </c>
      <c r="W23" s="134">
        <f t="shared" ref="W23:W28" si="11">ROUND(B23*C23*V23,0)</f>
        <v>43333336</v>
      </c>
    </row>
    <row r="24" spans="1:25" x14ac:dyDescent="0.3">
      <c r="A24" s="15" t="s">
        <v>29</v>
      </c>
      <c r="B24" s="20">
        <v>1</v>
      </c>
      <c r="C24" s="20">
        <v>6.5</v>
      </c>
      <c r="D24" s="16">
        <v>7500000</v>
      </c>
      <c r="E24" s="17">
        <f t="shared" si="2"/>
        <v>48750000</v>
      </c>
      <c r="F24" s="16">
        <v>6500000</v>
      </c>
      <c r="G24" s="17">
        <f t="shared" si="3"/>
        <v>42250000</v>
      </c>
      <c r="H24" s="16">
        <v>2800000</v>
      </c>
      <c r="I24" s="17">
        <f t="shared" si="4"/>
        <v>18200000</v>
      </c>
      <c r="J24" s="17">
        <v>6000000</v>
      </c>
      <c r="K24" s="17">
        <f t="shared" si="5"/>
        <v>39000000</v>
      </c>
      <c r="L24" s="16">
        <v>8643641</v>
      </c>
      <c r="M24" s="16">
        <f t="shared" si="6"/>
        <v>9129413.6241999995</v>
      </c>
      <c r="N24" s="17">
        <f t="shared" si="7"/>
        <v>56183666.5</v>
      </c>
      <c r="P24" s="17">
        <f t="shared" si="8"/>
        <v>6385882.7248400003</v>
      </c>
      <c r="Q24" s="17">
        <f t="shared" si="9"/>
        <v>2333918.4992560712</v>
      </c>
      <c r="R24" s="18">
        <f t="shared" si="0"/>
        <v>0.3654809522538715</v>
      </c>
      <c r="S24" s="17">
        <f>AVERAGE(D24,F24,J24)</f>
        <v>6666666.666666667</v>
      </c>
      <c r="T24" s="17">
        <f>STDEV(D24,F24,J24)</f>
        <v>763762.61582597333</v>
      </c>
      <c r="U24" s="145">
        <f t="shared" si="1"/>
        <v>0.114564392373896</v>
      </c>
      <c r="V24" s="73">
        <f t="shared" si="10"/>
        <v>6666667</v>
      </c>
      <c r="W24" s="134">
        <f t="shared" si="11"/>
        <v>43333336</v>
      </c>
    </row>
    <row r="25" spans="1:25" x14ac:dyDescent="0.3">
      <c r="A25" s="15" t="s">
        <v>30</v>
      </c>
      <c r="B25" s="20">
        <v>3</v>
      </c>
      <c r="C25" s="20">
        <v>6.5</v>
      </c>
      <c r="D25" s="16">
        <v>6500000</v>
      </c>
      <c r="E25" s="17">
        <f t="shared" si="2"/>
        <v>126750000</v>
      </c>
      <c r="F25" s="16">
        <v>6000000</v>
      </c>
      <c r="G25" s="17">
        <f t="shared" si="3"/>
        <v>117000000</v>
      </c>
      <c r="H25" s="16">
        <v>2600000</v>
      </c>
      <c r="I25" s="17">
        <f t="shared" si="4"/>
        <v>50700000</v>
      </c>
      <c r="J25" s="17">
        <v>6000000</v>
      </c>
      <c r="K25" s="17">
        <f t="shared" si="5"/>
        <v>117000000</v>
      </c>
      <c r="L25" s="16">
        <v>7780000</v>
      </c>
      <c r="M25" s="16">
        <f t="shared" si="6"/>
        <v>8217236</v>
      </c>
      <c r="N25" s="17">
        <f t="shared" si="7"/>
        <v>151710000</v>
      </c>
      <c r="P25" s="17">
        <f t="shared" si="8"/>
        <v>5863447.2000000002</v>
      </c>
      <c r="Q25" s="17">
        <f t="shared" si="9"/>
        <v>2039172.7577474164</v>
      </c>
      <c r="R25" s="18">
        <f t="shared" si="0"/>
        <v>0.34777711612162487</v>
      </c>
      <c r="S25" s="17">
        <f>AVERAGE(D25,F25,J25)</f>
        <v>6166666.666666667</v>
      </c>
      <c r="T25" s="17">
        <f>STDEV(D25,F25,J25)</f>
        <v>288675.13459481287</v>
      </c>
      <c r="U25" s="145">
        <f t="shared" si="1"/>
        <v>4.6812183988348029E-2</v>
      </c>
      <c r="V25" s="73">
        <f t="shared" si="10"/>
        <v>6166667</v>
      </c>
      <c r="W25" s="134">
        <f t="shared" si="11"/>
        <v>120250007</v>
      </c>
    </row>
    <row r="26" spans="1:25" x14ac:dyDescent="0.3">
      <c r="A26" s="15" t="s">
        <v>31</v>
      </c>
      <c r="B26" s="20">
        <v>10</v>
      </c>
      <c r="C26" s="20">
        <v>6.5</v>
      </c>
      <c r="D26" s="16">
        <v>5500000</v>
      </c>
      <c r="E26" s="17">
        <f t="shared" si="2"/>
        <v>357500000</v>
      </c>
      <c r="F26" s="16">
        <v>4800000</v>
      </c>
      <c r="G26" s="17">
        <f t="shared" si="3"/>
        <v>312000000</v>
      </c>
      <c r="H26" s="16">
        <v>2700000</v>
      </c>
      <c r="I26" s="17">
        <f t="shared" si="4"/>
        <v>175500000</v>
      </c>
      <c r="J26" s="17">
        <v>6500000</v>
      </c>
      <c r="K26" s="17">
        <f t="shared" si="5"/>
        <v>422500000</v>
      </c>
      <c r="L26" s="16">
        <v>3980000</v>
      </c>
      <c r="M26" s="16">
        <f t="shared" si="6"/>
        <v>4203676</v>
      </c>
      <c r="N26" s="17">
        <f t="shared" si="7"/>
        <v>258700000</v>
      </c>
      <c r="P26" s="17">
        <f t="shared" si="8"/>
        <v>4740735.2</v>
      </c>
      <c r="Q26" s="17">
        <f t="shared" si="9"/>
        <v>1425485.946123356</v>
      </c>
      <c r="R26" s="18">
        <f t="shared" si="0"/>
        <v>0.30068879319042241</v>
      </c>
      <c r="S26" s="17">
        <f>AVERAGE(D26,F26,M26)</f>
        <v>4834558.666666667</v>
      </c>
      <c r="T26" s="17">
        <f>STDEV(D26,F26,M26)</f>
        <v>648852.60600950976</v>
      </c>
      <c r="U26" s="145">
        <f t="shared" si="1"/>
        <v>0.13421134187143516</v>
      </c>
      <c r="V26" s="73">
        <f t="shared" si="10"/>
        <v>4834559</v>
      </c>
      <c r="W26" s="134">
        <f t="shared" si="11"/>
        <v>314246335</v>
      </c>
    </row>
    <row r="27" spans="1:25" s="2" customFormat="1" x14ac:dyDescent="0.3">
      <c r="A27" s="19" t="s">
        <v>32</v>
      </c>
      <c r="B27" s="20">
        <v>10</v>
      </c>
      <c r="C27" s="20">
        <v>6.5</v>
      </c>
      <c r="D27" s="16">
        <v>4500000</v>
      </c>
      <c r="E27" s="17">
        <f t="shared" si="2"/>
        <v>292500000</v>
      </c>
      <c r="F27" s="16">
        <v>4000000</v>
      </c>
      <c r="G27" s="17">
        <f t="shared" si="3"/>
        <v>260000000</v>
      </c>
      <c r="H27" s="16">
        <v>2800000</v>
      </c>
      <c r="I27" s="17">
        <f t="shared" si="4"/>
        <v>182000000</v>
      </c>
      <c r="J27" s="17">
        <v>3500000</v>
      </c>
      <c r="K27" s="17">
        <f t="shared" si="5"/>
        <v>227500000</v>
      </c>
      <c r="L27" s="16">
        <v>3980000</v>
      </c>
      <c r="M27" s="16">
        <f t="shared" si="6"/>
        <v>4203676</v>
      </c>
      <c r="N27" s="17">
        <f t="shared" si="7"/>
        <v>258700000</v>
      </c>
      <c r="P27" s="17">
        <f t="shared" si="8"/>
        <v>3800735.2</v>
      </c>
      <c r="Q27" s="17">
        <f t="shared" si="9"/>
        <v>667636.05549370928</v>
      </c>
      <c r="R27" s="18">
        <f t="shared" si="0"/>
        <v>0.17565971328223792</v>
      </c>
      <c r="S27" s="17">
        <f>AVERAGE(D27,F27,J27,M27)</f>
        <v>4050919</v>
      </c>
      <c r="T27" s="17">
        <f>STDEV(D27,F27,J27,M27)</f>
        <v>420758.41632778617</v>
      </c>
      <c r="U27" s="146">
        <f t="shared" si="1"/>
        <v>0.1038673980713478</v>
      </c>
      <c r="V27" s="73">
        <f t="shared" si="10"/>
        <v>4050919</v>
      </c>
      <c r="W27" s="134">
        <f t="shared" si="11"/>
        <v>263309735</v>
      </c>
    </row>
    <row r="28" spans="1:25" ht="12.95" customHeight="1" x14ac:dyDescent="0.3">
      <c r="A28" s="15" t="s">
        <v>33</v>
      </c>
      <c r="B28" s="20">
        <v>1</v>
      </c>
      <c r="C28" s="20">
        <v>6.5</v>
      </c>
      <c r="D28" s="16">
        <v>4500000</v>
      </c>
      <c r="E28" s="17">
        <f t="shared" si="2"/>
        <v>29250000</v>
      </c>
      <c r="F28" s="16">
        <v>7000000</v>
      </c>
      <c r="G28" s="17">
        <f t="shared" si="3"/>
        <v>45500000</v>
      </c>
      <c r="H28" s="16">
        <v>2800000</v>
      </c>
      <c r="I28" s="17">
        <f t="shared" si="4"/>
        <v>18200000</v>
      </c>
      <c r="J28" s="17">
        <v>6000000</v>
      </c>
      <c r="K28" s="17">
        <f t="shared" si="5"/>
        <v>39000000</v>
      </c>
      <c r="L28" s="16">
        <v>6141420</v>
      </c>
      <c r="M28" s="16">
        <f t="shared" si="6"/>
        <v>6486567.8039999995</v>
      </c>
      <c r="N28" s="17">
        <f t="shared" si="7"/>
        <v>39919230</v>
      </c>
      <c r="P28" s="17">
        <f t="shared" si="8"/>
        <v>5357313.5607999992</v>
      </c>
      <c r="Q28" s="17">
        <f t="shared" si="9"/>
        <v>1707448.3105083688</v>
      </c>
      <c r="R28" s="18">
        <f t="shared" si="0"/>
        <v>0.31871352892276816</v>
      </c>
      <c r="S28" s="17">
        <f>AVERAGE(D28,J28,M28)</f>
        <v>5662189.2679999992</v>
      </c>
      <c r="T28" s="17">
        <f>STDEV(D28,J28,M28)</f>
        <v>1035470.8967243516</v>
      </c>
      <c r="U28" s="145">
        <f t="shared" si="1"/>
        <v>0.18287465284432305</v>
      </c>
      <c r="V28" s="73">
        <f t="shared" ref="V28" si="12">ROUND(S28,0)</f>
        <v>5662189</v>
      </c>
      <c r="W28" s="134">
        <f t="shared" si="11"/>
        <v>36804229</v>
      </c>
    </row>
    <row r="29" spans="1:25" x14ac:dyDescent="0.3">
      <c r="A29" s="59" t="s">
        <v>37</v>
      </c>
      <c r="B29" s="207">
        <f>SUM(B22:B28)</f>
        <v>27</v>
      </c>
      <c r="C29" s="207"/>
      <c r="D29" s="22"/>
      <c r="E29" s="22">
        <f>SUM(E22:E28)</f>
        <v>958750000</v>
      </c>
      <c r="F29" s="22"/>
      <c r="G29" s="23">
        <f>SUM(G22:G28)</f>
        <v>877500000</v>
      </c>
      <c r="H29" s="22"/>
      <c r="I29" s="23">
        <f>SUM(I22:I28)</f>
        <v>486200000</v>
      </c>
      <c r="J29" s="23"/>
      <c r="K29" s="23">
        <f>SUM(K22:K28)</f>
        <v>949000000</v>
      </c>
      <c r="L29" s="22"/>
      <c r="M29" s="22"/>
      <c r="N29" s="23">
        <f>SUM(N22:N28)</f>
        <v>885205763</v>
      </c>
      <c r="P29" s="22"/>
      <c r="Q29" s="22"/>
      <c r="R29" s="24">
        <f>AVERAGE(R22:R28)</f>
        <v>0.31453077752409653</v>
      </c>
      <c r="S29" s="22"/>
      <c r="T29" s="22"/>
      <c r="U29" s="25">
        <f>AVERAGE(U22:U28)</f>
        <v>0.11262442934100715</v>
      </c>
      <c r="V29" s="25"/>
      <c r="W29" s="135">
        <f>SUM(W22:W28)</f>
        <v>882813297</v>
      </c>
      <c r="X29" s="49">
        <f>AVERAGE(V22:V28)</f>
        <v>6216399.1428571427</v>
      </c>
      <c r="Y29" s="49">
        <f>+X29*70%</f>
        <v>4351479.3999999994</v>
      </c>
    </row>
    <row r="30" spans="1:25" x14ac:dyDescent="0.3">
      <c r="A30" s="57" t="s">
        <v>34</v>
      </c>
      <c r="B30" s="27" t="s">
        <v>1</v>
      </c>
      <c r="C30" s="27" t="s">
        <v>2</v>
      </c>
      <c r="D30" s="27" t="s">
        <v>3</v>
      </c>
      <c r="E30" s="27" t="s">
        <v>4</v>
      </c>
      <c r="F30" s="27" t="s">
        <v>3</v>
      </c>
      <c r="G30" s="27" t="s">
        <v>4</v>
      </c>
      <c r="H30" s="27" t="s">
        <v>3</v>
      </c>
      <c r="I30" s="51" t="s">
        <v>4</v>
      </c>
      <c r="J30" s="51"/>
      <c r="K30" s="51"/>
      <c r="L30" s="27" t="s">
        <v>3</v>
      </c>
      <c r="M30" s="27"/>
      <c r="N30" s="51" t="s">
        <v>4</v>
      </c>
      <c r="P30" s="51" t="s">
        <v>4</v>
      </c>
      <c r="Q30" s="51" t="s">
        <v>4</v>
      </c>
      <c r="R30" s="27" t="s">
        <v>4</v>
      </c>
      <c r="S30" s="51" t="s">
        <v>4</v>
      </c>
      <c r="T30" s="51" t="s">
        <v>4</v>
      </c>
      <c r="U30" s="27" t="s">
        <v>4</v>
      </c>
      <c r="V30" s="27"/>
      <c r="W30" s="136"/>
      <c r="Y30" s="2"/>
    </row>
    <row r="31" spans="1:25" x14ac:dyDescent="0.3">
      <c r="A31" s="53" t="s">
        <v>45</v>
      </c>
      <c r="B31" s="28">
        <v>68</v>
      </c>
      <c r="C31" s="29" t="s">
        <v>15</v>
      </c>
      <c r="D31" s="16">
        <v>1550000</v>
      </c>
      <c r="E31" s="52">
        <f>B31*D31</f>
        <v>105400000</v>
      </c>
      <c r="F31" s="16">
        <v>7500000</v>
      </c>
      <c r="G31" s="52">
        <f>B31*F31</f>
        <v>510000000</v>
      </c>
      <c r="H31" s="16">
        <v>1000000</v>
      </c>
      <c r="I31" s="52">
        <f>B31*H31</f>
        <v>68000000</v>
      </c>
      <c r="J31" s="52">
        <v>700000</v>
      </c>
      <c r="K31" s="52">
        <f>+B31*J31</f>
        <v>47600000</v>
      </c>
      <c r="L31" s="16">
        <v>683000</v>
      </c>
      <c r="M31" s="16">
        <f t="shared" ref="M31:M33" si="13">L31*(5.62/100)+L31</f>
        <v>721384.6</v>
      </c>
      <c r="N31" s="52">
        <f>B31*L31</f>
        <v>46444000</v>
      </c>
      <c r="P31" s="17">
        <f t="shared" ref="P31:P33" si="14">AVERAGE(D31,F31,H31,J31,M31)</f>
        <v>2294276.92</v>
      </c>
      <c r="Q31" s="17">
        <f t="shared" ref="Q31:Q33" si="15">STDEV(D31,F31,H31,J31,M31)</f>
        <v>2930203.1846313034</v>
      </c>
      <c r="R31" s="30">
        <f>Q31/P31*100%</f>
        <v>1.2771793845318826</v>
      </c>
      <c r="S31" s="44">
        <f>AVERAGE(H31,J31,M31)</f>
        <v>807128.20000000007</v>
      </c>
      <c r="T31" s="44">
        <f>STDEV(H31,J31,M31)</f>
        <v>167373.75453075065</v>
      </c>
      <c r="U31" s="31">
        <f>T31/S31*100%</f>
        <v>0.20736947926085428</v>
      </c>
      <c r="V31" s="73">
        <f>ROUND(S31,0)</f>
        <v>807128</v>
      </c>
      <c r="W31" s="134">
        <f>ROUND(B31*V31,0)</f>
        <v>54884704</v>
      </c>
      <c r="Y31" s="2"/>
    </row>
    <row r="32" spans="1:25" x14ac:dyDescent="0.3">
      <c r="A32" s="53" t="s">
        <v>46</v>
      </c>
      <c r="B32" s="28">
        <v>100</v>
      </c>
      <c r="C32" s="29" t="s">
        <v>15</v>
      </c>
      <c r="D32" s="16">
        <v>300000</v>
      </c>
      <c r="E32" s="52">
        <f t="shared" ref="E32:E33" si="16">B32*D32</f>
        <v>30000000</v>
      </c>
      <c r="F32" s="16">
        <v>150000</v>
      </c>
      <c r="G32" s="52">
        <f>B32*F32</f>
        <v>15000000</v>
      </c>
      <c r="H32" s="16">
        <v>500000</v>
      </c>
      <c r="I32" s="52">
        <f>B32*H32</f>
        <v>50000000</v>
      </c>
      <c r="J32" s="52">
        <v>200000</v>
      </c>
      <c r="K32" s="52">
        <f t="shared" ref="K32:K33" si="17">+B32*J32</f>
        <v>20000000</v>
      </c>
      <c r="L32" s="16">
        <v>80000</v>
      </c>
      <c r="M32" s="16">
        <f t="shared" si="13"/>
        <v>84496</v>
      </c>
      <c r="N32" s="52">
        <f>B32*L32</f>
        <v>8000000</v>
      </c>
      <c r="P32" s="17">
        <f t="shared" si="14"/>
        <v>246899.20000000001</v>
      </c>
      <c r="Q32" s="17">
        <f t="shared" si="15"/>
        <v>161897.72945659244</v>
      </c>
      <c r="R32" s="30">
        <f>Q32/P32*100%</f>
        <v>0.65572399366459033</v>
      </c>
      <c r="S32" s="44">
        <f>AVERAGE(F32,J32,M32)</f>
        <v>144832</v>
      </c>
      <c r="T32" s="44">
        <f>STDEV(F32,J32,M32)</f>
        <v>57925.164410642807</v>
      </c>
      <c r="U32" s="31">
        <f>T32/S32*100%</f>
        <v>0.39994727968020055</v>
      </c>
      <c r="V32" s="73">
        <f>ROUND(S32-T32,0)</f>
        <v>86907</v>
      </c>
      <c r="W32" s="134">
        <f t="shared" ref="W32:W33" si="18">ROUND(B32*V32,0)</f>
        <v>8690700</v>
      </c>
      <c r="X32" s="1" t="s">
        <v>61</v>
      </c>
      <c r="Y32" s="2" t="s">
        <v>62</v>
      </c>
    </row>
    <row r="33" spans="1:25" x14ac:dyDescent="0.3">
      <c r="A33" s="53" t="s">
        <v>47</v>
      </c>
      <c r="B33" s="28">
        <v>168</v>
      </c>
      <c r="C33" s="29" t="s">
        <v>15</v>
      </c>
      <c r="D33" s="16">
        <v>650000</v>
      </c>
      <c r="E33" s="52">
        <f t="shared" si="16"/>
        <v>109200000</v>
      </c>
      <c r="F33" s="16">
        <v>290000</v>
      </c>
      <c r="G33" s="17">
        <f>B33*F33</f>
        <v>48720000</v>
      </c>
      <c r="H33" s="16">
        <v>3300000</v>
      </c>
      <c r="I33" s="17">
        <f>B33*H33</f>
        <v>554400000</v>
      </c>
      <c r="J33" s="17">
        <v>250000</v>
      </c>
      <c r="K33" s="52">
        <f t="shared" si="17"/>
        <v>42000000</v>
      </c>
      <c r="L33" s="16">
        <v>293000</v>
      </c>
      <c r="M33" s="16">
        <f t="shared" si="13"/>
        <v>309466.59999999998</v>
      </c>
      <c r="N33" s="17">
        <f>B33*L33</f>
        <v>49224000</v>
      </c>
      <c r="P33" s="17">
        <f t="shared" si="14"/>
        <v>959893.32</v>
      </c>
      <c r="Q33" s="17">
        <f t="shared" si="15"/>
        <v>1317942.8712592637</v>
      </c>
      <c r="R33" s="30">
        <f>Q33/P33*100%</f>
        <v>1.3730097332683426</v>
      </c>
      <c r="S33" s="45">
        <f>AVERAGE(F33,M33,J33)</f>
        <v>283155.53333333333</v>
      </c>
      <c r="T33" s="44">
        <f>STDEV(F33,M33,J33)</f>
        <v>30318.380099427028</v>
      </c>
      <c r="U33" s="32">
        <f>T33/S33*100%</f>
        <v>0.10707323901643818</v>
      </c>
      <c r="V33" s="73">
        <f>ROUND(S33,0)</f>
        <v>283156</v>
      </c>
      <c r="W33" s="134">
        <f t="shared" si="18"/>
        <v>47570208</v>
      </c>
      <c r="X33" s="1" t="s">
        <v>60</v>
      </c>
      <c r="Y33" s="74">
        <f>278634*(1+5.62%)</f>
        <v>294293.23080000002</v>
      </c>
    </row>
    <row r="34" spans="1:25" x14ac:dyDescent="0.3">
      <c r="A34" s="59" t="s">
        <v>35</v>
      </c>
      <c r="B34" s="59"/>
      <c r="C34" s="59"/>
      <c r="D34" s="59"/>
      <c r="E34" s="59"/>
      <c r="F34" s="59"/>
      <c r="G34" s="59"/>
      <c r="H34" s="59"/>
      <c r="I34" s="59"/>
      <c r="J34" s="59"/>
      <c r="K34" s="59"/>
      <c r="L34" s="59"/>
      <c r="M34" s="59"/>
      <c r="N34" s="59"/>
      <c r="O34" s="59"/>
      <c r="P34" s="59"/>
      <c r="Q34" s="59"/>
      <c r="R34" s="59"/>
      <c r="S34" s="59"/>
      <c r="T34" s="59"/>
      <c r="U34" s="59"/>
      <c r="V34" s="59"/>
      <c r="W34" s="59"/>
      <c r="Y34" s="2"/>
    </row>
    <row r="35" spans="1:25" x14ac:dyDescent="0.3">
      <c r="A35" s="60" t="s">
        <v>36</v>
      </c>
      <c r="B35" s="21"/>
      <c r="C35" s="21"/>
      <c r="D35" s="46"/>
      <c r="E35" s="46">
        <f t="shared" ref="E35" si="19">SUM(E31:E33)</f>
        <v>244600000</v>
      </c>
      <c r="F35" s="46"/>
      <c r="G35" s="23">
        <f t="shared" ref="G35" si="20">SUM(G31:G33)</f>
        <v>573720000</v>
      </c>
      <c r="H35" s="46"/>
      <c r="I35" s="23">
        <f t="shared" ref="I35:K35" si="21">SUM(I31:I33)</f>
        <v>672400000</v>
      </c>
      <c r="J35" s="23"/>
      <c r="K35" s="23">
        <f t="shared" si="21"/>
        <v>109600000</v>
      </c>
      <c r="L35" s="46"/>
      <c r="M35" s="46"/>
      <c r="N35" s="23">
        <f>SUM(N31:N33)</f>
        <v>103668000</v>
      </c>
      <c r="P35" s="46"/>
      <c r="Q35" s="46"/>
      <c r="R35" s="33">
        <f>AVERAGE(R31:R33)</f>
        <v>1.1019710371549385</v>
      </c>
      <c r="S35" s="46"/>
      <c r="T35" s="46"/>
      <c r="U35" s="33">
        <f>AVERAGE(U31:U33)</f>
        <v>0.23812999931916434</v>
      </c>
      <c r="V35" s="33"/>
      <c r="W35" s="137">
        <f>SUM(W31:W33)</f>
        <v>111145612</v>
      </c>
      <c r="Y35" s="2"/>
    </row>
    <row r="36" spans="1:25" x14ac:dyDescent="0.3">
      <c r="A36" s="54" t="s">
        <v>6</v>
      </c>
      <c r="B36" s="21"/>
      <c r="C36" s="21"/>
      <c r="D36" s="46"/>
      <c r="E36" s="46">
        <f>E29+E35</f>
        <v>1203350000</v>
      </c>
      <c r="F36" s="46"/>
      <c r="G36" s="23">
        <f>G29+G35</f>
        <v>1451220000</v>
      </c>
      <c r="H36" s="46"/>
      <c r="I36" s="23">
        <f>I29+I35</f>
        <v>1158600000</v>
      </c>
      <c r="J36" s="23"/>
      <c r="K36" s="23">
        <f>K29+K35</f>
        <v>1058600000</v>
      </c>
      <c r="L36" s="46"/>
      <c r="M36" s="46"/>
      <c r="N36" s="23">
        <f>N29+N35</f>
        <v>988873763</v>
      </c>
      <c r="P36" s="46"/>
      <c r="Q36" s="46"/>
      <c r="R36" s="33"/>
      <c r="S36" s="46"/>
      <c r="T36" s="46"/>
      <c r="U36" s="34"/>
      <c r="V36" s="34"/>
      <c r="W36" s="137">
        <f>W29+W35</f>
        <v>993958909</v>
      </c>
      <c r="Y36" s="2"/>
    </row>
    <row r="37" spans="1:25" x14ac:dyDescent="0.3">
      <c r="A37" s="58" t="s">
        <v>38</v>
      </c>
      <c r="B37" s="26"/>
      <c r="C37" s="26"/>
      <c r="D37" s="26"/>
      <c r="E37" s="26"/>
      <c r="F37" s="48"/>
      <c r="G37" s="26"/>
      <c r="H37" s="48"/>
      <c r="I37" s="48"/>
      <c r="J37" s="48"/>
      <c r="K37" s="48"/>
      <c r="L37" s="48"/>
      <c r="M37" s="48"/>
      <c r="N37" s="48"/>
      <c r="P37" s="48"/>
      <c r="Q37" s="48"/>
      <c r="R37" s="26"/>
      <c r="S37" s="48"/>
      <c r="T37" s="48"/>
      <c r="U37" s="26"/>
      <c r="V37" s="26"/>
      <c r="W37" s="138"/>
    </row>
    <row r="38" spans="1:25" x14ac:dyDescent="0.3">
      <c r="A38" s="36" t="s">
        <v>39</v>
      </c>
      <c r="B38" s="37"/>
      <c r="C38" s="38"/>
      <c r="D38" s="39">
        <v>0.1</v>
      </c>
      <c r="E38" s="23">
        <f>ROUND(E36*D38,0)</f>
        <v>120335000</v>
      </c>
      <c r="F38" s="39">
        <v>0.1004</v>
      </c>
      <c r="G38" s="23">
        <f>G36*(10/100)</f>
        <v>145122000</v>
      </c>
      <c r="H38" s="39">
        <v>0.1</v>
      </c>
      <c r="I38" s="23">
        <f>I36*(10/100)</f>
        <v>115860000</v>
      </c>
      <c r="J38" s="75">
        <v>0.2</v>
      </c>
      <c r="K38" s="23">
        <f>+K36*J38</f>
        <v>211720000</v>
      </c>
      <c r="L38" s="39">
        <v>6.9997798745540393E-2</v>
      </c>
      <c r="M38" s="39">
        <v>6.9997798745540393E-2</v>
      </c>
      <c r="N38" s="23">
        <f>N36*(10/100)</f>
        <v>98887376.300000012</v>
      </c>
      <c r="P38" s="18">
        <f>AVERAGE(D38,F38,H38,J38,M38)</f>
        <v>0.11407955974910806</v>
      </c>
      <c r="Q38" s="40">
        <f>STDEV(D38,F38,H38,J38,M38)</f>
        <v>4.9772286632396183E-2</v>
      </c>
      <c r="R38" s="32">
        <f>Q38/P38*100%</f>
        <v>0.43629451885910991</v>
      </c>
      <c r="S38" s="147">
        <f>AVERAGE(D38,F38,H38,M38)</f>
        <v>9.2599449686385102E-2</v>
      </c>
      <c r="T38" s="41">
        <f>STDEV(D38,F38,H38,M38)</f>
        <v>1.5068947102520922E-2</v>
      </c>
      <c r="U38" s="32">
        <f>T38/S38*100%</f>
        <v>0.16273257728373422</v>
      </c>
      <c r="V38" s="41">
        <v>9.2600000000000002E-2</v>
      </c>
      <c r="W38" s="139">
        <f>ROUND(W36*V38,0)</f>
        <v>92040595</v>
      </c>
      <c r="Y38" s="70"/>
    </row>
    <row r="39" spans="1:25" x14ac:dyDescent="0.3">
      <c r="A39" s="36" t="s">
        <v>40</v>
      </c>
      <c r="B39" s="37"/>
      <c r="C39" s="38"/>
      <c r="D39" s="39">
        <v>0.15</v>
      </c>
      <c r="E39" s="23">
        <f>ROUND(E36*D39,0)</f>
        <v>180502500</v>
      </c>
      <c r="F39" s="39">
        <v>7.0000000000000007E-2</v>
      </c>
      <c r="G39" s="23">
        <f>ROUND(G36*F39,0)</f>
        <v>101585400</v>
      </c>
      <c r="H39" s="39">
        <v>0.03</v>
      </c>
      <c r="I39" s="23">
        <f>ROUND(I36*H39,0)</f>
        <v>34758000</v>
      </c>
      <c r="J39" s="75">
        <v>0.1</v>
      </c>
      <c r="K39" s="23">
        <f>+K36*J39</f>
        <v>105860000</v>
      </c>
      <c r="L39" s="63">
        <v>8.4997803178312195E-2</v>
      </c>
      <c r="M39" s="63">
        <v>8.4997803178312195E-2</v>
      </c>
      <c r="N39" s="23">
        <f>ROUND(N36*L39,0)</f>
        <v>84052097</v>
      </c>
      <c r="P39" s="18">
        <f>AVERAGE(D39,F39,H39,J39,M39)</f>
        <v>8.6999560635662429E-2</v>
      </c>
      <c r="Q39" s="40">
        <f>STDEV(D39,F39,H39,J39,M39)</f>
        <v>4.3817829679103172E-2</v>
      </c>
      <c r="R39" s="32">
        <f>Q39/P39*100%</f>
        <v>0.50365575824691677</v>
      </c>
      <c r="S39" s="147">
        <f>AVERAGE(F39,J39,M39)</f>
        <v>8.4999267726104069E-2</v>
      </c>
      <c r="T39" s="41">
        <f>STDEV(F39,J39,M39)</f>
        <v>1.5000000053622542E-2</v>
      </c>
      <c r="U39" s="32">
        <f>T39/S39*100%</f>
        <v>0.17647210917107586</v>
      </c>
      <c r="V39" s="41">
        <v>8.5000000000000006E-2</v>
      </c>
      <c r="W39" s="139">
        <f>ROUND(W36*V39,0)</f>
        <v>84486507</v>
      </c>
      <c r="Y39" s="70"/>
    </row>
    <row r="40" spans="1:25" x14ac:dyDescent="0.3">
      <c r="A40" s="61" t="s">
        <v>41</v>
      </c>
      <c r="B40" s="35"/>
      <c r="C40" s="42"/>
      <c r="D40" s="42"/>
      <c r="E40" s="47">
        <f>E36+E38+E39</f>
        <v>1504187500</v>
      </c>
      <c r="F40" s="42"/>
      <c r="G40" s="47">
        <f>G36+G38+G39</f>
        <v>1697927400</v>
      </c>
      <c r="H40" s="42"/>
      <c r="I40" s="47">
        <f>I36+I38+I39</f>
        <v>1309218000</v>
      </c>
      <c r="J40" s="47"/>
      <c r="K40" s="47">
        <f>+K36+K38+K39</f>
        <v>1376180000</v>
      </c>
      <c r="L40" s="42"/>
      <c r="M40" s="42"/>
      <c r="N40" s="47">
        <f>N36+N38+N39</f>
        <v>1171813236.3</v>
      </c>
      <c r="P40" s="42"/>
      <c r="Q40" s="42"/>
      <c r="R40" s="42"/>
      <c r="S40" s="42"/>
      <c r="T40" s="43">
        <f>S38-T38</f>
        <v>7.753050258386418E-2</v>
      </c>
      <c r="U40" s="42"/>
      <c r="V40" s="42"/>
      <c r="W40" s="140">
        <f>W36+W38+W39</f>
        <v>1170486011</v>
      </c>
      <c r="Y40" s="9"/>
    </row>
    <row r="41" spans="1:25" x14ac:dyDescent="0.3">
      <c r="A41" s="62" t="s">
        <v>42</v>
      </c>
      <c r="B41" s="35"/>
      <c r="C41" s="42"/>
      <c r="D41" s="42">
        <v>0</v>
      </c>
      <c r="E41" s="42"/>
      <c r="F41" s="39">
        <v>0.19</v>
      </c>
      <c r="G41" s="23">
        <f>ROUND(G40*F41,0)</f>
        <v>322606206</v>
      </c>
      <c r="H41" s="39">
        <v>0</v>
      </c>
      <c r="I41" s="23"/>
      <c r="J41" s="75">
        <v>0.19</v>
      </c>
      <c r="K41" s="23">
        <f>+K40*J41</f>
        <v>261474200</v>
      </c>
      <c r="L41" s="39">
        <v>0.19</v>
      </c>
      <c r="M41" s="39">
        <v>0.19</v>
      </c>
      <c r="N41" s="23">
        <f>ROUND(N40*L41,0)</f>
        <v>222644515</v>
      </c>
      <c r="P41" s="71">
        <v>0.19</v>
      </c>
      <c r="Q41" s="42"/>
      <c r="R41" s="42"/>
      <c r="S41" s="71">
        <v>0.19</v>
      </c>
      <c r="T41" s="43"/>
      <c r="U41" s="42"/>
      <c r="V41" s="42"/>
      <c r="W41" s="141">
        <f>ROUND(W40*S41,0)</f>
        <v>222392342</v>
      </c>
      <c r="Y41" s="9"/>
    </row>
    <row r="42" spans="1:25" x14ac:dyDescent="0.3">
      <c r="A42" s="54" t="s">
        <v>43</v>
      </c>
      <c r="B42" s="21"/>
      <c r="C42" s="14"/>
      <c r="D42" s="14"/>
      <c r="E42" s="47">
        <f>E40</f>
        <v>1504187500</v>
      </c>
      <c r="F42" s="14"/>
      <c r="G42" s="47">
        <f>G40+G41</f>
        <v>2020533606</v>
      </c>
      <c r="H42" s="14"/>
      <c r="I42" s="47">
        <f>I40+I41</f>
        <v>1309218000</v>
      </c>
      <c r="J42" s="47"/>
      <c r="K42" s="47">
        <f>+K40+K41</f>
        <v>1637654200</v>
      </c>
      <c r="L42" s="14"/>
      <c r="M42" s="14"/>
      <c r="N42" s="47">
        <f>N36+N38+N39+N41</f>
        <v>1394457751.3</v>
      </c>
      <c r="P42" s="14"/>
      <c r="Q42" s="14"/>
      <c r="R42" s="14"/>
      <c r="S42" s="14"/>
      <c r="T42" s="14"/>
      <c r="U42" s="14"/>
      <c r="V42" s="14"/>
      <c r="W42" s="142">
        <f>W40+W41</f>
        <v>1392878353</v>
      </c>
      <c r="Y42" s="9"/>
    </row>
    <row r="43" spans="1:25" hidden="1" x14ac:dyDescent="0.3">
      <c r="A43" s="3"/>
      <c r="B43" s="3"/>
      <c r="C43" s="3"/>
      <c r="H43" s="1" t="s">
        <v>50</v>
      </c>
      <c r="I43" s="49" t="s">
        <v>51</v>
      </c>
      <c r="M43" s="1" t="s">
        <v>52</v>
      </c>
      <c r="T43" s="175"/>
      <c r="U43" s="175"/>
      <c r="V43" s="72"/>
      <c r="X43" s="8"/>
    </row>
    <row r="44" spans="1:25" hidden="1" x14ac:dyDescent="0.3">
      <c r="A44" s="3"/>
      <c r="B44" s="3"/>
      <c r="C44" s="3"/>
      <c r="G44" s="1" t="s">
        <v>53</v>
      </c>
      <c r="H44" s="67">
        <f>AVERAGE(D39,F39,H39,M39)</f>
        <v>8.3749450794578045E-2</v>
      </c>
      <c r="I44" s="65">
        <f>STDEV(D39,F39,H39=M39)</f>
        <v>7.5055534994651354E-2</v>
      </c>
      <c r="J44" s="65"/>
      <c r="K44" s="65"/>
      <c r="L44" s="1">
        <f>+L31/2.5</f>
        <v>273200</v>
      </c>
      <c r="M44" s="65">
        <f>+I44/H44</f>
        <v>0.89619136940669308</v>
      </c>
      <c r="T44" s="176"/>
      <c r="U44" s="176"/>
      <c r="V44" s="69"/>
      <c r="X44" s="8"/>
    </row>
    <row r="45" spans="1:25" hidden="1" x14ac:dyDescent="0.3">
      <c r="A45" s="3"/>
      <c r="B45" s="3"/>
      <c r="C45" s="3"/>
      <c r="G45" s="1" t="s">
        <v>54</v>
      </c>
      <c r="H45" s="68">
        <f>AVERAGE(F39,M39)</f>
        <v>7.7498901589156094E-2</v>
      </c>
      <c r="I45" s="66">
        <f>STDEV(F39,M39)</f>
        <v>1.0605048330285704E-2</v>
      </c>
      <c r="J45" s="66"/>
      <c r="K45" s="66"/>
      <c r="L45" s="1">
        <v>1707500</v>
      </c>
      <c r="M45" s="65">
        <f>+I45/H45</f>
        <v>0.13684127275127211</v>
      </c>
      <c r="N45" s="64"/>
      <c r="U45" s="7" t="s">
        <v>22</v>
      </c>
      <c r="V45" s="7"/>
      <c r="W45" s="143">
        <f>3906538711</f>
        <v>3906538711</v>
      </c>
    </row>
    <row r="46" spans="1:25" hidden="1" x14ac:dyDescent="0.3">
      <c r="A46" s="3"/>
      <c r="B46" s="3"/>
      <c r="C46" s="3"/>
      <c r="L46" s="1" t="e">
        <f>(N46*L45)/N45</f>
        <v>#DIV/0!</v>
      </c>
      <c r="N46" s="64"/>
      <c r="U46" s="7"/>
      <c r="V46" s="7"/>
      <c r="W46" s="143"/>
    </row>
    <row r="47" spans="1:25" hidden="1" x14ac:dyDescent="0.3">
      <c r="U47" s="7" t="s">
        <v>23</v>
      </c>
      <c r="V47" s="7"/>
      <c r="W47" s="144">
        <f>+W45-W44</f>
        <v>3906538711</v>
      </c>
    </row>
    <row r="48" spans="1:25" x14ac:dyDescent="0.3">
      <c r="A48" s="196"/>
      <c r="B48" s="197"/>
      <c r="C48" s="197"/>
    </row>
  </sheetData>
  <mergeCells count="22">
    <mergeCell ref="A48:C48"/>
    <mergeCell ref="B10:C10"/>
    <mergeCell ref="B14:C14"/>
    <mergeCell ref="A18:C19"/>
    <mergeCell ref="B20:B21"/>
    <mergeCell ref="C20:C21"/>
    <mergeCell ref="B13:C13"/>
    <mergeCell ref="B29:C29"/>
    <mergeCell ref="T43:U43"/>
    <mergeCell ref="T44:U44"/>
    <mergeCell ref="P20:W20"/>
    <mergeCell ref="B1:C3"/>
    <mergeCell ref="A8:C8"/>
    <mergeCell ref="B9:C9"/>
    <mergeCell ref="B11:C11"/>
    <mergeCell ref="B12:C12"/>
    <mergeCell ref="D18:N19"/>
    <mergeCell ref="D20:E20"/>
    <mergeCell ref="F20:G20"/>
    <mergeCell ref="H20:I20"/>
    <mergeCell ref="L20:N20"/>
    <mergeCell ref="J20:K20"/>
  </mergeCell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48"/>
  <sheetViews>
    <sheetView zoomScale="70" zoomScaleNormal="70" workbookViewId="0">
      <selection activeCell="F2" sqref="F2"/>
    </sheetView>
  </sheetViews>
  <sheetFormatPr baseColWidth="10" defaultColWidth="11.42578125" defaultRowHeight="16.5" x14ac:dyDescent="0.3"/>
  <cols>
    <col min="1" max="1" width="7.28515625" style="149" bestFit="1" customWidth="1"/>
    <col min="2" max="2" width="67.85546875" style="1" customWidth="1"/>
    <col min="3" max="3" width="11" style="1" bestFit="1" customWidth="1"/>
    <col min="4" max="4" width="9.42578125" style="1" bestFit="1" customWidth="1"/>
    <col min="5" max="5" width="18.42578125" style="1" customWidth="1"/>
    <col min="6" max="6" width="26.42578125" style="132" customWidth="1"/>
    <col min="7" max="15" width="11.42578125" style="153"/>
    <col min="16" max="16384" width="11.42578125" style="1"/>
  </cols>
  <sheetData>
    <row r="1" spans="1:15" x14ac:dyDescent="0.3">
      <c r="A1" s="55" t="s">
        <v>64</v>
      </c>
      <c r="B1" s="55" t="s">
        <v>0</v>
      </c>
      <c r="C1" s="203" t="s">
        <v>1</v>
      </c>
      <c r="D1" s="203" t="s">
        <v>2</v>
      </c>
      <c r="E1" s="211"/>
      <c r="F1" s="211"/>
    </row>
    <row r="2" spans="1:15" ht="50.25" customHeight="1" x14ac:dyDescent="0.3">
      <c r="A2" s="152">
        <v>1</v>
      </c>
      <c r="B2" s="56" t="s">
        <v>5</v>
      </c>
      <c r="C2" s="204"/>
      <c r="D2" s="204"/>
      <c r="E2" s="164" t="s">
        <v>56</v>
      </c>
      <c r="F2" s="165" t="s">
        <v>17</v>
      </c>
    </row>
    <row r="3" spans="1:15" ht="15.95" customHeight="1" x14ac:dyDescent="0.3">
      <c r="A3" s="149" t="s">
        <v>65</v>
      </c>
      <c r="B3" s="15" t="s">
        <v>27</v>
      </c>
      <c r="C3" s="20">
        <v>1</v>
      </c>
      <c r="D3" s="20">
        <v>6.5</v>
      </c>
      <c r="E3" s="73">
        <v>9467126</v>
      </c>
      <c r="F3" s="134">
        <v>61536319</v>
      </c>
    </row>
    <row r="4" spans="1:15" s="2" customFormat="1" x14ac:dyDescent="0.3">
      <c r="A4" s="150" t="s">
        <v>66</v>
      </c>
      <c r="B4" s="19" t="s">
        <v>28</v>
      </c>
      <c r="C4" s="20">
        <v>1</v>
      </c>
      <c r="D4" s="20">
        <v>6.5</v>
      </c>
      <c r="E4" s="73">
        <v>6666667</v>
      </c>
      <c r="F4" s="134">
        <v>43333336</v>
      </c>
      <c r="G4" s="153"/>
      <c r="H4" s="153"/>
      <c r="I4" s="153"/>
      <c r="J4" s="153"/>
      <c r="K4" s="153"/>
      <c r="L4" s="153"/>
      <c r="M4" s="153"/>
      <c r="N4" s="153"/>
      <c r="O4" s="153"/>
    </row>
    <row r="5" spans="1:15" x14ac:dyDescent="0.3">
      <c r="A5" s="149" t="s">
        <v>67</v>
      </c>
      <c r="B5" s="15" t="s">
        <v>29</v>
      </c>
      <c r="C5" s="20">
        <v>1</v>
      </c>
      <c r="D5" s="20">
        <v>6.5</v>
      </c>
      <c r="E5" s="73">
        <v>6666667</v>
      </c>
      <c r="F5" s="134">
        <v>43333336</v>
      </c>
    </row>
    <row r="6" spans="1:15" x14ac:dyDescent="0.3">
      <c r="A6" s="149" t="s">
        <v>68</v>
      </c>
      <c r="B6" s="15" t="s">
        <v>30</v>
      </c>
      <c r="C6" s="20">
        <v>3</v>
      </c>
      <c r="D6" s="20">
        <v>6.5</v>
      </c>
      <c r="E6" s="73">
        <v>6166667</v>
      </c>
      <c r="F6" s="134">
        <v>120250007</v>
      </c>
    </row>
    <row r="7" spans="1:15" x14ac:dyDescent="0.3">
      <c r="A7" s="149" t="s">
        <v>69</v>
      </c>
      <c r="B7" s="15" t="s">
        <v>31</v>
      </c>
      <c r="C7" s="20">
        <v>10</v>
      </c>
      <c r="D7" s="20">
        <v>6.5</v>
      </c>
      <c r="E7" s="73">
        <v>4834559</v>
      </c>
      <c r="F7" s="134">
        <v>314246335</v>
      </c>
    </row>
    <row r="8" spans="1:15" s="2" customFormat="1" x14ac:dyDescent="0.3">
      <c r="A8" s="150" t="s">
        <v>70</v>
      </c>
      <c r="B8" s="19" t="s">
        <v>32</v>
      </c>
      <c r="C8" s="20">
        <v>10</v>
      </c>
      <c r="D8" s="20">
        <v>6.5</v>
      </c>
      <c r="E8" s="73">
        <v>4050919</v>
      </c>
      <c r="F8" s="134">
        <v>263309735</v>
      </c>
      <c r="G8" s="153"/>
      <c r="H8" s="153"/>
      <c r="I8" s="153"/>
      <c r="J8" s="153"/>
      <c r="K8" s="153"/>
      <c r="L8" s="153"/>
      <c r="M8" s="153"/>
      <c r="N8" s="153"/>
      <c r="O8" s="153"/>
    </row>
    <row r="9" spans="1:15" ht="12.95" customHeight="1" x14ac:dyDescent="0.3">
      <c r="A9" s="149" t="s">
        <v>71</v>
      </c>
      <c r="B9" s="15" t="s">
        <v>33</v>
      </c>
      <c r="C9" s="20">
        <v>1</v>
      </c>
      <c r="D9" s="20">
        <v>6.5</v>
      </c>
      <c r="E9" s="73">
        <v>5662189</v>
      </c>
      <c r="F9" s="134">
        <v>36804229</v>
      </c>
    </row>
    <row r="10" spans="1:15" x14ac:dyDescent="0.3">
      <c r="B10" s="213" t="s">
        <v>37</v>
      </c>
      <c r="C10" s="214"/>
      <c r="D10" s="214"/>
      <c r="E10" s="215"/>
      <c r="F10" s="157">
        <v>882813297</v>
      </c>
    </row>
    <row r="11" spans="1:15" x14ac:dyDescent="0.3">
      <c r="A11" s="151">
        <v>2</v>
      </c>
      <c r="B11" s="57" t="s">
        <v>34</v>
      </c>
      <c r="C11" s="27" t="s">
        <v>1</v>
      </c>
      <c r="D11" s="27" t="s">
        <v>2</v>
      </c>
      <c r="E11" s="27"/>
      <c r="F11" s="136"/>
    </row>
    <row r="12" spans="1:15" x14ac:dyDescent="0.3">
      <c r="A12" s="149" t="s">
        <v>72</v>
      </c>
      <c r="B12" s="53" t="s">
        <v>45</v>
      </c>
      <c r="C12" s="28">
        <v>68</v>
      </c>
      <c r="D12" s="29" t="s">
        <v>15</v>
      </c>
      <c r="E12" s="73">
        <v>807128</v>
      </c>
      <c r="F12" s="134">
        <v>54884704</v>
      </c>
    </row>
    <row r="13" spans="1:15" x14ac:dyDescent="0.3">
      <c r="A13" s="149" t="s">
        <v>73</v>
      </c>
      <c r="B13" s="53" t="s">
        <v>46</v>
      </c>
      <c r="C13" s="28">
        <v>100</v>
      </c>
      <c r="D13" s="29" t="s">
        <v>15</v>
      </c>
      <c r="E13" s="73">
        <v>86907</v>
      </c>
      <c r="F13" s="134">
        <v>8690700</v>
      </c>
    </row>
    <row r="14" spans="1:15" x14ac:dyDescent="0.3">
      <c r="A14" s="149" t="s">
        <v>74</v>
      </c>
      <c r="B14" s="53" t="s">
        <v>47</v>
      </c>
      <c r="C14" s="28">
        <v>168</v>
      </c>
      <c r="D14" s="29" t="s">
        <v>15</v>
      </c>
      <c r="E14" s="73">
        <v>283156</v>
      </c>
      <c r="F14" s="134">
        <v>47570208</v>
      </c>
    </row>
    <row r="15" spans="1:15" x14ac:dyDescent="0.3">
      <c r="B15" s="158" t="s">
        <v>35</v>
      </c>
      <c r="C15" s="159"/>
      <c r="D15" s="159"/>
      <c r="E15" s="160"/>
      <c r="F15" s="161">
        <v>111145612</v>
      </c>
    </row>
    <row r="16" spans="1:15" x14ac:dyDescent="0.3">
      <c r="B16" s="219" t="s">
        <v>36</v>
      </c>
      <c r="C16" s="220"/>
      <c r="D16" s="220"/>
      <c r="E16" s="221"/>
      <c r="F16" s="162">
        <v>993958909</v>
      </c>
    </row>
    <row r="17" spans="1:6" x14ac:dyDescent="0.3">
      <c r="B17" s="208" t="s">
        <v>6</v>
      </c>
      <c r="C17" s="209"/>
      <c r="D17" s="209"/>
      <c r="E17" s="209"/>
      <c r="F17" s="209"/>
    </row>
    <row r="18" spans="1:6" x14ac:dyDescent="0.3">
      <c r="A18" s="151">
        <v>3</v>
      </c>
      <c r="B18" s="58" t="s">
        <v>38</v>
      </c>
      <c r="C18" s="26"/>
      <c r="D18" s="26"/>
      <c r="E18" s="26"/>
      <c r="F18" s="138"/>
    </row>
    <row r="19" spans="1:6" x14ac:dyDescent="0.3">
      <c r="A19" s="149" t="s">
        <v>75</v>
      </c>
      <c r="B19" s="36" t="s">
        <v>39</v>
      </c>
      <c r="C19" s="37"/>
      <c r="D19" s="38"/>
      <c r="E19" s="41">
        <v>9.2600000000000002E-2</v>
      </c>
      <c r="F19" s="139">
        <v>92040595</v>
      </c>
    </row>
    <row r="20" spans="1:6" x14ac:dyDescent="0.3">
      <c r="A20" s="149" t="s">
        <v>76</v>
      </c>
      <c r="B20" s="36" t="s">
        <v>40</v>
      </c>
      <c r="C20" s="37"/>
      <c r="D20" s="38"/>
      <c r="E20" s="41">
        <v>8.5000000000000006E-2</v>
      </c>
      <c r="F20" s="139">
        <v>84486507</v>
      </c>
    </row>
    <row r="21" spans="1:6" x14ac:dyDescent="0.3">
      <c r="B21" s="216" t="s">
        <v>41</v>
      </c>
      <c r="C21" s="217"/>
      <c r="D21" s="217"/>
      <c r="E21" s="218"/>
      <c r="F21" s="140">
        <v>1170486011</v>
      </c>
    </row>
    <row r="22" spans="1:6" x14ac:dyDescent="0.3">
      <c r="A22" s="151">
        <v>4</v>
      </c>
      <c r="B22" s="62" t="s">
        <v>42</v>
      </c>
      <c r="C22" s="35"/>
      <c r="D22" s="42"/>
      <c r="E22" s="71">
        <v>0.19</v>
      </c>
      <c r="F22" s="141">
        <v>222392342</v>
      </c>
    </row>
    <row r="23" spans="1:6" x14ac:dyDescent="0.3">
      <c r="B23" s="208" t="s">
        <v>43</v>
      </c>
      <c r="C23" s="209"/>
      <c r="D23" s="209"/>
      <c r="E23" s="210"/>
      <c r="F23" s="163">
        <v>1392878353</v>
      </c>
    </row>
    <row r="24" spans="1:6" ht="16.5" hidden="1" customHeight="1" x14ac:dyDescent="0.3">
      <c r="B24" s="3"/>
      <c r="C24" s="3"/>
      <c r="D24" s="3"/>
      <c r="E24" s="72"/>
    </row>
    <row r="25" spans="1:6" ht="16.5" hidden="1" customHeight="1" x14ac:dyDescent="0.3">
      <c r="B25" s="3"/>
      <c r="C25" s="3"/>
      <c r="D25" s="3"/>
      <c r="E25" s="148"/>
    </row>
    <row r="26" spans="1:6" hidden="1" x14ac:dyDescent="0.3">
      <c r="B26" s="3"/>
      <c r="C26" s="3"/>
      <c r="D26" s="3"/>
      <c r="E26" s="7"/>
      <c r="F26" s="143">
        <f>3906538711</f>
        <v>3906538711</v>
      </c>
    </row>
    <row r="27" spans="1:6" hidden="1" x14ac:dyDescent="0.3">
      <c r="B27" s="3"/>
      <c r="C27" s="3"/>
      <c r="D27" s="3"/>
      <c r="E27" s="7"/>
      <c r="F27" s="143"/>
    </row>
    <row r="28" spans="1:6" hidden="1" x14ac:dyDescent="0.3">
      <c r="E28" s="7"/>
      <c r="F28" s="144">
        <f>+F26-F25</f>
        <v>3906538711</v>
      </c>
    </row>
    <row r="29" spans="1:6" s="153" customFormat="1" x14ac:dyDescent="0.3">
      <c r="A29" s="156"/>
      <c r="B29" s="212"/>
      <c r="C29" s="212"/>
      <c r="D29" s="212"/>
      <c r="F29" s="155"/>
    </row>
    <row r="30" spans="1:6" s="153" customFormat="1" x14ac:dyDescent="0.3">
      <c r="A30" s="154"/>
      <c r="F30" s="155"/>
    </row>
    <row r="31" spans="1:6" s="153" customFormat="1" x14ac:dyDescent="0.3">
      <c r="A31" s="154"/>
      <c r="F31" s="155"/>
    </row>
    <row r="32" spans="1:6" s="153" customFormat="1" x14ac:dyDescent="0.3">
      <c r="A32" s="154"/>
      <c r="F32" s="155"/>
    </row>
    <row r="33" spans="1:6" s="153" customFormat="1" x14ac:dyDescent="0.3">
      <c r="A33" s="154"/>
      <c r="F33" s="155"/>
    </row>
    <row r="34" spans="1:6" s="153" customFormat="1" x14ac:dyDescent="0.3">
      <c r="A34" s="154"/>
      <c r="F34" s="155"/>
    </row>
    <row r="35" spans="1:6" s="153" customFormat="1" x14ac:dyDescent="0.3">
      <c r="A35" s="154"/>
      <c r="F35" s="155"/>
    </row>
    <row r="36" spans="1:6" s="153" customFormat="1" x14ac:dyDescent="0.3">
      <c r="A36" s="154"/>
      <c r="F36" s="155"/>
    </row>
    <row r="37" spans="1:6" s="153" customFormat="1" x14ac:dyDescent="0.3">
      <c r="A37" s="154"/>
      <c r="F37" s="155"/>
    </row>
    <row r="38" spans="1:6" s="153" customFormat="1" x14ac:dyDescent="0.3">
      <c r="A38" s="154"/>
      <c r="F38" s="155"/>
    </row>
    <row r="39" spans="1:6" s="153" customFormat="1" x14ac:dyDescent="0.3">
      <c r="A39" s="154"/>
      <c r="F39" s="155"/>
    </row>
    <row r="40" spans="1:6" s="153" customFormat="1" x14ac:dyDescent="0.3">
      <c r="A40" s="154"/>
      <c r="F40" s="155"/>
    </row>
    <row r="41" spans="1:6" s="153" customFormat="1" x14ac:dyDescent="0.3">
      <c r="A41" s="154"/>
      <c r="F41" s="155"/>
    </row>
    <row r="42" spans="1:6" s="153" customFormat="1" x14ac:dyDescent="0.3">
      <c r="A42" s="154"/>
      <c r="F42" s="155"/>
    </row>
    <row r="43" spans="1:6" s="153" customFormat="1" x14ac:dyDescent="0.3">
      <c r="A43" s="154"/>
      <c r="F43" s="155"/>
    </row>
    <row r="44" spans="1:6" s="153" customFormat="1" x14ac:dyDescent="0.3">
      <c r="A44" s="154"/>
      <c r="F44" s="155"/>
    </row>
    <row r="45" spans="1:6" s="153" customFormat="1" x14ac:dyDescent="0.3">
      <c r="A45" s="154"/>
      <c r="F45" s="155"/>
    </row>
    <row r="46" spans="1:6" s="153" customFormat="1" x14ac:dyDescent="0.3">
      <c r="A46" s="154"/>
      <c r="F46" s="155"/>
    </row>
    <row r="47" spans="1:6" s="153" customFormat="1" x14ac:dyDescent="0.3">
      <c r="A47" s="154"/>
      <c r="F47" s="155"/>
    </row>
    <row r="48" spans="1:6" s="153" customFormat="1" x14ac:dyDescent="0.3">
      <c r="A48" s="154"/>
      <c r="F48" s="155"/>
    </row>
  </sheetData>
  <mergeCells count="9">
    <mergeCell ref="B17:F17"/>
    <mergeCell ref="B23:E23"/>
    <mergeCell ref="E1:F1"/>
    <mergeCell ref="B29:D29"/>
    <mergeCell ref="B10:E10"/>
    <mergeCell ref="B21:E21"/>
    <mergeCell ref="B16:E16"/>
    <mergeCell ref="C1:C2"/>
    <mergeCell ref="D1:D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48"/>
  <sheetViews>
    <sheetView tabSelected="1" topLeftCell="A4" zoomScale="187" zoomScaleNormal="100" workbookViewId="0">
      <selection activeCell="F24" sqref="F24"/>
    </sheetView>
  </sheetViews>
  <sheetFormatPr baseColWidth="10" defaultColWidth="11.42578125" defaultRowHeight="8.25" x14ac:dyDescent="0.25"/>
  <cols>
    <col min="1" max="1" width="4.28515625" style="93" bestFit="1" customWidth="1"/>
    <col min="2" max="2" width="35.85546875" style="76" customWidth="1"/>
    <col min="3" max="3" width="11.85546875" style="76" bestFit="1" customWidth="1"/>
    <col min="4" max="4" width="11.42578125" style="76"/>
    <col min="5" max="5" width="12" style="94" customWidth="1"/>
    <col min="6" max="6" width="15" style="94" customWidth="1"/>
    <col min="7" max="8" width="11.42578125" style="76"/>
    <col min="9" max="9" width="14.140625" style="76" customWidth="1"/>
    <col min="10" max="16384" width="11.42578125" style="76"/>
  </cols>
  <sheetData>
    <row r="1" spans="1:15" x14ac:dyDescent="0.25">
      <c r="A1" s="222" t="s">
        <v>77</v>
      </c>
      <c r="B1" s="222"/>
      <c r="C1" s="222"/>
      <c r="D1" s="222"/>
      <c r="E1" s="222"/>
      <c r="F1" s="222"/>
      <c r="H1" s="77"/>
      <c r="I1" s="78"/>
      <c r="J1" s="78"/>
      <c r="K1" s="78"/>
      <c r="L1" s="78"/>
      <c r="M1" s="78"/>
      <c r="N1" s="78"/>
      <c r="O1" s="77"/>
    </row>
    <row r="2" spans="1:15" ht="36" customHeight="1" x14ac:dyDescent="0.25">
      <c r="A2" s="79" t="s">
        <v>64</v>
      </c>
      <c r="B2" s="79" t="s">
        <v>0</v>
      </c>
      <c r="C2" s="79" t="s">
        <v>1</v>
      </c>
      <c r="D2" s="79" t="s">
        <v>2</v>
      </c>
      <c r="E2" s="80" t="s">
        <v>56</v>
      </c>
      <c r="F2" s="81" t="s">
        <v>17</v>
      </c>
      <c r="H2" s="77"/>
      <c r="I2" s="78"/>
      <c r="J2" s="78"/>
      <c r="K2" s="78"/>
      <c r="L2" s="78"/>
      <c r="M2" s="78"/>
      <c r="N2" s="78"/>
      <c r="O2" s="77"/>
    </row>
    <row r="3" spans="1:15" ht="15.75" customHeight="1" x14ac:dyDescent="0.25">
      <c r="A3" s="79">
        <v>1</v>
      </c>
      <c r="B3" s="224" t="s">
        <v>5</v>
      </c>
      <c r="C3" s="225"/>
      <c r="D3" s="225"/>
      <c r="E3" s="225"/>
      <c r="F3" s="226"/>
      <c r="H3" s="77"/>
      <c r="I3" s="78"/>
      <c r="J3" s="78"/>
      <c r="K3" s="78"/>
      <c r="L3" s="78"/>
      <c r="M3" s="78"/>
      <c r="N3" s="78"/>
      <c r="O3" s="77"/>
    </row>
    <row r="4" spans="1:15" x14ac:dyDescent="0.25">
      <c r="A4" s="82" t="s">
        <v>65</v>
      </c>
      <c r="B4" s="83" t="s">
        <v>27</v>
      </c>
      <c r="C4" s="84">
        <v>1</v>
      </c>
      <c r="D4" s="170">
        <v>5.5</v>
      </c>
      <c r="E4" s="85">
        <v>9467126</v>
      </c>
      <c r="F4" s="167">
        <f>C4*D4*E4</f>
        <v>52069193</v>
      </c>
      <c r="H4" s="77"/>
      <c r="I4" s="78"/>
      <c r="J4" s="78"/>
      <c r="K4" s="78"/>
      <c r="L4" s="78"/>
      <c r="M4" s="78"/>
      <c r="N4" s="78"/>
      <c r="O4" s="77"/>
    </row>
    <row r="5" spans="1:15" x14ac:dyDescent="0.25">
      <c r="A5" s="82" t="s">
        <v>66</v>
      </c>
      <c r="B5" s="86" t="s">
        <v>28</v>
      </c>
      <c r="C5" s="84">
        <v>1</v>
      </c>
      <c r="D5" s="170">
        <v>5.5</v>
      </c>
      <c r="E5" s="85">
        <v>6666667</v>
      </c>
      <c r="F5" s="167">
        <f t="shared" ref="F5:F10" si="0">C5*D5*E5</f>
        <v>36666668.5</v>
      </c>
      <c r="H5" s="77"/>
      <c r="I5" s="78"/>
      <c r="J5" s="78"/>
      <c r="K5" s="78"/>
      <c r="L5" s="78"/>
      <c r="M5" s="78"/>
      <c r="N5" s="78"/>
      <c r="O5" s="77"/>
    </row>
    <row r="6" spans="1:15" x14ac:dyDescent="0.25">
      <c r="A6" s="82" t="s">
        <v>67</v>
      </c>
      <c r="B6" s="83" t="s">
        <v>29</v>
      </c>
      <c r="C6" s="84">
        <v>1</v>
      </c>
      <c r="D6" s="170">
        <v>5.5</v>
      </c>
      <c r="E6" s="85">
        <v>6666667</v>
      </c>
      <c r="F6" s="167">
        <f t="shared" si="0"/>
        <v>36666668.5</v>
      </c>
      <c r="H6" s="77"/>
      <c r="I6" s="78"/>
      <c r="J6" s="78"/>
      <c r="K6" s="78"/>
      <c r="L6" s="78"/>
      <c r="M6" s="78"/>
      <c r="N6" s="78"/>
      <c r="O6" s="77"/>
    </row>
    <row r="7" spans="1:15" x14ac:dyDescent="0.25">
      <c r="A7" s="82" t="s">
        <v>68</v>
      </c>
      <c r="B7" s="83" t="s">
        <v>30</v>
      </c>
      <c r="C7" s="170">
        <v>4</v>
      </c>
      <c r="D7" s="170">
        <v>5.5</v>
      </c>
      <c r="E7" s="85">
        <v>6166667</v>
      </c>
      <c r="F7" s="167">
        <f t="shared" si="0"/>
        <v>135666674</v>
      </c>
      <c r="H7" s="77"/>
      <c r="I7" s="78"/>
      <c r="J7" s="78"/>
      <c r="K7" s="78"/>
      <c r="L7" s="78"/>
      <c r="M7" s="78"/>
      <c r="N7" s="78"/>
      <c r="O7" s="77"/>
    </row>
    <row r="8" spans="1:15" x14ac:dyDescent="0.25">
      <c r="A8" s="82" t="s">
        <v>69</v>
      </c>
      <c r="B8" s="83" t="s">
        <v>31</v>
      </c>
      <c r="C8" s="170">
        <v>12</v>
      </c>
      <c r="D8" s="170">
        <v>5.5</v>
      </c>
      <c r="E8" s="85">
        <v>4834559</v>
      </c>
      <c r="F8" s="167">
        <f t="shared" si="0"/>
        <v>319080894</v>
      </c>
      <c r="H8" s="77"/>
      <c r="I8" s="78"/>
      <c r="J8" s="78"/>
      <c r="K8" s="78"/>
      <c r="L8" s="78"/>
      <c r="M8" s="78"/>
      <c r="N8" s="78"/>
      <c r="O8" s="77"/>
    </row>
    <row r="9" spans="1:15" x14ac:dyDescent="0.25">
      <c r="A9" s="82" t="s">
        <v>70</v>
      </c>
      <c r="B9" s="86" t="s">
        <v>32</v>
      </c>
      <c r="C9" s="170">
        <v>12</v>
      </c>
      <c r="D9" s="170">
        <v>5.5</v>
      </c>
      <c r="E9" s="85">
        <v>4050919</v>
      </c>
      <c r="F9" s="167">
        <f t="shared" si="0"/>
        <v>267360654</v>
      </c>
      <c r="H9" s="77"/>
      <c r="I9" s="78"/>
      <c r="J9" s="78"/>
      <c r="K9" s="78"/>
      <c r="L9" s="78"/>
      <c r="M9" s="78"/>
      <c r="N9" s="78"/>
      <c r="O9" s="77"/>
    </row>
    <row r="10" spans="1:15" x14ac:dyDescent="0.25">
      <c r="A10" s="82" t="s">
        <v>71</v>
      </c>
      <c r="B10" s="83" t="s">
        <v>33</v>
      </c>
      <c r="C10" s="84">
        <v>1</v>
      </c>
      <c r="D10" s="170">
        <v>5.5</v>
      </c>
      <c r="E10" s="85">
        <v>5662189</v>
      </c>
      <c r="F10" s="167">
        <f t="shared" si="0"/>
        <v>31142039.5</v>
      </c>
      <c r="H10" s="77"/>
      <c r="I10" s="78"/>
      <c r="J10" s="78"/>
      <c r="K10" s="78"/>
      <c r="L10" s="78"/>
      <c r="M10" s="78"/>
      <c r="N10" s="78"/>
      <c r="O10" s="77"/>
    </row>
    <row r="11" spans="1:15" x14ac:dyDescent="0.25">
      <c r="A11" s="223" t="s">
        <v>37</v>
      </c>
      <c r="B11" s="223"/>
      <c r="C11" s="223"/>
      <c r="D11" s="223"/>
      <c r="E11" s="223"/>
      <c r="F11" s="168">
        <f>SUM(F4:F10)</f>
        <v>878652791.5</v>
      </c>
      <c r="H11" s="77"/>
      <c r="I11" s="78"/>
      <c r="J11" s="78"/>
      <c r="K11" s="78"/>
      <c r="L11" s="78"/>
      <c r="M11" s="78"/>
      <c r="N11" s="78"/>
      <c r="O11" s="77"/>
    </row>
    <row r="12" spans="1:15" x14ac:dyDescent="0.25">
      <c r="A12" s="79">
        <v>2</v>
      </c>
      <c r="B12" s="87" t="s">
        <v>34</v>
      </c>
      <c r="C12" s="79" t="s">
        <v>1</v>
      </c>
      <c r="D12" s="79" t="s">
        <v>2</v>
      </c>
      <c r="E12" s="81"/>
      <c r="F12" s="169"/>
      <c r="H12" s="77"/>
      <c r="I12" s="78"/>
      <c r="J12" s="78"/>
      <c r="K12" s="78"/>
      <c r="L12" s="78"/>
      <c r="M12" s="78"/>
      <c r="N12" s="78"/>
      <c r="O12" s="77"/>
    </row>
    <row r="13" spans="1:15" x14ac:dyDescent="0.25">
      <c r="A13" s="82" t="s">
        <v>72</v>
      </c>
      <c r="B13" s="88" t="s">
        <v>45</v>
      </c>
      <c r="C13" s="89">
        <v>68</v>
      </c>
      <c r="D13" s="82" t="s">
        <v>15</v>
      </c>
      <c r="E13" s="85">
        <v>807128</v>
      </c>
      <c r="F13" s="167">
        <v>54884704</v>
      </c>
      <c r="H13" s="77"/>
      <c r="I13" s="78"/>
      <c r="J13" s="78"/>
      <c r="K13" s="78"/>
      <c r="L13" s="78"/>
      <c r="M13" s="78"/>
      <c r="N13" s="78"/>
      <c r="O13" s="77"/>
    </row>
    <row r="14" spans="1:15" x14ac:dyDescent="0.25">
      <c r="A14" s="82" t="s">
        <v>73</v>
      </c>
      <c r="B14" s="88" t="s">
        <v>46</v>
      </c>
      <c r="C14" s="89">
        <v>100</v>
      </c>
      <c r="D14" s="82" t="s">
        <v>15</v>
      </c>
      <c r="E14" s="85">
        <v>86907</v>
      </c>
      <c r="F14" s="167">
        <v>8690700</v>
      </c>
      <c r="H14" s="77"/>
      <c r="I14" s="78"/>
      <c r="J14" s="78"/>
      <c r="K14" s="78"/>
      <c r="L14" s="78"/>
      <c r="M14" s="78"/>
      <c r="N14" s="78"/>
      <c r="O14" s="77"/>
    </row>
    <row r="15" spans="1:15" x14ac:dyDescent="0.25">
      <c r="A15" s="82" t="s">
        <v>74</v>
      </c>
      <c r="B15" s="88" t="s">
        <v>47</v>
      </c>
      <c r="C15" s="89">
        <v>168</v>
      </c>
      <c r="D15" s="82" t="s">
        <v>15</v>
      </c>
      <c r="E15" s="85">
        <v>283156</v>
      </c>
      <c r="F15" s="167">
        <v>47570208</v>
      </c>
      <c r="H15" s="77"/>
      <c r="I15" s="78"/>
      <c r="J15" s="78"/>
      <c r="K15" s="78"/>
      <c r="L15" s="78"/>
      <c r="M15" s="78"/>
      <c r="N15" s="78"/>
      <c r="O15" s="77"/>
    </row>
    <row r="16" spans="1:15" x14ac:dyDescent="0.25">
      <c r="A16" s="223" t="s">
        <v>35</v>
      </c>
      <c r="B16" s="223"/>
      <c r="C16" s="223"/>
      <c r="D16" s="223"/>
      <c r="E16" s="223"/>
      <c r="F16" s="168">
        <f>SUM(F13:F15)</f>
        <v>111145612</v>
      </c>
      <c r="H16" s="173">
        <f>C15/C8</f>
        <v>14</v>
      </c>
      <c r="I16" s="78"/>
      <c r="J16" s="78"/>
      <c r="K16" s="78"/>
      <c r="L16" s="78"/>
      <c r="M16" s="78"/>
      <c r="N16" s="78"/>
      <c r="O16" s="77"/>
    </row>
    <row r="17" spans="1:15" x14ac:dyDescent="0.25">
      <c r="A17" s="224" t="s">
        <v>36</v>
      </c>
      <c r="B17" s="225"/>
      <c r="C17" s="225"/>
      <c r="D17" s="225"/>
      <c r="E17" s="226"/>
      <c r="F17" s="166">
        <f>F11+F16</f>
        <v>989798403.5</v>
      </c>
      <c r="H17" s="77"/>
      <c r="I17" s="78"/>
      <c r="J17" s="78"/>
      <c r="K17" s="78"/>
      <c r="L17" s="78"/>
      <c r="M17" s="78"/>
      <c r="N17" s="78"/>
      <c r="O17" s="77"/>
    </row>
    <row r="18" spans="1:15" x14ac:dyDescent="0.25">
      <c r="A18" s="224" t="s">
        <v>6</v>
      </c>
      <c r="B18" s="225"/>
      <c r="C18" s="225"/>
      <c r="D18" s="225"/>
      <c r="E18" s="225"/>
      <c r="F18" s="226"/>
      <c r="H18" s="77"/>
      <c r="I18" s="78"/>
      <c r="J18" s="78"/>
    </row>
    <row r="19" spans="1:15" x14ac:dyDescent="0.25">
      <c r="A19" s="79">
        <v>3</v>
      </c>
      <c r="B19" s="87" t="s">
        <v>38</v>
      </c>
      <c r="C19" s="87"/>
      <c r="D19" s="87"/>
      <c r="E19" s="90"/>
      <c r="F19" s="90"/>
      <c r="H19" s="77"/>
      <c r="I19" s="78"/>
      <c r="J19" s="78"/>
    </row>
    <row r="20" spans="1:15" x14ac:dyDescent="0.25">
      <c r="A20" s="82" t="s">
        <v>75</v>
      </c>
      <c r="B20" s="227" t="s">
        <v>39</v>
      </c>
      <c r="C20" s="227"/>
      <c r="D20" s="227"/>
      <c r="E20" s="102">
        <v>9.2600000000000002E-2</v>
      </c>
      <c r="F20" s="167">
        <f>F17*E20</f>
        <v>91655332.164100006</v>
      </c>
      <c r="H20" s="77"/>
      <c r="I20" s="78"/>
      <c r="J20" s="78"/>
    </row>
    <row r="21" spans="1:15" x14ac:dyDescent="0.25">
      <c r="A21" s="82" t="s">
        <v>76</v>
      </c>
      <c r="B21" s="227" t="s">
        <v>40</v>
      </c>
      <c r="C21" s="227"/>
      <c r="D21" s="227"/>
      <c r="E21" s="102">
        <v>8.5000000000000006E-2</v>
      </c>
      <c r="F21" s="167">
        <f>F17*E21</f>
        <v>84132864.297499999</v>
      </c>
      <c r="H21" s="77"/>
      <c r="I21" s="78"/>
      <c r="J21" s="78"/>
    </row>
    <row r="22" spans="1:15" x14ac:dyDescent="0.25">
      <c r="A22" s="231" t="s">
        <v>41</v>
      </c>
      <c r="B22" s="232"/>
      <c r="C22" s="232"/>
      <c r="D22" s="232"/>
      <c r="E22" s="233"/>
      <c r="F22" s="168">
        <f>F17+F20+F21</f>
        <v>1165586599.9615998</v>
      </c>
      <c r="H22" s="77"/>
      <c r="I22" s="78"/>
      <c r="J22" s="78"/>
    </row>
    <row r="23" spans="1:15" x14ac:dyDescent="0.25">
      <c r="A23" s="91">
        <v>4</v>
      </c>
      <c r="B23" s="228" t="s">
        <v>42</v>
      </c>
      <c r="C23" s="228"/>
      <c r="D23" s="228"/>
      <c r="E23" s="102">
        <v>0.19</v>
      </c>
      <c r="F23" s="167">
        <f>ROUND(F22*E23,0)</f>
        <v>221461454</v>
      </c>
      <c r="H23" s="77"/>
      <c r="I23" s="78"/>
      <c r="J23" s="78"/>
    </row>
    <row r="24" spans="1:15" x14ac:dyDescent="0.25">
      <c r="A24" s="92"/>
      <c r="B24" s="229" t="s">
        <v>43</v>
      </c>
      <c r="C24" s="229"/>
      <c r="D24" s="229"/>
      <c r="E24" s="229"/>
      <c r="F24" s="166">
        <f>F22+F23</f>
        <v>1387048053.9615998</v>
      </c>
      <c r="G24" s="171"/>
      <c r="H24" s="77"/>
      <c r="I24" s="78"/>
      <c r="J24" s="78"/>
    </row>
    <row r="25" spans="1:15" x14ac:dyDescent="0.25">
      <c r="F25" s="174"/>
      <c r="G25" s="172"/>
      <c r="I25" s="78"/>
      <c r="J25" s="78"/>
    </row>
    <row r="26" spans="1:15" x14ac:dyDescent="0.25">
      <c r="A26" s="230" t="s">
        <v>78</v>
      </c>
      <c r="B26" s="230"/>
      <c r="C26" s="230"/>
      <c r="D26" s="230"/>
      <c r="E26" s="230"/>
      <c r="F26" s="230"/>
      <c r="G26" s="230"/>
      <c r="H26" s="95"/>
      <c r="I26" s="95"/>
      <c r="J26" s="78"/>
    </row>
    <row r="27" spans="1:15" ht="48" customHeight="1" x14ac:dyDescent="0.25">
      <c r="A27" s="79" t="s">
        <v>64</v>
      </c>
      <c r="B27" s="79" t="s">
        <v>0</v>
      </c>
      <c r="C27" s="79" t="s">
        <v>79</v>
      </c>
      <c r="D27" s="79" t="s">
        <v>80</v>
      </c>
      <c r="E27" s="81" t="s">
        <v>81</v>
      </c>
      <c r="F27" s="81" t="s">
        <v>82</v>
      </c>
      <c r="G27" s="103" t="s">
        <v>48</v>
      </c>
    </row>
    <row r="28" spans="1:15" ht="16.5" x14ac:dyDescent="0.25">
      <c r="A28" s="79">
        <v>1</v>
      </c>
      <c r="B28" s="87" t="s">
        <v>5</v>
      </c>
      <c r="C28" s="96" t="s">
        <v>16</v>
      </c>
      <c r="D28" s="96" t="s">
        <v>16</v>
      </c>
      <c r="E28" s="97" t="s">
        <v>16</v>
      </c>
      <c r="F28" s="97" t="s">
        <v>16</v>
      </c>
      <c r="G28" s="96" t="s">
        <v>16</v>
      </c>
    </row>
    <row r="29" spans="1:15" x14ac:dyDescent="0.25">
      <c r="A29" s="82" t="s">
        <v>65</v>
      </c>
      <c r="B29" s="83" t="s">
        <v>27</v>
      </c>
      <c r="C29" s="109">
        <v>8500000</v>
      </c>
      <c r="D29" s="109">
        <v>9000000</v>
      </c>
      <c r="E29" s="109">
        <v>3500000</v>
      </c>
      <c r="F29" s="109">
        <v>10000000</v>
      </c>
      <c r="G29" s="109">
        <v>10368504.16</v>
      </c>
    </row>
    <row r="30" spans="1:15" x14ac:dyDescent="0.25">
      <c r="A30" s="82" t="s">
        <v>66</v>
      </c>
      <c r="B30" s="86" t="s">
        <v>28</v>
      </c>
      <c r="C30" s="109">
        <v>7500000</v>
      </c>
      <c r="D30" s="109">
        <v>6500000</v>
      </c>
      <c r="E30" s="109">
        <v>2900000</v>
      </c>
      <c r="F30" s="109">
        <v>6000000</v>
      </c>
      <c r="G30" s="109">
        <v>9129413.6241999995</v>
      </c>
    </row>
    <row r="31" spans="1:15" x14ac:dyDescent="0.25">
      <c r="A31" s="82" t="s">
        <v>67</v>
      </c>
      <c r="B31" s="83" t="s">
        <v>29</v>
      </c>
      <c r="C31" s="109">
        <v>7500000</v>
      </c>
      <c r="D31" s="109">
        <v>6500000</v>
      </c>
      <c r="E31" s="109">
        <v>2800000</v>
      </c>
      <c r="F31" s="109">
        <v>6000000</v>
      </c>
      <c r="G31" s="109">
        <v>9129413.6241999995</v>
      </c>
    </row>
    <row r="32" spans="1:15" x14ac:dyDescent="0.25">
      <c r="A32" s="82" t="s">
        <v>68</v>
      </c>
      <c r="B32" s="83" t="s">
        <v>30</v>
      </c>
      <c r="C32" s="109">
        <v>6500000</v>
      </c>
      <c r="D32" s="109">
        <v>6000000</v>
      </c>
      <c r="E32" s="109">
        <v>2600000</v>
      </c>
      <c r="F32" s="109">
        <v>6000000</v>
      </c>
      <c r="G32" s="109">
        <v>8217236</v>
      </c>
    </row>
    <row r="33" spans="1:7" x14ac:dyDescent="0.25">
      <c r="A33" s="82" t="s">
        <v>69</v>
      </c>
      <c r="B33" s="83" t="s">
        <v>31</v>
      </c>
      <c r="C33" s="109">
        <v>5500000</v>
      </c>
      <c r="D33" s="109">
        <v>4800000</v>
      </c>
      <c r="E33" s="109">
        <v>2700000</v>
      </c>
      <c r="F33" s="109">
        <v>6500000</v>
      </c>
      <c r="G33" s="109">
        <v>4203676</v>
      </c>
    </row>
    <row r="34" spans="1:7" x14ac:dyDescent="0.25">
      <c r="A34" s="82" t="s">
        <v>70</v>
      </c>
      <c r="B34" s="86" t="s">
        <v>32</v>
      </c>
      <c r="C34" s="109">
        <v>4500000</v>
      </c>
      <c r="D34" s="109">
        <v>4000000</v>
      </c>
      <c r="E34" s="109">
        <v>2800000</v>
      </c>
      <c r="F34" s="109">
        <v>3500000</v>
      </c>
      <c r="G34" s="109">
        <v>4203676</v>
      </c>
    </row>
    <row r="35" spans="1:7" x14ac:dyDescent="0.25">
      <c r="A35" s="82" t="s">
        <v>71</v>
      </c>
      <c r="B35" s="83" t="s">
        <v>33</v>
      </c>
      <c r="C35" s="109">
        <v>4500000</v>
      </c>
      <c r="D35" s="109">
        <v>7000000</v>
      </c>
      <c r="E35" s="109">
        <v>2800000</v>
      </c>
      <c r="F35" s="109">
        <v>6000000</v>
      </c>
      <c r="G35" s="109">
        <v>6486567.8039999995</v>
      </c>
    </row>
    <row r="36" spans="1:7" ht="8.25" customHeight="1" x14ac:dyDescent="0.25">
      <c r="A36" s="223" t="s">
        <v>37</v>
      </c>
      <c r="B36" s="223"/>
      <c r="C36" s="223"/>
      <c r="D36" s="223"/>
      <c r="E36" s="223"/>
      <c r="F36" s="223"/>
      <c r="G36" s="223"/>
    </row>
    <row r="37" spans="1:7" x14ac:dyDescent="0.25">
      <c r="A37" s="79">
        <v>2</v>
      </c>
      <c r="B37" s="87" t="s">
        <v>34</v>
      </c>
      <c r="C37" s="79" t="s">
        <v>1</v>
      </c>
      <c r="D37" s="79" t="s">
        <v>2</v>
      </c>
      <c r="E37" s="81"/>
      <c r="F37" s="104"/>
      <c r="G37" s="104"/>
    </row>
    <row r="38" spans="1:7" x14ac:dyDescent="0.25">
      <c r="A38" s="82" t="s">
        <v>72</v>
      </c>
      <c r="B38" s="88" t="s">
        <v>45</v>
      </c>
      <c r="C38" s="109">
        <v>1550000</v>
      </c>
      <c r="D38" s="109">
        <v>7500000</v>
      </c>
      <c r="E38" s="109">
        <v>1000000</v>
      </c>
      <c r="F38" s="109">
        <v>700000</v>
      </c>
      <c r="G38" s="109">
        <v>721384.6</v>
      </c>
    </row>
    <row r="39" spans="1:7" x14ac:dyDescent="0.25">
      <c r="A39" s="82" t="s">
        <v>73</v>
      </c>
      <c r="B39" s="88" t="s">
        <v>46</v>
      </c>
      <c r="C39" s="109">
        <v>300000</v>
      </c>
      <c r="D39" s="109">
        <v>150000</v>
      </c>
      <c r="E39" s="109">
        <v>500000</v>
      </c>
      <c r="F39" s="109">
        <v>200000</v>
      </c>
      <c r="G39" s="109">
        <v>84496</v>
      </c>
    </row>
    <row r="40" spans="1:7" x14ac:dyDescent="0.25">
      <c r="A40" s="82" t="s">
        <v>74</v>
      </c>
      <c r="B40" s="88" t="s">
        <v>47</v>
      </c>
      <c r="C40" s="109">
        <v>650000</v>
      </c>
      <c r="D40" s="109">
        <v>290000</v>
      </c>
      <c r="E40" s="109">
        <v>3300000</v>
      </c>
      <c r="F40" s="109">
        <v>250000</v>
      </c>
      <c r="G40" s="109">
        <v>309466.59999999998</v>
      </c>
    </row>
    <row r="41" spans="1:7" ht="8.25" customHeight="1" x14ac:dyDescent="0.25">
      <c r="A41" s="223" t="s">
        <v>37</v>
      </c>
      <c r="B41" s="223"/>
      <c r="C41" s="223"/>
      <c r="D41" s="223"/>
      <c r="E41" s="223"/>
      <c r="F41" s="105"/>
      <c r="G41" s="105"/>
    </row>
    <row r="42" spans="1:7" x14ac:dyDescent="0.25">
      <c r="A42" s="106" t="s">
        <v>83</v>
      </c>
      <c r="B42" s="224" t="s">
        <v>36</v>
      </c>
      <c r="C42" s="225"/>
      <c r="D42" s="225"/>
      <c r="E42" s="225"/>
      <c r="F42" s="225"/>
      <c r="G42" s="226"/>
    </row>
    <row r="43" spans="1:7" x14ac:dyDescent="0.25">
      <c r="A43" s="229" t="s">
        <v>6</v>
      </c>
      <c r="B43" s="229"/>
      <c r="C43" s="229"/>
      <c r="D43" s="229"/>
      <c r="E43" s="229"/>
      <c r="F43" s="229"/>
      <c r="G43" s="229"/>
    </row>
    <row r="44" spans="1:7" x14ac:dyDescent="0.25">
      <c r="A44" s="79">
        <v>3</v>
      </c>
      <c r="B44" s="229" t="s">
        <v>38</v>
      </c>
      <c r="C44" s="229"/>
      <c r="D44" s="229"/>
      <c r="E44" s="229"/>
      <c r="F44" s="229"/>
      <c r="G44" s="229"/>
    </row>
    <row r="45" spans="1:7" x14ac:dyDescent="0.25">
      <c r="A45" s="82" t="s">
        <v>75</v>
      </c>
      <c r="B45" s="98" t="s">
        <v>39</v>
      </c>
      <c r="C45" s="110">
        <v>0.1</v>
      </c>
      <c r="D45" s="110">
        <v>0.1004</v>
      </c>
      <c r="E45" s="110">
        <v>0.1</v>
      </c>
      <c r="F45" s="111">
        <v>0.2</v>
      </c>
      <c r="G45" s="110">
        <v>6.9997798745540393E-2</v>
      </c>
    </row>
    <row r="46" spans="1:7" x14ac:dyDescent="0.25">
      <c r="A46" s="82" t="s">
        <v>76</v>
      </c>
      <c r="B46" s="98" t="s">
        <v>40</v>
      </c>
      <c r="C46" s="110">
        <v>0.15</v>
      </c>
      <c r="D46" s="110">
        <v>7.0000000000000007E-2</v>
      </c>
      <c r="E46" s="110">
        <v>0.03</v>
      </c>
      <c r="F46" s="111">
        <v>0.1</v>
      </c>
      <c r="G46" s="110">
        <v>8.4997803178312195E-2</v>
      </c>
    </row>
    <row r="47" spans="1:7" ht="8.25" customHeight="1" x14ac:dyDescent="0.25">
      <c r="A47" s="223" t="s">
        <v>41</v>
      </c>
      <c r="B47" s="223"/>
      <c r="C47" s="223"/>
      <c r="D47" s="223"/>
      <c r="E47" s="223"/>
      <c r="F47" s="223"/>
      <c r="G47" s="223"/>
    </row>
    <row r="48" spans="1:7" x14ac:dyDescent="0.25">
      <c r="A48" s="107">
        <v>4</v>
      </c>
      <c r="B48" s="108" t="s">
        <v>42</v>
      </c>
      <c r="C48" s="99">
        <v>0</v>
      </c>
      <c r="D48" s="99">
        <v>0.19</v>
      </c>
      <c r="E48" s="100">
        <v>0</v>
      </c>
      <c r="F48" s="101">
        <v>0.19</v>
      </c>
      <c r="G48" s="99">
        <v>0.19</v>
      </c>
    </row>
  </sheetData>
  <mergeCells count="18">
    <mergeCell ref="A47:G47"/>
    <mergeCell ref="B20:D20"/>
    <mergeCell ref="B21:D21"/>
    <mergeCell ref="B23:D23"/>
    <mergeCell ref="B24:E24"/>
    <mergeCell ref="B44:G44"/>
    <mergeCell ref="A26:G26"/>
    <mergeCell ref="B42:G42"/>
    <mergeCell ref="A41:E41"/>
    <mergeCell ref="A43:G43"/>
    <mergeCell ref="A22:E22"/>
    <mergeCell ref="A36:G36"/>
    <mergeCell ref="A1:F1"/>
    <mergeCell ref="A11:E11"/>
    <mergeCell ref="A16:E16"/>
    <mergeCell ref="A17:E17"/>
    <mergeCell ref="A18:F18"/>
    <mergeCell ref="B3:F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6"/>
  <sheetViews>
    <sheetView topLeftCell="A12" zoomScale="140" zoomScaleNormal="140" workbookViewId="0">
      <selection activeCell="E13" sqref="E13"/>
    </sheetView>
  </sheetViews>
  <sheetFormatPr baseColWidth="10" defaultColWidth="11.42578125" defaultRowHeight="8.25" x14ac:dyDescent="0.15"/>
  <cols>
    <col min="1" max="1" width="4.140625" style="125" bestFit="1" customWidth="1"/>
    <col min="2" max="2" width="8.85546875" style="126" customWidth="1"/>
    <col min="3" max="3" width="6.7109375" style="112" customWidth="1"/>
    <col min="4" max="4" width="8.140625" style="112" customWidth="1"/>
    <col min="5" max="5" width="4" style="112" customWidth="1"/>
    <col min="6" max="6" width="7.85546875" style="112" customWidth="1"/>
    <col min="7" max="7" width="8.140625" style="112" customWidth="1"/>
    <col min="8" max="8" width="6.42578125" style="112" customWidth="1"/>
    <col min="9" max="9" width="7.7109375" style="112" customWidth="1"/>
    <col min="10" max="10" width="33.85546875" style="112" customWidth="1"/>
    <col min="11" max="16384" width="11.42578125" style="112"/>
  </cols>
  <sheetData>
    <row r="1" spans="1:10" x14ac:dyDescent="0.15">
      <c r="A1" s="127" t="s">
        <v>64</v>
      </c>
      <c r="B1" s="127" t="s">
        <v>0</v>
      </c>
      <c r="C1" s="234" t="s">
        <v>18</v>
      </c>
      <c r="D1" s="234" t="s">
        <v>19</v>
      </c>
      <c r="E1" s="234" t="s">
        <v>85</v>
      </c>
      <c r="F1" s="234" t="s">
        <v>57</v>
      </c>
      <c r="G1" s="234" t="s">
        <v>58</v>
      </c>
      <c r="H1" s="234" t="s">
        <v>59</v>
      </c>
      <c r="I1" s="234" t="s">
        <v>56</v>
      </c>
      <c r="J1" s="234" t="s">
        <v>84</v>
      </c>
    </row>
    <row r="2" spans="1:10" ht="54" customHeight="1" x14ac:dyDescent="0.15">
      <c r="A2" s="127">
        <v>1</v>
      </c>
      <c r="B2" s="128" t="s">
        <v>5</v>
      </c>
      <c r="C2" s="234"/>
      <c r="D2" s="234"/>
      <c r="E2" s="234"/>
      <c r="F2" s="234"/>
      <c r="G2" s="234"/>
      <c r="H2" s="234"/>
      <c r="I2" s="234"/>
      <c r="J2" s="234"/>
    </row>
    <row r="3" spans="1:10" ht="74.25" x14ac:dyDescent="0.15">
      <c r="A3" s="121" t="s">
        <v>65</v>
      </c>
      <c r="B3" s="122" t="s">
        <v>27</v>
      </c>
      <c r="C3" s="113">
        <v>8273700.8319999995</v>
      </c>
      <c r="D3" s="113">
        <v>2771969.1208935725</v>
      </c>
      <c r="E3" s="114">
        <v>0.33503376266307483</v>
      </c>
      <c r="F3" s="113">
        <v>9467126.0399999991</v>
      </c>
      <c r="G3" s="113">
        <v>866020.91717482579</v>
      </c>
      <c r="H3" s="115">
        <v>9.147664386380408E-2</v>
      </c>
      <c r="I3" s="116">
        <v>9467126</v>
      </c>
      <c r="J3" s="117" t="s">
        <v>86</v>
      </c>
    </row>
    <row r="4" spans="1:10" ht="74.25" x14ac:dyDescent="0.15">
      <c r="A4" s="121" t="s">
        <v>66</v>
      </c>
      <c r="B4" s="129" t="s">
        <v>28</v>
      </c>
      <c r="C4" s="113">
        <v>6405882.7248400003</v>
      </c>
      <c r="D4" s="113">
        <v>2295622.230448144</v>
      </c>
      <c r="E4" s="114">
        <v>0.35836157623467602</v>
      </c>
      <c r="F4" s="113">
        <v>6666666.666666667</v>
      </c>
      <c r="G4" s="113">
        <v>763762.61582597333</v>
      </c>
      <c r="H4" s="115">
        <v>0.114564392373896</v>
      </c>
      <c r="I4" s="116">
        <v>6666667</v>
      </c>
      <c r="J4" s="117" t="s">
        <v>86</v>
      </c>
    </row>
    <row r="5" spans="1:10" ht="74.25" x14ac:dyDescent="0.15">
      <c r="A5" s="121" t="s">
        <v>67</v>
      </c>
      <c r="B5" s="122" t="s">
        <v>29</v>
      </c>
      <c r="C5" s="113">
        <v>6385882.7248400003</v>
      </c>
      <c r="D5" s="113">
        <v>2333918.4992560712</v>
      </c>
      <c r="E5" s="114">
        <v>0.3654809522538715</v>
      </c>
      <c r="F5" s="113">
        <v>6666666.666666667</v>
      </c>
      <c r="G5" s="113">
        <v>763762.61582597333</v>
      </c>
      <c r="H5" s="115">
        <v>0.114564392373896</v>
      </c>
      <c r="I5" s="116">
        <v>6666667</v>
      </c>
      <c r="J5" s="117" t="s">
        <v>86</v>
      </c>
    </row>
    <row r="6" spans="1:10" ht="74.25" x14ac:dyDescent="0.15">
      <c r="A6" s="121" t="s">
        <v>68</v>
      </c>
      <c r="B6" s="122" t="s">
        <v>30</v>
      </c>
      <c r="C6" s="113">
        <v>5863447.2000000002</v>
      </c>
      <c r="D6" s="113">
        <v>2039172.7577474164</v>
      </c>
      <c r="E6" s="114">
        <v>0.34777711612162487</v>
      </c>
      <c r="F6" s="113">
        <v>6166666.666666667</v>
      </c>
      <c r="G6" s="113">
        <v>288675.13459481287</v>
      </c>
      <c r="H6" s="115">
        <v>4.6812183988348029E-2</v>
      </c>
      <c r="I6" s="116">
        <v>6166667</v>
      </c>
      <c r="J6" s="117" t="s">
        <v>86</v>
      </c>
    </row>
    <row r="7" spans="1:10" ht="74.25" x14ac:dyDescent="0.15">
      <c r="A7" s="121" t="s">
        <v>69</v>
      </c>
      <c r="B7" s="122" t="s">
        <v>31</v>
      </c>
      <c r="C7" s="113">
        <v>4740735.2</v>
      </c>
      <c r="D7" s="113">
        <v>1425485.946123356</v>
      </c>
      <c r="E7" s="114">
        <v>0.30068879319042241</v>
      </c>
      <c r="F7" s="113">
        <v>4834558.666666667</v>
      </c>
      <c r="G7" s="113">
        <v>648852.60600950976</v>
      </c>
      <c r="H7" s="115">
        <v>0.13421134187143516</v>
      </c>
      <c r="I7" s="116">
        <v>4834559</v>
      </c>
      <c r="J7" s="117" t="s">
        <v>86</v>
      </c>
    </row>
    <row r="8" spans="1:10" ht="74.25" x14ac:dyDescent="0.15">
      <c r="A8" s="121" t="s">
        <v>70</v>
      </c>
      <c r="B8" s="129" t="s">
        <v>32</v>
      </c>
      <c r="C8" s="113">
        <v>3800735.2</v>
      </c>
      <c r="D8" s="113">
        <v>667636.05549370928</v>
      </c>
      <c r="E8" s="114">
        <v>0.17565971328223792</v>
      </c>
      <c r="F8" s="113">
        <v>4050919</v>
      </c>
      <c r="G8" s="113">
        <v>420758.41632778617</v>
      </c>
      <c r="H8" s="118">
        <v>0.1038673980713478</v>
      </c>
      <c r="I8" s="116">
        <v>4050919</v>
      </c>
      <c r="J8" s="117" t="s">
        <v>86</v>
      </c>
    </row>
    <row r="9" spans="1:10" ht="74.25" x14ac:dyDescent="0.15">
      <c r="A9" s="121" t="s">
        <v>71</v>
      </c>
      <c r="B9" s="122" t="s">
        <v>33</v>
      </c>
      <c r="C9" s="113">
        <v>5357313.5607999992</v>
      </c>
      <c r="D9" s="113">
        <v>1707448.3105083688</v>
      </c>
      <c r="E9" s="114">
        <v>0.31871352892276816</v>
      </c>
      <c r="F9" s="113">
        <v>5662189.2679999992</v>
      </c>
      <c r="G9" s="113">
        <v>1035470.8967243516</v>
      </c>
      <c r="H9" s="115">
        <v>0.18287465284432305</v>
      </c>
      <c r="I9" s="116">
        <v>5662189</v>
      </c>
      <c r="J9" s="117" t="s">
        <v>86</v>
      </c>
    </row>
    <row r="10" spans="1:10" x14ac:dyDescent="0.15">
      <c r="A10" s="130">
        <v>2</v>
      </c>
      <c r="B10" s="235" t="s">
        <v>34</v>
      </c>
      <c r="C10" s="235"/>
      <c r="D10" s="235"/>
      <c r="E10" s="235"/>
      <c r="F10" s="235"/>
      <c r="G10" s="235"/>
      <c r="H10" s="235"/>
      <c r="I10" s="235"/>
      <c r="J10" s="130" t="s">
        <v>84</v>
      </c>
    </row>
    <row r="11" spans="1:10" ht="74.25" x14ac:dyDescent="0.15">
      <c r="A11" s="121" t="s">
        <v>72</v>
      </c>
      <c r="B11" s="131" t="s">
        <v>45</v>
      </c>
      <c r="C11" s="113">
        <v>2294276.92</v>
      </c>
      <c r="D11" s="113">
        <v>2930203.1846313034</v>
      </c>
      <c r="E11" s="114">
        <v>1.27717938453188</v>
      </c>
      <c r="F11" s="119">
        <v>807128.20000000007</v>
      </c>
      <c r="G11" s="119">
        <v>167373.75453075065</v>
      </c>
      <c r="H11" s="120">
        <v>0.20736947926085428</v>
      </c>
      <c r="I11" s="116">
        <v>807128</v>
      </c>
      <c r="J11" s="117" t="s">
        <v>88</v>
      </c>
    </row>
    <row r="12" spans="1:10" ht="82.5" x14ac:dyDescent="0.15">
      <c r="A12" s="121" t="s">
        <v>73</v>
      </c>
      <c r="B12" s="131" t="s">
        <v>46</v>
      </c>
      <c r="C12" s="113">
        <v>246899.20000000001</v>
      </c>
      <c r="D12" s="113">
        <v>161897.72945659244</v>
      </c>
      <c r="E12" s="114">
        <v>0.65572399366459033</v>
      </c>
      <c r="F12" s="119">
        <v>144832</v>
      </c>
      <c r="G12" s="119">
        <v>57925.164410642807</v>
      </c>
      <c r="H12" s="120">
        <v>0.39994727968020055</v>
      </c>
      <c r="I12" s="116">
        <v>86907</v>
      </c>
      <c r="J12" s="117" t="s">
        <v>87</v>
      </c>
    </row>
    <row r="13" spans="1:10" ht="115.5" x14ac:dyDescent="0.15">
      <c r="A13" s="121" t="s">
        <v>74</v>
      </c>
      <c r="B13" s="131" t="s">
        <v>47</v>
      </c>
      <c r="C13" s="113">
        <v>959893.32</v>
      </c>
      <c r="D13" s="113">
        <v>1317942.8712592637</v>
      </c>
      <c r="E13" s="114">
        <v>1.37300973326834</v>
      </c>
      <c r="F13" s="119">
        <v>283155.53333333333</v>
      </c>
      <c r="G13" s="119">
        <v>30318.380099427028</v>
      </c>
      <c r="H13" s="120">
        <v>0.10707323901643818</v>
      </c>
      <c r="I13" s="116">
        <v>283156</v>
      </c>
      <c r="J13" s="117" t="s">
        <v>89</v>
      </c>
    </row>
    <row r="14" spans="1:10" x14ac:dyDescent="0.15">
      <c r="A14" s="130">
        <v>3</v>
      </c>
      <c r="B14" s="235" t="s">
        <v>38</v>
      </c>
      <c r="C14" s="235"/>
      <c r="D14" s="235"/>
      <c r="E14" s="235"/>
      <c r="F14" s="235"/>
      <c r="G14" s="235"/>
      <c r="H14" s="235"/>
      <c r="I14" s="235"/>
      <c r="J14" s="130" t="s">
        <v>84</v>
      </c>
    </row>
    <row r="15" spans="1:10" ht="74.25" x14ac:dyDescent="0.15">
      <c r="A15" s="121" t="s">
        <v>75</v>
      </c>
      <c r="B15" s="122" t="s">
        <v>39</v>
      </c>
      <c r="C15" s="114">
        <v>0.11407955974910806</v>
      </c>
      <c r="D15" s="123">
        <v>4.9772286632396183E-2</v>
      </c>
      <c r="E15" s="120">
        <v>0.43629451885910991</v>
      </c>
      <c r="F15" s="120">
        <v>9.2599449686385102E-2</v>
      </c>
      <c r="G15" s="124">
        <v>1.5068947102520922E-2</v>
      </c>
      <c r="H15" s="120">
        <v>0.16273257728373422</v>
      </c>
      <c r="I15" s="124">
        <v>9.2600000000000002E-2</v>
      </c>
      <c r="J15" s="117" t="s">
        <v>90</v>
      </c>
    </row>
    <row r="16" spans="1:10" ht="74.25" x14ac:dyDescent="0.15">
      <c r="A16" s="121" t="s">
        <v>76</v>
      </c>
      <c r="B16" s="122" t="s">
        <v>40</v>
      </c>
      <c r="C16" s="114">
        <v>8.6999560635662429E-2</v>
      </c>
      <c r="D16" s="123">
        <v>4.3817829679103172E-2</v>
      </c>
      <c r="E16" s="120">
        <v>0.50365575824691677</v>
      </c>
      <c r="F16" s="120">
        <v>8.4999267726104069E-2</v>
      </c>
      <c r="G16" s="124">
        <v>1.5000000053622542E-2</v>
      </c>
      <c r="H16" s="120">
        <v>0.17647210917107586</v>
      </c>
      <c r="I16" s="124">
        <v>8.5000000000000006E-2</v>
      </c>
      <c r="J16" s="117" t="s">
        <v>90</v>
      </c>
    </row>
  </sheetData>
  <mergeCells count="10">
    <mergeCell ref="J1:J2"/>
    <mergeCell ref="B14:I14"/>
    <mergeCell ref="B10:I10"/>
    <mergeCell ref="C1:C2"/>
    <mergeCell ref="D1:D2"/>
    <mergeCell ref="E1:E2"/>
    <mergeCell ref="F1:F2"/>
    <mergeCell ref="G1:G2"/>
    <mergeCell ref="H1:H2"/>
    <mergeCell ref="I1:I2"/>
  </mergeCells>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Cotización</vt:lpstr>
      <vt:lpstr>Hoja1</vt:lpstr>
      <vt:lpstr>Cuadros</vt:lpstr>
      <vt:lpstr>Justificación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Andrea Ballares Baez</dc:creator>
  <cp:lastModifiedBy>Sony</cp:lastModifiedBy>
  <dcterms:created xsi:type="dcterms:W3CDTF">2020-09-25T18:39:27Z</dcterms:created>
  <dcterms:modified xsi:type="dcterms:W3CDTF">2022-05-19T23:27:07Z</dcterms:modified>
</cp:coreProperties>
</file>