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24226"/>
  <mc:AlternateContent xmlns:mc="http://schemas.openxmlformats.org/markup-compatibility/2006">
    <mc:Choice Requires="x15">
      <x15ac:absPath xmlns:x15ac="http://schemas.microsoft.com/office/spreadsheetml/2010/11/ac" url="C:\Users\JANUS\Desktop\CATALINA SENA 2022\COMPRA MATERIALES ARTICULACION CON LA MEDIA\"/>
    </mc:Choice>
  </mc:AlternateContent>
  <xr:revisionPtr revIDLastSave="0" documentId="8_{B24E2503-3EE9-4F35-B51D-0A5480160FA5}" xr6:coauthVersionLast="47" xr6:coauthVersionMax="47" xr10:uidLastSave="{00000000-0000-0000-0000-000000000000}"/>
  <bookViews>
    <workbookView xWindow="-120" yWindow="-120" windowWidth="38640" windowHeight="15840" tabRatio="807" xr2:uid="{00000000-000D-0000-FFFF-FFFF00000000}"/>
  </bookViews>
  <sheets>
    <sheet name="NECESIDAD AJUSTADA" sheetId="5" r:id="rId1"/>
    <sheet name="NECESIDAD REAL" sheetId="4" r:id="rId2"/>
  </sheets>
  <definedNames>
    <definedName name="_xlnm._FilterDatabase" localSheetId="0" hidden="1">'NECESIDAD AJUSTADA'!$A$1:$N$59</definedName>
    <definedName name="_xlnm._FilterDatabase" localSheetId="1" hidden="1">'NECESIDAD REAL'!$A$1:$O$59</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5" i="5" l="1"/>
  <c r="I24" i="5"/>
  <c r="P5" i="5"/>
  <c r="P6" i="5"/>
  <c r="P7" i="5"/>
  <c r="P8" i="5"/>
  <c r="P9" i="5"/>
  <c r="P10" i="5"/>
  <c r="P11" i="5"/>
  <c r="P13" i="5"/>
  <c r="P15" i="5"/>
  <c r="P16" i="5"/>
  <c r="P17" i="5"/>
  <c r="P18" i="5"/>
  <c r="P19" i="5"/>
  <c r="P20" i="5"/>
  <c r="P21" i="5"/>
  <c r="P22" i="5"/>
  <c r="P23" i="5"/>
  <c r="P24" i="5"/>
  <c r="P25" i="5"/>
  <c r="P26" i="5"/>
  <c r="P27" i="5"/>
  <c r="P28" i="5"/>
  <c r="P30" i="5"/>
  <c r="P31" i="5"/>
  <c r="P32" i="5"/>
  <c r="P33" i="5"/>
  <c r="P35" i="5"/>
  <c r="P36" i="5"/>
  <c r="P37" i="5"/>
  <c r="P38" i="5"/>
  <c r="P39" i="5"/>
  <c r="P40" i="5"/>
  <c r="P41" i="5"/>
  <c r="P42" i="5"/>
  <c r="P43" i="5"/>
  <c r="P44" i="5"/>
  <c r="P45" i="5"/>
  <c r="P46" i="5"/>
  <c r="P47" i="5"/>
  <c r="P48" i="5"/>
  <c r="P49" i="5"/>
  <c r="P50" i="5"/>
  <c r="P51" i="5"/>
  <c r="P52" i="5"/>
  <c r="P53" i="5"/>
  <c r="P54" i="5"/>
  <c r="P55" i="5"/>
  <c r="P56" i="5"/>
  <c r="P57" i="5"/>
  <c r="P58" i="5"/>
  <c r="P60" i="5"/>
  <c r="I4" i="4" l="1"/>
  <c r="K4" i="4"/>
  <c r="I5" i="4"/>
  <c r="K5" i="4"/>
  <c r="I6" i="4"/>
  <c r="K6" i="4"/>
  <c r="I7" i="4"/>
  <c r="K7" i="4"/>
  <c r="M7" i="4" s="1"/>
  <c r="I8" i="4"/>
  <c r="K8" i="4"/>
  <c r="I9" i="4"/>
  <c r="K9" i="4"/>
  <c r="I10" i="4"/>
  <c r="K10" i="4"/>
  <c r="I11" i="4"/>
  <c r="K11" i="4"/>
  <c r="M11" i="4" s="1"/>
  <c r="I12" i="4"/>
  <c r="K12" i="4"/>
  <c r="I13" i="4"/>
  <c r="K13" i="4"/>
  <c r="I14" i="4"/>
  <c r="K14" i="4"/>
  <c r="I15" i="4"/>
  <c r="K15" i="4"/>
  <c r="M15" i="4" s="1"/>
  <c r="I16" i="4"/>
  <c r="K16" i="4"/>
  <c r="H17" i="4"/>
  <c r="I17" i="4" s="1"/>
  <c r="M17" i="4" s="1"/>
  <c r="J17" i="4"/>
  <c r="K17" i="4"/>
  <c r="H18" i="4"/>
  <c r="I18" i="4"/>
  <c r="J18" i="4"/>
  <c r="K18" i="4" s="1"/>
  <c r="M18" i="4" s="1"/>
  <c r="H19" i="4"/>
  <c r="I19" i="4"/>
  <c r="J19" i="4"/>
  <c r="K19" i="4"/>
  <c r="H20" i="4"/>
  <c r="I20" i="4"/>
  <c r="M20" i="4" s="1"/>
  <c r="J20" i="4"/>
  <c r="K20" i="4"/>
  <c r="H21" i="4"/>
  <c r="I21" i="4"/>
  <c r="J21" i="4"/>
  <c r="K21" i="4"/>
  <c r="H22" i="4"/>
  <c r="I22" i="4"/>
  <c r="K22" i="4"/>
  <c r="I23" i="4"/>
  <c r="J23" i="4"/>
  <c r="K23" i="4"/>
  <c r="H24" i="4"/>
  <c r="I24" i="4"/>
  <c r="J24" i="4"/>
  <c r="L24" i="4" s="1"/>
  <c r="K24" i="4"/>
  <c r="M24" i="4" s="1"/>
  <c r="H25" i="4"/>
  <c r="I25" i="4"/>
  <c r="J25" i="4"/>
  <c r="K25" i="4"/>
  <c r="H26" i="4"/>
  <c r="I26" i="4"/>
  <c r="J26" i="4"/>
  <c r="K26" i="4"/>
  <c r="M26" i="4" s="1"/>
  <c r="H27" i="4"/>
  <c r="I27" i="4"/>
  <c r="J27" i="4"/>
  <c r="K27" i="4"/>
  <c r="H28" i="4"/>
  <c r="I28" i="4"/>
  <c r="K28" i="4"/>
  <c r="M28" i="4" s="1"/>
  <c r="H29" i="4"/>
  <c r="I29" i="4" s="1"/>
  <c r="M29" i="4" s="1"/>
  <c r="K29" i="4"/>
  <c r="H30" i="4"/>
  <c r="I30" i="4"/>
  <c r="K30" i="4"/>
  <c r="H31" i="4"/>
  <c r="I31" i="4"/>
  <c r="K31" i="4"/>
  <c r="H32" i="4"/>
  <c r="I32" i="4"/>
  <c r="K32" i="4"/>
  <c r="H33" i="4"/>
  <c r="I33" i="4" s="1"/>
  <c r="K33" i="4"/>
  <c r="H34" i="4"/>
  <c r="L34" i="4" s="1"/>
  <c r="I34" i="4"/>
  <c r="M34" i="4" s="1"/>
  <c r="K34" i="4"/>
  <c r="H35" i="4"/>
  <c r="I35" i="4" s="1"/>
  <c r="M35" i="4" s="1"/>
  <c r="K35" i="4"/>
  <c r="I36" i="4"/>
  <c r="K36" i="4"/>
  <c r="I37" i="4"/>
  <c r="K37" i="4"/>
  <c r="M37" i="4" s="1"/>
  <c r="H38" i="4"/>
  <c r="I38" i="4"/>
  <c r="J38" i="4"/>
  <c r="K38" i="4"/>
  <c r="H39" i="4"/>
  <c r="I39" i="4"/>
  <c r="J39" i="4"/>
  <c r="K39" i="4"/>
  <c r="M39" i="4" s="1"/>
  <c r="H40" i="4"/>
  <c r="I40" i="4"/>
  <c r="J40" i="4"/>
  <c r="K40" i="4"/>
  <c r="I41" i="4"/>
  <c r="K41" i="4"/>
  <c r="I42" i="4"/>
  <c r="K42" i="4"/>
  <c r="M42" i="4" s="1"/>
  <c r="I43" i="4"/>
  <c r="K43" i="4"/>
  <c r="I44" i="4"/>
  <c r="K44" i="4"/>
  <c r="I45" i="4"/>
  <c r="K45" i="4"/>
  <c r="I46" i="4"/>
  <c r="K46" i="4"/>
  <c r="M46" i="4" s="1"/>
  <c r="I47" i="4"/>
  <c r="K47" i="4"/>
  <c r="I48" i="4"/>
  <c r="K48" i="4"/>
  <c r="I49" i="4"/>
  <c r="K49" i="4"/>
  <c r="I50" i="4"/>
  <c r="K50" i="4"/>
  <c r="M50" i="4" s="1"/>
  <c r="I51" i="4"/>
  <c r="K51" i="4"/>
  <c r="I52" i="4"/>
  <c r="K52" i="4"/>
  <c r="I53" i="4"/>
  <c r="K53" i="4"/>
  <c r="I54" i="4"/>
  <c r="K54" i="4"/>
  <c r="M54" i="4" s="1"/>
  <c r="I55" i="4"/>
  <c r="K55" i="4"/>
  <c r="I56" i="4"/>
  <c r="K56" i="4"/>
  <c r="I57" i="4"/>
  <c r="K57" i="4"/>
  <c r="H58" i="4"/>
  <c r="L58" i="4" s="1"/>
  <c r="I58" i="4"/>
  <c r="M58" i="4" s="1"/>
  <c r="J58" i="4"/>
  <c r="K58" i="4"/>
  <c r="M4" i="4"/>
  <c r="L4" i="4"/>
  <c r="L5" i="4"/>
  <c r="M5" i="4"/>
  <c r="M6" i="4"/>
  <c r="L6" i="4"/>
  <c r="L7" i="4"/>
  <c r="M8" i="4"/>
  <c r="L8" i="4"/>
  <c r="L9" i="4"/>
  <c r="M9" i="4"/>
  <c r="M10" i="4"/>
  <c r="L10" i="4"/>
  <c r="L11" i="4"/>
  <c r="M12" i="4"/>
  <c r="L12" i="4"/>
  <c r="L13" i="4"/>
  <c r="M13" i="4"/>
  <c r="M14" i="4"/>
  <c r="L14" i="4"/>
  <c r="L15" i="4"/>
  <c r="M16" i="4"/>
  <c r="L16" i="4"/>
  <c r="L17" i="4"/>
  <c r="L18" i="4"/>
  <c r="M19" i="4"/>
  <c r="L19" i="4"/>
  <c r="L20" i="4"/>
  <c r="L21" i="4"/>
  <c r="M21" i="4"/>
  <c r="L22" i="4"/>
  <c r="M22" i="4"/>
  <c r="L23" i="4"/>
  <c r="M23" i="4"/>
  <c r="L25" i="4"/>
  <c r="M25" i="4"/>
  <c r="L26" i="4"/>
  <c r="L27" i="4"/>
  <c r="M27" i="4"/>
  <c r="L28" i="4"/>
  <c r="M30" i="4"/>
  <c r="L30" i="4"/>
  <c r="M31" i="4"/>
  <c r="L31" i="4"/>
  <c r="M32" i="4"/>
  <c r="L32" i="4"/>
  <c r="L33" i="4"/>
  <c r="L36" i="4"/>
  <c r="M36" i="4"/>
  <c r="L37" i="4"/>
  <c r="L38" i="4"/>
  <c r="M38" i="4"/>
  <c r="L39" i="4"/>
  <c r="M40" i="4"/>
  <c r="L40" i="4"/>
  <c r="L41" i="4"/>
  <c r="M41" i="4"/>
  <c r="L42" i="4"/>
  <c r="L43" i="4"/>
  <c r="M43" i="4"/>
  <c r="L44" i="4"/>
  <c r="M44" i="4"/>
  <c r="L45" i="4"/>
  <c r="M45" i="4"/>
  <c r="L46" i="4"/>
  <c r="L47" i="4"/>
  <c r="M47" i="4"/>
  <c r="L48" i="4"/>
  <c r="M48" i="4"/>
  <c r="L49" i="4"/>
  <c r="M49" i="4"/>
  <c r="L50" i="4"/>
  <c r="L51" i="4"/>
  <c r="M51" i="4"/>
  <c r="L52" i="4"/>
  <c r="M52" i="4"/>
  <c r="L53" i="4"/>
  <c r="M53" i="4"/>
  <c r="L54" i="4"/>
  <c r="L55" i="4"/>
  <c r="M55" i="4"/>
  <c r="L56" i="4"/>
  <c r="M56" i="4"/>
  <c r="L57" i="4"/>
  <c r="M57" i="4"/>
  <c r="J25" i="5"/>
  <c r="K25" i="5" s="1"/>
  <c r="J24" i="5"/>
  <c r="K24" i="5" s="1"/>
  <c r="J19" i="5"/>
  <c r="K19" i="5" s="1"/>
  <c r="J20" i="5"/>
  <c r="K20" i="5"/>
  <c r="J21" i="5"/>
  <c r="K21" i="5"/>
  <c r="J22" i="5"/>
  <c r="K22" i="5"/>
  <c r="J23" i="5"/>
  <c r="K23" i="5" s="1"/>
  <c r="J26" i="5"/>
  <c r="K26" i="5"/>
  <c r="J27" i="5"/>
  <c r="K27" i="5" s="1"/>
  <c r="J28" i="5"/>
  <c r="K28" i="5"/>
  <c r="J29" i="5"/>
  <c r="K29" i="5"/>
  <c r="P29" i="5" s="1"/>
  <c r="J30" i="5"/>
  <c r="K30" i="5"/>
  <c r="J31" i="5"/>
  <c r="K31" i="5" s="1"/>
  <c r="J32" i="5"/>
  <c r="K32" i="5"/>
  <c r="J33" i="5"/>
  <c r="K33" i="5"/>
  <c r="J34" i="5"/>
  <c r="K34" i="5"/>
  <c r="P34" i="5" s="1"/>
  <c r="J35" i="5"/>
  <c r="K35" i="5" s="1"/>
  <c r="J36" i="5"/>
  <c r="K36" i="5"/>
  <c r="J37" i="5"/>
  <c r="K37" i="5"/>
  <c r="J38" i="5"/>
  <c r="K38" i="5"/>
  <c r="J39" i="5"/>
  <c r="K39" i="5" s="1"/>
  <c r="J40" i="5"/>
  <c r="K40" i="5"/>
  <c r="J41" i="5"/>
  <c r="K41" i="5"/>
  <c r="J42" i="5"/>
  <c r="K42" i="5"/>
  <c r="J43" i="5"/>
  <c r="K43" i="5" s="1"/>
  <c r="J44" i="5"/>
  <c r="K44" i="5"/>
  <c r="J45" i="5"/>
  <c r="K45" i="5"/>
  <c r="J46" i="5"/>
  <c r="K46" i="5"/>
  <c r="J47" i="5"/>
  <c r="K47" i="5" s="1"/>
  <c r="J48" i="5"/>
  <c r="K48" i="5"/>
  <c r="J49" i="5"/>
  <c r="K49" i="5"/>
  <c r="J50" i="5"/>
  <c r="K50" i="5"/>
  <c r="J51" i="5"/>
  <c r="K51" i="5" s="1"/>
  <c r="J52" i="5"/>
  <c r="K52" i="5"/>
  <c r="J53" i="5"/>
  <c r="K53" i="5"/>
  <c r="J54" i="5"/>
  <c r="K54" i="5"/>
  <c r="J55" i="5"/>
  <c r="K55" i="5" s="1"/>
  <c r="J56" i="5"/>
  <c r="K56" i="5"/>
  <c r="J57" i="5"/>
  <c r="K57" i="5"/>
  <c r="J58" i="5"/>
  <c r="K58" i="5"/>
  <c r="J18" i="5"/>
  <c r="K18" i="5" s="1"/>
  <c r="J17" i="5"/>
  <c r="K17" i="5" s="1"/>
  <c r="M33" i="4" l="1"/>
  <c r="L29" i="4"/>
  <c r="L35" i="4"/>
  <c r="J16" i="5"/>
  <c r="J13" i="5" l="1"/>
  <c r="K13" i="5" s="1"/>
  <c r="J14" i="5"/>
  <c r="K14" i="5" s="1"/>
  <c r="P14" i="5" s="1"/>
  <c r="J15" i="5"/>
  <c r="K15" i="5" s="1"/>
  <c r="K16" i="5"/>
  <c r="I16" i="5"/>
  <c r="I15" i="5"/>
  <c r="I14" i="5"/>
  <c r="I13" i="5"/>
  <c r="I12" i="5"/>
  <c r="J12" i="5" s="1"/>
  <c r="K12" i="5" s="1"/>
  <c r="J5" i="5"/>
  <c r="K5" i="5" s="1"/>
  <c r="J6" i="5"/>
  <c r="K6" i="5" s="1"/>
  <c r="J7" i="5"/>
  <c r="K7" i="5" s="1"/>
  <c r="J8" i="5"/>
  <c r="K8" i="5" s="1"/>
  <c r="J9" i="5"/>
  <c r="K9" i="5" s="1"/>
  <c r="J10" i="5"/>
  <c r="K10" i="5" s="1"/>
  <c r="J11" i="5"/>
  <c r="K11" i="5" s="1"/>
  <c r="J4" i="5"/>
  <c r="K4" i="5" s="1"/>
  <c r="P4" i="5" s="1"/>
  <c r="P12" i="5" l="1"/>
  <c r="K59" i="5"/>
  <c r="I58" i="5"/>
  <c r="H58" i="5"/>
  <c r="I40" i="5"/>
  <c r="H40" i="5"/>
  <c r="I39" i="5"/>
  <c r="H39" i="5"/>
  <c r="I38" i="5"/>
  <c r="H38" i="5"/>
  <c r="H35" i="5"/>
  <c r="H34" i="5"/>
  <c r="H33" i="5"/>
  <c r="H32" i="5"/>
  <c r="H31" i="5"/>
  <c r="H30" i="5"/>
  <c r="H29" i="5"/>
  <c r="H28" i="5"/>
  <c r="I27" i="5"/>
  <c r="H27" i="5"/>
  <c r="I26" i="5"/>
  <c r="H26" i="5"/>
  <c r="H25" i="5"/>
  <c r="H24" i="5"/>
  <c r="I23" i="5"/>
  <c r="H22" i="5"/>
  <c r="I21" i="5"/>
  <c r="H21" i="5"/>
  <c r="I20" i="5"/>
  <c r="H20" i="5"/>
  <c r="I19" i="5"/>
  <c r="H19" i="5"/>
  <c r="I18" i="5"/>
  <c r="H18" i="5"/>
  <c r="I17" i="5"/>
  <c r="H17" i="5"/>
  <c r="P59" i="5" l="1"/>
  <c r="K61" i="5"/>
  <c r="P61" i="5" s="1"/>
  <c r="M59" i="4"/>
  <c r="M6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tc={0A4BF6A4-BA70-4221-BAF3-614FA9EE846E}</author>
    <author>tc={A6ABD81F-4815-4C6F-99C1-2611CBF04D7D}</author>
    <author>tc={9FCBA5B4-4385-45FC-832B-2987A64DA978}</author>
    <author>tc={1C4741EA-2DEA-41AB-8B68-4DDBE3134C4F}</author>
    <author>tc={6D37D178-61C3-4B8A-B01C-C94E6C90A304}</author>
    <author>tc={11BE572D-806E-4D73-9ACF-79ED42A1B434}</author>
    <author>tc={CFCAACF1-A74E-4D93-959C-BC9709B9BFAD}</author>
    <author>tc={18EFEE5F-7DA6-4AEF-A020-E6EB116CB491}</author>
    <author>tc={958BFD84-F31C-4F39-9FA1-4D6AED996353}</author>
    <author>tc={9C4AF6EF-2772-4D80-B40F-A525762786A4}</author>
    <author>tc={00476432-1005-439A-906D-8D16CBEAD753}</author>
    <author>tc={3E1AE774-9C08-4349-9438-1FB2841E917A}</author>
    <author>tc={F40D5E3E-3F36-4C27-B9FE-543EB3621304}</author>
    <author>tc={475F4361-E561-4E53-A9A3-2680688283BB}</author>
    <author>tc={2F093301-83C8-4895-9FBF-EBC6A0FFF94D}</author>
    <author>tc={4F12E53E-A358-40B4-B3E0-E8B6A5E9F344}</author>
    <author>tc={5BF33DE8-6D3D-4C6A-9029-6CF26315A0F0}</author>
    <author>tc={6DB311B8-E6CD-4B11-90CB-C857761A8DCB}</author>
    <author>tc={603CEF19-970A-40E2-B68A-C3EA18CC74CE}</author>
    <author>tc={B8D8E493-1F43-495D-9C7C-22D318FE239D}</author>
    <author>tc={D1E5B99E-C084-4DCB-AB48-3C06CE4DF25E}</author>
    <author>tc={BDF1E0E4-4BF9-4C19-B80C-4029882830A6}</author>
    <author>tc={7C9945A8-D843-4386-9E79-977C5AB9C317}</author>
    <author>tc={C9A4F6BD-0479-46C3-AC49-C070654DF943}</author>
    <author>tc={31A9F6CA-BC98-4742-B3DF-1FC6FCD0FABA}</author>
    <author>tc={81C309D1-6DA3-4BDA-A4C5-FB06F8354F72}</author>
  </authors>
  <commentList>
    <comment ref="H4" authorId="0" shapeId="0" xr:uid="{0A4BF6A4-BA70-4221-BAF3-614FA9EE846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4" authorId="1" shapeId="0" xr:uid="{A6ABD81F-4815-4C6F-99C1-2611CBF04D7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5" authorId="2" shapeId="0" xr:uid="{9FCBA5B4-4385-45FC-832B-2987A64DA97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5" authorId="3" shapeId="0" xr:uid="{1C4741EA-2DEA-41AB-8B68-4DDBE3134C4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6" authorId="4" shapeId="0" xr:uid="{6D37D178-61C3-4B8A-B01C-C94E6C90A30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6" authorId="5" shapeId="0" xr:uid="{11BE572D-806E-4D73-9ACF-79ED42A1B43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7" authorId="6" shapeId="0" xr:uid="{CFCAACF1-A74E-4D93-959C-BC9709B9BFA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7" authorId="7" shapeId="0" xr:uid="{18EFEE5F-7DA6-4AEF-A020-E6EB116CB49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8" authorId="8" shapeId="0" xr:uid="{958BFD84-F31C-4F39-9FA1-4D6AED99635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8" authorId="9" shapeId="0" xr:uid="{9C4AF6EF-2772-4D80-B40F-A525762786A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9" authorId="10" shapeId="0" xr:uid="{00476432-1005-439A-906D-8D16CBEAD75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9" authorId="11" shapeId="0" xr:uid="{3E1AE774-9C08-4349-9438-1FB2841E917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10" authorId="12" shapeId="0" xr:uid="{F40D5E3E-3F36-4C27-B9FE-543EB362130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10" authorId="13" shapeId="0" xr:uid="{475F4361-E561-4E53-A9A3-2680688283B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11" authorId="14" shapeId="0" xr:uid="{2F093301-83C8-4895-9FBF-EBC6A0FFF94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SERVICIOS AMBIENTALES</t>
        </r>
      </text>
    </comment>
    <comment ref="I11" authorId="15" shapeId="0" xr:uid="{4F12E53E-A358-40B4-B3E0-E8B6A5E9F34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V&amp;A</t>
        </r>
      </text>
    </comment>
    <comment ref="H12" authorId="16" shapeId="0" xr:uid="{5BF33DE8-6D3D-4C6A-9029-6CF26315A0F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EL ARCA</t>
        </r>
      </text>
    </comment>
    <comment ref="I12" authorId="17" shapeId="0" xr:uid="{6DB311B8-E6CD-4B11-90CB-C857761A8DC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FERRETIPLEX</t>
        </r>
      </text>
    </comment>
    <comment ref="H13" authorId="18" shapeId="0" xr:uid="{603CEF19-970A-40E2-B68A-C3EA18CC74C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EL ARCA</t>
        </r>
      </text>
    </comment>
    <comment ref="I13" authorId="19" shapeId="0" xr:uid="{B8D8E493-1F43-495D-9C7C-22D318FE239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FERRETIPLEX</t>
        </r>
      </text>
    </comment>
    <comment ref="H14" authorId="20" shapeId="0" xr:uid="{D1E5B99E-C084-4DCB-AB48-3C06CE4DF25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EL ARCA</t>
        </r>
      </text>
    </comment>
    <comment ref="I14" authorId="21" shapeId="0" xr:uid="{BDF1E0E4-4BF9-4C19-B80C-4029882830A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FERRETIPLEX</t>
        </r>
      </text>
    </comment>
    <comment ref="H15" authorId="22" shapeId="0" xr:uid="{7C9945A8-D843-4386-9E79-977C5AB9C31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EL ARCA
Respuesta:
    COTIZACION EL ARCA</t>
        </r>
      </text>
    </comment>
    <comment ref="I15" authorId="23" shapeId="0" xr:uid="{C9A4F6BD-0479-46C3-AC49-C070654DF94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FERRETIPLEX</t>
        </r>
      </text>
    </comment>
    <comment ref="H16" authorId="24" shapeId="0" xr:uid="{31A9F6CA-BC98-4742-B3DF-1FC6FCD0FAB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EL ARCA</t>
        </r>
      </text>
    </comment>
    <comment ref="I16" authorId="25" shapeId="0" xr:uid="{81C309D1-6DA3-4BDA-A4C5-FB06F8354F7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COTIZACION FERRETIPLEX</t>
        </r>
      </text>
    </comment>
  </commentList>
</comments>
</file>

<file path=xl/sharedStrings.xml><?xml version="1.0" encoding="utf-8"?>
<sst xmlns="http://schemas.openxmlformats.org/spreadsheetml/2006/main" count="628" uniqueCount="224">
  <si>
    <t>Código UNSPSC</t>
  </si>
  <si>
    <t>Cantidad</t>
  </si>
  <si>
    <t>Valor total</t>
  </si>
  <si>
    <t>Unidad de medida</t>
  </si>
  <si>
    <t>Item</t>
  </si>
  <si>
    <t>Nombre UNSPSC</t>
  </si>
  <si>
    <t>Nombre del Bien</t>
  </si>
  <si>
    <t>Descripcion Ficha Tecnica</t>
  </si>
  <si>
    <t>COTIZACIÒN 1</t>
  </si>
  <si>
    <t>COTIZACIÒN 2</t>
  </si>
  <si>
    <t>VALOR PROMEDIO</t>
  </si>
  <si>
    <t xml:space="preserve">Valor Unitario </t>
  </si>
  <si>
    <t>Valor Unitario Promedio</t>
  </si>
  <si>
    <t>ALAMBRE DE COBRE</t>
  </si>
  <si>
    <t xml:space="preserve">ALAMBRE  # 12  AWG CU THWN 
600V A 75 C. COLOR NEGRO - </t>
  </si>
  <si>
    <t xml:space="preserve">ALAMBRE  # 12  AWG CU THWN 
600V A 75 C. COLOR BLANCO- </t>
  </si>
  <si>
    <t>TEMPERATURA DE OPERACIÓN: EN LUGARES SECOS, HUMEDOS Y MOJADOS 75º
TENSION DE OPERACIÓN: 600 VOLTIOS
RETARDANTE A LA LLAMA VW-1
APLICACIONES: LOS ALAMBRES  THHN/THWN USADOS EN ALAMBRADO ELECTRICO EN EDIFICACIONES, EN CIRCUITOS ALIMENTADORES, CIRCUITOS RAMALES Y REDES SECUNDARIAS INTERIORES.</t>
  </si>
  <si>
    <t>PROGRAMA DE ARTICULACIÓN CON LA MEDIA ÁREA  ELECTRICIDAD  SISTEMA DE INSTALACIONES ELECTRICAS RESIDENCIALES Y COMERICALES V2</t>
  </si>
  <si>
    <t>ELECTRICIDAD</t>
  </si>
  <si>
    <t>Geotextil</t>
  </si>
  <si>
    <t>Módulo Jardín Vertical</t>
  </si>
  <si>
    <t>UNIDAD</t>
  </si>
  <si>
    <t>AMBIENTAL</t>
  </si>
  <si>
    <t>Humus</t>
  </si>
  <si>
    <t>Tierra de hojas</t>
  </si>
  <si>
    <t>TIERRA DE HOJAS
compostaje hojas y residuos vegetales provenientes de podas.
COMPOSICIÓN Y NUTRIENTES
Nitrógeno,Magnesio,Fósforo,Cobre,Potasio,Zinc,Calcio ,Manganeso,Hierro,Boro
Bolsa X 2 Kg</t>
  </si>
  <si>
    <t>BOLSA</t>
  </si>
  <si>
    <t>Turba</t>
  </si>
  <si>
    <t>Turba Especial Mejoradora</t>
  </si>
  <si>
    <t>Turba Especial Mejoradora de Suelo BOLSA X 1kg 
Características
Producto 100% natural, retiene agua y mejora la estructura del suelo. Recomendado especialmente para uso en macetas y propagación de plantas, bulbos y flores. Contiene un alto porcentaje de materia orgánica. Mejora el desarrollo de raíces y favorece la aireación del suelo. Producto homogéneo y de gran pureza, libre de insectos y agentes patógenos.</t>
  </si>
  <si>
    <t>Clavos de mampostería</t>
  </si>
  <si>
    <t>Clavo acero concreto</t>
  </si>
  <si>
    <t>CLAVO ACERO CONCRETO 1 1/2pg  BOLSA X 10und</t>
  </si>
  <si>
    <t>Regadera de jardín</t>
  </si>
  <si>
    <t>Fumigadora pulverizadora manual</t>
  </si>
  <si>
    <t>Fumigadora manual
Capacidad
1.5 Litros
Material
Polipropileno y acero</t>
  </si>
  <si>
    <t xml:space="preserve">	Latas de pintura o barniz</t>
  </si>
  <si>
    <t>Pintura blanca tipo 2</t>
  </si>
  <si>
    <t>Pintura blanca tipo 2 diluíble con agua, especialmente formulada con emulsión vinil acrílica para garantizar belleza y protección de superficies interiores con características de tersura y alto rendimiento dependiendo del espesor y las condiciones de aplicación.</t>
  </si>
  <si>
    <t>GALON</t>
  </si>
  <si>
    <t>Madera laminada engomada</t>
  </si>
  <si>
    <t>Tablero Mdf Desnudos Lámina de 15 mm</t>
  </si>
  <si>
    <t>Lámina</t>
  </si>
  <si>
    <t>CARPINTERIA</t>
  </si>
  <si>
    <t>Conectores de muebles modulares</t>
  </si>
  <si>
    <t>Riel full extension 40 cm trabajo liviano</t>
  </si>
  <si>
    <t>Riel en acero galvanizado full extension presentación juego de 1 par mas tornillos para cajón de 40 cm de profundidad para tráfico liviano.</t>
  </si>
  <si>
    <t>Juego</t>
  </si>
  <si>
    <t>Sistemas de aplicación o pegante adhesivo</t>
  </si>
  <si>
    <t>PEGANTE CARPINCOL MR60</t>
  </si>
  <si>
    <t>Galón</t>
  </si>
  <si>
    <t>Tornillo Panel Drywall Punta Aguda 6X2</t>
  </si>
  <si>
    <t>Material elaborado con acero de 6mm de epesor,  forma en espiral, cabeza en estrella</t>
  </si>
  <si>
    <t>Unidad</t>
  </si>
  <si>
    <t>Tornillo Panel Drywall Punta Aguda 6X1</t>
  </si>
  <si>
    <t>MASILLA FLEXIBLE PARA ACABADOS</t>
  </si>
  <si>
    <t>CUÑETE</t>
  </si>
  <si>
    <t>CONSTRUCCIÒN</t>
  </si>
  <si>
    <t>ESTUCO ESTUCO PROFESIONAL</t>
  </si>
  <si>
    <t>ESTUCO PLASTICO A BASE DE AGUA,  estuco en polvo a base de yeso, agregados y aditivos especiales. Ya viene premezclado en fábrica y listo para usar- BULTO X 25 KG</t>
  </si>
  <si>
    <t>YESO</t>
  </si>
  <si>
    <t>Yeso de alta calidad, uniforme, fácil aplicación, excelente acabado, proporciona una textura lisa, alta duresa y gran adherencia al revoque.  YESO BOLSA X 25 KILOGRAMOS</t>
  </si>
  <si>
    <t>BULTO</t>
  </si>
  <si>
    <t>PINTURA BLANCA EXTERIOR</t>
  </si>
  <si>
    <t xml:space="preserve">PINTURA BLANCA EXTERIOR Vinilo tipo 1, color Blanco. Cuñete de de 28 kg - </t>
  </si>
  <si>
    <t>Pinturas de esmalte
VERDE</t>
  </si>
  <si>
    <t>PISO CERAMICO</t>
  </si>
  <si>
    <t>Albaricoques</t>
  </si>
  <si>
    <t xml:space="preserve">LAMINA YESO GYPLAC ST 1/2 (1.22X2.44 </t>
  </si>
  <si>
    <t>UN</t>
  </si>
  <si>
    <t>PERFIL SOPORTE PARA CILORASO</t>
  </si>
  <si>
    <r>
      <t xml:space="preserve">Perfil de acero inoxidable de forma trapezoidal con aletas de soporte 
Perfil </t>
    </r>
    <r>
      <rPr>
        <b/>
        <sz val="11"/>
        <color rgb="FF000000"/>
        <rFont val="Calibri"/>
        <family val="2"/>
        <scheme val="minor"/>
      </rPr>
      <t>Omega</t>
    </r>
    <r>
      <rPr>
        <sz val="11"/>
        <color rgb="FF000000"/>
        <rFont val="Calibri"/>
        <family val="2"/>
        <scheme val="minor"/>
      </rPr>
      <t xml:space="preserve"> de 30 x 25 x 3000 mm</t>
    </r>
  </si>
  <si>
    <t>ELEMENTO ESTRUCTURAL PARA DRWALL</t>
  </si>
  <si>
    <r>
      <t xml:space="preserve">Perfil de acero inoxidable de forma trapezoidal con aletas de soporte 
</t>
    </r>
    <r>
      <rPr>
        <b/>
        <sz val="11"/>
        <rFont val="Calibri"/>
        <family val="2"/>
        <scheme val="minor"/>
      </rPr>
      <t>Perfil</t>
    </r>
    <r>
      <rPr>
        <sz val="11"/>
        <rFont val="Calibri"/>
        <family val="2"/>
        <scheme val="minor"/>
      </rPr>
      <t xml:space="preserve"> paral base 6 x 2,44 mm Cal.26 de 1/2 Pulg</t>
    </r>
  </si>
  <si>
    <t>PEGANTE PARA PISO</t>
  </si>
  <si>
    <t xml:space="preserve">pegante para cerámica en BULTO por 25 kgr </t>
  </si>
  <si>
    <r>
      <t xml:space="preserve">Perfil de acero inoxidable de forma trapezoidal con aletas de soporte 
</t>
    </r>
    <r>
      <rPr>
        <b/>
        <sz val="11"/>
        <rFont val="Calibri"/>
        <family val="2"/>
        <scheme val="minor"/>
      </rPr>
      <t>Canal</t>
    </r>
    <r>
      <rPr>
        <sz val="11"/>
        <rFont val="Calibri"/>
        <family val="2"/>
        <scheme val="minor"/>
      </rPr>
      <t xml:space="preserve"> Base 9 3-5/8 x de 1/2 Pulg 0.38mm 2.44m </t>
    </r>
  </si>
  <si>
    <t>Transformador de corriente</t>
  </si>
  <si>
    <t>Fuente conmutada 5V 60A 300W Power Supply 110V - 220V AC to DC</t>
  </si>
  <si>
    <t>Entrada: AC110V - 220V 60Hz
Salida: DC 5V 60A 300W max
Diámetro del orificio del tornillo de fijación: 2,5 mm
Temperatura de trabajo: -10 a 50 grados Celsius
Temperatura de almacenamiento: -20 a 60 grados Celsius
Humedad ambiental: 10-95%
Material: metal, piezas electrónicas
Cumplimiento de seguridad: CCC - FCC - CE
El paquete incluye:
Fuente de alimentación conmutada 1 x 5V 60A</t>
  </si>
  <si>
    <t>ELECTRONICA</t>
  </si>
  <si>
    <t>Iluminación óptica de diodo emisor de luz led</t>
  </si>
  <si>
    <t>Cinta Led Pixel Ws2812b 5v 60 Led Inteligente 1 Led Rgb</t>
  </si>
  <si>
    <t>METROS</t>
  </si>
  <si>
    <t>Disyuntores de pérdida a tierra</t>
  </si>
  <si>
    <t>DPS Tipo 2 Para Aplicaciones AC 1 Polo 275 VAC</t>
  </si>
  <si>
    <t>PRINCIPALES CARACTERÍSTICAS:
- Especialmente diseñado para aplicaciones de Corriente Alterna (AC)
- Modulo Enchufable
- Voltaje máximo de funcionamiento : 275/385 VAC
- Corriente de descarga máxima: 20kA.
- Corriente de descarga nominal: 10kA.
- Protección : IP20.
- Basan su funcionamiento en el uso de varistores</t>
  </si>
  <si>
    <t>unidad</t>
  </si>
  <si>
    <t>DPS DC Tipo 2 Para Aplicaciones Fotovoltaicas</t>
  </si>
  <si>
    <t>DPS (Dispositivo de protección contra sobretensiones) para sistemas fotovoltaicos.
Se instalan entre paneles e inversores y/o reguladores de carga para proteger la electrónica de los efectos de sobretensiones.
PRINCIPALES CARACTERISTICAS
- Tipo 2
- Especialmente diseñado para aplicaciones fotovoltaicas.
- Voltaje nominal : 300 / 600 / 1000VDC
- Corriente de descarga máxima: 40kA.
- Corriente de descarga nominal: 20kA
- Tiempo de respuesta: &lt; 25nS
- Indicador de estado del varistor.
-Para montaje sobre riel DIN (Omega)
-Con certificación RETIE</t>
  </si>
  <si>
    <t>Breaker de circuito eléctrico</t>
  </si>
  <si>
    <t>Interruptor diferencial 2 polos 40A 30ma</t>
  </si>
  <si>
    <t>Breaker diferencial 30mA marca Siemens para riel DIN (Omega)
PRINCIPALES CARACTERISTICAS
- Cumple con todo lo requerido para instalaciones fotovoltaicas de acuerdo con RETIE
- Para sistemas AC
- Tensión AC: Hasta 230 VAC (funciona a 110VAC)
- Corriente nominal 25A / 40A / 60A
- Corriente diferencial de disparo: 30mA
- Disparo sin retardo.
- Ideal para protección de personas y equipos
- Dimensiones: 90 mm x 36 mm x 70 mm
-Con certificación RETIE</t>
  </si>
  <si>
    <t>Fusibles de cerámicas</t>
  </si>
  <si>
    <t>Fusible 10x38MM para sistemas fotovoltaicos categoría gPV 6A</t>
  </si>
  <si>
    <t>PRINCIPALES CARACTERÍSTICAS
- Especialmente diseñado para aplicaciones fotovoltaicas (categoría gPV)
- Corriente 6A
- Voltaje nominal : 1000 VDC.
- Dimensiones: 10 X 38mm.
- Certificado : UL 2579 y RETIE</t>
  </si>
  <si>
    <t>Fusible 10x38MM para sistemas fotovoltaicos categoría gPV 10A</t>
  </si>
  <si>
    <t>PRINCIPALES CARACTERÍSTICAS
- Especialmente diseñado para aplicaciones fotovoltaicas (categoría gPV)
- Corriente 10A
- Voltaje nominal : 1000 VDC.
- Dimensiones: 10 X 38mm.
- Certificado : UL 2579 y RETIE</t>
  </si>
  <si>
    <t>Cableado eléctrico o conductos de cables</t>
  </si>
  <si>
    <t>Cable Para Instalaciones fotovoltaicas 6 mm^2 negro</t>
  </si>
  <si>
    <t>Cable Para Instalaciones fotovoltaicas 6 mm ^ 2 Procables
Las cables ExZhellent SOLAR permiten trabajar en condiciones de humedad, baja acidez y corrosividad de humos, resistentes a la radiación UV, resistentes a impactos y con una larga vida útil de 30 años.
PRINCIPALES CARACTERISTICAS
-La serie de cables EXZHELLENT SOLAR (AS) , está constituida por cables flexibles monoconductores de tensión 1,8 KV en corriente continua y 0.6-1KA AC en corriente alterna.
-Diámetro: 6 mm ^ 2 .
-Aplicación móvil , fija , tejado o integración arquitectónica para instalaciones fotovoltaicas en los circuitos de fuente y salida, soportando las condiciones ambientales que producen este tipo de instalaciones
-Aislamiento y cubierta en elastómero termoestable libre de halógenos.
-Alta seguridad, especialmente diseñado para una completa compatibilidad con los paneles solares.
-Extra resistente a la intemperie
-Apto para trabajo a alta temperatura (120ºC) y muy baja temperatura (-40ºC)
-Cumple especificaciones RETIE , TUV2 Pfg 1169/08 .2007, UTE C 32-502</t>
  </si>
  <si>
    <t>metro</t>
  </si>
  <si>
    <t>PANELES</t>
  </si>
  <si>
    <t>BARRAS DE ACERO AL CARBON SERIE SAE 1000 ESTIRADA EN FRIO</t>
  </si>
  <si>
    <t>BARRAS DE ACERO AL CARBONO
AISI / SAE 1020 DE DOS PULGADA DE DIAMETRO Estirado en frío</t>
  </si>
  <si>
    <t>METRO</t>
  </si>
  <si>
    <t>MECANIZADO</t>
  </si>
  <si>
    <t>BROCAS INDUSTRIALES</t>
  </si>
  <si>
    <t>JUEGO DE BROCAS  HSS PARA METAL POR 29 PIEZAS</t>
  </si>
  <si>
    <r>
      <rPr>
        <b/>
        <sz val="11"/>
        <rFont val="Calibri"/>
        <family val="2"/>
        <scheme val="minor"/>
      </rPr>
      <t xml:space="preserve">JUEGO DE 29 BROCAS HSS PARA METAL 
Caracteristicas.
</t>
    </r>
    <r>
      <rPr>
        <sz val="11"/>
        <rFont val="Calibri"/>
        <family val="2"/>
        <scheme val="minor"/>
      </rPr>
      <t xml:space="preserve">
• Brocas de 1/8" a 1/2" con punta Split Point
autocentrable para perforaciones más rápidas y
precisas
• Medidas marcadas en cada broca para fácil
identificación
• Fabricadas en acero M2 de larga duración con flauta
en acabado óxido negro
• Estuche organizador metálico</t>
    </r>
  </si>
  <si>
    <t>PLATINA DE ACERO</t>
  </si>
  <si>
    <t>PLATINA ACERO SAE 1020 DE 3/8" DE ESPESOR POR 1-1/2" DE ANCHO</t>
  </si>
  <si>
    <r>
      <rPr>
        <b/>
        <sz val="11"/>
        <rFont val="Calibri"/>
        <family val="2"/>
        <scheme val="minor"/>
      </rPr>
      <t>PLATINA ACERO SAE 1020 DE 3/8" DE ESPESOR POR 1-1/2" DE ANCHO</t>
    </r>
    <r>
      <rPr>
        <sz val="11"/>
        <rFont val="Calibri"/>
        <family val="2"/>
        <scheme val="minor"/>
      </rPr>
      <t xml:space="preserve">
Es un producto laminado en caliente de sección transversal rectangular con una superficie lisa y
uniforme sin resaltes ni venas, suministrada en tramos rectos.</t>
    </r>
  </si>
  <si>
    <t>Soluciones limpiadoras para equipos de oficina</t>
  </si>
  <si>
    <t>LIMPIADOR DE CONTACTOS ELECTRONICOS</t>
  </si>
  <si>
    <t>El Limpiador de Contactos Electrónicos se desarrolló
especialmente para la limpieza de componentes electrónicos y
mecánicos. La fórmula especial contiene diluyentes de gran pureza
permitiendo eliminar capas de óxido y sulfuro, residuos de erosión
eléctrica así como incrustaciones de polvo mezclado con resinas
u hollín. Reduce la caída de tensión y aumenta la conductividad
eléctrica. Elimina la suciedad que puede causar corrientes de fuga.</t>
  </si>
  <si>
    <t>UND</t>
  </si>
  <si>
    <t>Cinta aislante eléctrica</t>
  </si>
  <si>
    <t>CINTA AISLANTE GRANDE 18MTS</t>
  </si>
  <si>
    <t>Atributo Detalle
Beneficios Tiene excelente resistencia a la abrasión, humedad, álcalis, ácidos, corrosión del cobre y las condiciones variables del medio ambiente
Tipo Cinta de Uso Profesional
Características Temperatura maxima105°C- Hasta 600V
Material Vinilo
Uso Aislamiento primario y secundario en baja tension
Ancho 19 mm
Largo 18 m
Norma técnica RETIE</t>
  </si>
  <si>
    <t>Soluciones o cremas para electrodos</t>
  </si>
  <si>
    <t>Crema disipadora - Pasta Termica</t>
  </si>
  <si>
    <t>La pasta termica está especialmente diseñada para garantizar que el calor generado a partir de la CPU o la GPU sea disipado rápida y eficientemente es ideal para Gamers y Overclockers que buscan sacar el maximo provecho de los componentes siendo ideal para:
- CPUs de PC de Escritorio,
- Portátiles,
- Tarjetas Gráficas
- Consolas de Juego (PS, XBox, Wii)</t>
  </si>
  <si>
    <t>Alambre de estaño o aleación de estaño</t>
  </si>
  <si>
    <t>Alambre de Estaño - Soldadura</t>
  </si>
  <si>
    <t>El alambre de soldar es una aleación fusible, típicamente de estaño y plata o plomo, que se ha extruido en una forma de fácil manejo.
Rollo de 100 gr con aleación de estaño/plomo, 1 mm de diametro</t>
  </si>
  <si>
    <t>Pasta de Cautin</t>
  </si>
  <si>
    <t>Pomada Fundente Soldadura de Estaño FLUX</t>
  </si>
  <si>
    <t>Baterías de litio</t>
  </si>
  <si>
    <t>Batería Pila Cr2032  Litio, 3v,</t>
  </si>
  <si>
    <t>Pilas alcalinas</t>
  </si>
  <si>
    <t>Pila Alcalina de 9 Voltios</t>
  </si>
  <si>
    <t>Pila o batería cuadrada de 9 volts para dar energía a aparatos electrónicos, juguetes o a proyectos de electrónica. Es alcalina de larga duración, con capacidad nominal de 150 mAh y está libre de cadmio y mercurio</t>
  </si>
  <si>
    <t>KIT DE LIMPIEZA PARA PANTALLAS</t>
  </si>
  <si>
    <t>Kit De Limpieza Para Monitores, Portátiles, Pantallas LCD
Protege tus pantallas LCD contra el polvo
Incluye una tela especializada que previene los rayones en tus pantallas
Escobita plástica para limpiar el teclado de tu PC o portátil
Líquido especial para limpieza de tu monitor, portátil o pantalla</t>
  </si>
  <si>
    <t>PROTOBOARD MB-102</t>
  </si>
  <si>
    <t>Protoboard de  830 puntos de inserción.
Características:
Número de puntos: 830
Puntos de 2.54mm
Dimensiones: Largo x Ancho x Altura: 16.5 cm x 5.5 cm x 1 cm aprox.</t>
  </si>
  <si>
    <t>Diodos emisores de luz (led)</t>
  </si>
  <si>
    <t>LED</t>
  </si>
  <si>
    <t>Módulo LED RGB  compatible con Arduino.
Características:Color: Varios
Diámetro: 5 mm
Ángulo de visión: 30 grados
Color de lente: Estandar
Voltaje en directo (típico): 2V
Temperatura de soldadura: &lt; 260°C/&lt;5s
Tipo de LED: RGB 5050</t>
  </si>
  <si>
    <t>CINTA LED</t>
  </si>
  <si>
    <t>Voltaje de operación 12V
Tipo de Led 3528
Horas de vida 50,000 Hrs
24 Watts de Consumo, color:blanco</t>
  </si>
  <si>
    <t>Trapos</t>
  </si>
  <si>
    <t>BAYETILLA</t>
  </si>
  <si>
    <t>bayetilla blanca 35 cm x 60cm,Práctico para limpiar, secar, brillar utiles en su hogar oficna vehiculo,Algodón</t>
  </si>
  <si>
    <t>SISTEMAS</t>
  </si>
  <si>
    <t>ELECTRODO DE SOLDADURA</t>
  </si>
  <si>
    <t>ELECTRODO E-6013 3/32"</t>
  </si>
  <si>
    <t>KG</t>
  </si>
  <si>
    <t>ELECTRODO E-6013 1/8"</t>
  </si>
  <si>
    <t>SERVICIOS DE SOLDADURA CON GAS METAL INERTE MIG</t>
  </si>
  <si>
    <t xml:space="preserve">APORTE PARA SOLDADURA MIG E- 70S-6 DIAMETRO 0,035" </t>
  </si>
  <si>
    <t>Rollo</t>
  </si>
  <si>
    <t xml:space="preserve">DISCO DE PULIDORA 7" X 1/4"  </t>
  </si>
  <si>
    <t>GUANTES DE SOLDADURA</t>
  </si>
  <si>
    <t xml:space="preserve">Pares </t>
  </si>
  <si>
    <t>SOLDADURA</t>
  </si>
  <si>
    <t>Circuito integrado de aplicación específica</t>
  </si>
  <si>
    <t>KIT DE 37 MÓDULOS PARA ARDUINO</t>
  </si>
  <si>
    <t>SOFTWARE</t>
  </si>
  <si>
    <t>Cobertura plastica</t>
  </si>
  <si>
    <t>Yeso</t>
  </si>
  <si>
    <t>Pinturas de agua</t>
  </si>
  <si>
    <t>Pisos de Baldosa o piedra</t>
  </si>
  <si>
    <t>Anclajes de pared</t>
  </si>
  <si>
    <t>Materiales Didacticos de energia o electricidad</t>
  </si>
  <si>
    <t>Cortadora de barras o varillas</t>
  </si>
  <si>
    <t>Latas de aerosol</t>
  </si>
  <si>
    <t>Pintura en aerosol roja</t>
  </si>
  <si>
    <t>Rodillos de pintar</t>
  </si>
  <si>
    <t>Rodillo para pintar</t>
  </si>
  <si>
    <t>1 x Módulo zumbador pasivo KY-006
1 x Módulo LED bicolor KY-011
1 x Módulo sensor de golpe KY-031
1 x Módulo interruptor de vibración KY-002
1 x Módulo de foto-resistencia KY-018
1 x Módulo interruptor tipo boton KY-004
1 x Módulo interruptor de inclinación KY-020
1 x Módulo LED SMD tricolor KY-009
1 x Módulo sensor de emisión infrarroja KY-005
1 x Módulo LED tricolor KY-016
1 x Módulo óptico de mercurio KY-017
1 x Módulo LED bicolor 3mm KY-029
1 x Módulo zumbador activo KY-012
1 x Módulo sensor de temperatura KY-013
1 x Módulo flash automático de 7 colores KY-034
1 x Módulo de contacto con mini lamina magnética KY-021
1 x Módulo sensor magnético Hall KY-003
1 x Módulo sensor receptor infrarrojo KY-022
1 x modulo sensor magnético clase Bihor KY-035
1 x Módulo taza mágica de luz KY-027
1 x Módulo codificador rotatorio KY-040
1 x Módulo sensor fotoeléctrico tipo U KY-010
1 x Módulo detector de latido KY-039
1 x Módulo sensor de reflexión KY-025
1 x Módulo sensor de evitación de obstáculos KY-032
1 x Módulo sensor de rastreo KY-033
1 x Módulo micrófono con sensor de sonido KY-038
1 x Módulo sensor láser KY-008
1 x Módulo con relevador KY-019
1 x Módulo sensor de temperatura KY-001
1 x Módulo sensor de temperatura digital KY-028
1 x modulo sensor de campo magnético lineal KY-024
1 x Módulo sensor de llama KY-026
1 x Módulo sensor de micrófono sensible KY-037
1 x Módulo sensor de temperatura y humedad KY-015
1 x Módulo joystick de eje XY-KY-023
1 x Módulo sensor sonido metálico KY-036</t>
  </si>
  <si>
    <t>KITS</t>
  </si>
  <si>
    <t xml:space="preserve">esta pulverizadora se clasifican como materiales de formacion ya que con ella se  realizara la aplicacion de los microorganismos eficientes, nutrientes agua en los proyectos de compostaje y jardines verticales propuestos </t>
  </si>
  <si>
    <t>PROGRAMA</t>
  </si>
  <si>
    <t>Piso en cerámica Blanca uso moderado formato 51cm X
51cm. Institucional
6 metros de Piso
UNIDAD POR CAJA: 9 piezas
M2 por Caja: 2,34
Peso: 33kg</t>
  </si>
  <si>
    <t>CAJAS</t>
  </si>
  <si>
    <t>JUEGO</t>
  </si>
  <si>
    <t>ROLLO</t>
  </si>
  <si>
    <t>APORTE PARA SOLDADURA MIG E- 70S-6 DIAMETRO 0,035" 
Rollo x 15 KG</t>
  </si>
  <si>
    <t>Presupuesto</t>
  </si>
  <si>
    <t>Total</t>
  </si>
  <si>
    <t>Saldo</t>
  </si>
  <si>
    <t>Faltante</t>
  </si>
  <si>
    <t>Producto industrial Módulo Jardín Vertical 16 bolsillos, este panel modular para jardín vertical o huerta casera es elaborado en geotextil no tejido, material que permite la retención de la humedad en cada bolsillo; también cuenta con una capa posterior en polietileno que evita el paso de humedad a la superficie de soporte
Ancho 100 cm
Material Geotextil NT 1600, polietileno
Alto: 100 cm</t>
  </si>
  <si>
    <t>El Modulo Jardin Vertical, se clasifica como material de formaciòn, ya que con este forma parte del sistema de jardines o huertas, se complementa con tierra, abonos y plantas</t>
  </si>
  <si>
    <t xml:space="preserve">La Descripciòn Tècnica es la requerida pàra este elemento </t>
  </si>
  <si>
    <t>Pintura en tinta acrílica color  Rojo en aerosol – 350 ml/250 g</t>
  </si>
  <si>
    <t>Rodillo para pintar Accesorio pinturas, tipo rodillo, acabado fino mango ergonómico.
Material: Fibra sintética metal, silicona
Largo: 9 pulgadas (23 cm)</t>
  </si>
  <si>
    <t>La unidad de medida es Juego, en la cotizacion de FERRETRIPLEZ, toman la unidad como un juego
Las dos cotizaciones aportadas se ajustan a las necsidades del elemento solicitado</t>
  </si>
  <si>
    <t xml:space="preserve"> Adhesivo base poliacetato de vinilo (PVA)  para el ensamble y reparación de muebles en materiales como Triplex, aglomerado, MDF y en general para uniones de madera
Medida
22,6 cmX16,2 cmX16,2 cm
Contenido
1 Galón
Ancho
16,2 cm
  </t>
  </si>
  <si>
    <t>Tornillo Para Drywall</t>
  </si>
  <si>
    <t>Las dos cotizaciones aportadas se ajustan a las necsidades del elemento solicitado
La bolsa viene X 100 unidades para la cotizacion del ARCA</t>
  </si>
  <si>
    <t>masilla elástica  diseñada para tratamiento de juntas entre paneles de fibrocemento para lograr junta invisible o junta a la vista con sellado elástico
 Cuñete x 5 galones.
Peso (kg): 28,5</t>
  </si>
  <si>
    <t>Las dos cotizaciones aportadas se ajustan a las necsidades del elemento solicitado
en la scotizaciones relacionan un de 25Kg, no por cuñetes</t>
  </si>
  <si>
    <t xml:space="preserve">LAS COTIZACIONES CUMPLEN CON LAS CARACTERISTICAS REQUERIDAS </t>
  </si>
  <si>
    <t>PINTURA DE ACEITE  VERDE TIPO 1
Esmalte sintetico color  VERDE X 1 galon</t>
  </si>
  <si>
    <t>Voltaje de alimentación: 5v DC.
IC Interno: WS2812B.
Tipo led: Pixel inteligente.
Cantidad de led x mt: 60 led.
Led controlable: 1 unidad.
Interfaz digital de control de un solo cable.
Consumo aproximo x led: 50 mA.
Grado de protección: IP30 interiores.
Color de la tira Blanco.
Las tiras se pueden cortar a lo largo de las líneas entre cada segmento LED RGB para separarlos en secciones más cortas utilizables.
Ángulo de visión: 120 grados.</t>
  </si>
  <si>
    <t xml:space="preserve">El Transformador de Corriente se considera un material de foermaciòn, pq hace parte de un sistema de iluminaciòn, que conviente la corriente Continua en corriente alterna </t>
  </si>
  <si>
    <r>
      <rPr>
        <b/>
        <sz val="11"/>
        <rFont val="Calibri"/>
        <family val="2"/>
        <scheme val="minor"/>
      </rPr>
      <t>BARRAS DE ACERO AL CARBONO AISI / SAE 1020 DE DOS PULGADAS DE DIAMETRO Estirado en frío.</t>
    </r>
    <r>
      <rPr>
        <sz val="11"/>
        <rFont val="Calibri"/>
        <family val="2"/>
        <scheme val="minor"/>
      </rPr>
      <t xml:space="preserve">
</t>
    </r>
    <r>
      <rPr>
        <b/>
        <sz val="11"/>
        <rFont val="Calibri"/>
        <family val="2"/>
        <scheme val="minor"/>
      </rPr>
      <t>Características</t>
    </r>
    <r>
      <rPr>
        <sz val="11"/>
        <rFont val="Calibri"/>
        <family val="2"/>
        <scheme val="minor"/>
      </rPr>
      <t xml:space="preserve">
Acero de bajo contenido de carbono, de fácil mecanizado y buena soldabilidad. De baja dureza para usos convencionales de baja exigencia Cuando se requiere una superficie muy dura pero un centro tenaz, este acero cementado cumple perfectamente. Estirado en frío mejora sus valores de resistencia mecánica y su maquinabilidad.
</t>
    </r>
    <r>
      <rPr>
        <b/>
        <sz val="11"/>
        <rFont val="Calibri"/>
        <family val="2"/>
        <scheme val="minor"/>
      </rPr>
      <t xml:space="preserve">Aplicaciones
</t>
    </r>
    <r>
      <rPr>
        <sz val="11"/>
        <rFont val="Calibri"/>
        <family val="2"/>
        <scheme val="minor"/>
      </rPr>
      <t xml:space="preserve">
Bases de matrices, soportes, engranajes, flanges, pernos de anclaje, ejes, cadenas, bujes, tornillería corriente y pasadores de baja resistencia. Por su ductilidad es ideal para procesos de transformación en frío como doblar, estampar, recalcar, entre otros.</t>
    </r>
  </si>
  <si>
    <t>Unidad de Medida UND</t>
  </si>
  <si>
    <t xml:space="preserve">Unidad de Medida UND
LAS COTIZACIONES CUMPLEN CON LAS CARACTERISTICAS REQUERIDAS 
</t>
  </si>
  <si>
    <t>Pomada para soldar x 8 gr</t>
  </si>
  <si>
    <t xml:space="preserve">Unidad de Medida UND
LAS COTIZACIONES CUMPLEN CON LAS CARACTERISTICAS REQUERIDAS 
Se verificò y codigo 23271816, si existe
</t>
  </si>
  <si>
    <t>Modelo CR2032
voltaje 3 V
Tipo de Batería De un solo uso
Tipo Moneda / celda de botón
Composición química A base de litio
Subtipo de moneda / celda de botón CR2032
Dimensiones
Diámetro: 20 mm
Grosor: 3.2 mm</t>
  </si>
  <si>
    <t xml:space="preserve">Las Baterías de litio se considera material de formaciòn, ya que se usan para las practicas de matenimeitno correctivo de equipos de computo </t>
  </si>
  <si>
    <t>Las Baterias de 9 Voltios se considerena materialews de formaciòn ya que son usadas para circuitos electronicos junto con las Protoboards del item 46</t>
  </si>
  <si>
    <t>Las protoboards se consideran materiales de formaciòn  ya que son usadas para circuitos electronicos junto a las baterias de 9v del Item 44</t>
  </si>
  <si>
    <t>ELECTRODO E-6013 3/32"
Electrodo de revestimiento rutilico, operación muy suave, de casi nula salpicadura
MATERIAL DE APORTE PARA PROCESO DE SOLDADURA SMAW
Empaque 1 kilo
Rango de corriente 75-120 Amps
Tipo de corriente Alterna o continua (-)
Tipo de Electrodo
Medidas empaque: Largo 35 cms / Diametro: 3/32"</t>
  </si>
  <si>
    <t>ELECTRODO E-6013 1/8"
Electrodo de revestimiento rutilico, operación muy suave, de casi nula salpicadura
MATERIAL DE APORTE PARA PROCESO DE SOLDADURA SMAW
Empaque 1 kilo
Rango de corriente 75-120 Amps
Tipo de corriente Alterna o continua (-)
Tipo de Electrodo
Medidas empaque: Largo 35 cms / Diametro: 1/8"</t>
  </si>
  <si>
    <t xml:space="preserve">Los guantes de soldadura se considera un material de formaciòn ya que es elemento de protecciòn  al momento de aplicar los proceso de soldadura 
La unidad de medida que tienen las cotizaciones hace referencia a un  par de guantes, pq no venden un solo guante </t>
  </si>
  <si>
    <t>GUANTES DE SOLDADURA
Puño de “Quita y Pon”.
Con forro interno, suave para el sentido del tacto.
Cosidos con Kevlar® para mayor protección contra chispas.
Ideal Para trabajos de aplicaciones al calor.
Resistencia mecánica.
Color: Café
Talla: 10
Largo: 14” (35.56cm)
Composición: 100% Cuero • Cosido con Kevlar®. Forro: 80% Algodón • 20% Poliéster</t>
  </si>
  <si>
    <t>Tablero de fibras de madera de pino radiata de densidad media de color claro u oscuro, superficie suave y homogenea, humedad de 5,5 a 10.5%, de densidad 750 kgm3, unidas por adhesivos urea-formaldehído, liviano y ultraliviano. Con medidas de 183 cm x 244 cm.
Los tableros de MDF de 15 mm de 183 cm x 244 cm deben ser cortados y entregados en módulos de 90 cm x 60 cm. para un total de 96 modulos</t>
  </si>
  <si>
    <t>Perfil de acero inoxidable de forma trapezoidal con aletas de soporte 
Perfil Omega de 30 x 25 x 3000 mm</t>
  </si>
  <si>
    <t>Perfil de acero inoxidable de forma trapezoidal con aletas de soporte 
Perfil paral base 6 x 2,44 mm Cal.26 de 1/2 Pulg</t>
  </si>
  <si>
    <t xml:space="preserve">Perfil de acero inoxidable de forma trapezoidal con aletas de soporte 
Canal Base 9 3-5/8 x de 1/2 Pulg 0.38mm 2.44m </t>
  </si>
  <si>
    <t>BARRAS DE ACERO AL CARBONO AISI / SAE 1020 DE DOS PULGADAS DE DIAMETRO Estirado en frío.
Características
Acero de bajo contenido de carbono, de fácil mecanizado y buena soldabilidad. De baja dureza para usos convencionales de baja exigencia Cuando se requiere una superficie muy dura pero un centro tenaz, este acero cementado cumple perfectamente. Estirado en frío mejora sus valores de resistencia mecánica y su maquinabilidad.
Aplicaciones
Bases de matrices, soportes, engranajes, flanges, pernos de anclaje, ejes, cadenas, bujes, tornillería corriente y pasadores de baja resistencia. Por su ductilidad es ideal para procesos de transformación en frío como doblar, estampar, recalcar, entre otros.</t>
  </si>
  <si>
    <t>JUEGO DE 29 BROCAS HSS PARA METAL 
Caracteristicas.
• Brocas de 1/8" a 1/2" con punta Split Point
autocentrable para perforaciones más rápidas y
precisas
• Medidas marcadas en cada broca para fácil
identificación
• Fabricadas en acero M2 de larga duración con flauta
en acabado óxido negro
• Estuche organizador metálico</t>
  </si>
  <si>
    <t>PLATINA ACERO SAE 1020 DE 3/8" DE ESPESOR POR 1-1/2" DE ANCHO
Es un producto laminado en caliente de sección transversal rectangular con una superficie lisa y
uniforme sin resaltes ni venas, suministrada en tramos rectos.</t>
  </si>
  <si>
    <t xml:space="preserve">estos elementos se clasifican como materiales de formacion ya que cada componente se utiliza para la elaboracion de un circuito funcional con una aplicacion especifica dependiendo del proyecto a desarrollar  
las cotizaciones cumplen con los requerimientos 
</t>
  </si>
  <si>
    <t>RESPUESTA A OBSERVACIONES</t>
  </si>
  <si>
    <t>Valor Total</t>
  </si>
  <si>
    <r>
      <t xml:space="preserve">Tablero de fibras de madera de pino radiata de densidad media de color claro u oscuro, superficie suave y homogenea, humedad de 5,5 a 10.5%, de densidad 750 kgm3, unidas por adhesivos urea-formaldehído, liviano y ultraliviano. Con medidas de 183 cm x 244 cm.
</t>
    </r>
    <r>
      <rPr>
        <sz val="11"/>
        <rFont val="Calibri"/>
        <family val="2"/>
        <scheme val="minor"/>
      </rPr>
      <t>Los tableros de MDF de 15 mm de 183 cm x 244 cm deben ser cortados y entregados en módulos de 90 cm x 60 cm. para un total de 96 modulos</t>
    </r>
  </si>
  <si>
    <t>masilla elástica  diseñada para tratamiento de juntas entre paneles de fibrocemento para lograr junta invisible o junta a la vista con sellado elástico
 Cuñete ENTRE 4,5 Y 5 galones.
Peso (kg): entre 28 y 28,5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</si>
</sst>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00_-;\-&quot;$&quot;\ * #,##0.00_-;_-&quot;$&quot;\ * &quot;-&quot;??_-;_-@_-"/>
    <numFmt numFmtId="165" formatCode="#,###.00\ &quot;COP&quot;"/>
    <numFmt numFmtId="166" formatCode="&quot;$&quot;\ #,##0.00"/>
    <numFmt numFmtId="167" formatCode="_-&quot;$&quot;\ * #,##0_-;\-&quot;$&quot;\ * #,##0_-;_-&quot;$&quot;\ * &quot;-&quot;??_-;_-@_-"/>
    <numFmt numFmtId="168" formatCode="[$$-240A]\ #,##0.00"/>
    <numFmt numFmtId="169" formatCode="&quot;$&quot;\ #,##0"/>
    <numFmt numFmtId="170" formatCode="_-* #,##0.00\ _€_-;\-* #,##0.00\ _€_-;_-* &quot;-&quot;??\ _€_-;_-@_-"/>
  </numFmts>
  <fonts count="20">
    <font>
      <sz val="11"/>
      <color theme="1"/>
      <name val="Calibri"/>
      <family val="2"/>
      <scheme val="minor"/>
    </font>
    <font>
      <sz val="11"/>
      <name val="Calibri"/>
      <family val="2"/>
      <scheme val="minor"/>
    </font>
    <font>
      <sz val="10"/>
      <name val="Arial"/>
      <family val="2"/>
    </font>
    <font>
      <b/>
      <sz val="12"/>
      <name val="Calibri"/>
      <family val="2"/>
      <scheme val="minor"/>
    </font>
    <font>
      <sz val="12"/>
      <name val="Calibri"/>
      <family val="2"/>
      <scheme val="minor"/>
    </font>
    <font>
      <sz val="10"/>
      <color theme="1"/>
      <name val="Arial"/>
      <family val="2"/>
    </font>
    <font>
      <sz val="10"/>
      <color theme="1"/>
      <name val="Verdana"/>
      <family val="2"/>
    </font>
    <font>
      <sz val="11"/>
      <color rgb="FF000000"/>
      <name val="Calibri"/>
      <family val="2"/>
      <scheme val="minor"/>
    </font>
    <font>
      <b/>
      <sz val="10"/>
      <color theme="1"/>
      <name val="Verdana"/>
      <family val="2"/>
    </font>
    <font>
      <b/>
      <sz val="11"/>
      <name val="Calibri"/>
      <family val="2"/>
      <scheme val="minor"/>
    </font>
    <font>
      <sz val="11"/>
      <color theme="1"/>
      <name val="Calibri  "/>
    </font>
    <font>
      <sz val="11"/>
      <color theme="1"/>
      <name val="Arial"/>
      <family val="2"/>
    </font>
    <font>
      <sz val="11"/>
      <color theme="1"/>
      <name val="Calibri"/>
      <family val="2"/>
      <scheme val="minor"/>
    </font>
    <font>
      <sz val="12"/>
      <name val="Arial"/>
      <family val="2"/>
    </font>
    <font>
      <b/>
      <sz val="11"/>
      <color rgb="FF000000"/>
      <name val="Calibri"/>
      <family val="2"/>
      <scheme val="minor"/>
    </font>
    <font>
      <sz val="11"/>
      <color rgb="FF333333"/>
      <name val="Calibri"/>
      <family val="2"/>
      <scheme val="minor"/>
    </font>
    <font>
      <sz val="11"/>
      <name val="Arial"/>
      <family val="2"/>
    </font>
    <font>
      <sz val="11"/>
      <color rgb="FFFF0000"/>
      <name val="Calibri"/>
      <family val="2"/>
      <scheme val="minor"/>
    </font>
    <font>
      <sz val="14"/>
      <name val="Calibri"/>
      <family val="2"/>
      <scheme val="minor"/>
    </font>
    <font>
      <sz val="14"/>
      <color rgb="FFFF0000"/>
      <name val="Calibri"/>
      <family val="2"/>
      <scheme val="minor"/>
    </font>
  </fonts>
  <fills count="20">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theme="5" tint="0.59999389629810485"/>
        <bgColor indexed="64"/>
      </patternFill>
    </fill>
    <fill>
      <patternFill patternType="solid">
        <fgColor rgb="FF92D05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5"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6">
    <xf numFmtId="0" fontId="0" fillId="0" borderId="0"/>
    <xf numFmtId="0" fontId="2" fillId="0" borderId="0"/>
    <xf numFmtId="165" fontId="5" fillId="0" borderId="0" applyFont="0" applyFill="0" applyBorder="0" applyAlignment="0" applyProtection="0"/>
    <xf numFmtId="49" fontId="6" fillId="0" borderId="0" applyFill="0" applyBorder="0" applyProtection="0">
      <alignment horizontal="left" vertical="center"/>
    </xf>
    <xf numFmtId="0" fontId="8" fillId="3" borderId="0" applyNumberFormat="0" applyBorder="0" applyProtection="0">
      <alignment horizontal="center" vertical="center"/>
    </xf>
    <xf numFmtId="164" fontId="12" fillId="0" borderId="0" applyFont="0" applyFill="0" applyBorder="0" applyAlignment="0" applyProtection="0"/>
  </cellStyleXfs>
  <cellXfs count="192">
    <xf numFmtId="0" fontId="0" fillId="0" borderId="0" xfId="0"/>
    <xf numFmtId="0" fontId="1" fillId="0" borderId="1" xfId="0" applyFont="1" applyBorder="1" applyAlignment="1">
      <alignment horizontal="center" vertical="center" wrapText="1"/>
    </xf>
    <xf numFmtId="0" fontId="1"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4" fillId="0" borderId="0" xfId="0" applyFont="1" applyFill="1" applyAlignment="1">
      <alignment horizontal="center" vertical="center"/>
    </xf>
    <xf numFmtId="0" fontId="1" fillId="0" borderId="0" xfId="0" applyFont="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1" fillId="0" borderId="0" xfId="0" applyFont="1" applyBorder="1" applyAlignment="1">
      <alignment horizontal="left" vertical="center" wrapText="1"/>
    </xf>
    <xf numFmtId="166" fontId="1" fillId="0" borderId="1" xfId="0" applyNumberFormat="1" applyFont="1" applyBorder="1" applyAlignment="1">
      <alignment horizontal="center" vertical="center"/>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1" fillId="0" borderId="0" xfId="0" applyFont="1" applyBorder="1" applyAlignment="1">
      <alignment horizontal="center" vertical="center"/>
    </xf>
    <xf numFmtId="0" fontId="1" fillId="0"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0" borderId="0"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166" fontId="0" fillId="0" borderId="1" xfId="2" applyNumberFormat="1" applyFont="1" applyBorder="1" applyAlignment="1">
      <alignment horizontal="center" vertical="center"/>
    </xf>
    <xf numFmtId="164" fontId="1" fillId="0" borderId="0" xfId="5" applyFont="1" applyAlignment="1">
      <alignment horizontal="center" vertical="center"/>
    </xf>
    <xf numFmtId="164" fontId="4" fillId="0" borderId="0" xfId="5" applyFont="1" applyFill="1" applyAlignment="1">
      <alignment horizontal="center" vertical="center"/>
    </xf>
    <xf numFmtId="164" fontId="1" fillId="0" borderId="0" xfId="5"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166" fontId="0" fillId="0" borderId="1" xfId="2" applyNumberFormat="1" applyFont="1" applyBorder="1" applyAlignment="1">
      <alignment vertical="center"/>
    </xf>
    <xf numFmtId="167" fontId="0" fillId="0" borderId="1" xfId="5" applyNumberFormat="1" applyFont="1" applyBorder="1" applyAlignment="1">
      <alignment vertical="center"/>
    </xf>
    <xf numFmtId="167" fontId="0" fillId="0" borderId="1" xfId="5" applyNumberFormat="1" applyFont="1" applyBorder="1" applyAlignment="1">
      <alignment vertical="center" wrapText="1"/>
    </xf>
    <xf numFmtId="167" fontId="1" fillId="0" borderId="1" xfId="5" applyNumberFormat="1" applyFont="1" applyBorder="1" applyAlignment="1">
      <alignment vertical="center" wrapText="1"/>
    </xf>
    <xf numFmtId="165" fontId="0" fillId="0" borderId="1" xfId="0" applyNumberFormat="1" applyBorder="1" applyAlignment="1" applyProtection="1">
      <alignment horizontal="center" vertical="center"/>
      <protection locked="0"/>
    </xf>
    <xf numFmtId="166" fontId="1" fillId="0" borderId="0" xfId="0" applyNumberFormat="1" applyFont="1" applyBorder="1" applyAlignment="1">
      <alignment horizontal="center" vertical="center"/>
    </xf>
    <xf numFmtId="0" fontId="9" fillId="0" borderId="1" xfId="0" applyFont="1" applyBorder="1" applyAlignment="1">
      <alignment horizontal="center" vertical="center"/>
    </xf>
    <xf numFmtId="0" fontId="4" fillId="0" borderId="1" xfId="0" applyFont="1" applyFill="1" applyBorder="1" applyAlignment="1">
      <alignment horizontal="center" vertical="center"/>
    </xf>
    <xf numFmtId="165" fontId="0" fillId="0" borderId="1" xfId="2" applyFont="1" applyBorder="1" applyAlignment="1">
      <alignment vertical="center"/>
    </xf>
    <xf numFmtId="166" fontId="0" fillId="6" borderId="1" xfId="2" applyNumberFormat="1" applyFont="1" applyFill="1" applyBorder="1" applyAlignment="1">
      <alignment vertical="center"/>
    </xf>
    <xf numFmtId="165" fontId="0" fillId="0" borderId="1" xfId="2" applyFont="1" applyFill="1" applyBorder="1" applyAlignment="1">
      <alignment horizontal="center" vertical="center"/>
    </xf>
    <xf numFmtId="168" fontId="1" fillId="0" borderId="1" xfId="0" applyNumberFormat="1" applyFont="1" applyBorder="1" applyAlignment="1">
      <alignment horizontal="center" vertical="center"/>
    </xf>
    <xf numFmtId="166" fontId="0" fillId="8" borderId="1" xfId="2" applyNumberFormat="1" applyFont="1" applyFill="1" applyBorder="1" applyAlignment="1">
      <alignment horizontal="center" vertical="center"/>
    </xf>
    <xf numFmtId="165" fontId="0" fillId="8" borderId="1" xfId="2" applyFont="1" applyFill="1" applyBorder="1" applyAlignment="1">
      <alignment vertical="center"/>
    </xf>
    <xf numFmtId="166" fontId="0" fillId="8" borderId="1" xfId="2" applyNumberFormat="1" applyFont="1" applyFill="1" applyBorder="1" applyAlignment="1">
      <alignment vertical="center"/>
    </xf>
    <xf numFmtId="4" fontId="1" fillId="0" borderId="1" xfId="0" applyNumberFormat="1" applyFont="1" applyBorder="1" applyAlignment="1">
      <alignment horizontal="center" vertical="center"/>
    </xf>
    <xf numFmtId="0" fontId="9" fillId="0" borderId="1" xfId="0" applyFont="1" applyBorder="1" applyAlignment="1">
      <alignment vertical="center"/>
    </xf>
    <xf numFmtId="166" fontId="1" fillId="0" borderId="1" xfId="0" applyNumberFormat="1" applyFont="1" applyBorder="1" applyAlignment="1">
      <alignment horizontal="center" vertical="center" wrapText="1"/>
    </xf>
    <xf numFmtId="0" fontId="1" fillId="0" borderId="0" xfId="0" applyFont="1" applyAlignment="1">
      <alignment horizontal="center" vertical="center" wrapText="1"/>
    </xf>
    <xf numFmtId="0" fontId="9" fillId="0" borderId="1" xfId="0" applyFont="1" applyBorder="1" applyAlignment="1">
      <alignment horizontal="center" vertical="center" wrapText="1"/>
    </xf>
    <xf numFmtId="166" fontId="1" fillId="0" borderId="0" xfId="0" applyNumberFormat="1" applyFont="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vertical="center" wrapText="1"/>
    </xf>
    <xf numFmtId="0" fontId="1" fillId="9" borderId="1" xfId="0" applyFont="1" applyFill="1" applyBorder="1" applyAlignment="1">
      <alignment horizontal="center" vertical="center"/>
    </xf>
    <xf numFmtId="0" fontId="1" fillId="9" borderId="1" xfId="0" applyFont="1" applyFill="1" applyBorder="1" applyAlignment="1">
      <alignment horizontal="center" vertical="center" wrapText="1"/>
    </xf>
    <xf numFmtId="166" fontId="0" fillId="9" borderId="1" xfId="2" applyNumberFormat="1" applyFont="1" applyFill="1" applyBorder="1" applyAlignment="1">
      <alignment horizontal="center" vertical="center"/>
    </xf>
    <xf numFmtId="166" fontId="1" fillId="9" borderId="1" xfId="0" applyNumberFormat="1" applyFont="1" applyFill="1" applyBorder="1" applyAlignment="1">
      <alignment horizontal="center" vertical="center"/>
    </xf>
    <xf numFmtId="166" fontId="1" fillId="9" borderId="1" xfId="0" applyNumberFormat="1" applyFont="1" applyFill="1" applyBorder="1" applyAlignment="1">
      <alignment horizontal="center" vertical="center" wrapText="1"/>
    </xf>
    <xf numFmtId="0" fontId="7" fillId="9" borderId="1" xfId="0" applyFont="1" applyFill="1" applyBorder="1" applyAlignment="1">
      <alignment horizontal="center" vertical="center" wrapText="1"/>
    </xf>
    <xf numFmtId="0" fontId="0" fillId="9" borderId="1" xfId="0" applyFill="1" applyBorder="1" applyAlignment="1">
      <alignment horizontal="center" vertical="center"/>
    </xf>
    <xf numFmtId="0" fontId="1" fillId="9" borderId="1" xfId="0" applyFont="1" applyFill="1" applyBorder="1" applyAlignment="1">
      <alignment horizontal="left" vertical="top" wrapText="1"/>
    </xf>
    <xf numFmtId="0" fontId="1" fillId="10" borderId="1" xfId="0" applyFont="1" applyFill="1" applyBorder="1" applyAlignment="1">
      <alignment horizontal="center" vertical="center"/>
    </xf>
    <xf numFmtId="0" fontId="13" fillId="10" borderId="1" xfId="0" applyFont="1" applyFill="1" applyBorder="1" applyAlignment="1">
      <alignment horizontal="center" vertical="center"/>
    </xf>
    <xf numFmtId="0" fontId="1" fillId="10" borderId="1" xfId="0" applyFont="1" applyFill="1" applyBorder="1" applyAlignment="1">
      <alignment horizontal="center" vertical="center" wrapText="1"/>
    </xf>
    <xf numFmtId="0" fontId="7" fillId="10" borderId="1" xfId="0" applyFont="1" applyFill="1" applyBorder="1" applyAlignment="1">
      <alignment horizontal="center" vertical="center" wrapText="1"/>
    </xf>
    <xf numFmtId="166" fontId="0" fillId="10" borderId="1" xfId="2" applyNumberFormat="1" applyFont="1" applyFill="1" applyBorder="1" applyAlignment="1">
      <alignment horizontal="center" vertical="center"/>
    </xf>
    <xf numFmtId="166" fontId="1" fillId="10" borderId="1" xfId="0" applyNumberFormat="1" applyFont="1" applyFill="1" applyBorder="1" applyAlignment="1">
      <alignment horizontal="center" vertical="center"/>
    </xf>
    <xf numFmtId="166" fontId="1" fillId="10" borderId="1" xfId="0" applyNumberFormat="1" applyFont="1" applyFill="1" applyBorder="1" applyAlignment="1">
      <alignment horizontal="center" vertical="center" wrapText="1"/>
    </xf>
    <xf numFmtId="0" fontId="10" fillId="10" borderId="1" xfId="0" applyFont="1" applyFill="1" applyBorder="1" applyAlignment="1">
      <alignment horizontal="center" vertical="center" wrapText="1"/>
    </xf>
    <xf numFmtId="0" fontId="0" fillId="10" borderId="1" xfId="0" applyFill="1" applyBorder="1" applyAlignment="1">
      <alignment horizontal="center" vertical="center" wrapText="1"/>
    </xf>
    <xf numFmtId="0" fontId="0" fillId="10" borderId="1" xfId="0" applyFill="1" applyBorder="1" applyAlignment="1">
      <alignment horizontal="center" vertical="center"/>
    </xf>
    <xf numFmtId="0" fontId="1" fillId="11" borderId="1" xfId="0" applyFont="1" applyFill="1" applyBorder="1" applyAlignment="1">
      <alignment horizontal="center" vertical="center"/>
    </xf>
    <xf numFmtId="0" fontId="1" fillId="11" borderId="1" xfId="0" applyFont="1" applyFill="1" applyBorder="1" applyAlignment="1">
      <alignment horizontal="center" vertical="center" wrapText="1"/>
    </xf>
    <xf numFmtId="165" fontId="0" fillId="11" borderId="1" xfId="2" applyFont="1" applyFill="1" applyBorder="1" applyAlignment="1">
      <alignment vertical="center"/>
    </xf>
    <xf numFmtId="166" fontId="0" fillId="11" borderId="1" xfId="2" applyNumberFormat="1" applyFont="1" applyFill="1" applyBorder="1" applyAlignment="1">
      <alignment vertical="center"/>
    </xf>
    <xf numFmtId="166" fontId="0" fillId="11" borderId="1" xfId="2" applyNumberFormat="1" applyFont="1" applyFill="1" applyBorder="1" applyAlignment="1">
      <alignment horizontal="center" vertical="center"/>
    </xf>
    <xf numFmtId="166" fontId="1" fillId="11" borderId="1" xfId="0" applyNumberFormat="1" applyFont="1" applyFill="1" applyBorder="1" applyAlignment="1">
      <alignment horizontal="center" vertical="center"/>
    </xf>
    <xf numFmtId="166" fontId="1" fillId="11" borderId="1" xfId="0" applyNumberFormat="1" applyFont="1" applyFill="1" applyBorder="1" applyAlignment="1">
      <alignment horizontal="center" vertical="center" wrapText="1"/>
    </xf>
    <xf numFmtId="0" fontId="7" fillId="11" borderId="1" xfId="0" applyFont="1" applyFill="1" applyBorder="1" applyAlignment="1">
      <alignment horizontal="center" vertical="center" wrapText="1"/>
    </xf>
    <xf numFmtId="0" fontId="1" fillId="12" borderId="1" xfId="0" applyFont="1" applyFill="1" applyBorder="1" applyAlignment="1">
      <alignment vertical="center"/>
    </xf>
    <xf numFmtId="0" fontId="1" fillId="12" borderId="1" xfId="0" applyFont="1" applyFill="1" applyBorder="1" applyAlignment="1">
      <alignment vertical="center" wrapText="1"/>
    </xf>
    <xf numFmtId="166" fontId="0" fillId="12" borderId="1" xfId="2" applyNumberFormat="1" applyFont="1" applyFill="1" applyBorder="1" applyAlignment="1">
      <alignment vertical="center"/>
    </xf>
    <xf numFmtId="167" fontId="0" fillId="12" borderId="1" xfId="5" applyNumberFormat="1" applyFont="1" applyFill="1" applyBorder="1" applyAlignment="1">
      <alignment vertical="center"/>
    </xf>
    <xf numFmtId="166" fontId="0" fillId="12" borderId="1" xfId="2" applyNumberFormat="1" applyFont="1" applyFill="1" applyBorder="1" applyAlignment="1">
      <alignment horizontal="center" vertical="center"/>
    </xf>
    <xf numFmtId="166" fontId="1" fillId="12" borderId="1" xfId="0" applyNumberFormat="1" applyFont="1" applyFill="1" applyBorder="1" applyAlignment="1">
      <alignment horizontal="center" vertical="center"/>
    </xf>
    <xf numFmtId="166" fontId="1" fillId="12" borderId="1" xfId="0" applyNumberFormat="1" applyFont="1" applyFill="1" applyBorder="1" applyAlignment="1">
      <alignment horizontal="center" vertical="center" wrapText="1"/>
    </xf>
    <xf numFmtId="0" fontId="1" fillId="13" borderId="1" xfId="0" applyFont="1" applyFill="1" applyBorder="1" applyAlignment="1">
      <alignment vertical="center" wrapText="1"/>
    </xf>
    <xf numFmtId="0" fontId="15" fillId="13" borderId="1" xfId="0" applyFont="1" applyFill="1" applyBorder="1" applyAlignment="1">
      <alignment vertical="center" wrapText="1"/>
    </xf>
    <xf numFmtId="0" fontId="0" fillId="13" borderId="1" xfId="0" applyFill="1" applyBorder="1" applyAlignment="1">
      <alignment horizontal="center" vertical="center"/>
    </xf>
    <xf numFmtId="0" fontId="15" fillId="13" borderId="1" xfId="0" applyFont="1" applyFill="1" applyBorder="1" applyAlignment="1">
      <alignment horizontal="left" vertical="center"/>
    </xf>
    <xf numFmtId="167" fontId="0" fillId="13" borderId="1" xfId="5" applyNumberFormat="1" applyFont="1" applyFill="1" applyBorder="1" applyAlignment="1">
      <alignment vertical="center" wrapText="1"/>
    </xf>
    <xf numFmtId="166" fontId="0" fillId="13" borderId="1" xfId="2" applyNumberFormat="1" applyFont="1" applyFill="1" applyBorder="1" applyAlignment="1">
      <alignment vertical="center" wrapText="1"/>
    </xf>
    <xf numFmtId="166" fontId="0" fillId="13" borderId="1" xfId="2" applyNumberFormat="1" applyFont="1" applyFill="1" applyBorder="1" applyAlignment="1">
      <alignment horizontal="center" vertical="center"/>
    </xf>
    <xf numFmtId="166" fontId="1" fillId="13" borderId="1" xfId="0" applyNumberFormat="1" applyFont="1" applyFill="1" applyBorder="1" applyAlignment="1">
      <alignment horizontal="center" vertical="center"/>
    </xf>
    <xf numFmtId="166" fontId="1" fillId="13" borderId="1" xfId="0" applyNumberFormat="1" applyFont="1" applyFill="1" applyBorder="1" applyAlignment="1">
      <alignment horizontal="center" vertical="center" wrapText="1"/>
    </xf>
    <xf numFmtId="0" fontId="1" fillId="13" borderId="1" xfId="0" applyFont="1" applyFill="1" applyBorder="1" applyAlignment="1">
      <alignment horizontal="center" vertical="center"/>
    </xf>
    <xf numFmtId="0" fontId="2" fillId="13" borderId="1" xfId="0" applyFont="1" applyFill="1" applyBorder="1" applyAlignment="1">
      <alignment vertical="center" wrapText="1"/>
    </xf>
    <xf numFmtId="0" fontId="0" fillId="13" borderId="1" xfId="0" applyFill="1" applyBorder="1" applyAlignment="1">
      <alignment vertical="center" wrapText="1"/>
    </xf>
    <xf numFmtId="167" fontId="1" fillId="13" borderId="1" xfId="5" applyNumberFormat="1" applyFont="1" applyFill="1" applyBorder="1" applyAlignment="1">
      <alignment vertical="center" wrapText="1"/>
    </xf>
    <xf numFmtId="0" fontId="1" fillId="14" borderId="1" xfId="0" applyFont="1" applyFill="1" applyBorder="1" applyAlignment="1">
      <alignment horizontal="center" vertical="center"/>
    </xf>
    <xf numFmtId="0" fontId="1" fillId="14" borderId="1" xfId="0" applyFont="1" applyFill="1" applyBorder="1" applyAlignment="1">
      <alignment horizontal="center" vertical="center" wrapText="1"/>
    </xf>
    <xf numFmtId="166" fontId="0" fillId="14" borderId="1" xfId="2" applyNumberFormat="1" applyFont="1" applyFill="1" applyBorder="1" applyAlignment="1">
      <alignment horizontal="center" vertical="center"/>
    </xf>
    <xf numFmtId="166" fontId="1" fillId="14" borderId="1" xfId="0" applyNumberFormat="1" applyFont="1" applyFill="1" applyBorder="1" applyAlignment="1">
      <alignment horizontal="center" vertical="center"/>
    </xf>
    <xf numFmtId="166" fontId="1" fillId="14" borderId="1" xfId="0" applyNumberFormat="1" applyFont="1" applyFill="1" applyBorder="1" applyAlignment="1">
      <alignment horizontal="center" vertical="center" wrapText="1"/>
    </xf>
    <xf numFmtId="0" fontId="10" fillId="14" borderId="1" xfId="0" applyFont="1" applyFill="1" applyBorder="1" applyAlignment="1">
      <alignment horizontal="center" vertical="center" wrapText="1"/>
    </xf>
    <xf numFmtId="0" fontId="1" fillId="15" borderId="1" xfId="0" applyFont="1" applyFill="1" applyBorder="1" applyAlignment="1">
      <alignment horizontal="center" vertical="center"/>
    </xf>
    <xf numFmtId="0" fontId="1" fillId="15" borderId="1" xfId="0" applyFont="1" applyFill="1" applyBorder="1" applyAlignment="1">
      <alignment horizontal="center" vertical="center" wrapText="1"/>
    </xf>
    <xf numFmtId="0" fontId="1" fillId="15" borderId="1" xfId="0" applyFont="1" applyFill="1" applyBorder="1" applyAlignment="1">
      <alignment horizontal="left" vertical="center" wrapText="1"/>
    </xf>
    <xf numFmtId="166" fontId="0" fillId="15" borderId="1" xfId="2" applyNumberFormat="1" applyFont="1" applyFill="1" applyBorder="1" applyAlignment="1">
      <alignment horizontal="center" vertical="center"/>
    </xf>
    <xf numFmtId="166" fontId="1" fillId="15" borderId="1" xfId="0" applyNumberFormat="1" applyFont="1" applyFill="1" applyBorder="1" applyAlignment="1">
      <alignment horizontal="center" vertical="center"/>
    </xf>
    <xf numFmtId="166" fontId="1" fillId="15" borderId="1" xfId="0" applyNumberFormat="1" applyFont="1" applyFill="1" applyBorder="1" applyAlignment="1">
      <alignment horizontal="center" vertical="center" wrapText="1"/>
    </xf>
    <xf numFmtId="0" fontId="1" fillId="16"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0" fontId="0" fillId="16" borderId="1" xfId="0" applyFill="1" applyBorder="1" applyAlignment="1">
      <alignment vertical="center" wrapText="1"/>
    </xf>
    <xf numFmtId="0" fontId="0" fillId="16" borderId="1" xfId="0" applyFill="1" applyBorder="1" applyAlignment="1">
      <alignment wrapText="1"/>
    </xf>
    <xf numFmtId="0" fontId="1" fillId="16" borderId="1" xfId="0" applyFont="1" applyFill="1" applyBorder="1" applyAlignment="1">
      <alignment horizontal="center" vertical="center"/>
    </xf>
    <xf numFmtId="165" fontId="0" fillId="16" borderId="1" xfId="2" applyFont="1" applyFill="1" applyBorder="1" applyAlignment="1">
      <alignment horizontal="center" vertical="center"/>
    </xf>
    <xf numFmtId="166" fontId="0" fillId="16" borderId="1" xfId="2" applyNumberFormat="1" applyFont="1" applyFill="1" applyBorder="1" applyAlignment="1">
      <alignment horizontal="center" vertical="center"/>
    </xf>
    <xf numFmtId="166" fontId="1" fillId="16" borderId="1" xfId="0" applyNumberFormat="1" applyFont="1" applyFill="1" applyBorder="1" applyAlignment="1">
      <alignment horizontal="center" vertical="center"/>
    </xf>
    <xf numFmtId="166" fontId="1" fillId="16" borderId="1" xfId="0" applyNumberFormat="1" applyFont="1" applyFill="1" applyBorder="1" applyAlignment="1">
      <alignment horizontal="center" vertical="center" wrapText="1"/>
    </xf>
    <xf numFmtId="0" fontId="4" fillId="16" borderId="1" xfId="0" applyFont="1" applyFill="1" applyBorder="1" applyAlignment="1">
      <alignment horizontal="center" vertical="center" wrapText="1"/>
    </xf>
    <xf numFmtId="0" fontId="0" fillId="16" borderId="1" xfId="0" applyFill="1" applyBorder="1" applyAlignment="1" applyProtection="1">
      <alignment horizontal="center" vertical="center"/>
      <protection locked="0"/>
    </xf>
    <xf numFmtId="0" fontId="11" fillId="16" borderId="1" xfId="0" applyFont="1" applyFill="1" applyBorder="1" applyAlignment="1" applyProtection="1">
      <alignment horizontal="center" vertical="center"/>
      <protection locked="0"/>
    </xf>
    <xf numFmtId="0" fontId="0" fillId="16" borderId="1" xfId="0" applyFill="1" applyBorder="1" applyAlignment="1" applyProtection="1">
      <alignment horizontal="left" vertical="center" wrapText="1"/>
      <protection locked="0"/>
    </xf>
    <xf numFmtId="0" fontId="0" fillId="16" borderId="1" xfId="0" applyFill="1" applyBorder="1" applyAlignment="1" applyProtection="1">
      <alignment wrapText="1"/>
      <protection locked="0"/>
    </xf>
    <xf numFmtId="0" fontId="16" fillId="16" borderId="1" xfId="0" applyFont="1" applyFill="1" applyBorder="1" applyAlignment="1">
      <alignment horizontal="center" vertical="center"/>
    </xf>
    <xf numFmtId="0" fontId="0" fillId="16" borderId="1" xfId="0" applyFill="1" applyBorder="1" applyAlignment="1" applyProtection="1">
      <alignment horizontal="center" wrapText="1"/>
      <protection locked="0"/>
    </xf>
    <xf numFmtId="0" fontId="0" fillId="16" borderId="1" xfId="0" applyFill="1" applyBorder="1" applyAlignment="1" applyProtection="1">
      <alignment vertical="center" wrapText="1"/>
      <protection locked="0"/>
    </xf>
    <xf numFmtId="0" fontId="0" fillId="16" borderId="1" xfId="0" applyFill="1" applyBorder="1" applyAlignment="1" applyProtection="1">
      <alignment horizontal="center" vertical="center" wrapText="1"/>
      <protection locked="0"/>
    </xf>
    <xf numFmtId="165" fontId="0" fillId="16" borderId="1" xfId="0" applyNumberFormat="1" applyFill="1" applyBorder="1" applyAlignment="1" applyProtection="1">
      <alignment horizontal="center" vertical="center"/>
      <protection locked="0"/>
    </xf>
    <xf numFmtId="0" fontId="1" fillId="17" borderId="1" xfId="0" applyFont="1" applyFill="1" applyBorder="1" applyAlignment="1">
      <alignment horizontal="center" vertical="center"/>
    </xf>
    <xf numFmtId="0" fontId="1" fillId="17" borderId="1" xfId="0" applyFont="1" applyFill="1" applyBorder="1" applyAlignment="1">
      <alignment horizontal="center" vertical="center" wrapText="1"/>
    </xf>
    <xf numFmtId="166" fontId="0" fillId="17" borderId="1" xfId="2" applyNumberFormat="1" applyFont="1" applyFill="1" applyBorder="1" applyAlignment="1">
      <alignment horizontal="center" vertical="center"/>
    </xf>
    <xf numFmtId="166" fontId="1" fillId="17" borderId="1" xfId="0" applyNumberFormat="1" applyFont="1" applyFill="1" applyBorder="1" applyAlignment="1">
      <alignment horizontal="center" vertical="center"/>
    </xf>
    <xf numFmtId="166" fontId="1" fillId="17" borderId="1" xfId="0" applyNumberFormat="1" applyFont="1" applyFill="1" applyBorder="1" applyAlignment="1">
      <alignment horizontal="center" vertical="center" wrapText="1"/>
    </xf>
    <xf numFmtId="0" fontId="7" fillId="17" borderId="1" xfId="0" applyFont="1" applyFill="1" applyBorder="1" applyAlignment="1">
      <alignment horizontal="center" vertical="center" wrapText="1"/>
    </xf>
    <xf numFmtId="0" fontId="10" fillId="17" borderId="1" xfId="0" applyFont="1" applyFill="1" applyBorder="1" applyAlignment="1">
      <alignment horizontal="center" vertical="center" wrapText="1"/>
    </xf>
    <xf numFmtId="0" fontId="11" fillId="17" borderId="1" xfId="0" applyFont="1" applyFill="1" applyBorder="1" applyAlignment="1">
      <alignment horizontal="center" vertical="center" wrapText="1"/>
    </xf>
    <xf numFmtId="0" fontId="0" fillId="17" borderId="1" xfId="0" applyFill="1" applyBorder="1" applyAlignment="1" applyProtection="1">
      <alignment horizontal="center" wrapText="1"/>
      <protection locked="0"/>
    </xf>
    <xf numFmtId="0" fontId="0" fillId="17" borderId="1" xfId="0" applyFill="1" applyBorder="1" applyAlignment="1" applyProtection="1">
      <alignment horizontal="center" vertical="center" wrapText="1"/>
      <protection locked="0"/>
    </xf>
    <xf numFmtId="0" fontId="0" fillId="17" borderId="1" xfId="0" applyFill="1" applyBorder="1" applyAlignment="1">
      <alignment horizontal="center" vertical="center"/>
    </xf>
    <xf numFmtId="0" fontId="0" fillId="17" borderId="1" xfId="0" applyFill="1" applyBorder="1" applyAlignment="1">
      <alignment horizontal="center" vertical="center" wrapText="1"/>
    </xf>
    <xf numFmtId="0" fontId="1" fillId="18" borderId="1" xfId="0" applyFont="1" applyFill="1" applyBorder="1" applyAlignment="1">
      <alignment horizontal="center" vertical="center"/>
    </xf>
    <xf numFmtId="0" fontId="1" fillId="18" borderId="1" xfId="0" applyFont="1" applyFill="1" applyBorder="1" applyAlignment="1">
      <alignment horizontal="center" vertical="center" wrapText="1"/>
    </xf>
    <xf numFmtId="168" fontId="1" fillId="18" borderId="1" xfId="0" applyNumberFormat="1" applyFont="1" applyFill="1" applyBorder="1" applyAlignment="1">
      <alignment horizontal="center" vertical="center"/>
    </xf>
    <xf numFmtId="166" fontId="0" fillId="18" borderId="1" xfId="2" applyNumberFormat="1" applyFont="1" applyFill="1" applyBorder="1" applyAlignment="1">
      <alignment horizontal="center" vertical="center"/>
    </xf>
    <xf numFmtId="166" fontId="1" fillId="18" borderId="1" xfId="0" applyNumberFormat="1" applyFont="1" applyFill="1" applyBorder="1" applyAlignment="1">
      <alignment horizontal="center" vertical="center"/>
    </xf>
    <xf numFmtId="0" fontId="18" fillId="18" borderId="1" xfId="0" applyFont="1" applyFill="1" applyBorder="1" applyAlignment="1">
      <alignment horizontal="left" vertical="top" wrapText="1"/>
    </xf>
    <xf numFmtId="169" fontId="0" fillId="9" borderId="1" xfId="2" applyNumberFormat="1" applyFont="1" applyFill="1" applyBorder="1" applyAlignment="1">
      <alignment horizontal="center" vertical="center"/>
    </xf>
    <xf numFmtId="0" fontId="1" fillId="19" borderId="1" xfId="0" applyFont="1" applyFill="1" applyBorder="1" applyAlignment="1">
      <alignment horizontal="center" vertical="center"/>
    </xf>
    <xf numFmtId="166" fontId="1" fillId="19" borderId="1" xfId="0" applyNumberFormat="1" applyFont="1" applyFill="1" applyBorder="1" applyAlignment="1">
      <alignment horizontal="center" vertical="center"/>
    </xf>
    <xf numFmtId="166" fontId="1" fillId="19" borderId="1" xfId="0" applyNumberFormat="1" applyFont="1" applyFill="1" applyBorder="1" applyAlignment="1">
      <alignment horizontal="center" vertical="center" wrapText="1"/>
    </xf>
    <xf numFmtId="169" fontId="0" fillId="19" borderId="1" xfId="2" applyNumberFormat="1" applyFont="1" applyFill="1" applyBorder="1" applyAlignment="1">
      <alignment horizontal="center" vertical="center"/>
    </xf>
    <xf numFmtId="169" fontId="17" fillId="19" borderId="1" xfId="2" applyNumberFormat="1" applyFont="1" applyFill="1" applyBorder="1" applyAlignment="1">
      <alignment horizontal="center" vertical="center"/>
    </xf>
    <xf numFmtId="164" fontId="17" fillId="0" borderId="0" xfId="5" applyFont="1" applyAlignment="1">
      <alignment horizontal="center" vertical="center" wrapText="1"/>
    </xf>
    <xf numFmtId="165" fontId="0" fillId="19" borderId="1" xfId="2" applyFont="1" applyFill="1" applyBorder="1" applyAlignment="1">
      <alignment vertical="center"/>
    </xf>
    <xf numFmtId="166" fontId="0" fillId="19" borderId="1" xfId="2" applyNumberFormat="1" applyFont="1" applyFill="1" applyBorder="1" applyAlignment="1">
      <alignment vertical="center"/>
    </xf>
    <xf numFmtId="166" fontId="17" fillId="19" borderId="1" xfId="0" applyNumberFormat="1" applyFont="1" applyFill="1" applyBorder="1" applyAlignment="1">
      <alignment horizontal="center" vertical="center" wrapText="1"/>
    </xf>
    <xf numFmtId="166" fontId="17" fillId="0" borderId="1" xfId="0" applyNumberFormat="1" applyFont="1" applyBorder="1" applyAlignment="1">
      <alignment horizontal="center" vertical="center" wrapText="1"/>
    </xf>
    <xf numFmtId="0" fontId="19" fillId="7" borderId="1" xfId="0" applyFont="1" applyFill="1" applyBorder="1" applyAlignment="1">
      <alignment horizontal="left" vertical="top" wrapText="1"/>
    </xf>
    <xf numFmtId="166" fontId="1" fillId="8" borderId="1" xfId="0" applyNumberFormat="1" applyFont="1" applyFill="1" applyBorder="1" applyAlignment="1">
      <alignment horizontal="center" vertical="center" wrapText="1"/>
    </xf>
    <xf numFmtId="169" fontId="0" fillId="0" borderId="1" xfId="2" applyNumberFormat="1" applyFont="1" applyFill="1" applyBorder="1" applyAlignment="1">
      <alignment horizontal="center" vertical="center"/>
    </xf>
    <xf numFmtId="169" fontId="1" fillId="0" borderId="0" xfId="0" applyNumberFormat="1" applyFont="1" applyBorder="1" applyAlignment="1">
      <alignment horizontal="left" vertical="center" wrapText="1"/>
    </xf>
    <xf numFmtId="170" fontId="1" fillId="0" borderId="0" xfId="0" applyNumberFormat="1" applyFont="1" applyAlignment="1">
      <alignment horizontal="center" vertical="center"/>
    </xf>
    <xf numFmtId="166" fontId="1" fillId="0" borderId="0" xfId="0" applyNumberFormat="1" applyFont="1" applyBorder="1" applyAlignment="1">
      <alignment horizontal="lef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13" fillId="2" borderId="1" xfId="0" applyFont="1" applyFill="1" applyBorder="1" applyAlignment="1">
      <alignment horizontal="center" vertical="center"/>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left" vertical="center"/>
    </xf>
    <xf numFmtId="0" fontId="2" fillId="2" borderId="1" xfId="0" applyFont="1" applyFill="1" applyBorder="1" applyAlignment="1">
      <alignment vertical="center" wrapText="1"/>
    </xf>
    <xf numFmtId="0" fontId="0" fillId="2" borderId="1" xfId="0" applyFill="1" applyBorder="1" applyAlignment="1">
      <alignment vertical="center" wrapText="1"/>
    </xf>
    <xf numFmtId="0" fontId="13" fillId="2" borderId="1" xfId="0" applyFont="1" applyFill="1" applyBorder="1" applyAlignment="1">
      <alignment horizontal="center" vertical="center" wrapText="1"/>
    </xf>
    <xf numFmtId="0" fontId="0" fillId="2" borderId="1" xfId="0" applyFill="1" applyBorder="1" applyAlignment="1">
      <alignment wrapText="1"/>
    </xf>
    <xf numFmtId="0" fontId="4" fillId="2" borderId="1" xfId="0" applyFont="1" applyFill="1" applyBorder="1" applyAlignment="1">
      <alignment horizontal="center" vertical="center" wrapText="1"/>
    </xf>
    <xf numFmtId="0" fontId="0" fillId="2" borderId="1" xfId="0" applyFill="1" applyBorder="1" applyAlignment="1" applyProtection="1">
      <alignment horizontal="center" vertical="center"/>
      <protection locked="0"/>
    </xf>
    <xf numFmtId="0" fontId="11" fillId="2" borderId="1" xfId="0" applyFont="1" applyFill="1" applyBorder="1" applyAlignment="1" applyProtection="1">
      <alignment horizontal="center" vertical="center"/>
      <protection locked="0"/>
    </xf>
    <xf numFmtId="0" fontId="0" fillId="2" borderId="1" xfId="0" applyFill="1" applyBorder="1" applyAlignment="1" applyProtection="1">
      <alignment horizontal="left" vertical="center" wrapText="1"/>
      <protection locked="0"/>
    </xf>
    <xf numFmtId="0" fontId="0" fillId="2" borderId="1" xfId="0" applyFill="1" applyBorder="1" applyAlignment="1" applyProtection="1">
      <alignment wrapText="1"/>
      <protection locked="0"/>
    </xf>
    <xf numFmtId="0" fontId="16" fillId="2" borderId="1" xfId="0" applyFont="1" applyFill="1" applyBorder="1" applyAlignment="1">
      <alignment horizontal="center" vertical="center"/>
    </xf>
    <xf numFmtId="0" fontId="0" fillId="2" borderId="1" xfId="0" applyFill="1" applyBorder="1" applyAlignment="1" applyProtection="1">
      <alignment horizontal="center" wrapText="1"/>
      <protection locked="0"/>
    </xf>
    <xf numFmtId="0" fontId="0" fillId="2" borderId="1" xfId="0" applyFill="1" applyBorder="1" applyAlignment="1" applyProtection="1">
      <alignment vertical="center" wrapText="1"/>
      <protection locked="0"/>
    </xf>
    <xf numFmtId="0" fontId="0" fillId="2" borderId="1" xfId="0" applyFill="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0" fontId="3" fillId="0" borderId="2" xfId="0" applyFont="1" applyBorder="1" applyAlignment="1">
      <alignment horizontal="center" vertical="center"/>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cellXfs>
  <cellStyles count="6">
    <cellStyle name="BodyStyle" xfId="3" xr:uid="{00000000-0005-0000-0000-000000000000}"/>
    <cellStyle name="Currency" xfId="2" xr:uid="{00000000-0005-0000-0000-000001000000}"/>
    <cellStyle name="HeaderStyle" xfId="4" xr:uid="{00000000-0005-0000-0000-000002000000}"/>
    <cellStyle name="Moneda" xfId="5" builtinId="4"/>
    <cellStyle name="Normal" xfId="0" builtinId="0"/>
    <cellStyle name="Normal 6" xfId="1" xr:uid="{00000000-0005-0000-0000-000004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Yineth Prada Gomez" id="{33EF9524-3347-45AE-B2A9-EA220535807F}" userId="S::ypgomez@sena.edu.co::3cb39601-feac-4457-89de-0a770e36ec5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4" dT="2022-03-31T21:11:47.63" personId="{33EF9524-3347-45AE-B2A9-EA220535807F}" id="{0A4BF6A4-BA70-4221-BAF3-614FA9EE846E}">
    <text>COTIZACION SERVICIOS AMBIENTALES</text>
  </threadedComment>
  <threadedComment ref="I4" dT="2022-03-31T21:16:52.13" personId="{33EF9524-3347-45AE-B2A9-EA220535807F}" id="{A6ABD81F-4815-4C6F-99C1-2611CBF04D7D}">
    <text>COTIZACION V&amp;A</text>
  </threadedComment>
  <threadedComment ref="H5" dT="2022-03-31T21:12:01.75" personId="{33EF9524-3347-45AE-B2A9-EA220535807F}" id="{9FCBA5B4-4385-45FC-832B-2987A64DA978}">
    <text>COTIZACION SERVICIOS AMBIENTALES</text>
  </threadedComment>
  <threadedComment ref="I5" dT="2022-03-31T21:16:57.97" personId="{33EF9524-3347-45AE-B2A9-EA220535807F}" id="{1C4741EA-2DEA-41AB-8B68-4DDBE3134C4F}">
    <text>COTIZACION V&amp;A</text>
  </threadedComment>
  <threadedComment ref="H6" dT="2022-03-31T21:12:07.85" personId="{33EF9524-3347-45AE-B2A9-EA220535807F}" id="{6D37D178-61C3-4B8A-B01C-C94E6C90A304}">
    <text>COTIZACION SERVICIOS AMBIENTALES</text>
  </threadedComment>
  <threadedComment ref="I6" dT="2022-03-31T21:17:02.56" personId="{33EF9524-3347-45AE-B2A9-EA220535807F}" id="{11BE572D-806E-4D73-9ACF-79ED42A1B434}">
    <text>COTIZACION V&amp;A</text>
  </threadedComment>
  <threadedComment ref="H7" dT="2022-03-31T21:12:12.68" personId="{33EF9524-3347-45AE-B2A9-EA220535807F}" id="{CFCAACF1-A74E-4D93-959C-BC9709B9BFAD}">
    <text>COTIZACION SERVICIOS AMBIENTALES</text>
  </threadedComment>
  <threadedComment ref="I7" dT="2022-03-31T21:17:08.82" personId="{33EF9524-3347-45AE-B2A9-EA220535807F}" id="{18EFEE5F-7DA6-4AEF-A020-E6EB116CB491}">
    <text>COTIZACION V&amp;A</text>
  </threadedComment>
  <threadedComment ref="H8" dT="2022-03-31T21:12:30.46" personId="{33EF9524-3347-45AE-B2A9-EA220535807F}" id="{958BFD84-F31C-4F39-9FA1-4D6AED996353}">
    <text>COTIZACION SERVICIOS AMBIENTALES</text>
  </threadedComment>
  <threadedComment ref="I8" dT="2022-03-31T21:17:13.95" personId="{33EF9524-3347-45AE-B2A9-EA220535807F}" id="{9C4AF6EF-2772-4D80-B40F-A525762786A4}">
    <text>COTIZACION V&amp;A</text>
  </threadedComment>
  <threadedComment ref="H9" dT="2022-03-31T21:12:35.27" personId="{33EF9524-3347-45AE-B2A9-EA220535807F}" id="{00476432-1005-439A-906D-8D16CBEAD753}">
    <text>COTIZACION SERVICIOS AMBIENTALES</text>
  </threadedComment>
  <threadedComment ref="I9" dT="2022-03-31T21:17:19.02" personId="{33EF9524-3347-45AE-B2A9-EA220535807F}" id="{3E1AE774-9C08-4349-9438-1FB2841E917A}">
    <text>COTIZACION V&amp;A</text>
  </threadedComment>
  <threadedComment ref="H10" dT="2022-03-31T21:12:41.06" personId="{33EF9524-3347-45AE-B2A9-EA220535807F}" id="{F40D5E3E-3F36-4C27-B9FE-543EB3621304}">
    <text>COTIZACION SERVICIOS AMBIENTALES</text>
  </threadedComment>
  <threadedComment ref="I10" dT="2022-03-31T21:17:27.85" personId="{33EF9524-3347-45AE-B2A9-EA220535807F}" id="{475F4361-E561-4E53-A9A3-2680688283BB}">
    <text>COTIZACION V&amp;A</text>
  </threadedComment>
  <threadedComment ref="H11" dT="2022-03-31T21:12:46.06" personId="{33EF9524-3347-45AE-B2A9-EA220535807F}" id="{2F093301-83C8-4895-9FBF-EBC6A0FFF94D}">
    <text>COTIZACION SERVICIOS AMBIENTALES</text>
  </threadedComment>
  <threadedComment ref="I11" dT="2022-03-31T21:17:32.83" personId="{33EF9524-3347-45AE-B2A9-EA220535807F}" id="{4F12E53E-A358-40B4-B3E0-E8B6A5E9F344}">
    <text>COTIZACION V&amp;A</text>
  </threadedComment>
  <threadedComment ref="H12" dT="2022-03-31T22:07:06.12" personId="{33EF9524-3347-45AE-B2A9-EA220535807F}" id="{5BF33DE8-6D3D-4C6A-9029-6CF26315A0F0}">
    <text>COTIZACION EL ARCA</text>
  </threadedComment>
  <threadedComment ref="I12" dT="2022-03-31T22:08:53.84" personId="{33EF9524-3347-45AE-B2A9-EA220535807F}" id="{6DB311B8-E6CD-4B11-90CB-C857761A8DCB}">
    <text>COTIZACION FERRETIPLEX</text>
  </threadedComment>
  <threadedComment ref="H13" dT="2022-03-31T22:07:23.52" personId="{33EF9524-3347-45AE-B2A9-EA220535807F}" id="{603CEF19-970A-40E2-B68A-C3EA18CC74CE}">
    <text>COTIZACION EL ARCA</text>
  </threadedComment>
  <threadedComment ref="I13" dT="2022-03-31T22:08:58.04" personId="{33EF9524-3347-45AE-B2A9-EA220535807F}" id="{B8D8E493-1F43-495D-9C7C-22D318FE239D}">
    <text>COTIZACION FERRETIPLEX</text>
  </threadedComment>
  <threadedComment ref="H14" dT="2022-03-31T22:07:28.58" personId="{33EF9524-3347-45AE-B2A9-EA220535807F}" id="{D1E5B99E-C084-4DCB-AB48-3C06CE4DF25E}">
    <text>COTIZACION EL ARCA</text>
  </threadedComment>
  <threadedComment ref="I14" dT="2022-03-31T22:09:02.03" personId="{33EF9524-3347-45AE-B2A9-EA220535807F}" id="{BDF1E0E4-4BF9-4C19-B80C-4029882830A6}">
    <text>COTIZACION FERRETIPLEX</text>
  </threadedComment>
  <threadedComment ref="H15" dT="2022-03-31T22:07:35.12" personId="{33EF9524-3347-45AE-B2A9-EA220535807F}" id="{7C9945A8-D843-4386-9E79-977C5AB9C317}">
    <text>COTIZACION EL ARCA</text>
  </threadedComment>
  <threadedComment ref="H15" dT="2022-03-31T22:08:07.27" personId="{33EF9524-3347-45AE-B2A9-EA220535807F}" id="{BCAC0110-B035-4220-8D0B-8AC2280F4DC0}" parentId="{7C9945A8-D843-4386-9E79-977C5AB9C317}">
    <text>COTIZACION EL ARCA</text>
  </threadedComment>
  <threadedComment ref="I15" dT="2022-03-31T22:09:08.84" personId="{33EF9524-3347-45AE-B2A9-EA220535807F}" id="{C9A4F6BD-0479-46C3-AC49-C070654DF943}">
    <text>COTIZACION FERRETIPLEX</text>
  </threadedComment>
  <threadedComment ref="H16" dT="2022-03-31T22:08:12.57" personId="{33EF9524-3347-45AE-B2A9-EA220535807F}" id="{31A9F6CA-BC98-4742-B3DF-1FC6FCD0FABA}">
    <text>COTIZACION EL ARCA</text>
  </threadedComment>
  <threadedComment ref="I16" dT="2022-03-31T22:09:14.20" personId="{33EF9524-3347-45AE-B2A9-EA220535807F}" id="{81C309D1-6DA3-4BDA-A4C5-FB06F8354F72}">
    <text>COTIZACION FERRETIPLEX</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5C8A5-F7B3-41A3-B97D-FB1341674464}">
  <dimension ref="A1:P61"/>
  <sheetViews>
    <sheetView tabSelected="1" zoomScale="89" zoomScaleNormal="89" zoomScaleSheetLayoutView="96" workbookViewId="0">
      <selection activeCell="K4" sqref="K4"/>
    </sheetView>
  </sheetViews>
  <sheetFormatPr baseColWidth="10" defaultColWidth="11.42578125" defaultRowHeight="15"/>
  <cols>
    <col min="1" max="1" width="6" style="16" customWidth="1"/>
    <col min="2" max="2" width="14.140625" style="16" customWidth="1"/>
    <col min="3" max="3" width="19.7109375" style="12" customWidth="1"/>
    <col min="4" max="4" width="21.5703125" style="17" customWidth="1"/>
    <col min="5" max="5" width="51.42578125" style="18" customWidth="1"/>
    <col min="6" max="6" width="8.85546875" style="19" customWidth="1"/>
    <col min="7" max="7" width="14.7109375" style="19" customWidth="1"/>
    <col min="8" max="8" width="18.7109375" style="19" customWidth="1"/>
    <col min="9" max="9" width="16.7109375" style="19" customWidth="1"/>
    <col min="10" max="11" width="17.28515625" style="19" customWidth="1"/>
    <col min="12" max="13" width="44.5703125" style="16" hidden="1" customWidth="1"/>
    <col min="14" max="14" width="17.7109375" style="16" bestFit="1" customWidth="1"/>
    <col min="15" max="15" width="21.28515625" style="29" customWidth="1"/>
    <col min="16" max="16" width="16.7109375" style="16" bestFit="1" customWidth="1"/>
    <col min="17" max="19" width="11.42578125" style="16"/>
    <col min="20" max="20" width="5.7109375" style="16" customWidth="1"/>
    <col min="21" max="16384" width="11.42578125" style="16"/>
  </cols>
  <sheetData>
    <row r="1" spans="1:16" s="7" customFormat="1" ht="15.75">
      <c r="A1" s="189" t="s">
        <v>17</v>
      </c>
      <c r="B1" s="189"/>
      <c r="C1" s="189"/>
      <c r="D1" s="189"/>
      <c r="E1" s="189"/>
      <c r="F1" s="189"/>
      <c r="G1" s="189"/>
      <c r="H1" s="189"/>
      <c r="O1" s="27"/>
    </row>
    <row r="2" spans="1:16" s="7" customFormat="1">
      <c r="A2" s="5"/>
      <c r="B2" s="5"/>
      <c r="C2" s="10"/>
      <c r="D2" s="2"/>
      <c r="E2" s="9"/>
      <c r="F2" s="1"/>
      <c r="G2" s="1"/>
      <c r="H2" s="53" t="s">
        <v>8</v>
      </c>
      <c r="I2" s="54" t="s">
        <v>9</v>
      </c>
      <c r="J2" s="190" t="s">
        <v>12</v>
      </c>
      <c r="K2" s="190" t="s">
        <v>221</v>
      </c>
      <c r="L2" s="38"/>
      <c r="M2" s="38"/>
      <c r="N2" s="5"/>
      <c r="O2" s="27"/>
    </row>
    <row r="3" spans="1:16" s="6" customFormat="1" ht="31.5">
      <c r="A3" s="168" t="s">
        <v>4</v>
      </c>
      <c r="B3" s="8" t="s">
        <v>0</v>
      </c>
      <c r="C3" s="169" t="s">
        <v>5</v>
      </c>
      <c r="D3" s="8" t="s">
        <v>6</v>
      </c>
      <c r="E3" s="8" t="s">
        <v>7</v>
      </c>
      <c r="F3" s="8" t="s">
        <v>1</v>
      </c>
      <c r="G3" s="8" t="s">
        <v>3</v>
      </c>
      <c r="H3" s="14" t="s">
        <v>11</v>
      </c>
      <c r="I3" s="15" t="s">
        <v>11</v>
      </c>
      <c r="J3" s="190"/>
      <c r="K3" s="190"/>
      <c r="L3" s="38"/>
      <c r="M3" s="38"/>
      <c r="N3" s="39" t="s">
        <v>174</v>
      </c>
      <c r="O3" s="28"/>
    </row>
    <row r="4" spans="1:16" s="7" customFormat="1" ht="168" customHeight="1">
      <c r="A4" s="20">
        <v>1</v>
      </c>
      <c r="B4" s="20">
        <v>30121702</v>
      </c>
      <c r="C4" s="21" t="s">
        <v>19</v>
      </c>
      <c r="D4" s="21" t="s">
        <v>20</v>
      </c>
      <c r="E4" s="21" t="s">
        <v>184</v>
      </c>
      <c r="F4" s="21">
        <v>6</v>
      </c>
      <c r="G4" s="21" t="s">
        <v>21</v>
      </c>
      <c r="H4" s="151">
        <v>80000</v>
      </c>
      <c r="I4" s="151">
        <v>76000</v>
      </c>
      <c r="J4" s="151">
        <f>(H4+I4)/2</f>
        <v>78000</v>
      </c>
      <c r="K4" s="151">
        <f>J4*F4</f>
        <v>468000</v>
      </c>
      <c r="L4" s="60"/>
      <c r="M4" s="60"/>
      <c r="N4" s="56" t="s">
        <v>22</v>
      </c>
      <c r="O4" s="27">
        <v>546000</v>
      </c>
      <c r="P4" s="166">
        <f>O4-K4</f>
        <v>78000</v>
      </c>
    </row>
    <row r="5" spans="1:16" s="7" customFormat="1" ht="150">
      <c r="A5" s="20">
        <v>2</v>
      </c>
      <c r="B5" s="20">
        <v>10171506</v>
      </c>
      <c r="C5" s="21" t="s">
        <v>23</v>
      </c>
      <c r="D5" s="21" t="s">
        <v>24</v>
      </c>
      <c r="E5" s="21" t="s">
        <v>25</v>
      </c>
      <c r="F5" s="23">
        <v>10</v>
      </c>
      <c r="G5" s="21" t="s">
        <v>26</v>
      </c>
      <c r="H5" s="151">
        <v>13000</v>
      </c>
      <c r="I5" s="151">
        <v>17000</v>
      </c>
      <c r="J5" s="151">
        <f t="shared" ref="J5:J15" si="0">(H5+I5)/2</f>
        <v>15000</v>
      </c>
      <c r="K5" s="151">
        <f t="shared" ref="K5:K16" si="1">J5*F5</f>
        <v>150000</v>
      </c>
      <c r="L5" s="60"/>
      <c r="M5" s="60"/>
      <c r="N5" s="56" t="s">
        <v>22</v>
      </c>
      <c r="O5" s="27">
        <v>150000</v>
      </c>
      <c r="P5" s="166">
        <f t="shared" ref="P5:P61" si="2">O5-K5</f>
        <v>0</v>
      </c>
    </row>
    <row r="6" spans="1:16" s="7" customFormat="1" ht="152.25" customHeight="1">
      <c r="A6" s="20">
        <v>3</v>
      </c>
      <c r="B6" s="20">
        <v>15101603</v>
      </c>
      <c r="C6" s="21" t="s">
        <v>27</v>
      </c>
      <c r="D6" s="21" t="s">
        <v>28</v>
      </c>
      <c r="E6" s="21" t="s">
        <v>29</v>
      </c>
      <c r="F6" s="23">
        <v>14</v>
      </c>
      <c r="G6" s="21" t="s">
        <v>26</v>
      </c>
      <c r="H6" s="151">
        <v>17000</v>
      </c>
      <c r="I6" s="151">
        <v>13000</v>
      </c>
      <c r="J6" s="151">
        <f t="shared" si="0"/>
        <v>15000</v>
      </c>
      <c r="K6" s="151">
        <f t="shared" si="1"/>
        <v>210000</v>
      </c>
      <c r="L6" s="60"/>
      <c r="M6" s="60"/>
      <c r="N6" s="56" t="s">
        <v>22</v>
      </c>
      <c r="O6" s="27">
        <v>210000</v>
      </c>
      <c r="P6" s="166">
        <f t="shared" si="2"/>
        <v>0</v>
      </c>
    </row>
    <row r="7" spans="1:16" s="7" customFormat="1" ht="30">
      <c r="A7" s="20">
        <v>4</v>
      </c>
      <c r="B7" s="20">
        <v>31162004</v>
      </c>
      <c r="C7" s="21" t="s">
        <v>30</v>
      </c>
      <c r="D7" s="21" t="s">
        <v>31</v>
      </c>
      <c r="E7" s="21" t="s">
        <v>32</v>
      </c>
      <c r="F7" s="21">
        <v>5</v>
      </c>
      <c r="G7" s="21" t="s">
        <v>26</v>
      </c>
      <c r="H7" s="151">
        <v>8000</v>
      </c>
      <c r="I7" s="151">
        <v>12000</v>
      </c>
      <c r="J7" s="151">
        <f t="shared" si="0"/>
        <v>10000</v>
      </c>
      <c r="K7" s="151">
        <f t="shared" si="1"/>
        <v>50000</v>
      </c>
      <c r="L7" s="59"/>
      <c r="M7" s="59"/>
      <c r="N7" s="56" t="s">
        <v>22</v>
      </c>
      <c r="O7" s="27">
        <v>50000</v>
      </c>
      <c r="P7" s="166">
        <f t="shared" si="2"/>
        <v>0</v>
      </c>
    </row>
    <row r="8" spans="1:16" s="7" customFormat="1" ht="90" customHeight="1">
      <c r="A8" s="20">
        <v>5</v>
      </c>
      <c r="B8" s="20">
        <v>27112029</v>
      </c>
      <c r="C8" s="21" t="s">
        <v>33</v>
      </c>
      <c r="D8" s="21" t="s">
        <v>34</v>
      </c>
      <c r="E8" s="21" t="s">
        <v>35</v>
      </c>
      <c r="F8" s="24">
        <v>4</v>
      </c>
      <c r="G8" s="21" t="s">
        <v>21</v>
      </c>
      <c r="H8" s="151">
        <v>13000</v>
      </c>
      <c r="I8" s="151">
        <v>7000</v>
      </c>
      <c r="J8" s="151">
        <f t="shared" si="0"/>
        <v>10000</v>
      </c>
      <c r="K8" s="151">
        <f t="shared" si="1"/>
        <v>40000</v>
      </c>
      <c r="L8" s="63"/>
      <c r="M8" s="63"/>
      <c r="N8" s="56" t="s">
        <v>22</v>
      </c>
      <c r="O8" s="27">
        <v>40000</v>
      </c>
      <c r="P8" s="166">
        <f t="shared" si="2"/>
        <v>0</v>
      </c>
    </row>
    <row r="9" spans="1:16" s="7" customFormat="1" ht="111.75" customHeight="1">
      <c r="A9" s="20">
        <v>6</v>
      </c>
      <c r="B9" s="20">
        <v>24121802</v>
      </c>
      <c r="C9" s="21" t="s">
        <v>36</v>
      </c>
      <c r="D9" s="21" t="s">
        <v>37</v>
      </c>
      <c r="E9" s="21" t="s">
        <v>38</v>
      </c>
      <c r="F9" s="24">
        <v>3</v>
      </c>
      <c r="G9" s="21" t="s">
        <v>39</v>
      </c>
      <c r="H9" s="151">
        <v>50000</v>
      </c>
      <c r="I9" s="151">
        <v>40000</v>
      </c>
      <c r="J9" s="151">
        <f t="shared" si="0"/>
        <v>45000</v>
      </c>
      <c r="K9" s="151">
        <f t="shared" si="1"/>
        <v>135000</v>
      </c>
      <c r="L9" s="59"/>
      <c r="M9" s="59"/>
      <c r="N9" s="56" t="s">
        <v>22</v>
      </c>
      <c r="O9" s="27">
        <v>135000</v>
      </c>
      <c r="P9" s="166">
        <f t="shared" si="2"/>
        <v>0</v>
      </c>
    </row>
    <row r="10" spans="1:16" s="7" customFormat="1" ht="60.75" customHeight="1">
      <c r="A10" s="20">
        <v>7</v>
      </c>
      <c r="B10" s="20">
        <v>24121801</v>
      </c>
      <c r="C10" s="21" t="s">
        <v>167</v>
      </c>
      <c r="D10" s="20" t="s">
        <v>168</v>
      </c>
      <c r="E10" s="21" t="s">
        <v>187</v>
      </c>
      <c r="F10" s="24">
        <v>3</v>
      </c>
      <c r="G10" s="21" t="s">
        <v>21</v>
      </c>
      <c r="H10" s="151">
        <v>18000</v>
      </c>
      <c r="I10" s="151">
        <v>22000</v>
      </c>
      <c r="J10" s="151">
        <f t="shared" si="0"/>
        <v>20000</v>
      </c>
      <c r="K10" s="151">
        <f t="shared" si="1"/>
        <v>60000</v>
      </c>
      <c r="L10" s="59"/>
      <c r="M10" s="59"/>
      <c r="N10" s="56" t="s">
        <v>22</v>
      </c>
      <c r="O10" s="27">
        <v>60000</v>
      </c>
      <c r="P10" s="166">
        <f t="shared" si="2"/>
        <v>0</v>
      </c>
    </row>
    <row r="11" spans="1:16" s="7" customFormat="1" ht="83.25" customHeight="1">
      <c r="A11" s="20">
        <v>8</v>
      </c>
      <c r="B11" s="20">
        <v>31211906</v>
      </c>
      <c r="C11" s="21" t="s">
        <v>169</v>
      </c>
      <c r="D11" s="21" t="s">
        <v>170</v>
      </c>
      <c r="E11" s="21" t="s">
        <v>188</v>
      </c>
      <c r="F11" s="24">
        <v>3</v>
      </c>
      <c r="G11" s="21" t="s">
        <v>21</v>
      </c>
      <c r="H11" s="151">
        <v>12000</v>
      </c>
      <c r="I11" s="151">
        <v>18000</v>
      </c>
      <c r="J11" s="151">
        <f t="shared" si="0"/>
        <v>15000</v>
      </c>
      <c r="K11" s="151">
        <f t="shared" si="1"/>
        <v>45000</v>
      </c>
      <c r="L11" s="59"/>
      <c r="M11" s="59"/>
      <c r="N11" s="56" t="s">
        <v>22</v>
      </c>
      <c r="O11" s="27">
        <v>45000</v>
      </c>
      <c r="P11" s="166">
        <f t="shared" si="2"/>
        <v>0</v>
      </c>
    </row>
    <row r="12" spans="1:16" s="7" customFormat="1" ht="198" customHeight="1">
      <c r="A12" s="20">
        <v>9</v>
      </c>
      <c r="B12" s="170">
        <v>11122005</v>
      </c>
      <c r="C12" s="21" t="s">
        <v>40</v>
      </c>
      <c r="D12" s="21" t="s">
        <v>41</v>
      </c>
      <c r="E12" s="23" t="s">
        <v>222</v>
      </c>
      <c r="F12" s="21">
        <v>11</v>
      </c>
      <c r="G12" s="21" t="s">
        <v>42</v>
      </c>
      <c r="H12" s="155">
        <v>195000</v>
      </c>
      <c r="I12" s="156">
        <f>(168067.23+50420.17)*1.19</f>
        <v>260000.00600000002</v>
      </c>
      <c r="J12" s="155">
        <f t="shared" si="0"/>
        <v>227500.00300000003</v>
      </c>
      <c r="K12" s="155">
        <f t="shared" si="1"/>
        <v>2502500.0330000003</v>
      </c>
      <c r="L12" s="163"/>
      <c r="M12" s="154"/>
      <c r="N12" s="152" t="s">
        <v>43</v>
      </c>
      <c r="O12" s="157">
        <v>2502500.0329999998</v>
      </c>
      <c r="P12" s="166">
        <f t="shared" si="2"/>
        <v>0</v>
      </c>
    </row>
    <row r="13" spans="1:16" s="7" customFormat="1" ht="45">
      <c r="A13" s="20">
        <v>10</v>
      </c>
      <c r="B13" s="22">
        <v>56101711</v>
      </c>
      <c r="C13" s="25" t="s">
        <v>44</v>
      </c>
      <c r="D13" s="23" t="s">
        <v>45</v>
      </c>
      <c r="E13" s="23" t="s">
        <v>46</v>
      </c>
      <c r="F13" s="23">
        <v>50</v>
      </c>
      <c r="G13" s="22" t="s">
        <v>47</v>
      </c>
      <c r="H13" s="155">
        <v>8500</v>
      </c>
      <c r="I13" s="155">
        <f>(7563.03*1.19)</f>
        <v>9000.0056999999997</v>
      </c>
      <c r="J13" s="155">
        <f t="shared" si="0"/>
        <v>8750.0028500000008</v>
      </c>
      <c r="K13" s="155">
        <f t="shared" si="1"/>
        <v>437500.14250000002</v>
      </c>
      <c r="L13" s="163"/>
      <c r="M13" s="154"/>
      <c r="N13" s="152" t="s">
        <v>43</v>
      </c>
      <c r="O13" s="27">
        <v>437500</v>
      </c>
      <c r="P13" s="166">
        <f t="shared" si="2"/>
        <v>-0.14250000001629815</v>
      </c>
    </row>
    <row r="14" spans="1:16" s="7" customFormat="1" ht="219.75" customHeight="1">
      <c r="A14" s="20">
        <v>11</v>
      </c>
      <c r="B14" s="22">
        <v>23153401</v>
      </c>
      <c r="C14" s="25" t="s">
        <v>48</v>
      </c>
      <c r="D14" s="23" t="s">
        <v>49</v>
      </c>
      <c r="E14" s="23" t="s">
        <v>190</v>
      </c>
      <c r="F14" s="23">
        <v>1</v>
      </c>
      <c r="G14" s="22" t="s">
        <v>50</v>
      </c>
      <c r="H14" s="155">
        <v>52600</v>
      </c>
      <c r="I14" s="155">
        <f>(42016.81*1.19)</f>
        <v>50000.003899999996</v>
      </c>
      <c r="J14" s="155">
        <f t="shared" si="0"/>
        <v>51300.001949999998</v>
      </c>
      <c r="K14" s="155">
        <f t="shared" si="1"/>
        <v>51300.001949999998</v>
      </c>
      <c r="L14" s="153"/>
      <c r="M14" s="153"/>
      <c r="N14" s="152" t="s">
        <v>43</v>
      </c>
      <c r="O14" s="27">
        <v>51300</v>
      </c>
      <c r="P14" s="166">
        <f t="shared" si="2"/>
        <v>-1.9499999980325811E-3</v>
      </c>
    </row>
    <row r="15" spans="1:16" s="7" customFormat="1" ht="97.5" customHeight="1">
      <c r="A15" s="20">
        <v>12</v>
      </c>
      <c r="B15" s="21">
        <v>31161509</v>
      </c>
      <c r="C15" s="21" t="s">
        <v>191</v>
      </c>
      <c r="D15" s="21" t="s">
        <v>51</v>
      </c>
      <c r="E15" s="21" t="s">
        <v>52</v>
      </c>
      <c r="F15" s="21">
        <v>2000</v>
      </c>
      <c r="G15" s="21" t="s">
        <v>53</v>
      </c>
      <c r="H15" s="155">
        <v>50</v>
      </c>
      <c r="I15" s="155">
        <f>37.82*1.19</f>
        <v>45.005800000000001</v>
      </c>
      <c r="J15" s="155">
        <f t="shared" si="0"/>
        <v>47.502899999999997</v>
      </c>
      <c r="K15" s="155">
        <f t="shared" si="1"/>
        <v>95005.799999999988</v>
      </c>
      <c r="L15" s="154"/>
      <c r="M15" s="154"/>
      <c r="N15" s="152" t="s">
        <v>43</v>
      </c>
      <c r="O15" s="27">
        <v>95000</v>
      </c>
      <c r="P15" s="166">
        <f t="shared" si="2"/>
        <v>-5.7999999999883585</v>
      </c>
    </row>
    <row r="16" spans="1:16" s="7" customFormat="1" ht="69.75" customHeight="1">
      <c r="A16" s="20">
        <v>13</v>
      </c>
      <c r="B16" s="21">
        <v>31161509</v>
      </c>
      <c r="C16" s="21" t="s">
        <v>191</v>
      </c>
      <c r="D16" s="21" t="s">
        <v>54</v>
      </c>
      <c r="E16" s="21" t="s">
        <v>52</v>
      </c>
      <c r="F16" s="24">
        <v>1000</v>
      </c>
      <c r="G16" s="21" t="s">
        <v>53</v>
      </c>
      <c r="H16" s="155">
        <v>25</v>
      </c>
      <c r="I16" s="155">
        <f>21.01*1.19</f>
        <v>25.001899999999999</v>
      </c>
      <c r="J16" s="155">
        <f>(H16+I16)/2</f>
        <v>25.00095</v>
      </c>
      <c r="K16" s="155">
        <f t="shared" si="1"/>
        <v>25000.95</v>
      </c>
      <c r="L16" s="154"/>
      <c r="M16" s="154"/>
      <c r="N16" s="152" t="s">
        <v>43</v>
      </c>
      <c r="O16" s="27">
        <v>25000</v>
      </c>
      <c r="P16" s="166">
        <f t="shared" si="2"/>
        <v>-0.9500000000007276</v>
      </c>
    </row>
    <row r="17" spans="1:16" s="7" customFormat="1" ht="75">
      <c r="A17" s="20">
        <v>14</v>
      </c>
      <c r="B17" s="21">
        <v>30161510</v>
      </c>
      <c r="C17" s="21" t="s">
        <v>160</v>
      </c>
      <c r="D17" s="21" t="s">
        <v>55</v>
      </c>
      <c r="E17" s="21" t="s">
        <v>223</v>
      </c>
      <c r="F17" s="21">
        <v>4</v>
      </c>
      <c r="G17" s="20" t="s">
        <v>56</v>
      </c>
      <c r="H17" s="158">
        <f>(41592*19%)+41592</f>
        <v>49494.48</v>
      </c>
      <c r="I17" s="159">
        <f>(48900*19%)+48900</f>
        <v>58191</v>
      </c>
      <c r="J17" s="155">
        <f>(H17+I17)/2</f>
        <v>53842.740000000005</v>
      </c>
      <c r="K17" s="155">
        <f t="shared" ref="K17:K18" si="3">J17*F17</f>
        <v>215370.96000000002</v>
      </c>
      <c r="L17" s="163"/>
      <c r="M17" s="160"/>
      <c r="N17" s="152" t="s">
        <v>57</v>
      </c>
      <c r="O17" s="27">
        <v>215370.96000000002</v>
      </c>
      <c r="P17" s="166">
        <f t="shared" si="2"/>
        <v>0</v>
      </c>
    </row>
    <row r="18" spans="1:16" s="7" customFormat="1" ht="75" customHeight="1">
      <c r="A18" s="20">
        <v>15</v>
      </c>
      <c r="B18" s="21">
        <v>11111601</v>
      </c>
      <c r="C18" s="21" t="s">
        <v>161</v>
      </c>
      <c r="D18" s="21" t="s">
        <v>58</v>
      </c>
      <c r="E18" s="21" t="s">
        <v>59</v>
      </c>
      <c r="F18" s="21">
        <v>4</v>
      </c>
      <c r="G18" s="20" t="s">
        <v>62</v>
      </c>
      <c r="H18" s="40">
        <f>(3782*19%)+3782</f>
        <v>4500.58</v>
      </c>
      <c r="I18" s="32">
        <f>(28000*19%)+28000</f>
        <v>33320</v>
      </c>
      <c r="J18" s="164">
        <f>(H18+I18)/2</f>
        <v>18910.29</v>
      </c>
      <c r="K18" s="164">
        <f t="shared" si="3"/>
        <v>75641.16</v>
      </c>
      <c r="L18" s="49"/>
      <c r="M18" s="49"/>
      <c r="N18" s="5" t="s">
        <v>57</v>
      </c>
      <c r="O18" s="27">
        <v>75641.16</v>
      </c>
      <c r="P18" s="166">
        <f t="shared" si="2"/>
        <v>0</v>
      </c>
    </row>
    <row r="19" spans="1:16" s="7" customFormat="1" ht="60">
      <c r="A19" s="20">
        <v>16</v>
      </c>
      <c r="B19" s="21">
        <v>11111601</v>
      </c>
      <c r="C19" s="21" t="s">
        <v>161</v>
      </c>
      <c r="D19" s="21" t="s">
        <v>60</v>
      </c>
      <c r="E19" s="21" t="s">
        <v>61</v>
      </c>
      <c r="F19" s="21">
        <v>6</v>
      </c>
      <c r="G19" s="20" t="s">
        <v>62</v>
      </c>
      <c r="H19" s="40">
        <f>(21689*19%)+21689</f>
        <v>25809.91</v>
      </c>
      <c r="I19" s="32">
        <f>(37000*19%)+37000</f>
        <v>44030</v>
      </c>
      <c r="J19" s="164">
        <f t="shared" ref="J19:J58" si="4">(H19+I19)/2</f>
        <v>34919.955000000002</v>
      </c>
      <c r="K19" s="164">
        <f t="shared" ref="K19:K58" si="5">J19*F19</f>
        <v>209519.73</v>
      </c>
      <c r="L19" s="13"/>
      <c r="M19" s="13"/>
      <c r="N19" s="5" t="s">
        <v>57</v>
      </c>
      <c r="O19" s="27">
        <v>209519.72999999998</v>
      </c>
      <c r="P19" s="166">
        <f t="shared" si="2"/>
        <v>0</v>
      </c>
    </row>
    <row r="20" spans="1:16" s="7" customFormat="1" ht="30">
      <c r="A20" s="20">
        <v>17</v>
      </c>
      <c r="B20" s="21">
        <v>31211502</v>
      </c>
      <c r="C20" s="21" t="s">
        <v>162</v>
      </c>
      <c r="D20" s="21" t="s">
        <v>63</v>
      </c>
      <c r="E20" s="21" t="s">
        <v>64</v>
      </c>
      <c r="F20" s="21">
        <v>2</v>
      </c>
      <c r="G20" s="20" t="s">
        <v>56</v>
      </c>
      <c r="H20" s="40">
        <f>(345294*19%)+345294</f>
        <v>410899.86</v>
      </c>
      <c r="I20" s="32">
        <f>(525000*19%)+525000</f>
        <v>624750</v>
      </c>
      <c r="J20" s="164">
        <f t="shared" si="4"/>
        <v>517824.93</v>
      </c>
      <c r="K20" s="164">
        <f t="shared" si="5"/>
        <v>1035649.86</v>
      </c>
      <c r="L20" s="163"/>
      <c r="M20" s="161"/>
      <c r="N20" s="5" t="s">
        <v>57</v>
      </c>
      <c r="O20" s="27">
        <v>1035649.86</v>
      </c>
      <c r="P20" s="166">
        <f t="shared" si="2"/>
        <v>0</v>
      </c>
    </row>
    <row r="21" spans="1:16" s="7" customFormat="1" ht="65.25" customHeight="1">
      <c r="A21" s="20">
        <v>18</v>
      </c>
      <c r="B21" s="21">
        <v>31211502</v>
      </c>
      <c r="C21" s="21" t="s">
        <v>162</v>
      </c>
      <c r="D21" s="21" t="s">
        <v>65</v>
      </c>
      <c r="E21" s="21" t="s">
        <v>196</v>
      </c>
      <c r="F21" s="21">
        <v>5</v>
      </c>
      <c r="G21" s="20" t="s">
        <v>39</v>
      </c>
      <c r="H21" s="40">
        <f>(75549*19%)+75549</f>
        <v>89903.31</v>
      </c>
      <c r="I21" s="32">
        <f>(77900*19%)+77900</f>
        <v>92701</v>
      </c>
      <c r="J21" s="164">
        <f t="shared" si="4"/>
        <v>91302.154999999999</v>
      </c>
      <c r="K21" s="164">
        <f t="shared" si="5"/>
        <v>456510.77500000002</v>
      </c>
      <c r="L21" s="13"/>
      <c r="M21" s="161"/>
      <c r="N21" s="5" t="s">
        <v>57</v>
      </c>
      <c r="O21" s="27">
        <v>456510.77500000002</v>
      </c>
      <c r="P21" s="166">
        <f t="shared" si="2"/>
        <v>0</v>
      </c>
    </row>
    <row r="22" spans="1:16" s="7" customFormat="1" ht="120" customHeight="1">
      <c r="A22" s="20">
        <v>19</v>
      </c>
      <c r="B22" s="20">
        <v>30161706</v>
      </c>
      <c r="C22" s="21" t="s">
        <v>163</v>
      </c>
      <c r="D22" s="21" t="s">
        <v>66</v>
      </c>
      <c r="E22" s="21" t="s">
        <v>175</v>
      </c>
      <c r="F22" s="20">
        <v>4</v>
      </c>
      <c r="G22" s="20" t="s">
        <v>176</v>
      </c>
      <c r="H22" s="40">
        <f>(39459*19%)+39459</f>
        <v>46956.21</v>
      </c>
      <c r="I22" s="41">
        <v>36900</v>
      </c>
      <c r="J22" s="164">
        <f t="shared" si="4"/>
        <v>41928.104999999996</v>
      </c>
      <c r="K22" s="164">
        <f t="shared" si="5"/>
        <v>167712.41999999998</v>
      </c>
      <c r="L22" s="49"/>
      <c r="M22" s="49"/>
      <c r="N22" s="5" t="s">
        <v>57</v>
      </c>
      <c r="O22" s="27">
        <v>167712.41999999998</v>
      </c>
      <c r="P22" s="166">
        <f t="shared" si="2"/>
        <v>0</v>
      </c>
    </row>
    <row r="23" spans="1:16" s="7" customFormat="1">
      <c r="A23" s="20">
        <v>20</v>
      </c>
      <c r="B23" s="21">
        <v>11111601</v>
      </c>
      <c r="C23" s="21" t="s">
        <v>161</v>
      </c>
      <c r="D23" s="21" t="s">
        <v>67</v>
      </c>
      <c r="E23" s="20" t="s">
        <v>68</v>
      </c>
      <c r="F23" s="20">
        <v>10</v>
      </c>
      <c r="G23" s="20" t="s">
        <v>69</v>
      </c>
      <c r="H23" s="45">
        <v>23100</v>
      </c>
      <c r="I23" s="46">
        <f>(62800*19%)+62800</f>
        <v>74732</v>
      </c>
      <c r="J23" s="164">
        <f t="shared" si="4"/>
        <v>48916</v>
      </c>
      <c r="K23" s="164">
        <f t="shared" si="5"/>
        <v>489160</v>
      </c>
      <c r="L23" s="49"/>
      <c r="M23" s="49"/>
      <c r="N23" s="5" t="s">
        <v>57</v>
      </c>
      <c r="O23" s="27">
        <v>489160</v>
      </c>
      <c r="P23" s="166">
        <f t="shared" si="2"/>
        <v>0</v>
      </c>
    </row>
    <row r="24" spans="1:16" s="7" customFormat="1" ht="45">
      <c r="A24" s="20">
        <v>21</v>
      </c>
      <c r="B24" s="21">
        <v>31162103</v>
      </c>
      <c r="C24" s="21" t="s">
        <v>164</v>
      </c>
      <c r="D24" s="21" t="s">
        <v>70</v>
      </c>
      <c r="E24" s="23" t="s">
        <v>71</v>
      </c>
      <c r="F24" s="23">
        <v>25</v>
      </c>
      <c r="G24" s="20" t="s">
        <v>69</v>
      </c>
      <c r="H24" s="40">
        <f>(4959*19%)+4959</f>
        <v>5901.21</v>
      </c>
      <c r="I24" s="32">
        <f>(10000*19%)+10000</f>
        <v>11900</v>
      </c>
      <c r="J24" s="164">
        <f t="shared" si="4"/>
        <v>8900.6049999999996</v>
      </c>
      <c r="K24" s="164">
        <f t="shared" si="5"/>
        <v>222515.125</v>
      </c>
      <c r="L24" s="163"/>
      <c r="M24" s="49"/>
      <c r="N24" s="5" t="s">
        <v>57</v>
      </c>
      <c r="O24" s="27">
        <v>222515.125</v>
      </c>
      <c r="P24" s="166">
        <f t="shared" si="2"/>
        <v>0</v>
      </c>
    </row>
    <row r="25" spans="1:16" s="7" customFormat="1" ht="45">
      <c r="A25" s="20">
        <v>22</v>
      </c>
      <c r="B25" s="21">
        <v>31162103</v>
      </c>
      <c r="C25" s="21" t="s">
        <v>164</v>
      </c>
      <c r="D25" s="21" t="s">
        <v>72</v>
      </c>
      <c r="E25" s="21" t="s">
        <v>73</v>
      </c>
      <c r="F25" s="21">
        <v>19</v>
      </c>
      <c r="G25" s="21" t="s">
        <v>69</v>
      </c>
      <c r="H25" s="40">
        <f>(4949*19%)+4949</f>
        <v>5889.31</v>
      </c>
      <c r="I25" s="32">
        <f>(5600*19%)+5600</f>
        <v>6664</v>
      </c>
      <c r="J25" s="164">
        <f t="shared" si="4"/>
        <v>6276.6550000000007</v>
      </c>
      <c r="K25" s="164">
        <f t="shared" si="5"/>
        <v>119256.44500000001</v>
      </c>
      <c r="L25" s="163"/>
      <c r="M25" s="49"/>
      <c r="N25" s="5" t="s">
        <v>57</v>
      </c>
      <c r="O25" s="27">
        <v>119256.44500000001</v>
      </c>
      <c r="P25" s="166">
        <f t="shared" si="2"/>
        <v>0</v>
      </c>
    </row>
    <row r="26" spans="1:16" s="7" customFormat="1" ht="45">
      <c r="A26" s="20">
        <v>23</v>
      </c>
      <c r="B26" s="21">
        <v>23153401</v>
      </c>
      <c r="C26" s="21" t="s">
        <v>48</v>
      </c>
      <c r="D26" s="21" t="s">
        <v>74</v>
      </c>
      <c r="E26" s="21" t="s">
        <v>75</v>
      </c>
      <c r="F26" s="21">
        <v>7</v>
      </c>
      <c r="G26" s="21" t="s">
        <v>62</v>
      </c>
      <c r="H26" s="40">
        <f>(26304*19%)+26304</f>
        <v>31301.760000000002</v>
      </c>
      <c r="I26" s="32">
        <f>(26700*19%)+26700</f>
        <v>31773</v>
      </c>
      <c r="J26" s="164">
        <f t="shared" si="4"/>
        <v>31537.38</v>
      </c>
      <c r="K26" s="164">
        <f t="shared" si="5"/>
        <v>220761.66</v>
      </c>
      <c r="L26" s="32"/>
      <c r="M26" s="13"/>
      <c r="N26" s="5" t="s">
        <v>57</v>
      </c>
      <c r="O26" s="27">
        <v>220761.66</v>
      </c>
      <c r="P26" s="166">
        <f t="shared" si="2"/>
        <v>0</v>
      </c>
    </row>
    <row r="27" spans="1:16" s="7" customFormat="1" ht="45">
      <c r="A27" s="20">
        <v>24</v>
      </c>
      <c r="B27" s="21">
        <v>31162103</v>
      </c>
      <c r="C27" s="21" t="s">
        <v>164</v>
      </c>
      <c r="D27" s="21" t="s">
        <v>72</v>
      </c>
      <c r="E27" s="21" t="s">
        <v>76</v>
      </c>
      <c r="F27" s="21">
        <v>2</v>
      </c>
      <c r="G27" s="21" t="s">
        <v>69</v>
      </c>
      <c r="H27" s="40">
        <f>(3782*19%)+3782</f>
        <v>4500.58</v>
      </c>
      <c r="I27" s="32">
        <f>(11500*19%)+11500</f>
        <v>13685</v>
      </c>
      <c r="J27" s="164">
        <f t="shared" si="4"/>
        <v>9092.7900000000009</v>
      </c>
      <c r="K27" s="164">
        <f t="shared" si="5"/>
        <v>18185.580000000002</v>
      </c>
      <c r="L27" s="49"/>
      <c r="M27" s="49"/>
      <c r="N27" s="5" t="s">
        <v>57</v>
      </c>
      <c r="O27" s="27">
        <v>18185.580000000002</v>
      </c>
      <c r="P27" s="166">
        <f t="shared" si="2"/>
        <v>0</v>
      </c>
    </row>
    <row r="28" spans="1:16" s="7" customFormat="1" ht="165">
      <c r="A28" s="20">
        <v>25</v>
      </c>
      <c r="B28" s="171">
        <v>39121032</v>
      </c>
      <c r="C28" s="172" t="s">
        <v>77</v>
      </c>
      <c r="D28" s="172" t="s">
        <v>78</v>
      </c>
      <c r="E28" s="172" t="s">
        <v>79</v>
      </c>
      <c r="F28" s="172">
        <v>1</v>
      </c>
      <c r="G28" s="171" t="s">
        <v>21</v>
      </c>
      <c r="H28" s="32">
        <f>(187495.4*19%)+187495.4</f>
        <v>223119.52599999998</v>
      </c>
      <c r="I28" s="33">
        <v>272000</v>
      </c>
      <c r="J28" s="164">
        <f t="shared" si="4"/>
        <v>247559.76299999998</v>
      </c>
      <c r="K28" s="164">
        <f t="shared" si="5"/>
        <v>247559.76299999998</v>
      </c>
      <c r="L28" s="49"/>
      <c r="M28" s="49"/>
      <c r="N28" s="30" t="s">
        <v>80</v>
      </c>
      <c r="O28" s="27">
        <v>247559.76299999998</v>
      </c>
      <c r="P28" s="166">
        <f t="shared" si="2"/>
        <v>0</v>
      </c>
    </row>
    <row r="29" spans="1:16" s="7" customFormat="1" ht="195">
      <c r="A29" s="20">
        <v>26</v>
      </c>
      <c r="B29" s="171">
        <v>39112102</v>
      </c>
      <c r="C29" s="172" t="s">
        <v>81</v>
      </c>
      <c r="D29" s="172" t="s">
        <v>82</v>
      </c>
      <c r="E29" s="172" t="s">
        <v>197</v>
      </c>
      <c r="F29" s="172">
        <v>15</v>
      </c>
      <c r="G29" s="171" t="s">
        <v>83</v>
      </c>
      <c r="H29" s="32">
        <f>(29412*19%)+29412</f>
        <v>35000.28</v>
      </c>
      <c r="I29" s="33">
        <v>59500</v>
      </c>
      <c r="J29" s="164">
        <f t="shared" si="4"/>
        <v>47250.14</v>
      </c>
      <c r="K29" s="164">
        <f t="shared" si="5"/>
        <v>708752.1</v>
      </c>
      <c r="L29" s="49"/>
      <c r="M29" s="49"/>
      <c r="N29" s="30" t="s">
        <v>80</v>
      </c>
      <c r="O29" s="27">
        <v>708752.1</v>
      </c>
      <c r="P29" s="166">
        <f t="shared" si="2"/>
        <v>0</v>
      </c>
    </row>
    <row r="30" spans="1:16" s="7" customFormat="1" ht="135">
      <c r="A30" s="20">
        <v>27</v>
      </c>
      <c r="B30" s="172">
        <v>39121614</v>
      </c>
      <c r="C30" s="172" t="s">
        <v>84</v>
      </c>
      <c r="D30" s="173" t="s">
        <v>85</v>
      </c>
      <c r="E30" s="172" t="s">
        <v>86</v>
      </c>
      <c r="F30" s="24">
        <v>2</v>
      </c>
      <c r="G30" s="174" t="s">
        <v>87</v>
      </c>
      <c r="H30" s="34">
        <f>(81655*19%)+81655</f>
        <v>97169.45</v>
      </c>
      <c r="I30" s="34">
        <v>101641</v>
      </c>
      <c r="J30" s="164">
        <f t="shared" si="4"/>
        <v>99405.225000000006</v>
      </c>
      <c r="K30" s="164">
        <f t="shared" si="5"/>
        <v>198810.45</v>
      </c>
      <c r="L30" s="49"/>
      <c r="M30" s="49"/>
      <c r="N30" s="5" t="s">
        <v>102</v>
      </c>
      <c r="O30" s="27">
        <v>198810.45</v>
      </c>
      <c r="P30" s="166">
        <f t="shared" si="2"/>
        <v>0</v>
      </c>
    </row>
    <row r="31" spans="1:16" s="7" customFormat="1" ht="285">
      <c r="A31" s="20">
        <v>28</v>
      </c>
      <c r="B31" s="175">
        <v>39121614</v>
      </c>
      <c r="C31" s="172" t="s">
        <v>84</v>
      </c>
      <c r="D31" s="176" t="s">
        <v>88</v>
      </c>
      <c r="E31" s="172" t="s">
        <v>89</v>
      </c>
      <c r="F31" s="24">
        <v>2</v>
      </c>
      <c r="G31" s="174" t="s">
        <v>87</v>
      </c>
      <c r="H31" s="35">
        <f>(107402*19%)+107402</f>
        <v>127808.38</v>
      </c>
      <c r="I31" s="35">
        <v>133941</v>
      </c>
      <c r="J31" s="164">
        <f t="shared" si="4"/>
        <v>130874.69</v>
      </c>
      <c r="K31" s="164">
        <f t="shared" si="5"/>
        <v>261749.38</v>
      </c>
      <c r="L31" s="49"/>
      <c r="M31" s="161"/>
      <c r="N31" s="5" t="s">
        <v>102</v>
      </c>
      <c r="O31" s="27">
        <v>261749.38</v>
      </c>
      <c r="P31" s="166">
        <f t="shared" si="2"/>
        <v>0</v>
      </c>
    </row>
    <row r="32" spans="1:16" s="7" customFormat="1" ht="240">
      <c r="A32" s="20">
        <v>29</v>
      </c>
      <c r="B32" s="172">
        <v>39121640</v>
      </c>
      <c r="C32" s="172" t="s">
        <v>90</v>
      </c>
      <c r="D32" s="176" t="s">
        <v>91</v>
      </c>
      <c r="E32" s="172" t="s">
        <v>92</v>
      </c>
      <c r="F32" s="24">
        <v>2</v>
      </c>
      <c r="G32" s="174" t="s">
        <v>87</v>
      </c>
      <c r="H32" s="34">
        <f>(117863*19%)+117863</f>
        <v>140256.97</v>
      </c>
      <c r="I32" s="34">
        <v>146291</v>
      </c>
      <c r="J32" s="164">
        <f t="shared" si="4"/>
        <v>143273.98499999999</v>
      </c>
      <c r="K32" s="164">
        <f t="shared" si="5"/>
        <v>286547.96999999997</v>
      </c>
      <c r="L32" s="49"/>
      <c r="M32" s="49"/>
      <c r="N32" s="5" t="s">
        <v>102</v>
      </c>
      <c r="O32" s="27">
        <v>286547.96999999997</v>
      </c>
      <c r="P32" s="166">
        <f t="shared" si="2"/>
        <v>0</v>
      </c>
    </row>
    <row r="33" spans="1:16" s="7" customFormat="1" ht="120">
      <c r="A33" s="20">
        <v>30</v>
      </c>
      <c r="B33" s="172">
        <v>39121611</v>
      </c>
      <c r="C33" s="172" t="s">
        <v>93</v>
      </c>
      <c r="D33" s="176" t="s">
        <v>94</v>
      </c>
      <c r="E33" s="172" t="s">
        <v>95</v>
      </c>
      <c r="F33" s="24">
        <v>9</v>
      </c>
      <c r="G33" s="174" t="s">
        <v>87</v>
      </c>
      <c r="H33" s="34">
        <f>(8809*19%)+8809</f>
        <v>10482.709999999999</v>
      </c>
      <c r="I33" s="34">
        <v>11391</v>
      </c>
      <c r="J33" s="164">
        <f t="shared" si="4"/>
        <v>10936.855</v>
      </c>
      <c r="K33" s="164">
        <f t="shared" si="5"/>
        <v>98431.694999999992</v>
      </c>
      <c r="L33" s="49"/>
      <c r="M33" s="49"/>
      <c r="N33" s="5" t="s">
        <v>102</v>
      </c>
      <c r="O33" s="27">
        <v>98431.694999999992</v>
      </c>
      <c r="P33" s="166">
        <f t="shared" si="2"/>
        <v>0</v>
      </c>
    </row>
    <row r="34" spans="1:16" s="7" customFormat="1" ht="120">
      <c r="A34" s="20">
        <v>31</v>
      </c>
      <c r="B34" s="172">
        <v>39121611</v>
      </c>
      <c r="C34" s="172" t="s">
        <v>93</v>
      </c>
      <c r="D34" s="176" t="s">
        <v>96</v>
      </c>
      <c r="E34" s="172" t="s">
        <v>97</v>
      </c>
      <c r="F34" s="24">
        <v>8</v>
      </c>
      <c r="G34" s="174" t="s">
        <v>87</v>
      </c>
      <c r="H34" s="34">
        <f>(8809*19%)+8809</f>
        <v>10482.709999999999</v>
      </c>
      <c r="I34" s="34">
        <v>11391</v>
      </c>
      <c r="J34" s="164">
        <f t="shared" si="4"/>
        <v>10936.855</v>
      </c>
      <c r="K34" s="164">
        <f t="shared" si="5"/>
        <v>87494.84</v>
      </c>
      <c r="L34" s="163"/>
      <c r="M34" s="161"/>
      <c r="N34" s="5" t="s">
        <v>102</v>
      </c>
      <c r="O34" s="27">
        <v>87494.84</v>
      </c>
      <c r="P34" s="166">
        <f t="shared" si="2"/>
        <v>0</v>
      </c>
    </row>
    <row r="35" spans="1:16" s="7" customFormat="1" ht="409.5" customHeight="1">
      <c r="A35" s="20">
        <v>32</v>
      </c>
      <c r="B35" s="172">
        <v>39131709</v>
      </c>
      <c r="C35" s="172" t="s">
        <v>98</v>
      </c>
      <c r="D35" s="176" t="s">
        <v>99</v>
      </c>
      <c r="E35" s="172" t="s">
        <v>100</v>
      </c>
      <c r="F35" s="24">
        <v>30</v>
      </c>
      <c r="G35" s="174" t="s">
        <v>101</v>
      </c>
      <c r="H35" s="34">
        <f>(5506*19%)+5506</f>
        <v>6552.14</v>
      </c>
      <c r="I35" s="34">
        <v>9690</v>
      </c>
      <c r="J35" s="164">
        <f t="shared" si="4"/>
        <v>8121.07</v>
      </c>
      <c r="K35" s="164">
        <f t="shared" si="5"/>
        <v>243632.09999999998</v>
      </c>
      <c r="L35" s="49"/>
      <c r="M35" s="49"/>
      <c r="N35" s="5" t="s">
        <v>102</v>
      </c>
      <c r="O35" s="27">
        <v>243632.1</v>
      </c>
      <c r="P35" s="166">
        <f t="shared" si="2"/>
        <v>0</v>
      </c>
    </row>
    <row r="36" spans="1:16" s="7" customFormat="1" ht="120">
      <c r="A36" s="20">
        <v>33</v>
      </c>
      <c r="B36" s="20">
        <v>30262401</v>
      </c>
      <c r="C36" s="21" t="s">
        <v>13</v>
      </c>
      <c r="D36" s="21" t="s">
        <v>14</v>
      </c>
      <c r="E36" s="21" t="s">
        <v>16</v>
      </c>
      <c r="F36" s="21">
        <v>500</v>
      </c>
      <c r="G36" s="21" t="s">
        <v>105</v>
      </c>
      <c r="H36" s="44">
        <v>1778.0028</v>
      </c>
      <c r="I36" s="44">
        <v>1900</v>
      </c>
      <c r="J36" s="164">
        <f t="shared" si="4"/>
        <v>1839.0014000000001</v>
      </c>
      <c r="K36" s="164">
        <f t="shared" si="5"/>
        <v>919500.70000000007</v>
      </c>
      <c r="L36" s="49"/>
      <c r="M36" s="49"/>
      <c r="N36" s="5" t="s">
        <v>18</v>
      </c>
      <c r="O36" s="27">
        <v>919500.7</v>
      </c>
      <c r="P36" s="166">
        <f t="shared" si="2"/>
        <v>0</v>
      </c>
    </row>
    <row r="37" spans="1:16" s="7" customFormat="1" ht="120">
      <c r="A37" s="20">
        <v>34</v>
      </c>
      <c r="B37" s="22">
        <v>30262401</v>
      </c>
      <c r="C37" s="21" t="s">
        <v>13</v>
      </c>
      <c r="D37" s="21" t="s">
        <v>15</v>
      </c>
      <c r="E37" s="21" t="s">
        <v>16</v>
      </c>
      <c r="F37" s="21">
        <v>500</v>
      </c>
      <c r="G37" s="21" t="s">
        <v>105</v>
      </c>
      <c r="H37" s="44">
        <v>1778.0028</v>
      </c>
      <c r="I37" s="44">
        <v>1900</v>
      </c>
      <c r="J37" s="164">
        <f t="shared" si="4"/>
        <v>1839.0014000000001</v>
      </c>
      <c r="K37" s="164">
        <f t="shared" si="5"/>
        <v>919500.70000000007</v>
      </c>
      <c r="L37" s="49"/>
      <c r="M37" s="49"/>
      <c r="N37" s="5" t="s">
        <v>18</v>
      </c>
      <c r="O37" s="27">
        <v>919500.7</v>
      </c>
      <c r="P37" s="166">
        <f t="shared" si="2"/>
        <v>0</v>
      </c>
    </row>
    <row r="38" spans="1:16" s="7" customFormat="1" ht="300">
      <c r="A38" s="20">
        <v>35</v>
      </c>
      <c r="B38" s="20">
        <v>30263601</v>
      </c>
      <c r="C38" s="21" t="s">
        <v>103</v>
      </c>
      <c r="D38" s="9" t="s">
        <v>104</v>
      </c>
      <c r="E38" s="9" t="s">
        <v>199</v>
      </c>
      <c r="F38" s="21">
        <v>30</v>
      </c>
      <c r="G38" s="20" t="s">
        <v>105</v>
      </c>
      <c r="H38" s="44">
        <f>(58500*19%)+58500</f>
        <v>69615</v>
      </c>
      <c r="I38" s="44">
        <f>(55120*19%)+55120</f>
        <v>65592.800000000003</v>
      </c>
      <c r="J38" s="164">
        <f t="shared" si="4"/>
        <v>67603.899999999994</v>
      </c>
      <c r="K38" s="164">
        <f t="shared" si="5"/>
        <v>2028116.9999999998</v>
      </c>
      <c r="L38" s="49"/>
      <c r="M38" s="49"/>
      <c r="N38" s="5" t="s">
        <v>106</v>
      </c>
      <c r="O38" s="27">
        <v>2028117</v>
      </c>
      <c r="P38" s="166">
        <f t="shared" si="2"/>
        <v>0</v>
      </c>
    </row>
    <row r="39" spans="1:16" s="7" customFormat="1" ht="180">
      <c r="A39" s="20">
        <v>36</v>
      </c>
      <c r="B39" s="20">
        <v>20111614</v>
      </c>
      <c r="C39" s="21" t="s">
        <v>107</v>
      </c>
      <c r="D39" s="21" t="s">
        <v>108</v>
      </c>
      <c r="E39" s="9" t="s">
        <v>109</v>
      </c>
      <c r="F39" s="21">
        <v>2</v>
      </c>
      <c r="G39" s="20" t="s">
        <v>177</v>
      </c>
      <c r="H39" s="26">
        <f>(80750*19%)+80750</f>
        <v>96092.5</v>
      </c>
      <c r="I39" s="26">
        <f>(70694*19%)+70694</f>
        <v>84125.86</v>
      </c>
      <c r="J39" s="164">
        <f t="shared" si="4"/>
        <v>90109.18</v>
      </c>
      <c r="K39" s="164">
        <f t="shared" si="5"/>
        <v>180218.36</v>
      </c>
      <c r="L39" s="49"/>
      <c r="M39" s="49"/>
      <c r="N39" s="5" t="s">
        <v>106</v>
      </c>
      <c r="O39" s="27">
        <v>180218.36</v>
      </c>
      <c r="P39" s="166">
        <f t="shared" si="2"/>
        <v>0</v>
      </c>
    </row>
    <row r="40" spans="1:16" s="7" customFormat="1" ht="105">
      <c r="A40" s="20">
        <v>37</v>
      </c>
      <c r="B40" s="20">
        <v>31231402</v>
      </c>
      <c r="C40" s="21" t="s">
        <v>110</v>
      </c>
      <c r="D40" s="21" t="s">
        <v>111</v>
      </c>
      <c r="E40" s="9" t="s">
        <v>112</v>
      </c>
      <c r="F40" s="21">
        <v>24</v>
      </c>
      <c r="G40" s="20" t="s">
        <v>105</v>
      </c>
      <c r="H40" s="26">
        <f>(18220*19%)+18220</f>
        <v>21681.8</v>
      </c>
      <c r="I40" s="26">
        <f>(15864*19%)+15864</f>
        <v>18878.16</v>
      </c>
      <c r="J40" s="164">
        <f t="shared" si="4"/>
        <v>20279.98</v>
      </c>
      <c r="K40" s="164">
        <f t="shared" si="5"/>
        <v>486719.52</v>
      </c>
      <c r="L40" s="13"/>
      <c r="M40" s="13"/>
      <c r="N40" s="5" t="s">
        <v>106</v>
      </c>
      <c r="O40" s="27">
        <v>486719.51999999996</v>
      </c>
      <c r="P40" s="166">
        <f t="shared" si="2"/>
        <v>0</v>
      </c>
    </row>
    <row r="41" spans="1:16" s="7" customFormat="1" ht="195">
      <c r="A41" s="20">
        <v>38</v>
      </c>
      <c r="B41" s="21">
        <v>44102912</v>
      </c>
      <c r="C41" s="177" t="s">
        <v>113</v>
      </c>
      <c r="D41" s="176" t="s">
        <v>114</v>
      </c>
      <c r="E41" s="178" t="s">
        <v>115</v>
      </c>
      <c r="F41" s="21">
        <v>35</v>
      </c>
      <c r="G41" s="20" t="s">
        <v>116</v>
      </c>
      <c r="H41" s="42">
        <v>21900</v>
      </c>
      <c r="I41" s="42">
        <v>25000</v>
      </c>
      <c r="J41" s="164">
        <f t="shared" si="4"/>
        <v>23450</v>
      </c>
      <c r="K41" s="164">
        <f t="shared" si="5"/>
        <v>820750</v>
      </c>
      <c r="L41" s="13"/>
      <c r="M41" s="13"/>
      <c r="N41" s="5" t="s">
        <v>145</v>
      </c>
      <c r="O41" s="27">
        <v>820750</v>
      </c>
      <c r="P41" s="166">
        <f t="shared" si="2"/>
        <v>0</v>
      </c>
    </row>
    <row r="42" spans="1:16" s="7" customFormat="1" ht="165">
      <c r="A42" s="20">
        <v>39</v>
      </c>
      <c r="B42" s="179">
        <v>31201502</v>
      </c>
      <c r="C42" s="177" t="s">
        <v>117</v>
      </c>
      <c r="D42" s="176" t="s">
        <v>118</v>
      </c>
      <c r="E42" s="178" t="s">
        <v>119</v>
      </c>
      <c r="F42" s="180">
        <v>40</v>
      </c>
      <c r="G42" s="20" t="s">
        <v>116</v>
      </c>
      <c r="H42" s="42">
        <v>3700</v>
      </c>
      <c r="I42" s="42">
        <v>4200</v>
      </c>
      <c r="J42" s="164">
        <f t="shared" si="4"/>
        <v>3950</v>
      </c>
      <c r="K42" s="164">
        <f t="shared" si="5"/>
        <v>158000</v>
      </c>
      <c r="L42" s="49"/>
      <c r="M42" s="49"/>
      <c r="N42" s="5" t="s">
        <v>145</v>
      </c>
      <c r="O42" s="27">
        <v>158000</v>
      </c>
      <c r="P42" s="166">
        <f t="shared" si="2"/>
        <v>0</v>
      </c>
    </row>
    <row r="43" spans="1:16" s="7" customFormat="1" ht="135">
      <c r="A43" s="20">
        <v>40</v>
      </c>
      <c r="B43" s="181">
        <v>42181715</v>
      </c>
      <c r="C43" s="177" t="s">
        <v>120</v>
      </c>
      <c r="D43" s="182" t="s">
        <v>121</v>
      </c>
      <c r="E43" s="183" t="s">
        <v>122</v>
      </c>
      <c r="F43" s="180">
        <v>40</v>
      </c>
      <c r="G43" s="20" t="s">
        <v>116</v>
      </c>
      <c r="H43" s="42">
        <v>3580</v>
      </c>
      <c r="I43" s="42">
        <v>4100</v>
      </c>
      <c r="J43" s="164">
        <f t="shared" si="4"/>
        <v>3840</v>
      </c>
      <c r="K43" s="164">
        <f t="shared" si="5"/>
        <v>153600</v>
      </c>
      <c r="L43" s="49"/>
      <c r="M43" s="49"/>
      <c r="N43" s="5" t="s">
        <v>145</v>
      </c>
      <c r="O43" s="27">
        <v>153600</v>
      </c>
      <c r="P43" s="166">
        <f t="shared" si="2"/>
        <v>0</v>
      </c>
    </row>
    <row r="44" spans="1:16" s="7" customFormat="1" ht="75">
      <c r="A44" s="20">
        <v>41</v>
      </c>
      <c r="B44" s="181">
        <v>31152306</v>
      </c>
      <c r="C44" s="177" t="s">
        <v>123</v>
      </c>
      <c r="D44" s="182" t="s">
        <v>124</v>
      </c>
      <c r="E44" s="183" t="s">
        <v>125</v>
      </c>
      <c r="F44" s="180">
        <v>20</v>
      </c>
      <c r="G44" s="20" t="s">
        <v>178</v>
      </c>
      <c r="H44" s="42">
        <v>38900</v>
      </c>
      <c r="I44" s="42">
        <v>39500</v>
      </c>
      <c r="J44" s="164">
        <f t="shared" si="4"/>
        <v>39200</v>
      </c>
      <c r="K44" s="164">
        <f t="shared" si="5"/>
        <v>784000</v>
      </c>
      <c r="L44" s="49"/>
      <c r="M44" s="49"/>
      <c r="N44" s="5" t="s">
        <v>145</v>
      </c>
      <c r="O44" s="27">
        <v>784000</v>
      </c>
      <c r="P44" s="166">
        <f t="shared" si="2"/>
        <v>0</v>
      </c>
    </row>
    <row r="45" spans="1:16" s="7" customFormat="1" ht="45">
      <c r="A45" s="20">
        <v>42</v>
      </c>
      <c r="B45" s="181">
        <v>23271816</v>
      </c>
      <c r="C45" s="177" t="s">
        <v>126</v>
      </c>
      <c r="D45" s="182" t="s">
        <v>127</v>
      </c>
      <c r="E45" s="183" t="s">
        <v>202</v>
      </c>
      <c r="F45" s="180">
        <v>40</v>
      </c>
      <c r="G45" s="20" t="s">
        <v>116</v>
      </c>
      <c r="H45" s="42">
        <v>7500</v>
      </c>
      <c r="I45" s="42">
        <v>8400</v>
      </c>
      <c r="J45" s="164">
        <f t="shared" si="4"/>
        <v>7950</v>
      </c>
      <c r="K45" s="164">
        <f t="shared" si="5"/>
        <v>318000</v>
      </c>
      <c r="L45" s="49"/>
      <c r="M45" s="49"/>
      <c r="N45" s="5" t="s">
        <v>145</v>
      </c>
      <c r="O45" s="27">
        <v>318000</v>
      </c>
      <c r="P45" s="166">
        <f t="shared" si="2"/>
        <v>0</v>
      </c>
    </row>
    <row r="46" spans="1:16" s="7" customFormat="1" ht="135">
      <c r="A46" s="20">
        <v>43</v>
      </c>
      <c r="B46" s="181">
        <v>26111711</v>
      </c>
      <c r="C46" s="177" t="s">
        <v>128</v>
      </c>
      <c r="D46" s="182" t="s">
        <v>129</v>
      </c>
      <c r="E46" s="183" t="s">
        <v>204</v>
      </c>
      <c r="F46" s="180">
        <v>40</v>
      </c>
      <c r="G46" s="20" t="s">
        <v>116</v>
      </c>
      <c r="H46" s="42">
        <v>1950</v>
      </c>
      <c r="I46" s="42">
        <v>2300</v>
      </c>
      <c r="J46" s="164">
        <f t="shared" si="4"/>
        <v>2125</v>
      </c>
      <c r="K46" s="164">
        <f t="shared" si="5"/>
        <v>85000</v>
      </c>
      <c r="L46" s="49"/>
      <c r="M46" s="49"/>
      <c r="N46" s="5" t="s">
        <v>145</v>
      </c>
      <c r="O46" s="27">
        <v>85000</v>
      </c>
      <c r="P46" s="166">
        <f t="shared" si="2"/>
        <v>0</v>
      </c>
    </row>
    <row r="47" spans="1:16" s="7" customFormat="1" ht="60">
      <c r="A47" s="20">
        <v>44</v>
      </c>
      <c r="B47" s="181">
        <v>26111702</v>
      </c>
      <c r="C47" s="177" t="s">
        <v>130</v>
      </c>
      <c r="D47" s="182" t="s">
        <v>131</v>
      </c>
      <c r="E47" s="183" t="s">
        <v>132</v>
      </c>
      <c r="F47" s="180">
        <v>40</v>
      </c>
      <c r="G47" s="20" t="s">
        <v>116</v>
      </c>
      <c r="H47" s="42">
        <v>4800</v>
      </c>
      <c r="I47" s="42">
        <v>5500</v>
      </c>
      <c r="J47" s="164">
        <f t="shared" si="4"/>
        <v>5150</v>
      </c>
      <c r="K47" s="164">
        <f t="shared" si="5"/>
        <v>206000</v>
      </c>
      <c r="L47" s="49"/>
      <c r="M47" s="49"/>
      <c r="N47" s="5" t="s">
        <v>145</v>
      </c>
      <c r="O47" s="27">
        <v>206000</v>
      </c>
      <c r="P47" s="166">
        <f t="shared" si="2"/>
        <v>0</v>
      </c>
    </row>
    <row r="48" spans="1:16" s="7" customFormat="1" ht="135">
      <c r="A48" s="20">
        <v>45</v>
      </c>
      <c r="B48" s="181">
        <v>42181715</v>
      </c>
      <c r="C48" s="177" t="s">
        <v>120</v>
      </c>
      <c r="D48" s="182" t="s">
        <v>133</v>
      </c>
      <c r="E48" s="183" t="s">
        <v>134</v>
      </c>
      <c r="F48" s="180">
        <v>40</v>
      </c>
      <c r="G48" s="20" t="s">
        <v>172</v>
      </c>
      <c r="H48" s="42">
        <v>7900</v>
      </c>
      <c r="I48" s="42">
        <v>9000</v>
      </c>
      <c r="J48" s="164">
        <f t="shared" si="4"/>
        <v>8450</v>
      </c>
      <c r="K48" s="164">
        <f t="shared" si="5"/>
        <v>338000</v>
      </c>
      <c r="L48" s="13"/>
      <c r="M48" s="13"/>
      <c r="N48" s="5" t="s">
        <v>145</v>
      </c>
      <c r="O48" s="27">
        <v>338000</v>
      </c>
      <c r="P48" s="166">
        <f t="shared" si="2"/>
        <v>0</v>
      </c>
    </row>
    <row r="49" spans="1:16" s="7" customFormat="1" ht="90">
      <c r="A49" s="20">
        <v>46</v>
      </c>
      <c r="B49" s="181">
        <v>60106205</v>
      </c>
      <c r="C49" s="177" t="s">
        <v>165</v>
      </c>
      <c r="D49" s="182" t="s">
        <v>135</v>
      </c>
      <c r="E49" s="183" t="s">
        <v>136</v>
      </c>
      <c r="F49" s="180">
        <v>40</v>
      </c>
      <c r="G49" s="20" t="s">
        <v>116</v>
      </c>
      <c r="H49" s="42">
        <v>8800</v>
      </c>
      <c r="I49" s="42">
        <v>9500</v>
      </c>
      <c r="J49" s="164">
        <f t="shared" si="4"/>
        <v>9150</v>
      </c>
      <c r="K49" s="164">
        <f t="shared" si="5"/>
        <v>366000</v>
      </c>
      <c r="L49" s="49"/>
      <c r="M49" s="49"/>
      <c r="N49" s="5" t="s">
        <v>145</v>
      </c>
      <c r="O49" s="27">
        <v>366000</v>
      </c>
      <c r="P49" s="166">
        <f t="shared" si="2"/>
        <v>0</v>
      </c>
    </row>
    <row r="50" spans="1:16" s="7" customFormat="1" ht="120">
      <c r="A50" s="20">
        <v>47</v>
      </c>
      <c r="B50" s="184">
        <v>32111503</v>
      </c>
      <c r="C50" s="177" t="s">
        <v>137</v>
      </c>
      <c r="D50" s="182" t="s">
        <v>138</v>
      </c>
      <c r="E50" s="185" t="s">
        <v>139</v>
      </c>
      <c r="F50" s="180">
        <v>2000</v>
      </c>
      <c r="G50" s="20" t="s">
        <v>116</v>
      </c>
      <c r="H50" s="42">
        <v>130</v>
      </c>
      <c r="I50" s="42">
        <v>180</v>
      </c>
      <c r="J50" s="164">
        <f t="shared" si="4"/>
        <v>155</v>
      </c>
      <c r="K50" s="164">
        <f t="shared" si="5"/>
        <v>310000</v>
      </c>
      <c r="L50" s="49"/>
      <c r="M50" s="49"/>
      <c r="N50" s="5" t="s">
        <v>145</v>
      </c>
      <c r="O50" s="27">
        <v>310000</v>
      </c>
      <c r="P50" s="166">
        <f t="shared" si="2"/>
        <v>0</v>
      </c>
    </row>
    <row r="51" spans="1:16" s="7" customFormat="1" ht="60">
      <c r="A51" s="20">
        <v>48</v>
      </c>
      <c r="B51" s="184">
        <v>32111503</v>
      </c>
      <c r="C51" s="177" t="s">
        <v>137</v>
      </c>
      <c r="D51" s="182" t="s">
        <v>140</v>
      </c>
      <c r="E51" s="185" t="s">
        <v>141</v>
      </c>
      <c r="F51" s="180">
        <v>60</v>
      </c>
      <c r="G51" s="20" t="s">
        <v>83</v>
      </c>
      <c r="H51" s="42">
        <v>6000</v>
      </c>
      <c r="I51" s="42">
        <v>7500</v>
      </c>
      <c r="J51" s="164">
        <f t="shared" si="4"/>
        <v>6750</v>
      </c>
      <c r="K51" s="164">
        <f t="shared" si="5"/>
        <v>405000</v>
      </c>
      <c r="L51" s="49"/>
      <c r="M51" s="49"/>
      <c r="N51" s="5" t="s">
        <v>145</v>
      </c>
      <c r="O51" s="27">
        <v>405000</v>
      </c>
      <c r="P51" s="166">
        <f t="shared" si="2"/>
        <v>0</v>
      </c>
    </row>
    <row r="52" spans="1:16" s="7" customFormat="1" ht="30">
      <c r="A52" s="20">
        <v>49</v>
      </c>
      <c r="B52" s="181">
        <v>47131501</v>
      </c>
      <c r="C52" s="177" t="s">
        <v>142</v>
      </c>
      <c r="D52" s="186" t="s">
        <v>143</v>
      </c>
      <c r="E52" s="187" t="s">
        <v>144</v>
      </c>
      <c r="F52" s="180">
        <v>150</v>
      </c>
      <c r="G52" s="20" t="s">
        <v>116</v>
      </c>
      <c r="H52" s="36">
        <v>1200</v>
      </c>
      <c r="I52" s="36">
        <v>1500</v>
      </c>
      <c r="J52" s="164">
        <f t="shared" si="4"/>
        <v>1350</v>
      </c>
      <c r="K52" s="164">
        <f t="shared" si="5"/>
        <v>202500</v>
      </c>
      <c r="L52" s="49"/>
      <c r="M52" s="49"/>
      <c r="N52" s="5" t="s">
        <v>145</v>
      </c>
      <c r="O52" s="27">
        <v>202500</v>
      </c>
      <c r="P52" s="166">
        <f t="shared" si="2"/>
        <v>0</v>
      </c>
    </row>
    <row r="53" spans="1:16" s="7" customFormat="1" ht="150">
      <c r="A53" s="20">
        <v>50</v>
      </c>
      <c r="B53" s="20">
        <v>23271810</v>
      </c>
      <c r="C53" s="21" t="s">
        <v>146</v>
      </c>
      <c r="D53" s="21" t="s">
        <v>147</v>
      </c>
      <c r="E53" s="21" t="s">
        <v>208</v>
      </c>
      <c r="F53" s="21">
        <v>40</v>
      </c>
      <c r="G53" s="21" t="s">
        <v>148</v>
      </c>
      <c r="H53" s="26">
        <v>16500</v>
      </c>
      <c r="I53" s="26">
        <v>16000</v>
      </c>
      <c r="J53" s="164">
        <f t="shared" si="4"/>
        <v>16250</v>
      </c>
      <c r="K53" s="164">
        <f t="shared" si="5"/>
        <v>650000</v>
      </c>
      <c r="L53" s="13"/>
      <c r="M53" s="13"/>
      <c r="N53" s="5" t="s">
        <v>156</v>
      </c>
      <c r="O53" s="27">
        <v>650000</v>
      </c>
      <c r="P53" s="166">
        <f t="shared" si="2"/>
        <v>0</v>
      </c>
    </row>
    <row r="54" spans="1:16" s="7" customFormat="1" ht="150">
      <c r="A54" s="20">
        <v>51</v>
      </c>
      <c r="B54" s="20">
        <v>23271810</v>
      </c>
      <c r="C54" s="21" t="s">
        <v>146</v>
      </c>
      <c r="D54" s="21" t="s">
        <v>149</v>
      </c>
      <c r="E54" s="21" t="s">
        <v>209</v>
      </c>
      <c r="F54" s="23">
        <v>80</v>
      </c>
      <c r="G54" s="21" t="s">
        <v>148</v>
      </c>
      <c r="H54" s="26">
        <v>17000</v>
      </c>
      <c r="I54" s="26">
        <v>16000</v>
      </c>
      <c r="J54" s="164">
        <f t="shared" si="4"/>
        <v>16500</v>
      </c>
      <c r="K54" s="164">
        <f t="shared" si="5"/>
        <v>1320000</v>
      </c>
      <c r="L54" s="13"/>
      <c r="M54" s="161"/>
      <c r="N54" s="5" t="s">
        <v>156</v>
      </c>
      <c r="O54" s="27">
        <v>1320000</v>
      </c>
      <c r="P54" s="166">
        <f t="shared" si="2"/>
        <v>0</v>
      </c>
    </row>
    <row r="55" spans="1:16" s="7" customFormat="1" ht="60">
      <c r="A55" s="20">
        <v>52</v>
      </c>
      <c r="B55" s="22">
        <v>73181902</v>
      </c>
      <c r="C55" s="188" t="s">
        <v>150</v>
      </c>
      <c r="D55" s="185" t="s">
        <v>151</v>
      </c>
      <c r="E55" s="187" t="s">
        <v>179</v>
      </c>
      <c r="F55" s="23">
        <v>4</v>
      </c>
      <c r="G55" s="22" t="s">
        <v>152</v>
      </c>
      <c r="H55" s="44">
        <v>116000</v>
      </c>
      <c r="I55" s="44">
        <v>125000</v>
      </c>
      <c r="J55" s="164">
        <f t="shared" si="4"/>
        <v>120500</v>
      </c>
      <c r="K55" s="164">
        <f t="shared" si="5"/>
        <v>482000</v>
      </c>
      <c r="L55" s="13"/>
      <c r="M55" s="13"/>
      <c r="N55" s="5" t="s">
        <v>156</v>
      </c>
      <c r="O55" s="27">
        <v>482000</v>
      </c>
      <c r="P55" s="166">
        <f t="shared" si="2"/>
        <v>0</v>
      </c>
    </row>
    <row r="56" spans="1:16" s="7" customFormat="1" ht="30">
      <c r="A56" s="20">
        <v>53</v>
      </c>
      <c r="B56" s="21">
        <v>23242101</v>
      </c>
      <c r="C56" s="21" t="s">
        <v>166</v>
      </c>
      <c r="D56" s="21" t="s">
        <v>153</v>
      </c>
      <c r="E56" s="21" t="s">
        <v>153</v>
      </c>
      <c r="F56" s="21">
        <v>30</v>
      </c>
      <c r="G56" s="22" t="s">
        <v>87</v>
      </c>
      <c r="H56" s="44">
        <v>8000</v>
      </c>
      <c r="I56" s="44">
        <v>7500</v>
      </c>
      <c r="J56" s="164">
        <f t="shared" si="4"/>
        <v>7750</v>
      </c>
      <c r="K56" s="164">
        <f t="shared" si="5"/>
        <v>232500</v>
      </c>
      <c r="L56" s="13"/>
      <c r="M56" s="13"/>
      <c r="N56" s="5" t="s">
        <v>156</v>
      </c>
      <c r="O56" s="27">
        <v>232500</v>
      </c>
      <c r="P56" s="166">
        <f t="shared" si="2"/>
        <v>0</v>
      </c>
    </row>
    <row r="57" spans="1:16" s="7" customFormat="1" ht="220.5" customHeight="1">
      <c r="A57" s="20">
        <v>54</v>
      </c>
      <c r="B57" s="24">
        <v>46181540</v>
      </c>
      <c r="C57" s="25" t="s">
        <v>154</v>
      </c>
      <c r="D57" s="25" t="s">
        <v>154</v>
      </c>
      <c r="E57" s="21" t="s">
        <v>211</v>
      </c>
      <c r="F57" s="24">
        <v>20</v>
      </c>
      <c r="G57" s="22" t="s">
        <v>155</v>
      </c>
      <c r="H57" s="26">
        <v>26500</v>
      </c>
      <c r="I57" s="26">
        <v>32000</v>
      </c>
      <c r="J57" s="164">
        <f t="shared" si="4"/>
        <v>29250</v>
      </c>
      <c r="K57" s="164">
        <f t="shared" si="5"/>
        <v>585000</v>
      </c>
      <c r="L57" s="49"/>
      <c r="M57" s="49"/>
      <c r="N57" s="5" t="s">
        <v>156</v>
      </c>
      <c r="O57" s="27">
        <v>585000</v>
      </c>
      <c r="P57" s="166">
        <f t="shared" si="2"/>
        <v>0</v>
      </c>
    </row>
    <row r="58" spans="1:16" s="7" customFormat="1" ht="409.5">
      <c r="A58" s="20">
        <v>55</v>
      </c>
      <c r="B58" s="20">
        <v>32101638</v>
      </c>
      <c r="C58" s="21" t="s">
        <v>157</v>
      </c>
      <c r="D58" s="21" t="s">
        <v>158</v>
      </c>
      <c r="E58" s="21" t="s">
        <v>171</v>
      </c>
      <c r="F58" s="21">
        <v>10</v>
      </c>
      <c r="G58" s="20" t="s">
        <v>172</v>
      </c>
      <c r="H58" s="43">
        <f>(119390*19%)+119390</f>
        <v>142074.1</v>
      </c>
      <c r="I58" s="43">
        <f>(97000*19%)+97000</f>
        <v>115430</v>
      </c>
      <c r="J58" s="164">
        <f t="shared" si="4"/>
        <v>128752.05</v>
      </c>
      <c r="K58" s="164">
        <f t="shared" si="5"/>
        <v>1287520.5</v>
      </c>
      <c r="L58" s="163"/>
      <c r="M58" s="162"/>
      <c r="N58" s="5" t="s">
        <v>159</v>
      </c>
      <c r="O58" s="27">
        <v>1287520.5</v>
      </c>
      <c r="P58" s="166">
        <f t="shared" si="2"/>
        <v>0</v>
      </c>
    </row>
    <row r="59" spans="1:16">
      <c r="J59" s="10" t="s">
        <v>181</v>
      </c>
      <c r="K59" s="167">
        <f>SUM(K4:K58)</f>
        <v>22870495.720449999</v>
      </c>
      <c r="L59" s="37"/>
      <c r="M59" s="37"/>
      <c r="P59" s="166">
        <f t="shared" si="2"/>
        <v>-22870495.720449999</v>
      </c>
    </row>
    <row r="60" spans="1:16">
      <c r="J60" s="10" t="s">
        <v>180</v>
      </c>
      <c r="K60" s="165">
        <v>22882000</v>
      </c>
      <c r="P60" s="166">
        <f t="shared" si="2"/>
        <v>-22882000</v>
      </c>
    </row>
    <row r="61" spans="1:16">
      <c r="J61" s="10" t="s">
        <v>182</v>
      </c>
      <c r="K61" s="167">
        <f>K60-K59</f>
        <v>11504.279550001025</v>
      </c>
      <c r="P61" s="166">
        <f t="shared" si="2"/>
        <v>-11504.279550001025</v>
      </c>
    </row>
  </sheetData>
  <autoFilter ref="A1:N59"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3">
    <mergeCell ref="A1:H1"/>
    <mergeCell ref="J2:J3"/>
    <mergeCell ref="K2:K3"/>
  </mergeCells>
  <pageMargins left="0.7" right="0.7" top="0.75" bottom="0.75" header="0.3" footer="0.3"/>
  <pageSetup paperSize="9" scale="64" orientation="landscape" horizontalDpi="4294967292"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1"/>
  <sheetViews>
    <sheetView topLeftCell="A49" zoomScale="70" zoomScaleNormal="70" zoomScaleSheetLayoutView="96" workbookViewId="0">
      <selection activeCell="A4" sqref="A4:K58"/>
    </sheetView>
  </sheetViews>
  <sheetFormatPr baseColWidth="10" defaultColWidth="11.42578125" defaultRowHeight="15"/>
  <cols>
    <col min="1" max="1" width="6" style="16" customWidth="1"/>
    <col min="2" max="2" width="14.140625" style="16" customWidth="1"/>
    <col min="3" max="3" width="19.7109375" style="12" customWidth="1"/>
    <col min="4" max="4" width="21.5703125" style="17" customWidth="1"/>
    <col min="5" max="5" width="51.42578125" style="18" customWidth="1"/>
    <col min="6" max="6" width="8.85546875" style="19" customWidth="1"/>
    <col min="7" max="7" width="14.7109375" style="19" customWidth="1"/>
    <col min="8" max="8" width="18.7109375" style="19" customWidth="1"/>
    <col min="9" max="9" width="19.28515625" style="19" bestFit="1" customWidth="1"/>
    <col min="10" max="10" width="16.7109375" style="19" customWidth="1"/>
    <col min="11" max="12" width="17.28515625" style="19" customWidth="1"/>
    <col min="13" max="13" width="23.140625" style="16" bestFit="1" customWidth="1"/>
    <col min="14" max="14" width="44.5703125" style="19" customWidth="1"/>
    <col min="15" max="15" width="17.7109375" style="16" bestFit="1" customWidth="1"/>
    <col min="16" max="16" width="14.85546875" style="29" bestFit="1" customWidth="1"/>
    <col min="17" max="20" width="11.42578125" style="16"/>
    <col min="21" max="21" width="5.7109375" style="16" customWidth="1"/>
    <col min="22" max="16384" width="11.42578125" style="16"/>
  </cols>
  <sheetData>
    <row r="1" spans="1:16" s="7" customFormat="1" ht="15.75">
      <c r="A1" s="189" t="s">
        <v>17</v>
      </c>
      <c r="B1" s="189"/>
      <c r="C1" s="189"/>
      <c r="D1" s="189"/>
      <c r="E1" s="189"/>
      <c r="F1" s="189"/>
      <c r="G1" s="189"/>
      <c r="H1" s="189"/>
      <c r="I1" s="189"/>
      <c r="N1" s="50"/>
      <c r="P1" s="27"/>
    </row>
    <row r="2" spans="1:16" s="7" customFormat="1" ht="15" customHeight="1">
      <c r="A2" s="5"/>
      <c r="B2" s="5"/>
      <c r="C2" s="10"/>
      <c r="D2" s="2"/>
      <c r="E2" s="9"/>
      <c r="F2" s="1"/>
      <c r="G2" s="1"/>
      <c r="H2" s="191" t="s">
        <v>8</v>
      </c>
      <c r="I2" s="191"/>
      <c r="J2" s="190" t="s">
        <v>9</v>
      </c>
      <c r="K2" s="190"/>
      <c r="N2" s="51"/>
      <c r="O2" s="5"/>
      <c r="P2" s="27"/>
    </row>
    <row r="3" spans="1:16" s="6" customFormat="1" ht="31.5">
      <c r="A3" s="3" t="s">
        <v>4</v>
      </c>
      <c r="B3" s="4" t="s">
        <v>0</v>
      </c>
      <c r="C3" s="11" t="s">
        <v>5</v>
      </c>
      <c r="D3" s="4" t="s">
        <v>6</v>
      </c>
      <c r="E3" s="8" t="s">
        <v>7</v>
      </c>
      <c r="F3" s="4" t="s">
        <v>1</v>
      </c>
      <c r="G3" s="4" t="s">
        <v>3</v>
      </c>
      <c r="H3" s="14" t="s">
        <v>11</v>
      </c>
      <c r="I3" s="14" t="s">
        <v>2</v>
      </c>
      <c r="J3" s="15" t="s">
        <v>11</v>
      </c>
      <c r="K3" s="15" t="s">
        <v>2</v>
      </c>
      <c r="L3" s="55" t="s">
        <v>12</v>
      </c>
      <c r="M3" s="48" t="s">
        <v>10</v>
      </c>
      <c r="N3" s="51" t="s">
        <v>220</v>
      </c>
      <c r="O3" s="39" t="s">
        <v>174</v>
      </c>
      <c r="P3" s="28"/>
    </row>
    <row r="4" spans="1:16" s="7" customFormat="1" ht="166.5" customHeight="1">
      <c r="A4" s="56">
        <v>1</v>
      </c>
      <c r="B4" s="56">
        <v>30121702</v>
      </c>
      <c r="C4" s="57" t="s">
        <v>19</v>
      </c>
      <c r="D4" s="57" t="s">
        <v>20</v>
      </c>
      <c r="E4" s="57" t="s">
        <v>184</v>
      </c>
      <c r="F4" s="57">
        <v>10</v>
      </c>
      <c r="G4" s="57" t="s">
        <v>21</v>
      </c>
      <c r="H4" s="58">
        <v>80000</v>
      </c>
      <c r="I4" s="58">
        <f t="shared" ref="I4:I27" si="0">H4*F4</f>
        <v>800000</v>
      </c>
      <c r="J4" s="58">
        <v>76000</v>
      </c>
      <c r="K4" s="58">
        <f>J4*F4</f>
        <v>760000</v>
      </c>
      <c r="L4" s="58">
        <f>(J4+H4)/2</f>
        <v>78000</v>
      </c>
      <c r="M4" s="59">
        <f>(K4+I4)/2</f>
        <v>780000</v>
      </c>
      <c r="N4" s="60" t="s">
        <v>185</v>
      </c>
      <c r="O4" s="56" t="s">
        <v>22</v>
      </c>
      <c r="P4" s="27"/>
    </row>
    <row r="5" spans="1:16" s="7" customFormat="1" ht="164.25" customHeight="1">
      <c r="A5" s="56">
        <v>2</v>
      </c>
      <c r="B5" s="56">
        <v>10171506</v>
      </c>
      <c r="C5" s="57" t="s">
        <v>23</v>
      </c>
      <c r="D5" s="57" t="s">
        <v>24</v>
      </c>
      <c r="E5" s="57" t="s">
        <v>25</v>
      </c>
      <c r="F5" s="61">
        <v>10</v>
      </c>
      <c r="G5" s="57" t="s">
        <v>26</v>
      </c>
      <c r="H5" s="58">
        <v>13000</v>
      </c>
      <c r="I5" s="58">
        <f t="shared" si="0"/>
        <v>130000</v>
      </c>
      <c r="J5" s="58">
        <v>17000</v>
      </c>
      <c r="K5" s="58">
        <f t="shared" ref="K5:K11" si="1">J5*F5</f>
        <v>170000</v>
      </c>
      <c r="L5" s="58">
        <f t="shared" ref="L5:M11" si="2">(J5+H5)/2</f>
        <v>15000</v>
      </c>
      <c r="M5" s="59">
        <f t="shared" si="2"/>
        <v>150000</v>
      </c>
      <c r="N5" s="60" t="s">
        <v>186</v>
      </c>
      <c r="O5" s="56" t="s">
        <v>22</v>
      </c>
      <c r="P5" s="27"/>
    </row>
    <row r="6" spans="1:16" s="7" customFormat="1" ht="147" customHeight="1">
      <c r="A6" s="56">
        <v>3</v>
      </c>
      <c r="B6" s="56">
        <v>15101603</v>
      </c>
      <c r="C6" s="57" t="s">
        <v>27</v>
      </c>
      <c r="D6" s="57" t="s">
        <v>28</v>
      </c>
      <c r="E6" s="57" t="s">
        <v>29</v>
      </c>
      <c r="F6" s="61">
        <v>14</v>
      </c>
      <c r="G6" s="57" t="s">
        <v>26</v>
      </c>
      <c r="H6" s="58">
        <v>17000</v>
      </c>
      <c r="I6" s="58">
        <f t="shared" si="0"/>
        <v>238000</v>
      </c>
      <c r="J6" s="58">
        <v>13000</v>
      </c>
      <c r="K6" s="58">
        <f t="shared" si="1"/>
        <v>182000</v>
      </c>
      <c r="L6" s="58">
        <f t="shared" si="2"/>
        <v>15000</v>
      </c>
      <c r="M6" s="59">
        <f t="shared" si="2"/>
        <v>210000</v>
      </c>
      <c r="N6" s="60" t="s">
        <v>186</v>
      </c>
      <c r="O6" s="56" t="s">
        <v>22</v>
      </c>
      <c r="P6" s="27"/>
    </row>
    <row r="7" spans="1:16" s="7" customFormat="1" ht="30">
      <c r="A7" s="56">
        <v>4</v>
      </c>
      <c r="B7" s="56">
        <v>31162004</v>
      </c>
      <c r="C7" s="57" t="s">
        <v>30</v>
      </c>
      <c r="D7" s="57" t="s">
        <v>31</v>
      </c>
      <c r="E7" s="57" t="s">
        <v>32</v>
      </c>
      <c r="F7" s="57">
        <v>5</v>
      </c>
      <c r="G7" s="57" t="s">
        <v>26</v>
      </c>
      <c r="H7" s="58">
        <v>8000</v>
      </c>
      <c r="I7" s="58">
        <f t="shared" si="0"/>
        <v>40000</v>
      </c>
      <c r="J7" s="58">
        <v>12000</v>
      </c>
      <c r="K7" s="58">
        <f t="shared" si="1"/>
        <v>60000</v>
      </c>
      <c r="L7" s="58">
        <f t="shared" si="2"/>
        <v>10000</v>
      </c>
      <c r="M7" s="59">
        <f t="shared" si="2"/>
        <v>50000</v>
      </c>
      <c r="N7" s="60"/>
      <c r="O7" s="56" t="s">
        <v>22</v>
      </c>
      <c r="P7" s="27"/>
    </row>
    <row r="8" spans="1:16" s="7" customFormat="1" ht="90" customHeight="1">
      <c r="A8" s="56">
        <v>5</v>
      </c>
      <c r="B8" s="56">
        <v>27112029</v>
      </c>
      <c r="C8" s="57" t="s">
        <v>33</v>
      </c>
      <c r="D8" s="57" t="s">
        <v>34</v>
      </c>
      <c r="E8" s="57" t="s">
        <v>35</v>
      </c>
      <c r="F8" s="62">
        <v>5</v>
      </c>
      <c r="G8" s="57" t="s">
        <v>21</v>
      </c>
      <c r="H8" s="58">
        <v>13000</v>
      </c>
      <c r="I8" s="58">
        <f t="shared" si="0"/>
        <v>65000</v>
      </c>
      <c r="J8" s="58">
        <v>7000</v>
      </c>
      <c r="K8" s="58">
        <f t="shared" si="1"/>
        <v>35000</v>
      </c>
      <c r="L8" s="58">
        <f t="shared" si="2"/>
        <v>10000</v>
      </c>
      <c r="M8" s="59">
        <f t="shared" si="2"/>
        <v>50000</v>
      </c>
      <c r="N8" s="63" t="s">
        <v>173</v>
      </c>
      <c r="O8" s="56" t="s">
        <v>22</v>
      </c>
      <c r="P8" s="27"/>
    </row>
    <row r="9" spans="1:16" s="7" customFormat="1" ht="90">
      <c r="A9" s="56">
        <v>6</v>
      </c>
      <c r="B9" s="56">
        <v>24121802</v>
      </c>
      <c r="C9" s="57" t="s">
        <v>36</v>
      </c>
      <c r="D9" s="57" t="s">
        <v>37</v>
      </c>
      <c r="E9" s="57" t="s">
        <v>38</v>
      </c>
      <c r="F9" s="62">
        <v>3</v>
      </c>
      <c r="G9" s="57" t="s">
        <v>39</v>
      </c>
      <c r="H9" s="58">
        <v>50000</v>
      </c>
      <c r="I9" s="58">
        <f t="shared" si="0"/>
        <v>150000</v>
      </c>
      <c r="J9" s="58">
        <v>40000</v>
      </c>
      <c r="K9" s="58">
        <f t="shared" si="1"/>
        <v>120000</v>
      </c>
      <c r="L9" s="58">
        <f t="shared" si="2"/>
        <v>45000</v>
      </c>
      <c r="M9" s="59">
        <f t="shared" si="2"/>
        <v>135000</v>
      </c>
      <c r="N9" s="60"/>
      <c r="O9" s="56" t="s">
        <v>22</v>
      </c>
      <c r="P9" s="27"/>
    </row>
    <row r="10" spans="1:16" s="7" customFormat="1" ht="62.25" customHeight="1">
      <c r="A10" s="56">
        <v>7</v>
      </c>
      <c r="B10" s="56">
        <v>24121801</v>
      </c>
      <c r="C10" s="57" t="s">
        <v>167</v>
      </c>
      <c r="D10" s="56" t="s">
        <v>168</v>
      </c>
      <c r="E10" s="57" t="s">
        <v>187</v>
      </c>
      <c r="F10" s="62">
        <v>3</v>
      </c>
      <c r="G10" s="57" t="s">
        <v>21</v>
      </c>
      <c r="H10" s="58">
        <v>18000</v>
      </c>
      <c r="I10" s="58">
        <f t="shared" si="0"/>
        <v>54000</v>
      </c>
      <c r="J10" s="58">
        <v>22000</v>
      </c>
      <c r="K10" s="58">
        <f t="shared" si="1"/>
        <v>66000</v>
      </c>
      <c r="L10" s="58">
        <f t="shared" si="2"/>
        <v>20000</v>
      </c>
      <c r="M10" s="59">
        <f t="shared" si="2"/>
        <v>60000</v>
      </c>
      <c r="N10" s="60"/>
      <c r="O10" s="56" t="s">
        <v>22</v>
      </c>
      <c r="P10" s="27"/>
    </row>
    <row r="11" spans="1:16" s="7" customFormat="1" ht="109.5" customHeight="1">
      <c r="A11" s="56">
        <v>8</v>
      </c>
      <c r="B11" s="56">
        <v>31211906</v>
      </c>
      <c r="C11" s="57" t="s">
        <v>169</v>
      </c>
      <c r="D11" s="57" t="s">
        <v>170</v>
      </c>
      <c r="E11" s="57" t="s">
        <v>188</v>
      </c>
      <c r="F11" s="62">
        <v>3</v>
      </c>
      <c r="G11" s="57" t="s">
        <v>21</v>
      </c>
      <c r="H11" s="58">
        <v>12000</v>
      </c>
      <c r="I11" s="58">
        <f t="shared" si="0"/>
        <v>36000</v>
      </c>
      <c r="J11" s="58">
        <v>18000</v>
      </c>
      <c r="K11" s="58">
        <f t="shared" si="1"/>
        <v>54000</v>
      </c>
      <c r="L11" s="58">
        <f t="shared" si="2"/>
        <v>15000</v>
      </c>
      <c r="M11" s="59">
        <f t="shared" si="2"/>
        <v>45000</v>
      </c>
      <c r="N11" s="60"/>
      <c r="O11" s="56" t="s">
        <v>22</v>
      </c>
      <c r="P11" s="27"/>
    </row>
    <row r="12" spans="1:16" s="7" customFormat="1" ht="188.25" customHeight="1">
      <c r="A12" s="64">
        <v>9</v>
      </c>
      <c r="B12" s="65">
        <v>11122005</v>
      </c>
      <c r="C12" s="66" t="s">
        <v>40</v>
      </c>
      <c r="D12" s="66" t="s">
        <v>41</v>
      </c>
      <c r="E12" s="67" t="s">
        <v>212</v>
      </c>
      <c r="F12" s="66">
        <v>12</v>
      </c>
      <c r="G12" s="66" t="s">
        <v>42</v>
      </c>
      <c r="H12" s="68">
        <v>195000</v>
      </c>
      <c r="I12" s="68">
        <f t="shared" si="0"/>
        <v>2340000</v>
      </c>
      <c r="J12" s="68">
        <v>205000</v>
      </c>
      <c r="K12" s="68">
        <f>J12*F12</f>
        <v>2460000</v>
      </c>
      <c r="L12" s="68">
        <f>(J12+H12)/2</f>
        <v>200000</v>
      </c>
      <c r="M12" s="69">
        <f>(K12+I12)/2</f>
        <v>2400000</v>
      </c>
      <c r="N12" s="70"/>
      <c r="O12" s="64" t="s">
        <v>43</v>
      </c>
      <c r="P12" s="27"/>
    </row>
    <row r="13" spans="1:16" s="7" customFormat="1" ht="120.75" customHeight="1">
      <c r="A13" s="64">
        <v>10</v>
      </c>
      <c r="B13" s="71">
        <v>56101711</v>
      </c>
      <c r="C13" s="72" t="s">
        <v>44</v>
      </c>
      <c r="D13" s="67" t="s">
        <v>45</v>
      </c>
      <c r="E13" s="67" t="s">
        <v>46</v>
      </c>
      <c r="F13" s="67">
        <v>50</v>
      </c>
      <c r="G13" s="71" t="s">
        <v>47</v>
      </c>
      <c r="H13" s="68">
        <v>8500</v>
      </c>
      <c r="I13" s="68">
        <f t="shared" si="0"/>
        <v>425000</v>
      </c>
      <c r="J13" s="68">
        <v>9000</v>
      </c>
      <c r="K13" s="68">
        <f>J13*F13</f>
        <v>450000</v>
      </c>
      <c r="L13" s="68">
        <f>(J13+H13)/2</f>
        <v>8750</v>
      </c>
      <c r="M13" s="69">
        <f>(K13+I13)/2</f>
        <v>437500</v>
      </c>
      <c r="N13" s="70" t="s">
        <v>189</v>
      </c>
      <c r="O13" s="64" t="s">
        <v>43</v>
      </c>
      <c r="P13" s="27"/>
    </row>
    <row r="14" spans="1:16" s="7" customFormat="1" ht="219.75" customHeight="1">
      <c r="A14" s="64">
        <v>11</v>
      </c>
      <c r="B14" s="71">
        <v>23153401</v>
      </c>
      <c r="C14" s="72" t="s">
        <v>48</v>
      </c>
      <c r="D14" s="67" t="s">
        <v>49</v>
      </c>
      <c r="E14" s="67" t="s">
        <v>190</v>
      </c>
      <c r="F14" s="67">
        <v>2</v>
      </c>
      <c r="G14" s="71" t="s">
        <v>50</v>
      </c>
      <c r="H14" s="68">
        <v>52600</v>
      </c>
      <c r="I14" s="68">
        <f t="shared" si="0"/>
        <v>105200</v>
      </c>
      <c r="J14" s="68">
        <v>50000</v>
      </c>
      <c r="K14" s="68">
        <f t="shared" ref="K14:K27" si="3">J14*F14</f>
        <v>100000</v>
      </c>
      <c r="L14" s="68">
        <f t="shared" ref="L14:M30" si="4">(J14+H14)/2</f>
        <v>51300</v>
      </c>
      <c r="M14" s="69">
        <f t="shared" si="4"/>
        <v>102600</v>
      </c>
      <c r="N14" s="70"/>
      <c r="O14" s="64" t="s">
        <v>43</v>
      </c>
      <c r="P14" s="27"/>
    </row>
    <row r="15" spans="1:16" s="7" customFormat="1" ht="75">
      <c r="A15" s="64">
        <v>12</v>
      </c>
      <c r="B15" s="66">
        <v>31161509</v>
      </c>
      <c r="C15" s="66" t="s">
        <v>191</v>
      </c>
      <c r="D15" s="66" t="s">
        <v>51</v>
      </c>
      <c r="E15" s="66" t="s">
        <v>52</v>
      </c>
      <c r="F15" s="66">
        <v>2000</v>
      </c>
      <c r="G15" s="66" t="s">
        <v>53</v>
      </c>
      <c r="H15" s="68">
        <v>50</v>
      </c>
      <c r="I15" s="68">
        <f t="shared" si="0"/>
        <v>100000</v>
      </c>
      <c r="J15" s="68">
        <v>45</v>
      </c>
      <c r="K15" s="68">
        <f t="shared" si="3"/>
        <v>90000</v>
      </c>
      <c r="L15" s="68">
        <f t="shared" si="4"/>
        <v>47.5</v>
      </c>
      <c r="M15" s="69">
        <f t="shared" si="4"/>
        <v>95000</v>
      </c>
      <c r="N15" s="70" t="s">
        <v>192</v>
      </c>
      <c r="O15" s="64" t="s">
        <v>43</v>
      </c>
      <c r="P15" s="27"/>
    </row>
    <row r="16" spans="1:16" s="7" customFormat="1" ht="75">
      <c r="A16" s="64">
        <v>13</v>
      </c>
      <c r="B16" s="66">
        <v>31161509</v>
      </c>
      <c r="C16" s="66" t="s">
        <v>191</v>
      </c>
      <c r="D16" s="66" t="s">
        <v>54</v>
      </c>
      <c r="E16" s="66" t="s">
        <v>52</v>
      </c>
      <c r="F16" s="73">
        <v>1000</v>
      </c>
      <c r="G16" s="66" t="s">
        <v>53</v>
      </c>
      <c r="H16" s="68">
        <v>25</v>
      </c>
      <c r="I16" s="68">
        <f t="shared" si="0"/>
        <v>25000</v>
      </c>
      <c r="J16" s="68">
        <v>25</v>
      </c>
      <c r="K16" s="68">
        <f t="shared" si="3"/>
        <v>25000</v>
      </c>
      <c r="L16" s="68">
        <f t="shared" si="4"/>
        <v>25</v>
      </c>
      <c r="M16" s="69">
        <f t="shared" si="4"/>
        <v>25000</v>
      </c>
      <c r="N16" s="70" t="s">
        <v>192</v>
      </c>
      <c r="O16" s="64" t="s">
        <v>43</v>
      </c>
      <c r="P16" s="27"/>
    </row>
    <row r="17" spans="1:16" s="7" customFormat="1" ht="75">
      <c r="A17" s="74">
        <v>14</v>
      </c>
      <c r="B17" s="75">
        <v>30161510</v>
      </c>
      <c r="C17" s="75" t="s">
        <v>160</v>
      </c>
      <c r="D17" s="75" t="s">
        <v>55</v>
      </c>
      <c r="E17" s="75" t="s">
        <v>193</v>
      </c>
      <c r="F17" s="75">
        <v>4</v>
      </c>
      <c r="G17" s="74" t="s">
        <v>56</v>
      </c>
      <c r="H17" s="76">
        <f>(41592*19%)+41592</f>
        <v>49494.48</v>
      </c>
      <c r="I17" s="77">
        <f t="shared" si="0"/>
        <v>197977.92</v>
      </c>
      <c r="J17" s="77">
        <f>(48900*19%)+48900</f>
        <v>58191</v>
      </c>
      <c r="K17" s="77">
        <f t="shared" si="3"/>
        <v>232764</v>
      </c>
      <c r="L17" s="78">
        <f t="shared" si="4"/>
        <v>53842.740000000005</v>
      </c>
      <c r="M17" s="79">
        <f>(K17+I17)/2</f>
        <v>215370.96000000002</v>
      </c>
      <c r="N17" s="80"/>
      <c r="O17" s="74" t="s">
        <v>57</v>
      </c>
      <c r="P17" s="27"/>
    </row>
    <row r="18" spans="1:16" s="7" customFormat="1" ht="75" customHeight="1">
      <c r="A18" s="74">
        <v>15</v>
      </c>
      <c r="B18" s="75">
        <v>11111601</v>
      </c>
      <c r="C18" s="75" t="s">
        <v>161</v>
      </c>
      <c r="D18" s="75" t="s">
        <v>58</v>
      </c>
      <c r="E18" s="75" t="s">
        <v>59</v>
      </c>
      <c r="F18" s="75">
        <v>4</v>
      </c>
      <c r="G18" s="74" t="s">
        <v>62</v>
      </c>
      <c r="H18" s="76">
        <f>(3782*19%)+3782</f>
        <v>4500.58</v>
      </c>
      <c r="I18" s="77">
        <f t="shared" si="0"/>
        <v>18002.32</v>
      </c>
      <c r="J18" s="77">
        <f>(28000*19%)+28000</f>
        <v>33320</v>
      </c>
      <c r="K18" s="77">
        <f t="shared" si="3"/>
        <v>133280</v>
      </c>
      <c r="L18" s="78">
        <f t="shared" si="4"/>
        <v>18910.29</v>
      </c>
      <c r="M18" s="79">
        <f>(K18+I18)/2</f>
        <v>75641.16</v>
      </c>
      <c r="N18" s="80" t="s">
        <v>194</v>
      </c>
      <c r="O18" s="74" t="s">
        <v>57</v>
      </c>
      <c r="P18" s="27"/>
    </row>
    <row r="19" spans="1:16" s="7" customFormat="1" ht="60">
      <c r="A19" s="74">
        <v>16</v>
      </c>
      <c r="B19" s="75">
        <v>11111601</v>
      </c>
      <c r="C19" s="75" t="s">
        <v>161</v>
      </c>
      <c r="D19" s="75" t="s">
        <v>60</v>
      </c>
      <c r="E19" s="75" t="s">
        <v>61</v>
      </c>
      <c r="F19" s="75">
        <v>6</v>
      </c>
      <c r="G19" s="74" t="s">
        <v>62</v>
      </c>
      <c r="H19" s="76">
        <f>(21689*19%)+21689</f>
        <v>25809.91</v>
      </c>
      <c r="I19" s="77">
        <f t="shared" si="0"/>
        <v>154859.46</v>
      </c>
      <c r="J19" s="77">
        <f>(37000*19%)+37000</f>
        <v>44030</v>
      </c>
      <c r="K19" s="77">
        <f t="shared" si="3"/>
        <v>264180</v>
      </c>
      <c r="L19" s="78">
        <f t="shared" si="4"/>
        <v>34919.955000000002</v>
      </c>
      <c r="M19" s="79">
        <f>(K19+I19)/2</f>
        <v>209519.72999999998</v>
      </c>
      <c r="N19" s="80"/>
      <c r="O19" s="74" t="s">
        <v>57</v>
      </c>
      <c r="P19" s="27"/>
    </row>
    <row r="20" spans="1:16" s="7" customFormat="1" ht="30">
      <c r="A20" s="74">
        <v>17</v>
      </c>
      <c r="B20" s="75">
        <v>31211502</v>
      </c>
      <c r="C20" s="75" t="s">
        <v>162</v>
      </c>
      <c r="D20" s="75" t="s">
        <v>63</v>
      </c>
      <c r="E20" s="75" t="s">
        <v>64</v>
      </c>
      <c r="F20" s="75">
        <v>2</v>
      </c>
      <c r="G20" s="74" t="s">
        <v>56</v>
      </c>
      <c r="H20" s="76">
        <f>(345294*19%)+345294</f>
        <v>410899.86</v>
      </c>
      <c r="I20" s="77">
        <f t="shared" si="0"/>
        <v>821799.72</v>
      </c>
      <c r="J20" s="77">
        <f>(525000*19%)+525000</f>
        <v>624750</v>
      </c>
      <c r="K20" s="77">
        <f t="shared" si="3"/>
        <v>1249500</v>
      </c>
      <c r="L20" s="78">
        <f t="shared" si="4"/>
        <v>517824.93</v>
      </c>
      <c r="M20" s="79">
        <f t="shared" si="4"/>
        <v>1035649.86</v>
      </c>
      <c r="N20" s="80" t="s">
        <v>195</v>
      </c>
      <c r="O20" s="74" t="s">
        <v>57</v>
      </c>
      <c r="P20" s="27"/>
    </row>
    <row r="21" spans="1:16" s="7" customFormat="1" ht="30">
      <c r="A21" s="74">
        <v>18</v>
      </c>
      <c r="B21" s="75">
        <v>31211502</v>
      </c>
      <c r="C21" s="75" t="s">
        <v>162</v>
      </c>
      <c r="D21" s="75" t="s">
        <v>65</v>
      </c>
      <c r="E21" s="75" t="s">
        <v>196</v>
      </c>
      <c r="F21" s="75">
        <v>5</v>
      </c>
      <c r="G21" s="74" t="s">
        <v>39</v>
      </c>
      <c r="H21" s="76">
        <f>(75549*19%)+75549</f>
        <v>89903.31</v>
      </c>
      <c r="I21" s="77">
        <f t="shared" si="0"/>
        <v>449516.55</v>
      </c>
      <c r="J21" s="77">
        <f>(77900*19%)+77900</f>
        <v>92701</v>
      </c>
      <c r="K21" s="77">
        <f t="shared" si="3"/>
        <v>463505</v>
      </c>
      <c r="L21" s="78">
        <f t="shared" si="4"/>
        <v>91302.154999999999</v>
      </c>
      <c r="M21" s="79">
        <f t="shared" si="4"/>
        <v>456510.77500000002</v>
      </c>
      <c r="N21" s="80"/>
      <c r="O21" s="74" t="s">
        <v>57</v>
      </c>
      <c r="P21" s="27"/>
    </row>
    <row r="22" spans="1:16" s="7" customFormat="1" ht="120" customHeight="1">
      <c r="A22" s="74">
        <v>19</v>
      </c>
      <c r="B22" s="74">
        <v>30161706</v>
      </c>
      <c r="C22" s="74" t="s">
        <v>163</v>
      </c>
      <c r="D22" s="75" t="s">
        <v>66</v>
      </c>
      <c r="E22" s="75" t="s">
        <v>175</v>
      </c>
      <c r="F22" s="74">
        <v>4</v>
      </c>
      <c r="G22" s="74" t="s">
        <v>176</v>
      </c>
      <c r="H22" s="76">
        <f>(39459*19%)+39459</f>
        <v>46956.21</v>
      </c>
      <c r="I22" s="77">
        <f t="shared" si="0"/>
        <v>187824.84</v>
      </c>
      <c r="J22" s="77">
        <v>36900</v>
      </c>
      <c r="K22" s="77">
        <f t="shared" si="3"/>
        <v>147600</v>
      </c>
      <c r="L22" s="78">
        <f t="shared" si="4"/>
        <v>41928.104999999996</v>
      </c>
      <c r="M22" s="79">
        <f t="shared" si="4"/>
        <v>167712.41999999998</v>
      </c>
      <c r="N22" s="80" t="s">
        <v>195</v>
      </c>
      <c r="O22" s="74" t="s">
        <v>57</v>
      </c>
      <c r="P22" s="27"/>
    </row>
    <row r="23" spans="1:16" s="7" customFormat="1" ht="21.75" customHeight="1">
      <c r="A23" s="74">
        <v>20</v>
      </c>
      <c r="B23" s="75">
        <v>11111601</v>
      </c>
      <c r="C23" s="75" t="s">
        <v>161</v>
      </c>
      <c r="D23" s="75" t="s">
        <v>67</v>
      </c>
      <c r="E23" s="74" t="s">
        <v>68</v>
      </c>
      <c r="F23" s="74">
        <v>16</v>
      </c>
      <c r="G23" s="74" t="s">
        <v>69</v>
      </c>
      <c r="H23" s="76">
        <v>23100</v>
      </c>
      <c r="I23" s="77">
        <f t="shared" si="0"/>
        <v>369600</v>
      </c>
      <c r="J23" s="77">
        <f>(62800*19%)+62800</f>
        <v>74732</v>
      </c>
      <c r="K23" s="77">
        <f t="shared" si="3"/>
        <v>1195712</v>
      </c>
      <c r="L23" s="78">
        <f t="shared" si="4"/>
        <v>48916</v>
      </c>
      <c r="M23" s="79">
        <f t="shared" si="4"/>
        <v>782656</v>
      </c>
      <c r="N23" s="80" t="s">
        <v>195</v>
      </c>
      <c r="O23" s="74" t="s">
        <v>57</v>
      </c>
      <c r="P23" s="27"/>
    </row>
    <row r="24" spans="1:16" s="7" customFormat="1" ht="45">
      <c r="A24" s="74">
        <v>21</v>
      </c>
      <c r="B24" s="75">
        <v>31162103</v>
      </c>
      <c r="C24" s="75" t="s">
        <v>164</v>
      </c>
      <c r="D24" s="75" t="s">
        <v>70</v>
      </c>
      <c r="E24" s="81" t="s">
        <v>213</v>
      </c>
      <c r="F24" s="81">
        <v>25</v>
      </c>
      <c r="G24" s="74" t="s">
        <v>69</v>
      </c>
      <c r="H24" s="76">
        <f>(4959*19%)+4959</f>
        <v>5901.21</v>
      </c>
      <c r="I24" s="77">
        <f t="shared" si="0"/>
        <v>147530.25</v>
      </c>
      <c r="J24" s="77">
        <f>(5600*19%)+5600</f>
        <v>6664</v>
      </c>
      <c r="K24" s="77">
        <f t="shared" si="3"/>
        <v>166600</v>
      </c>
      <c r="L24" s="78">
        <f t="shared" si="4"/>
        <v>6282.6049999999996</v>
      </c>
      <c r="M24" s="79">
        <f t="shared" si="4"/>
        <v>157065.125</v>
      </c>
      <c r="N24" s="80" t="s">
        <v>195</v>
      </c>
      <c r="O24" s="74" t="s">
        <v>57</v>
      </c>
      <c r="P24" s="27"/>
    </row>
    <row r="25" spans="1:16" s="7" customFormat="1" ht="45">
      <c r="A25" s="74">
        <v>22</v>
      </c>
      <c r="B25" s="75">
        <v>31162103</v>
      </c>
      <c r="C25" s="75" t="s">
        <v>164</v>
      </c>
      <c r="D25" s="75" t="s">
        <v>72</v>
      </c>
      <c r="E25" s="75" t="s">
        <v>214</v>
      </c>
      <c r="F25" s="75">
        <v>19</v>
      </c>
      <c r="G25" s="75" t="s">
        <v>69</v>
      </c>
      <c r="H25" s="76">
        <f>(4949*19%)+4949</f>
        <v>5889.31</v>
      </c>
      <c r="I25" s="77">
        <f t="shared" si="0"/>
        <v>111896.89000000001</v>
      </c>
      <c r="J25" s="77">
        <f>(10000*19%)+10000</f>
        <v>11900</v>
      </c>
      <c r="K25" s="77">
        <f t="shared" si="3"/>
        <v>226100</v>
      </c>
      <c r="L25" s="78">
        <f t="shared" si="4"/>
        <v>8894.6550000000007</v>
      </c>
      <c r="M25" s="79">
        <f t="shared" si="4"/>
        <v>168998.44500000001</v>
      </c>
      <c r="N25" s="80" t="s">
        <v>195</v>
      </c>
      <c r="O25" s="74" t="s">
        <v>57</v>
      </c>
      <c r="P25" s="27"/>
    </row>
    <row r="26" spans="1:16" s="7" customFormat="1" ht="45">
      <c r="A26" s="74">
        <v>23</v>
      </c>
      <c r="B26" s="75">
        <v>23153401</v>
      </c>
      <c r="C26" s="75" t="s">
        <v>48</v>
      </c>
      <c r="D26" s="75" t="s">
        <v>74</v>
      </c>
      <c r="E26" s="75" t="s">
        <v>75</v>
      </c>
      <c r="F26" s="75">
        <v>7</v>
      </c>
      <c r="G26" s="75" t="s">
        <v>62</v>
      </c>
      <c r="H26" s="76">
        <f>(26304*19%)+26304</f>
        <v>31301.760000000002</v>
      </c>
      <c r="I26" s="77">
        <f t="shared" si="0"/>
        <v>219112.32000000001</v>
      </c>
      <c r="J26" s="77">
        <f>(26700*19%)+26700</f>
        <v>31773</v>
      </c>
      <c r="K26" s="77">
        <f t="shared" si="3"/>
        <v>222411</v>
      </c>
      <c r="L26" s="78">
        <f t="shared" si="4"/>
        <v>31537.38</v>
      </c>
      <c r="M26" s="79">
        <f t="shared" si="4"/>
        <v>220761.66</v>
      </c>
      <c r="N26" s="80"/>
      <c r="O26" s="74" t="s">
        <v>57</v>
      </c>
      <c r="P26" s="27"/>
    </row>
    <row r="27" spans="1:16" s="7" customFormat="1" ht="45">
      <c r="A27" s="74">
        <v>24</v>
      </c>
      <c r="B27" s="75">
        <v>31162103</v>
      </c>
      <c r="C27" s="75" t="s">
        <v>164</v>
      </c>
      <c r="D27" s="75" t="s">
        <v>72</v>
      </c>
      <c r="E27" s="75" t="s">
        <v>215</v>
      </c>
      <c r="F27" s="75">
        <v>2</v>
      </c>
      <c r="G27" s="75" t="s">
        <v>69</v>
      </c>
      <c r="H27" s="76">
        <f>(3782*19%)+3782</f>
        <v>4500.58</v>
      </c>
      <c r="I27" s="77">
        <f t="shared" si="0"/>
        <v>9001.16</v>
      </c>
      <c r="J27" s="77">
        <f>(11500*19%)+11500</f>
        <v>13685</v>
      </c>
      <c r="K27" s="77">
        <f t="shared" si="3"/>
        <v>27370</v>
      </c>
      <c r="L27" s="78">
        <f t="shared" si="4"/>
        <v>9092.7900000000009</v>
      </c>
      <c r="M27" s="79">
        <f t="shared" si="4"/>
        <v>18185.580000000002</v>
      </c>
      <c r="N27" s="80" t="s">
        <v>195</v>
      </c>
      <c r="O27" s="74" t="s">
        <v>57</v>
      </c>
      <c r="P27" s="27"/>
    </row>
    <row r="28" spans="1:16" s="7" customFormat="1" ht="165">
      <c r="A28" s="5">
        <v>25</v>
      </c>
      <c r="B28" s="82">
        <v>39121032</v>
      </c>
      <c r="C28" s="83" t="s">
        <v>77</v>
      </c>
      <c r="D28" s="83" t="s">
        <v>78</v>
      </c>
      <c r="E28" s="83" t="s">
        <v>79</v>
      </c>
      <c r="F28" s="83">
        <v>1</v>
      </c>
      <c r="G28" s="82" t="s">
        <v>21</v>
      </c>
      <c r="H28" s="84">
        <f>(187495.4*19%)+187495.4</f>
        <v>223119.52599999998</v>
      </c>
      <c r="I28" s="84">
        <f>H28*F28</f>
        <v>223119.52599999998</v>
      </c>
      <c r="J28" s="85">
        <v>272000</v>
      </c>
      <c r="K28" s="84">
        <f>J28*F28</f>
        <v>272000</v>
      </c>
      <c r="L28" s="86">
        <f t="shared" si="4"/>
        <v>247559.76299999998</v>
      </c>
      <c r="M28" s="87">
        <f t="shared" si="4"/>
        <v>247559.76299999998</v>
      </c>
      <c r="N28" s="88" t="s">
        <v>198</v>
      </c>
      <c r="O28" s="82" t="s">
        <v>80</v>
      </c>
      <c r="P28" s="27"/>
    </row>
    <row r="29" spans="1:16" s="7" customFormat="1" ht="195">
      <c r="A29" s="5">
        <v>26</v>
      </c>
      <c r="B29" s="82">
        <v>39112102</v>
      </c>
      <c r="C29" s="83" t="s">
        <v>81</v>
      </c>
      <c r="D29" s="83" t="s">
        <v>82</v>
      </c>
      <c r="E29" s="83" t="s">
        <v>197</v>
      </c>
      <c r="F29" s="83">
        <v>15</v>
      </c>
      <c r="G29" s="82" t="s">
        <v>83</v>
      </c>
      <c r="H29" s="84">
        <f>(29412*19%)+29412</f>
        <v>35000.28</v>
      </c>
      <c r="I29" s="84">
        <f>H29*F29</f>
        <v>525004.19999999995</v>
      </c>
      <c r="J29" s="85">
        <v>59500</v>
      </c>
      <c r="K29" s="84">
        <f>J29*F29</f>
        <v>892500</v>
      </c>
      <c r="L29" s="86">
        <f t="shared" si="4"/>
        <v>47250.14</v>
      </c>
      <c r="M29" s="87">
        <f t="shared" si="4"/>
        <v>708752.1</v>
      </c>
      <c r="N29" s="88" t="s">
        <v>195</v>
      </c>
      <c r="O29" s="82" t="s">
        <v>80</v>
      </c>
      <c r="P29" s="27"/>
    </row>
    <row r="30" spans="1:16" s="7" customFormat="1" ht="135">
      <c r="A30" s="5">
        <v>27</v>
      </c>
      <c r="B30" s="89">
        <v>39121614</v>
      </c>
      <c r="C30" s="89" t="s">
        <v>84</v>
      </c>
      <c r="D30" s="90" t="s">
        <v>85</v>
      </c>
      <c r="E30" s="89" t="s">
        <v>86</v>
      </c>
      <c r="F30" s="91">
        <v>2</v>
      </c>
      <c r="G30" s="92" t="s">
        <v>87</v>
      </c>
      <c r="H30" s="93">
        <f>(81655*19%)+81655</f>
        <v>97169.45</v>
      </c>
      <c r="I30" s="94">
        <f>H30*F30</f>
        <v>194338.9</v>
      </c>
      <c r="J30" s="93">
        <v>101641</v>
      </c>
      <c r="K30" s="94">
        <f>J30*F30</f>
        <v>203282</v>
      </c>
      <c r="L30" s="95">
        <f t="shared" si="4"/>
        <v>99405.225000000006</v>
      </c>
      <c r="M30" s="96">
        <f t="shared" si="4"/>
        <v>198810.45</v>
      </c>
      <c r="N30" s="97" t="s">
        <v>195</v>
      </c>
      <c r="O30" s="98" t="s">
        <v>102</v>
      </c>
      <c r="P30" s="27"/>
    </row>
    <row r="31" spans="1:16" s="7" customFormat="1" ht="285">
      <c r="A31" s="5">
        <v>28</v>
      </c>
      <c r="B31" s="99">
        <v>39121614</v>
      </c>
      <c r="C31" s="89" t="s">
        <v>84</v>
      </c>
      <c r="D31" s="100" t="s">
        <v>88</v>
      </c>
      <c r="E31" s="89" t="s">
        <v>89</v>
      </c>
      <c r="F31" s="91">
        <v>2</v>
      </c>
      <c r="G31" s="92" t="s">
        <v>87</v>
      </c>
      <c r="H31" s="101">
        <f>(107402*19%)+107402</f>
        <v>127808.38</v>
      </c>
      <c r="I31" s="94">
        <f t="shared" ref="I31:I37" si="5">H31*F31</f>
        <v>255616.76</v>
      </c>
      <c r="J31" s="101">
        <v>133941</v>
      </c>
      <c r="K31" s="94">
        <f t="shared" ref="K31:K35" si="6">J31*F31</f>
        <v>267882</v>
      </c>
      <c r="L31" s="95">
        <f t="shared" ref="L31:M35" si="7">(J31+H31)/2</f>
        <v>130874.69</v>
      </c>
      <c r="M31" s="96">
        <f t="shared" si="7"/>
        <v>261749.38</v>
      </c>
      <c r="N31" s="97" t="s">
        <v>195</v>
      </c>
      <c r="O31" s="98" t="s">
        <v>102</v>
      </c>
      <c r="P31" s="27"/>
    </row>
    <row r="32" spans="1:16" s="7" customFormat="1" ht="240">
      <c r="A32" s="5">
        <v>29</v>
      </c>
      <c r="B32" s="89">
        <v>39121640</v>
      </c>
      <c r="C32" s="89" t="s">
        <v>90</v>
      </c>
      <c r="D32" s="100" t="s">
        <v>91</v>
      </c>
      <c r="E32" s="89" t="s">
        <v>92</v>
      </c>
      <c r="F32" s="91">
        <v>2</v>
      </c>
      <c r="G32" s="92" t="s">
        <v>87</v>
      </c>
      <c r="H32" s="93">
        <f>(117863*19%)+117863</f>
        <v>140256.97</v>
      </c>
      <c r="I32" s="94">
        <f t="shared" si="5"/>
        <v>280513.94</v>
      </c>
      <c r="J32" s="93">
        <v>146291</v>
      </c>
      <c r="K32" s="94">
        <f t="shared" si="6"/>
        <v>292582</v>
      </c>
      <c r="L32" s="95">
        <f t="shared" si="7"/>
        <v>143273.98499999999</v>
      </c>
      <c r="M32" s="96">
        <f t="shared" si="7"/>
        <v>286547.96999999997</v>
      </c>
      <c r="N32" s="97" t="s">
        <v>195</v>
      </c>
      <c r="O32" s="98" t="s">
        <v>102</v>
      </c>
      <c r="P32" s="27"/>
    </row>
    <row r="33" spans="1:16" s="7" customFormat="1" ht="120">
      <c r="A33" s="5">
        <v>30</v>
      </c>
      <c r="B33" s="89">
        <v>39121611</v>
      </c>
      <c r="C33" s="89" t="s">
        <v>93</v>
      </c>
      <c r="D33" s="100" t="s">
        <v>94</v>
      </c>
      <c r="E33" s="89" t="s">
        <v>95</v>
      </c>
      <c r="F33" s="91">
        <v>9</v>
      </c>
      <c r="G33" s="92" t="s">
        <v>87</v>
      </c>
      <c r="H33" s="93">
        <f>(8809*19%)+8809</f>
        <v>10482.709999999999</v>
      </c>
      <c r="I33" s="94">
        <f t="shared" si="5"/>
        <v>94344.389999999985</v>
      </c>
      <c r="J33" s="93">
        <v>11391</v>
      </c>
      <c r="K33" s="94">
        <f t="shared" si="6"/>
        <v>102519</v>
      </c>
      <c r="L33" s="95">
        <f t="shared" si="7"/>
        <v>10936.855</v>
      </c>
      <c r="M33" s="96">
        <f t="shared" si="7"/>
        <v>98431.694999999992</v>
      </c>
      <c r="N33" s="97" t="s">
        <v>195</v>
      </c>
      <c r="O33" s="98" t="s">
        <v>102</v>
      </c>
      <c r="P33" s="27"/>
    </row>
    <row r="34" spans="1:16" s="7" customFormat="1" ht="120">
      <c r="A34" s="5">
        <v>31</v>
      </c>
      <c r="B34" s="89">
        <v>39121611</v>
      </c>
      <c r="C34" s="89" t="s">
        <v>93</v>
      </c>
      <c r="D34" s="100" t="s">
        <v>96</v>
      </c>
      <c r="E34" s="89" t="s">
        <v>97</v>
      </c>
      <c r="F34" s="91">
        <v>8</v>
      </c>
      <c r="G34" s="92" t="s">
        <v>87</v>
      </c>
      <c r="H34" s="93">
        <f>(8809*19%)+8809</f>
        <v>10482.709999999999</v>
      </c>
      <c r="I34" s="94">
        <f t="shared" si="5"/>
        <v>83861.679999999993</v>
      </c>
      <c r="J34" s="93">
        <v>11391</v>
      </c>
      <c r="K34" s="94">
        <f t="shared" si="6"/>
        <v>91128</v>
      </c>
      <c r="L34" s="95">
        <f t="shared" si="7"/>
        <v>10936.855</v>
      </c>
      <c r="M34" s="96">
        <f t="shared" si="7"/>
        <v>87494.84</v>
      </c>
      <c r="N34" s="97" t="s">
        <v>195</v>
      </c>
      <c r="O34" s="98" t="s">
        <v>102</v>
      </c>
      <c r="P34" s="27"/>
    </row>
    <row r="35" spans="1:16" s="7" customFormat="1" ht="405">
      <c r="A35" s="5">
        <v>32</v>
      </c>
      <c r="B35" s="89">
        <v>39131709</v>
      </c>
      <c r="C35" s="89" t="s">
        <v>98</v>
      </c>
      <c r="D35" s="100" t="s">
        <v>99</v>
      </c>
      <c r="E35" s="89" t="s">
        <v>100</v>
      </c>
      <c r="F35" s="91">
        <v>30</v>
      </c>
      <c r="G35" s="92" t="s">
        <v>101</v>
      </c>
      <c r="H35" s="93">
        <f>(5506*19%)+5506</f>
        <v>6552.14</v>
      </c>
      <c r="I35" s="94">
        <f t="shared" si="5"/>
        <v>196564.2</v>
      </c>
      <c r="J35" s="93">
        <v>9690</v>
      </c>
      <c r="K35" s="94">
        <f t="shared" si="6"/>
        <v>290700</v>
      </c>
      <c r="L35" s="95">
        <f t="shared" si="7"/>
        <v>8121.07</v>
      </c>
      <c r="M35" s="96">
        <f t="shared" si="7"/>
        <v>243632.1</v>
      </c>
      <c r="N35" s="97" t="s">
        <v>195</v>
      </c>
      <c r="O35" s="98" t="s">
        <v>102</v>
      </c>
      <c r="P35" s="27"/>
    </row>
    <row r="36" spans="1:16" s="7" customFormat="1" ht="120">
      <c r="A36" s="5">
        <v>33</v>
      </c>
      <c r="B36" s="102">
        <v>30262401</v>
      </c>
      <c r="C36" s="103" t="s">
        <v>13</v>
      </c>
      <c r="D36" s="103" t="s">
        <v>14</v>
      </c>
      <c r="E36" s="103" t="s">
        <v>16</v>
      </c>
      <c r="F36" s="103">
        <v>700</v>
      </c>
      <c r="G36" s="103" t="s">
        <v>105</v>
      </c>
      <c r="H36" s="104">
        <v>1778.0028</v>
      </c>
      <c r="I36" s="104">
        <f t="shared" si="5"/>
        <v>1244601.96</v>
      </c>
      <c r="J36" s="104">
        <v>1900</v>
      </c>
      <c r="K36" s="104">
        <f>J36*F36</f>
        <v>1330000</v>
      </c>
      <c r="L36" s="104">
        <f>(J36+H36)/2</f>
        <v>1839.0014000000001</v>
      </c>
      <c r="M36" s="105">
        <f>(K36+I36)/2</f>
        <v>1287300.98</v>
      </c>
      <c r="N36" s="106" t="s">
        <v>195</v>
      </c>
      <c r="O36" s="102" t="s">
        <v>18</v>
      </c>
      <c r="P36" s="27"/>
    </row>
    <row r="37" spans="1:16" s="7" customFormat="1" ht="120">
      <c r="A37" s="5">
        <v>34</v>
      </c>
      <c r="B37" s="107">
        <v>30262401</v>
      </c>
      <c r="C37" s="103" t="s">
        <v>13</v>
      </c>
      <c r="D37" s="103" t="s">
        <v>15</v>
      </c>
      <c r="E37" s="103" t="s">
        <v>16</v>
      </c>
      <c r="F37" s="103">
        <v>700</v>
      </c>
      <c r="G37" s="103" t="s">
        <v>105</v>
      </c>
      <c r="H37" s="104">
        <v>1778.0028</v>
      </c>
      <c r="I37" s="104">
        <f t="shared" si="5"/>
        <v>1244601.96</v>
      </c>
      <c r="J37" s="104">
        <v>1900</v>
      </c>
      <c r="K37" s="104">
        <f t="shared" ref="K37" si="8">J37*F37</f>
        <v>1330000</v>
      </c>
      <c r="L37" s="104">
        <f t="shared" ref="L37:M37" si="9">(J37+H37)/2</f>
        <v>1839.0014000000001</v>
      </c>
      <c r="M37" s="105">
        <f t="shared" si="9"/>
        <v>1287300.98</v>
      </c>
      <c r="N37" s="106" t="s">
        <v>195</v>
      </c>
      <c r="O37" s="102" t="s">
        <v>18</v>
      </c>
      <c r="P37" s="27"/>
    </row>
    <row r="38" spans="1:16" s="7" customFormat="1" ht="300">
      <c r="A38" s="5">
        <v>35</v>
      </c>
      <c r="B38" s="108">
        <v>30263601</v>
      </c>
      <c r="C38" s="109" t="s">
        <v>103</v>
      </c>
      <c r="D38" s="110" t="s">
        <v>104</v>
      </c>
      <c r="E38" s="110" t="s">
        <v>216</v>
      </c>
      <c r="F38" s="109">
        <v>40</v>
      </c>
      <c r="G38" s="108" t="s">
        <v>105</v>
      </c>
      <c r="H38" s="111">
        <f>(58500*19%)+58500</f>
        <v>69615</v>
      </c>
      <c r="I38" s="111">
        <f>H38*F38</f>
        <v>2784600</v>
      </c>
      <c r="J38" s="111">
        <f>(55120*19%)+55120</f>
        <v>65592.800000000003</v>
      </c>
      <c r="K38" s="111">
        <f>J38*F38</f>
        <v>2623712</v>
      </c>
      <c r="L38" s="111">
        <f t="shared" ref="L38:L40" si="10">(J38+H38)/2</f>
        <v>67603.899999999994</v>
      </c>
      <c r="M38" s="112">
        <f t="shared" ref="M38:M40" si="11">(K38+I38)/2</f>
        <v>2704156</v>
      </c>
      <c r="N38" s="113" t="s">
        <v>195</v>
      </c>
      <c r="O38" s="108" t="s">
        <v>106</v>
      </c>
      <c r="P38" s="27"/>
    </row>
    <row r="39" spans="1:16" s="7" customFormat="1" ht="180">
      <c r="A39" s="5">
        <v>36</v>
      </c>
      <c r="B39" s="108">
        <v>20111614</v>
      </c>
      <c r="C39" s="109" t="s">
        <v>107</v>
      </c>
      <c r="D39" s="109" t="s">
        <v>108</v>
      </c>
      <c r="E39" s="110" t="s">
        <v>217</v>
      </c>
      <c r="F39" s="109">
        <v>2</v>
      </c>
      <c r="G39" s="108" t="s">
        <v>177</v>
      </c>
      <c r="H39" s="111">
        <f>(80750*19%)+80750</f>
        <v>96092.5</v>
      </c>
      <c r="I39" s="111">
        <f>H39*F39</f>
        <v>192185</v>
      </c>
      <c r="J39" s="111">
        <f>(70694*19%)+70694</f>
        <v>84125.86</v>
      </c>
      <c r="K39" s="111">
        <f>J39*F39</f>
        <v>168251.72</v>
      </c>
      <c r="L39" s="111">
        <f t="shared" si="10"/>
        <v>90109.18</v>
      </c>
      <c r="M39" s="112">
        <f t="shared" si="11"/>
        <v>180218.36</v>
      </c>
      <c r="N39" s="113" t="s">
        <v>195</v>
      </c>
      <c r="O39" s="108" t="s">
        <v>106</v>
      </c>
      <c r="P39" s="27"/>
    </row>
    <row r="40" spans="1:16" s="7" customFormat="1" ht="105">
      <c r="A40" s="5">
        <v>37</v>
      </c>
      <c r="B40" s="108">
        <v>31231402</v>
      </c>
      <c r="C40" s="109" t="s">
        <v>110</v>
      </c>
      <c r="D40" s="109" t="s">
        <v>111</v>
      </c>
      <c r="E40" s="110" t="s">
        <v>218</v>
      </c>
      <c r="F40" s="109">
        <v>24</v>
      </c>
      <c r="G40" s="108" t="s">
        <v>105</v>
      </c>
      <c r="H40" s="111">
        <f>(18220*19%)+18220</f>
        <v>21681.8</v>
      </c>
      <c r="I40" s="111">
        <f>H40*F40</f>
        <v>520363.19999999995</v>
      </c>
      <c r="J40" s="111">
        <f>(15864*19%)+15864</f>
        <v>18878.16</v>
      </c>
      <c r="K40" s="111">
        <f>J40*F40</f>
        <v>453075.83999999997</v>
      </c>
      <c r="L40" s="111">
        <f t="shared" si="10"/>
        <v>20279.98</v>
      </c>
      <c r="M40" s="112">
        <f t="shared" si="11"/>
        <v>486719.51999999996</v>
      </c>
      <c r="N40" s="113"/>
      <c r="O40" s="108" t="s">
        <v>106</v>
      </c>
      <c r="P40" s="27"/>
    </row>
    <row r="41" spans="1:16" s="7" customFormat="1" ht="195">
      <c r="A41" s="5">
        <v>38</v>
      </c>
      <c r="B41" s="114">
        <v>44102912</v>
      </c>
      <c r="C41" s="115" t="s">
        <v>113</v>
      </c>
      <c r="D41" s="116" t="s">
        <v>114</v>
      </c>
      <c r="E41" s="117" t="s">
        <v>115</v>
      </c>
      <c r="F41" s="114">
        <v>35</v>
      </c>
      <c r="G41" s="118" t="s">
        <v>116</v>
      </c>
      <c r="H41" s="119">
        <v>21900</v>
      </c>
      <c r="I41" s="120">
        <f>H41*F41</f>
        <v>766500</v>
      </c>
      <c r="J41" s="119">
        <v>25000</v>
      </c>
      <c r="K41" s="120">
        <f>J41*F41</f>
        <v>875000</v>
      </c>
      <c r="L41" s="120">
        <f t="shared" ref="L41:L52" si="12">(J41+H41)/2</f>
        <v>23450</v>
      </c>
      <c r="M41" s="121">
        <f t="shared" ref="M41:M52" si="13">(K41+I41)/2</f>
        <v>820750</v>
      </c>
      <c r="N41" s="122" t="s">
        <v>200</v>
      </c>
      <c r="O41" s="118" t="s">
        <v>145</v>
      </c>
      <c r="P41" s="27"/>
    </row>
    <row r="42" spans="1:16" s="7" customFormat="1" ht="165">
      <c r="A42" s="5">
        <v>39</v>
      </c>
      <c r="B42" s="123">
        <v>31201502</v>
      </c>
      <c r="C42" s="115" t="s">
        <v>117</v>
      </c>
      <c r="D42" s="116" t="s">
        <v>118</v>
      </c>
      <c r="E42" s="117" t="s">
        <v>119</v>
      </c>
      <c r="F42" s="124">
        <v>40</v>
      </c>
      <c r="G42" s="118" t="s">
        <v>116</v>
      </c>
      <c r="H42" s="119">
        <v>3700</v>
      </c>
      <c r="I42" s="120">
        <f t="shared" ref="I42:I52" si="14">H42*F42</f>
        <v>148000</v>
      </c>
      <c r="J42" s="119">
        <v>4200</v>
      </c>
      <c r="K42" s="120">
        <f t="shared" ref="K42:K52" si="15">J42*F42</f>
        <v>168000</v>
      </c>
      <c r="L42" s="120">
        <f t="shared" si="12"/>
        <v>3950</v>
      </c>
      <c r="M42" s="121">
        <f t="shared" si="13"/>
        <v>158000</v>
      </c>
      <c r="N42" s="122" t="s">
        <v>195</v>
      </c>
      <c r="O42" s="118" t="s">
        <v>145</v>
      </c>
      <c r="P42" s="27"/>
    </row>
    <row r="43" spans="1:16" s="7" customFormat="1" ht="135">
      <c r="A43" s="5">
        <v>40</v>
      </c>
      <c r="B43" s="125">
        <v>42181715</v>
      </c>
      <c r="C43" s="115" t="s">
        <v>120</v>
      </c>
      <c r="D43" s="126" t="s">
        <v>121</v>
      </c>
      <c r="E43" s="127" t="s">
        <v>122</v>
      </c>
      <c r="F43" s="124">
        <v>40</v>
      </c>
      <c r="G43" s="118" t="s">
        <v>116</v>
      </c>
      <c r="H43" s="119">
        <v>3580</v>
      </c>
      <c r="I43" s="120">
        <f t="shared" si="14"/>
        <v>143200</v>
      </c>
      <c r="J43" s="119">
        <v>4100</v>
      </c>
      <c r="K43" s="120">
        <f t="shared" si="15"/>
        <v>164000</v>
      </c>
      <c r="L43" s="120">
        <f t="shared" si="12"/>
        <v>3840</v>
      </c>
      <c r="M43" s="121">
        <f t="shared" si="13"/>
        <v>153600</v>
      </c>
      <c r="N43" s="122" t="s">
        <v>201</v>
      </c>
      <c r="O43" s="118" t="s">
        <v>145</v>
      </c>
      <c r="P43" s="27"/>
    </row>
    <row r="44" spans="1:16" s="7" customFormat="1" ht="75">
      <c r="A44" s="5">
        <v>41</v>
      </c>
      <c r="B44" s="125">
        <v>31152306</v>
      </c>
      <c r="C44" s="115" t="s">
        <v>123</v>
      </c>
      <c r="D44" s="126" t="s">
        <v>124</v>
      </c>
      <c r="E44" s="127" t="s">
        <v>125</v>
      </c>
      <c r="F44" s="124">
        <v>20</v>
      </c>
      <c r="G44" s="118" t="s">
        <v>178</v>
      </c>
      <c r="H44" s="119">
        <v>38900</v>
      </c>
      <c r="I44" s="120">
        <f t="shared" si="14"/>
        <v>778000</v>
      </c>
      <c r="J44" s="119">
        <v>39500</v>
      </c>
      <c r="K44" s="120">
        <f t="shared" si="15"/>
        <v>790000</v>
      </c>
      <c r="L44" s="120">
        <f t="shared" si="12"/>
        <v>39200</v>
      </c>
      <c r="M44" s="121">
        <f t="shared" si="13"/>
        <v>784000</v>
      </c>
      <c r="N44" s="122" t="s">
        <v>195</v>
      </c>
      <c r="O44" s="118" t="s">
        <v>145</v>
      </c>
      <c r="P44" s="27"/>
    </row>
    <row r="45" spans="1:16" s="7" customFormat="1" ht="105">
      <c r="A45" s="5">
        <v>42</v>
      </c>
      <c r="B45" s="125">
        <v>23271816</v>
      </c>
      <c r="C45" s="115" t="s">
        <v>126</v>
      </c>
      <c r="D45" s="126" t="s">
        <v>127</v>
      </c>
      <c r="E45" s="127" t="s">
        <v>202</v>
      </c>
      <c r="F45" s="124">
        <v>40</v>
      </c>
      <c r="G45" s="118" t="s">
        <v>116</v>
      </c>
      <c r="H45" s="119">
        <v>7500</v>
      </c>
      <c r="I45" s="120">
        <f t="shared" si="14"/>
        <v>300000</v>
      </c>
      <c r="J45" s="119">
        <v>8400</v>
      </c>
      <c r="K45" s="120">
        <f t="shared" si="15"/>
        <v>336000</v>
      </c>
      <c r="L45" s="120">
        <f t="shared" si="12"/>
        <v>7950</v>
      </c>
      <c r="M45" s="121">
        <f t="shared" si="13"/>
        <v>318000</v>
      </c>
      <c r="N45" s="122" t="s">
        <v>203</v>
      </c>
      <c r="O45" s="118" t="s">
        <v>145</v>
      </c>
      <c r="P45" s="27"/>
    </row>
    <row r="46" spans="1:16" s="7" customFormat="1" ht="135">
      <c r="A46" s="5">
        <v>43</v>
      </c>
      <c r="B46" s="125">
        <v>26111711</v>
      </c>
      <c r="C46" s="115" t="s">
        <v>128</v>
      </c>
      <c r="D46" s="126" t="s">
        <v>129</v>
      </c>
      <c r="E46" s="127" t="s">
        <v>204</v>
      </c>
      <c r="F46" s="124">
        <v>40</v>
      </c>
      <c r="G46" s="118" t="s">
        <v>116</v>
      </c>
      <c r="H46" s="119">
        <v>1950</v>
      </c>
      <c r="I46" s="120">
        <f t="shared" si="14"/>
        <v>78000</v>
      </c>
      <c r="J46" s="119">
        <v>2300</v>
      </c>
      <c r="K46" s="120">
        <f t="shared" si="15"/>
        <v>92000</v>
      </c>
      <c r="L46" s="120">
        <f t="shared" si="12"/>
        <v>2125</v>
      </c>
      <c r="M46" s="121">
        <f t="shared" si="13"/>
        <v>85000</v>
      </c>
      <c r="N46" s="122" t="s">
        <v>205</v>
      </c>
      <c r="O46" s="118" t="s">
        <v>145</v>
      </c>
      <c r="P46" s="27"/>
    </row>
    <row r="47" spans="1:16" s="7" customFormat="1" ht="60">
      <c r="A47" s="5">
        <v>44</v>
      </c>
      <c r="B47" s="125">
        <v>26111702</v>
      </c>
      <c r="C47" s="115" t="s">
        <v>130</v>
      </c>
      <c r="D47" s="126" t="s">
        <v>131</v>
      </c>
      <c r="E47" s="127" t="s">
        <v>132</v>
      </c>
      <c r="F47" s="124">
        <v>40</v>
      </c>
      <c r="G47" s="118" t="s">
        <v>116</v>
      </c>
      <c r="H47" s="119">
        <v>4800</v>
      </c>
      <c r="I47" s="120">
        <f t="shared" si="14"/>
        <v>192000</v>
      </c>
      <c r="J47" s="119">
        <v>5500</v>
      </c>
      <c r="K47" s="120">
        <f t="shared" si="15"/>
        <v>220000</v>
      </c>
      <c r="L47" s="120">
        <f t="shared" si="12"/>
        <v>5150</v>
      </c>
      <c r="M47" s="121">
        <f t="shared" si="13"/>
        <v>206000</v>
      </c>
      <c r="N47" s="122" t="s">
        <v>206</v>
      </c>
      <c r="O47" s="118" t="s">
        <v>145</v>
      </c>
      <c r="P47" s="27"/>
    </row>
    <row r="48" spans="1:16" s="7" customFormat="1" ht="135">
      <c r="A48" s="5">
        <v>45</v>
      </c>
      <c r="B48" s="125">
        <v>42181715</v>
      </c>
      <c r="C48" s="115" t="s">
        <v>120</v>
      </c>
      <c r="D48" s="126" t="s">
        <v>133</v>
      </c>
      <c r="E48" s="127" t="s">
        <v>134</v>
      </c>
      <c r="F48" s="124">
        <v>40</v>
      </c>
      <c r="G48" s="118" t="s">
        <v>172</v>
      </c>
      <c r="H48" s="119">
        <v>7900</v>
      </c>
      <c r="I48" s="120">
        <f t="shared" si="14"/>
        <v>316000</v>
      </c>
      <c r="J48" s="119">
        <v>9000</v>
      </c>
      <c r="K48" s="120">
        <f t="shared" si="15"/>
        <v>360000</v>
      </c>
      <c r="L48" s="120">
        <f t="shared" si="12"/>
        <v>8450</v>
      </c>
      <c r="M48" s="121">
        <f t="shared" si="13"/>
        <v>338000</v>
      </c>
      <c r="N48" s="122"/>
      <c r="O48" s="118" t="s">
        <v>145</v>
      </c>
      <c r="P48" s="27"/>
    </row>
    <row r="49" spans="1:16" s="7" customFormat="1" ht="90">
      <c r="A49" s="5">
        <v>46</v>
      </c>
      <c r="B49" s="125">
        <v>60106205</v>
      </c>
      <c r="C49" s="115" t="s">
        <v>165</v>
      </c>
      <c r="D49" s="126" t="s">
        <v>135</v>
      </c>
      <c r="E49" s="127" t="s">
        <v>136</v>
      </c>
      <c r="F49" s="124">
        <v>40</v>
      </c>
      <c r="G49" s="118" t="s">
        <v>116</v>
      </c>
      <c r="H49" s="119">
        <v>8800</v>
      </c>
      <c r="I49" s="120">
        <f t="shared" si="14"/>
        <v>352000</v>
      </c>
      <c r="J49" s="119">
        <v>9500</v>
      </c>
      <c r="K49" s="120">
        <f t="shared" si="15"/>
        <v>380000</v>
      </c>
      <c r="L49" s="120">
        <f t="shared" si="12"/>
        <v>9150</v>
      </c>
      <c r="M49" s="121">
        <f t="shared" si="13"/>
        <v>366000</v>
      </c>
      <c r="N49" s="122" t="s">
        <v>207</v>
      </c>
      <c r="O49" s="118" t="s">
        <v>145</v>
      </c>
      <c r="P49" s="27"/>
    </row>
    <row r="50" spans="1:16" s="7" customFormat="1" ht="120">
      <c r="A50" s="5">
        <v>47</v>
      </c>
      <c r="B50" s="128">
        <v>32111503</v>
      </c>
      <c r="C50" s="115" t="s">
        <v>137</v>
      </c>
      <c r="D50" s="126" t="s">
        <v>138</v>
      </c>
      <c r="E50" s="129" t="s">
        <v>139</v>
      </c>
      <c r="F50" s="124">
        <v>2000</v>
      </c>
      <c r="G50" s="118" t="s">
        <v>116</v>
      </c>
      <c r="H50" s="119">
        <v>130</v>
      </c>
      <c r="I50" s="120">
        <f t="shared" si="14"/>
        <v>260000</v>
      </c>
      <c r="J50" s="119">
        <v>180</v>
      </c>
      <c r="K50" s="120">
        <f t="shared" si="15"/>
        <v>360000</v>
      </c>
      <c r="L50" s="120">
        <f t="shared" si="12"/>
        <v>155</v>
      </c>
      <c r="M50" s="121">
        <f t="shared" si="13"/>
        <v>310000</v>
      </c>
      <c r="N50" s="122" t="s">
        <v>195</v>
      </c>
      <c r="O50" s="118" t="s">
        <v>145</v>
      </c>
      <c r="P50" s="27"/>
    </row>
    <row r="51" spans="1:16" s="7" customFormat="1" ht="60">
      <c r="A51" s="5">
        <v>48</v>
      </c>
      <c r="B51" s="128">
        <v>32111503</v>
      </c>
      <c r="C51" s="115" t="s">
        <v>137</v>
      </c>
      <c r="D51" s="126" t="s">
        <v>140</v>
      </c>
      <c r="E51" s="129" t="s">
        <v>141</v>
      </c>
      <c r="F51" s="124">
        <v>60</v>
      </c>
      <c r="G51" s="118" t="s">
        <v>83</v>
      </c>
      <c r="H51" s="119">
        <v>6000</v>
      </c>
      <c r="I51" s="120">
        <f t="shared" si="14"/>
        <v>360000</v>
      </c>
      <c r="J51" s="119">
        <v>7500</v>
      </c>
      <c r="K51" s="120">
        <f t="shared" si="15"/>
        <v>450000</v>
      </c>
      <c r="L51" s="120">
        <f t="shared" si="12"/>
        <v>6750</v>
      </c>
      <c r="M51" s="121">
        <f t="shared" si="13"/>
        <v>405000</v>
      </c>
      <c r="N51" s="122" t="s">
        <v>195</v>
      </c>
      <c r="O51" s="118" t="s">
        <v>145</v>
      </c>
      <c r="P51" s="27"/>
    </row>
    <row r="52" spans="1:16" s="7" customFormat="1" ht="30">
      <c r="A52" s="5">
        <v>49</v>
      </c>
      <c r="B52" s="125">
        <v>47131501</v>
      </c>
      <c r="C52" s="115" t="s">
        <v>142</v>
      </c>
      <c r="D52" s="130" t="s">
        <v>143</v>
      </c>
      <c r="E52" s="131" t="s">
        <v>144</v>
      </c>
      <c r="F52" s="124">
        <v>150</v>
      </c>
      <c r="G52" s="118" t="s">
        <v>116</v>
      </c>
      <c r="H52" s="132">
        <v>1200</v>
      </c>
      <c r="I52" s="120">
        <f t="shared" si="14"/>
        <v>180000</v>
      </c>
      <c r="J52" s="132">
        <v>1500</v>
      </c>
      <c r="K52" s="120">
        <f t="shared" si="15"/>
        <v>225000</v>
      </c>
      <c r="L52" s="120">
        <f t="shared" si="12"/>
        <v>1350</v>
      </c>
      <c r="M52" s="121">
        <f t="shared" si="13"/>
        <v>202500</v>
      </c>
      <c r="N52" s="122" t="s">
        <v>195</v>
      </c>
      <c r="O52" s="118" t="s">
        <v>145</v>
      </c>
      <c r="P52" s="27"/>
    </row>
    <row r="53" spans="1:16" s="7" customFormat="1" ht="150">
      <c r="A53" s="5">
        <v>50</v>
      </c>
      <c r="B53" s="133">
        <v>23271810</v>
      </c>
      <c r="C53" s="134" t="s">
        <v>146</v>
      </c>
      <c r="D53" s="134" t="s">
        <v>147</v>
      </c>
      <c r="E53" s="134" t="s">
        <v>208</v>
      </c>
      <c r="F53" s="134">
        <v>40</v>
      </c>
      <c r="G53" s="134" t="s">
        <v>148</v>
      </c>
      <c r="H53" s="135">
        <v>16500</v>
      </c>
      <c r="I53" s="135">
        <f t="shared" ref="I53:I57" si="16">H53*F53</f>
        <v>660000</v>
      </c>
      <c r="J53" s="135">
        <v>16000</v>
      </c>
      <c r="K53" s="135">
        <f>J53*F53</f>
        <v>640000</v>
      </c>
      <c r="L53" s="135">
        <f>(J53+H53)/2</f>
        <v>16250</v>
      </c>
      <c r="M53" s="136">
        <f>(K53+I53)/2</f>
        <v>650000</v>
      </c>
      <c r="N53" s="137"/>
      <c r="O53" s="133" t="s">
        <v>156</v>
      </c>
      <c r="P53" s="27"/>
    </row>
    <row r="54" spans="1:16" s="7" customFormat="1" ht="150">
      <c r="A54" s="5">
        <v>51</v>
      </c>
      <c r="B54" s="133">
        <v>23271810</v>
      </c>
      <c r="C54" s="134" t="s">
        <v>146</v>
      </c>
      <c r="D54" s="134" t="s">
        <v>149</v>
      </c>
      <c r="E54" s="134" t="s">
        <v>209</v>
      </c>
      <c r="F54" s="138">
        <v>80</v>
      </c>
      <c r="G54" s="134" t="s">
        <v>148</v>
      </c>
      <c r="H54" s="135">
        <v>17000</v>
      </c>
      <c r="I54" s="135">
        <f t="shared" si="16"/>
        <v>1360000</v>
      </c>
      <c r="J54" s="135">
        <v>16000</v>
      </c>
      <c r="K54" s="135">
        <f t="shared" ref="K54:K57" si="17">J54*F54</f>
        <v>1280000</v>
      </c>
      <c r="L54" s="135">
        <f t="shared" ref="L54:M57" si="18">(J54+H54)/2</f>
        <v>16500</v>
      </c>
      <c r="M54" s="136">
        <f t="shared" si="18"/>
        <v>1320000</v>
      </c>
      <c r="N54" s="137"/>
      <c r="O54" s="133" t="s">
        <v>156</v>
      </c>
      <c r="P54" s="27"/>
    </row>
    <row r="55" spans="1:16" s="7" customFormat="1" ht="60">
      <c r="A55" s="5">
        <v>52</v>
      </c>
      <c r="B55" s="139">
        <v>73181902</v>
      </c>
      <c r="C55" s="140" t="s">
        <v>150</v>
      </c>
      <c r="D55" s="141" t="s">
        <v>151</v>
      </c>
      <c r="E55" s="142" t="s">
        <v>179</v>
      </c>
      <c r="F55" s="138">
        <v>6</v>
      </c>
      <c r="G55" s="139" t="s">
        <v>152</v>
      </c>
      <c r="H55" s="135">
        <v>116000</v>
      </c>
      <c r="I55" s="135">
        <f t="shared" si="16"/>
        <v>696000</v>
      </c>
      <c r="J55" s="135">
        <v>125000</v>
      </c>
      <c r="K55" s="135">
        <f t="shared" si="17"/>
        <v>750000</v>
      </c>
      <c r="L55" s="135">
        <f t="shared" si="18"/>
        <v>120500</v>
      </c>
      <c r="M55" s="136">
        <f t="shared" si="18"/>
        <v>723000</v>
      </c>
      <c r="N55" s="137"/>
      <c r="O55" s="133" t="s">
        <v>156</v>
      </c>
      <c r="P55" s="27"/>
    </row>
    <row r="56" spans="1:16" s="7" customFormat="1" ht="30">
      <c r="A56" s="5">
        <v>53</v>
      </c>
      <c r="B56" s="134">
        <v>23242101</v>
      </c>
      <c r="C56" s="134" t="s">
        <v>166</v>
      </c>
      <c r="D56" s="134" t="s">
        <v>153</v>
      </c>
      <c r="E56" s="134" t="s">
        <v>153</v>
      </c>
      <c r="F56" s="134">
        <v>40</v>
      </c>
      <c r="G56" s="139" t="s">
        <v>87</v>
      </c>
      <c r="H56" s="135">
        <v>8000</v>
      </c>
      <c r="I56" s="135">
        <f t="shared" si="16"/>
        <v>320000</v>
      </c>
      <c r="J56" s="135">
        <v>7500</v>
      </c>
      <c r="K56" s="135">
        <f t="shared" si="17"/>
        <v>300000</v>
      </c>
      <c r="L56" s="135">
        <f t="shared" si="18"/>
        <v>7750</v>
      </c>
      <c r="M56" s="136">
        <f t="shared" si="18"/>
        <v>310000</v>
      </c>
      <c r="N56" s="137"/>
      <c r="O56" s="133" t="s">
        <v>156</v>
      </c>
      <c r="P56" s="27"/>
    </row>
    <row r="57" spans="1:16" s="7" customFormat="1" ht="195">
      <c r="A57" s="5">
        <v>54</v>
      </c>
      <c r="B57" s="143">
        <v>46181540</v>
      </c>
      <c r="C57" s="144" t="s">
        <v>154</v>
      </c>
      <c r="D57" s="144" t="s">
        <v>154</v>
      </c>
      <c r="E57" s="134" t="s">
        <v>211</v>
      </c>
      <c r="F57" s="143">
        <v>20</v>
      </c>
      <c r="G57" s="139" t="s">
        <v>155</v>
      </c>
      <c r="H57" s="135">
        <v>26500</v>
      </c>
      <c r="I57" s="135">
        <f t="shared" si="16"/>
        <v>530000</v>
      </c>
      <c r="J57" s="135">
        <v>32000</v>
      </c>
      <c r="K57" s="135">
        <f t="shared" si="17"/>
        <v>640000</v>
      </c>
      <c r="L57" s="135">
        <f t="shared" si="18"/>
        <v>29250</v>
      </c>
      <c r="M57" s="136">
        <f>(K57+I57)/2</f>
        <v>585000</v>
      </c>
      <c r="N57" s="137" t="s">
        <v>210</v>
      </c>
      <c r="O57" s="133" t="s">
        <v>156</v>
      </c>
      <c r="P57" s="27"/>
    </row>
    <row r="58" spans="1:16" s="7" customFormat="1" ht="409.5">
      <c r="A58" s="5">
        <v>55</v>
      </c>
      <c r="B58" s="145">
        <v>32101638</v>
      </c>
      <c r="C58" s="146" t="s">
        <v>157</v>
      </c>
      <c r="D58" s="146" t="s">
        <v>158</v>
      </c>
      <c r="E58" s="146" t="s">
        <v>171</v>
      </c>
      <c r="F58" s="146">
        <v>10</v>
      </c>
      <c r="G58" s="145" t="s">
        <v>172</v>
      </c>
      <c r="H58" s="147">
        <f>(119390*19%)+119390</f>
        <v>142074.1</v>
      </c>
      <c r="I58" s="147">
        <f>H58*F58</f>
        <v>1420741</v>
      </c>
      <c r="J58" s="147">
        <f>(97000*19%)+97000</f>
        <v>115430</v>
      </c>
      <c r="K58" s="147">
        <f>J58*F58</f>
        <v>1154300</v>
      </c>
      <c r="L58" s="148">
        <f t="shared" ref="L58" si="19">(J58+H58)/2</f>
        <v>128752.05</v>
      </c>
      <c r="M58" s="149">
        <f>(K58+I58)/2</f>
        <v>1287520.5</v>
      </c>
      <c r="N58" s="150" t="s">
        <v>219</v>
      </c>
      <c r="O58" s="145" t="s">
        <v>159</v>
      </c>
      <c r="P58" s="27"/>
    </row>
    <row r="59" spans="1:16">
      <c r="L59" s="31" t="s">
        <v>181</v>
      </c>
      <c r="M59" s="13">
        <f>SUM(M4:M58)</f>
        <v>25149216.353</v>
      </c>
      <c r="N59" s="52"/>
    </row>
    <row r="60" spans="1:16">
      <c r="L60" s="31" t="s">
        <v>180</v>
      </c>
      <c r="M60" s="13">
        <v>22882000</v>
      </c>
    </row>
    <row r="61" spans="1:16">
      <c r="L61" s="31" t="s">
        <v>183</v>
      </c>
      <c r="M61" s="47">
        <f>M59-M60</f>
        <v>2267216.3530000001</v>
      </c>
    </row>
  </sheetData>
  <autoFilter ref="A1:O59"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3">
    <mergeCell ref="A1:I1"/>
    <mergeCell ref="H2:I2"/>
    <mergeCell ref="J2:K2"/>
  </mergeCells>
  <pageMargins left="0.7" right="0.7" top="0.75" bottom="0.75" header="0.3" footer="0.3"/>
  <pageSetup paperSize="9" scale="64" orientation="landscape"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NECESIDAD AJUSTADA</vt:lpstr>
      <vt:lpstr>NECESIDAD REAL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Fernando Ripoll de la Barrera</dc:creator>
  <cp:lastModifiedBy>JANUS</cp:lastModifiedBy>
  <cp:lastPrinted>2022-03-31T21:00:49Z</cp:lastPrinted>
  <dcterms:created xsi:type="dcterms:W3CDTF">2015-03-09T23:29:14Z</dcterms:created>
  <dcterms:modified xsi:type="dcterms:W3CDTF">2022-05-02T20:52:47Z</dcterms:modified>
</cp:coreProperties>
</file>