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bajo\COMUNA 1 Y 5\cubiertas\formatos a entregar\"/>
    </mc:Choice>
  </mc:AlternateContent>
  <xr:revisionPtr revIDLastSave="0" documentId="13_ncr:1_{CEF9D0EE-2D05-49C0-A8C9-30A91567AE92}" xr6:coauthVersionLast="47" xr6:coauthVersionMax="47" xr10:uidLastSave="{00000000-0000-0000-0000-000000000000}"/>
  <bookViews>
    <workbookView xWindow="-120" yWindow="-120" windowWidth="38640" windowHeight="15840" xr2:uid="{00000000-000D-0000-FFFF-FFFF00000000}"/>
  </bookViews>
  <sheets>
    <sheet name="OTROOOO" sheetId="9" r:id="rId1"/>
    <sheet name="BIENES RELEVANTES" sheetId="8" r:id="rId2"/>
    <sheet name="TODAS NEW" sheetId="6" r:id="rId3"/>
  </sheets>
  <definedNames>
    <definedName name="BIENESRELEVANTES" localSheetId="0">#REF!</definedName>
    <definedName name="BIENESRELEVANTES">#REF!</definedName>
    <definedName name="dentrodel80" localSheetId="0">#REF!</definedName>
    <definedName name="dentrodel80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" i="9" l="1"/>
  <c r="B5" i="9" s="1"/>
  <c r="B6" i="9" s="1"/>
  <c r="B7" i="9" s="1"/>
  <c r="B8" i="9" s="1"/>
  <c r="B9" i="9" s="1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40" i="9" s="1"/>
  <c r="B41" i="9" s="1"/>
  <c r="B42" i="9" s="1"/>
  <c r="B43" i="9" s="1"/>
  <c r="B44" i="9" s="1"/>
  <c r="B45" i="9" s="1"/>
  <c r="B46" i="9" s="1"/>
  <c r="B47" i="9" s="1"/>
  <c r="B48" i="9" s="1"/>
  <c r="B49" i="9" s="1"/>
  <c r="B50" i="9" s="1"/>
  <c r="B51" i="9" s="1"/>
  <c r="G42" i="9" l="1"/>
  <c r="G49" i="9"/>
  <c r="G48" i="9"/>
  <c r="G19" i="9"/>
  <c r="G14" i="9"/>
  <c r="G44" i="9"/>
  <c r="G35" i="9"/>
  <c r="G47" i="9"/>
  <c r="G36" i="9"/>
  <c r="G31" i="9"/>
  <c r="F48" i="8"/>
  <c r="F3" i="8"/>
  <c r="F4" i="8"/>
  <c r="F5" i="8"/>
  <c r="F6" i="8"/>
  <c r="F7" i="8"/>
  <c r="F8" i="8"/>
  <c r="F9" i="8"/>
  <c r="F10" i="8"/>
  <c r="F11" i="8"/>
  <c r="F12" i="8"/>
  <c r="F13" i="8"/>
  <c r="F14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G21" i="9"/>
  <c r="G16" i="9"/>
  <c r="G40" i="9"/>
  <c r="G43" i="9"/>
  <c r="G22" i="9"/>
  <c r="G23" i="9"/>
  <c r="G20" i="9"/>
  <c r="G10" i="9"/>
  <c r="G4" i="9"/>
  <c r="G13" i="9"/>
  <c r="G12" i="9"/>
  <c r="G33" i="9"/>
  <c r="G30" i="9"/>
  <c r="G32" i="9"/>
  <c r="G3" i="9"/>
  <c r="G26" i="9"/>
  <c r="G5" i="9"/>
  <c r="G34" i="9"/>
  <c r="G11" i="9"/>
  <c r="G8" i="9"/>
  <c r="G38" i="9"/>
  <c r="G39" i="9"/>
  <c r="G50" i="9"/>
  <c r="G46" i="9"/>
  <c r="G51" i="9"/>
  <c r="G27" i="9"/>
  <c r="G29" i="9"/>
  <c r="G41" i="9"/>
  <c r="G17" i="9"/>
  <c r="G45" i="9"/>
  <c r="G24" i="9"/>
  <c r="G9" i="9"/>
  <c r="G15" i="9"/>
  <c r="G6" i="9"/>
  <c r="G28" i="9"/>
  <c r="G7" i="9"/>
  <c r="G37" i="9"/>
  <c r="G18" i="9"/>
  <c r="G25" i="9"/>
  <c r="H3" i="9" l="1"/>
  <c r="I3" i="9" s="1"/>
  <c r="G52" i="9"/>
  <c r="I32" i="9" s="1"/>
  <c r="F134" i="8"/>
  <c r="F110" i="8"/>
  <c r="F83" i="8"/>
  <c r="F114" i="8"/>
  <c r="F118" i="8"/>
  <c r="F101" i="8"/>
  <c r="F70" i="8"/>
  <c r="F57" i="8"/>
  <c r="F73" i="8"/>
  <c r="F130" i="8"/>
  <c r="F78" i="8"/>
  <c r="F117" i="8"/>
  <c r="F105" i="8"/>
  <c r="F125" i="8"/>
  <c r="F72" i="8"/>
  <c r="F115" i="8"/>
  <c r="F84" i="8"/>
  <c r="F91" i="8"/>
  <c r="F102" i="8"/>
  <c r="F96" i="8"/>
  <c r="F128" i="8"/>
  <c r="F132" i="8"/>
  <c r="F124" i="8"/>
  <c r="F61" i="8"/>
  <c r="F56" i="8"/>
  <c r="F98" i="8"/>
  <c r="F89" i="8"/>
  <c r="F60" i="8"/>
  <c r="F71" i="8"/>
  <c r="F94" i="8"/>
  <c r="F2" i="8"/>
  <c r="F49" i="8" s="1"/>
  <c r="F54" i="8"/>
  <c r="F129" i="8"/>
  <c r="F90" i="8"/>
  <c r="F103" i="8"/>
  <c r="F51" i="8"/>
  <c r="F58" i="8"/>
  <c r="F120" i="8"/>
  <c r="F104" i="8"/>
  <c r="F126" i="8"/>
  <c r="F113" i="8"/>
  <c r="F116" i="8"/>
  <c r="F82" i="8"/>
  <c r="F53" i="8"/>
  <c r="F64" i="8"/>
  <c r="F79" i="8"/>
  <c r="F138" i="8"/>
  <c r="F135" i="8"/>
  <c r="F137" i="8"/>
  <c r="F109" i="8"/>
  <c r="F59" i="8"/>
  <c r="F121" i="8"/>
  <c r="F80" i="8"/>
  <c r="F140" i="8"/>
  <c r="F141" i="8"/>
  <c r="F99" i="8"/>
  <c r="F81" i="8"/>
  <c r="F111" i="8"/>
  <c r="F85" i="8"/>
  <c r="F55" i="8"/>
  <c r="F50" i="8"/>
  <c r="F139" i="8"/>
  <c r="F63" i="8"/>
  <c r="F75" i="8"/>
  <c r="F95" i="8"/>
  <c r="F74" i="8"/>
  <c r="F123" i="8"/>
  <c r="F65" i="8"/>
  <c r="F106" i="8"/>
  <c r="F93" i="8"/>
  <c r="F131" i="8"/>
  <c r="F88" i="8"/>
  <c r="F136" i="8"/>
  <c r="F86" i="8"/>
  <c r="F133" i="8"/>
  <c r="F87" i="8"/>
  <c r="F97" i="8"/>
  <c r="F112" i="8"/>
  <c r="F52" i="8"/>
  <c r="F62" i="8"/>
  <c r="F76" i="8"/>
  <c r="F127" i="8"/>
  <c r="F107" i="8"/>
  <c r="F108" i="8"/>
  <c r="F68" i="8"/>
  <c r="F67" i="8"/>
  <c r="F122" i="8"/>
  <c r="F77" i="8"/>
  <c r="F119" i="8"/>
  <c r="F69" i="8"/>
  <c r="F100" i="8"/>
  <c r="F92" i="8"/>
  <c r="F66" i="8"/>
  <c r="I15" i="9" l="1"/>
  <c r="I49" i="9"/>
  <c r="I24" i="9"/>
  <c r="I25" i="9"/>
  <c r="I33" i="9"/>
  <c r="I21" i="9"/>
  <c r="I44" i="9"/>
  <c r="I39" i="9"/>
  <c r="I8" i="9"/>
  <c r="I38" i="9"/>
  <c r="I35" i="9"/>
  <c r="I23" i="9"/>
  <c r="I50" i="9"/>
  <c r="I20" i="9"/>
  <c r="I7" i="9"/>
  <c r="I14" i="9"/>
  <c r="I17" i="9"/>
  <c r="I43" i="9"/>
  <c r="I12" i="9"/>
  <c r="I30" i="9"/>
  <c r="I42" i="9"/>
  <c r="I6" i="9"/>
  <c r="I27" i="9"/>
  <c r="I10" i="9"/>
  <c r="I11" i="9"/>
  <c r="I48" i="9"/>
  <c r="I34" i="9"/>
  <c r="I9" i="9"/>
  <c r="I51" i="9"/>
  <c r="I46" i="9"/>
  <c r="I26" i="9"/>
  <c r="I47" i="9"/>
  <c r="I41" i="9"/>
  <c r="I19" i="9"/>
  <c r="I13" i="9"/>
  <c r="I5" i="9"/>
  <c r="I36" i="9"/>
  <c r="I28" i="9"/>
  <c r="I37" i="9"/>
  <c r="I22" i="9"/>
  <c r="I16" i="9"/>
  <c r="I4" i="9"/>
  <c r="I29" i="9"/>
  <c r="I40" i="9"/>
  <c r="I18" i="9"/>
  <c r="I45" i="9"/>
  <c r="I31" i="9"/>
  <c r="G97" i="8"/>
  <c r="AB171" i="6"/>
  <c r="AB170" i="6"/>
  <c r="AB169" i="6"/>
  <c r="AB168" i="6"/>
  <c r="AB167" i="6"/>
  <c r="AB166" i="6"/>
  <c r="AB165" i="6"/>
  <c r="AB164" i="6"/>
  <c r="AB163" i="6"/>
  <c r="AB162" i="6"/>
  <c r="AB161" i="6"/>
  <c r="AB160" i="6"/>
  <c r="AB159" i="6"/>
  <c r="AB158" i="6"/>
  <c r="AB157" i="6"/>
  <c r="AB156" i="6"/>
  <c r="AB155" i="6"/>
  <c r="AB154" i="6"/>
  <c r="AB153" i="6"/>
  <c r="AB152" i="6"/>
  <c r="AB151" i="6"/>
  <c r="AB150" i="6"/>
  <c r="AB149" i="6"/>
  <c r="AB148" i="6"/>
  <c r="AB147" i="6"/>
  <c r="Z146" i="6"/>
  <c r="AB146" i="6" s="1"/>
  <c r="Z145" i="6"/>
  <c r="AB145" i="6" s="1"/>
  <c r="AB144" i="6"/>
  <c r="Z143" i="6"/>
  <c r="AB143" i="6" s="1"/>
  <c r="AB142" i="6"/>
  <c r="AB141" i="6"/>
  <c r="Z140" i="6"/>
  <c r="AB140" i="6" s="1"/>
  <c r="AB139" i="6"/>
  <c r="AB138" i="6"/>
  <c r="AB137" i="6"/>
  <c r="AB136" i="6"/>
  <c r="AB135" i="6"/>
  <c r="AB134" i="6"/>
  <c r="AB133" i="6"/>
  <c r="AB132" i="6"/>
  <c r="AB131" i="6"/>
  <c r="AB130" i="6"/>
  <c r="AB129" i="6"/>
  <c r="AB128" i="6"/>
  <c r="AB127" i="6"/>
  <c r="AB126" i="6"/>
  <c r="AB125" i="6"/>
  <c r="AB124" i="6"/>
  <c r="AB123" i="6"/>
  <c r="AB122" i="6"/>
  <c r="Z121" i="6"/>
  <c r="AB121" i="6" s="1"/>
  <c r="AB120" i="6"/>
  <c r="AB119" i="6"/>
  <c r="Z118" i="6"/>
  <c r="AB118" i="6" s="1"/>
  <c r="Z117" i="6"/>
  <c r="AB117" i="6" s="1"/>
  <c r="AB116" i="6"/>
  <c r="Z115" i="6"/>
  <c r="AB115" i="6" s="1"/>
  <c r="AB114" i="6"/>
  <c r="AB113" i="6"/>
  <c r="AB112" i="6"/>
  <c r="Z111" i="6"/>
  <c r="AB111" i="6" s="1"/>
  <c r="Z110" i="6"/>
  <c r="AB110" i="6" s="1"/>
  <c r="AB109" i="6"/>
  <c r="AB108" i="6"/>
  <c r="AB107" i="6"/>
  <c r="AB106" i="6"/>
  <c r="AB105" i="6"/>
  <c r="Z104" i="6"/>
  <c r="AB104" i="6" s="1"/>
  <c r="Z103" i="6"/>
  <c r="AB103" i="6" s="1"/>
  <c r="AB102" i="6"/>
  <c r="AB101" i="6"/>
  <c r="Z100" i="6"/>
  <c r="AB100" i="6" s="1"/>
  <c r="AB99" i="6"/>
  <c r="Z98" i="6"/>
  <c r="AB98" i="6" s="1"/>
  <c r="AB97" i="6"/>
  <c r="AB96" i="6"/>
  <c r="AB95" i="6"/>
  <c r="Z94" i="6"/>
  <c r="AB94" i="6" s="1"/>
  <c r="AB93" i="6"/>
  <c r="Z92" i="6"/>
  <c r="AB92" i="6" s="1"/>
  <c r="Z91" i="6"/>
  <c r="AB91" i="6" s="1"/>
  <c r="AB90" i="6"/>
  <c r="AB89" i="6"/>
  <c r="AB88" i="6"/>
  <c r="AB87" i="6"/>
  <c r="AB86" i="6"/>
  <c r="Z85" i="6"/>
  <c r="AB85" i="6" s="1"/>
  <c r="Z84" i="6"/>
  <c r="AB84" i="6" s="1"/>
  <c r="AB83" i="6"/>
  <c r="Z82" i="6"/>
  <c r="AB82" i="6" s="1"/>
  <c r="AB81" i="6"/>
  <c r="AB80" i="6"/>
  <c r="AB79" i="6"/>
  <c r="AB78" i="6"/>
  <c r="AB77" i="6"/>
  <c r="AB76" i="6"/>
  <c r="Z75" i="6"/>
  <c r="AB75" i="6" s="1"/>
  <c r="AB74" i="6"/>
  <c r="AB73" i="6"/>
  <c r="AB72" i="6"/>
  <c r="Z71" i="6"/>
  <c r="AB71" i="6" s="1"/>
  <c r="AB70" i="6"/>
  <c r="AB69" i="6"/>
  <c r="Z68" i="6"/>
  <c r="AB68" i="6" s="1"/>
  <c r="AB67" i="6"/>
  <c r="AB66" i="6"/>
  <c r="AB65" i="6"/>
  <c r="AB64" i="6"/>
  <c r="Z63" i="6"/>
  <c r="AB63" i="6" s="1"/>
  <c r="AB62" i="6"/>
  <c r="AB61" i="6"/>
  <c r="AB60" i="6"/>
  <c r="AB59" i="6"/>
  <c r="AB58" i="6"/>
  <c r="Z57" i="6"/>
  <c r="AB57" i="6" s="1"/>
  <c r="Z56" i="6"/>
  <c r="AB56" i="6" s="1"/>
  <c r="Z55" i="6"/>
  <c r="AB55" i="6" s="1"/>
  <c r="AB54" i="6"/>
  <c r="Z54" i="6"/>
  <c r="Z53" i="6"/>
  <c r="AB53" i="6" s="1"/>
  <c r="Z52" i="6"/>
  <c r="AB52" i="6" s="1"/>
  <c r="AB51" i="6"/>
  <c r="Z50" i="6"/>
  <c r="AB50" i="6" s="1"/>
  <c r="Z49" i="6"/>
  <c r="AB49" i="6" s="1"/>
  <c r="Z48" i="6"/>
  <c r="AB48" i="6" s="1"/>
  <c r="AB47" i="6"/>
  <c r="Z46" i="6"/>
  <c r="AB46" i="6" s="1"/>
  <c r="AB45" i="6"/>
  <c r="AB44" i="6"/>
  <c r="Z43" i="6"/>
  <c r="AB43" i="6" s="1"/>
  <c r="AB42" i="6"/>
  <c r="Z41" i="6"/>
  <c r="AB41" i="6" s="1"/>
  <c r="AB40" i="6"/>
  <c r="AB39" i="6"/>
  <c r="AB38" i="6"/>
  <c r="AB37" i="6"/>
  <c r="AB36" i="6"/>
  <c r="AB35" i="6"/>
  <c r="Z34" i="6"/>
  <c r="AB34" i="6" s="1"/>
  <c r="Z33" i="6"/>
  <c r="AB33" i="6" s="1"/>
  <c r="AB32" i="6"/>
  <c r="AB31" i="6"/>
  <c r="AB30" i="6"/>
  <c r="AB29" i="6"/>
  <c r="Z28" i="6"/>
  <c r="AB28" i="6" s="1"/>
  <c r="AB27" i="6"/>
  <c r="AB26" i="6"/>
  <c r="AB25" i="6"/>
  <c r="Z24" i="6"/>
  <c r="AB24" i="6" s="1"/>
  <c r="AB23" i="6"/>
  <c r="AB22" i="6"/>
  <c r="AB21" i="6"/>
  <c r="AB20" i="6"/>
  <c r="AB19" i="6"/>
  <c r="Z18" i="6"/>
  <c r="AB18" i="6" s="1"/>
  <c r="AB17" i="6"/>
  <c r="Z16" i="6"/>
  <c r="AB16" i="6" s="1"/>
  <c r="AB15" i="6"/>
  <c r="Z14" i="6"/>
  <c r="AB14" i="6" s="1"/>
  <c r="AB13" i="6"/>
  <c r="AB12" i="6"/>
  <c r="Z11" i="6"/>
  <c r="AB11" i="6" s="1"/>
  <c r="Z10" i="6"/>
  <c r="AB10" i="6" s="1"/>
  <c r="AB9" i="6"/>
  <c r="AB8" i="6"/>
  <c r="Z7" i="6"/>
  <c r="AB7" i="6" s="1"/>
  <c r="Z6" i="6"/>
  <c r="AB6" i="6" s="1"/>
  <c r="AB5" i="6"/>
  <c r="AB4" i="6"/>
  <c r="AB3" i="6"/>
  <c r="Z2" i="6"/>
  <c r="AB2" i="6" s="1"/>
  <c r="S146" i="6"/>
  <c r="S145" i="6"/>
  <c r="S143" i="6"/>
  <c r="S140" i="6"/>
  <c r="S121" i="6"/>
  <c r="S118" i="6"/>
  <c r="S117" i="6"/>
  <c r="S115" i="6"/>
  <c r="S111" i="6"/>
  <c r="S110" i="6"/>
  <c r="S104" i="6"/>
  <c r="S103" i="6"/>
  <c r="S100" i="6"/>
  <c r="U101" i="6"/>
  <c r="S98" i="6"/>
  <c r="S94" i="6"/>
  <c r="S92" i="6"/>
  <c r="S91" i="6"/>
  <c r="U89" i="6"/>
  <c r="S85" i="6"/>
  <c r="S84" i="6"/>
  <c r="S82" i="6"/>
  <c r="U79" i="6"/>
  <c r="U80" i="6"/>
  <c r="U81" i="6"/>
  <c r="S75" i="6"/>
  <c r="S71" i="6"/>
  <c r="S68" i="6"/>
  <c r="S63" i="6"/>
  <c r="S57" i="6"/>
  <c r="S56" i="6"/>
  <c r="S55" i="6"/>
  <c r="S54" i="6"/>
  <c r="S53" i="6"/>
  <c r="S52" i="6"/>
  <c r="S50" i="6"/>
  <c r="S49" i="6"/>
  <c r="S48" i="6"/>
  <c r="S46" i="6"/>
  <c r="U45" i="6"/>
  <c r="S43" i="6"/>
  <c r="S41" i="6"/>
  <c r="S33" i="6"/>
  <c r="S34" i="6"/>
  <c r="S28" i="6"/>
  <c r="S24" i="6"/>
  <c r="S18" i="6"/>
  <c r="S16" i="6"/>
  <c r="S14" i="6"/>
  <c r="S11" i="6"/>
  <c r="K3" i="9" l="1"/>
  <c r="N3" i="9"/>
  <c r="O3" i="9" s="1"/>
  <c r="J3" i="9"/>
  <c r="J4" i="9" s="1"/>
  <c r="I52" i="9"/>
  <c r="G2" i="8"/>
  <c r="G36" i="8"/>
  <c r="G27" i="8"/>
  <c r="G11" i="8"/>
  <c r="G23" i="8"/>
  <c r="G138" i="8"/>
  <c r="G81" i="8"/>
  <c r="G76" i="8"/>
  <c r="G108" i="8"/>
  <c r="G139" i="8"/>
  <c r="G140" i="8"/>
  <c r="G118" i="8"/>
  <c r="G59" i="8"/>
  <c r="G132" i="8"/>
  <c r="G5" i="8"/>
  <c r="G34" i="8"/>
  <c r="G52" i="8"/>
  <c r="G101" i="8"/>
  <c r="G25" i="8"/>
  <c r="G104" i="8"/>
  <c r="G91" i="8"/>
  <c r="G116" i="8"/>
  <c r="G7" i="8"/>
  <c r="G44" i="8"/>
  <c r="G110" i="8"/>
  <c r="G113" i="8"/>
  <c r="G136" i="8"/>
  <c r="G129" i="8"/>
  <c r="G88" i="8"/>
  <c r="G107" i="8"/>
  <c r="G105" i="8"/>
  <c r="G53" i="8"/>
  <c r="G92" i="8"/>
  <c r="G102" i="8"/>
  <c r="G127" i="8"/>
  <c r="G55" i="8"/>
  <c r="G135" i="8"/>
  <c r="G131" i="8"/>
  <c r="G87" i="8"/>
  <c r="G112" i="8"/>
  <c r="G47" i="8"/>
  <c r="G35" i="8"/>
  <c r="G106" i="8"/>
  <c r="G22" i="8"/>
  <c r="G72" i="8"/>
  <c r="G68" i="8"/>
  <c r="G114" i="8"/>
  <c r="G123" i="8"/>
  <c r="G137" i="8"/>
  <c r="G30" i="8"/>
  <c r="G119" i="8"/>
  <c r="G141" i="8"/>
  <c r="G90" i="8"/>
  <c r="G14" i="8"/>
  <c r="G109" i="8"/>
  <c r="G60" i="8"/>
  <c r="G126" i="8"/>
  <c r="G18" i="8"/>
  <c r="G38" i="8"/>
  <c r="G128" i="8"/>
  <c r="G130" i="8"/>
  <c r="G67" i="8"/>
  <c r="G28" i="8"/>
  <c r="G41" i="8"/>
  <c r="G82" i="8"/>
  <c r="G121" i="8"/>
  <c r="G95" i="8"/>
  <c r="G9" i="8"/>
  <c r="G84" i="8"/>
  <c r="G98" i="8"/>
  <c r="G19" i="8"/>
  <c r="G100" i="8"/>
  <c r="F142" i="8"/>
  <c r="F143" i="8" s="1"/>
  <c r="G133" i="8"/>
  <c r="G54" i="8"/>
  <c r="G78" i="8"/>
  <c r="G29" i="8"/>
  <c r="G79" i="8"/>
  <c r="G89" i="8"/>
  <c r="G134" i="8"/>
  <c r="G63" i="8"/>
  <c r="G42" i="8"/>
  <c r="G103" i="8"/>
  <c r="G26" i="8"/>
  <c r="G122" i="8"/>
  <c r="G99" i="8"/>
  <c r="G120" i="8"/>
  <c r="G21" i="8"/>
  <c r="G10" i="8"/>
  <c r="G96" i="8"/>
  <c r="G61" i="8"/>
  <c r="G50" i="8"/>
  <c r="G20" i="8"/>
  <c r="G69" i="8"/>
  <c r="G62" i="8"/>
  <c r="G73" i="8"/>
  <c r="G75" i="8"/>
  <c r="G43" i="8"/>
  <c r="G4" i="8"/>
  <c r="G66" i="8"/>
  <c r="G8" i="8"/>
  <c r="G115" i="8"/>
  <c r="G80" i="8"/>
  <c r="G111" i="8"/>
  <c r="G3" i="8"/>
  <c r="G77" i="8"/>
  <c r="G71" i="8"/>
  <c r="G94" i="8"/>
  <c r="G16" i="8"/>
  <c r="G32" i="8"/>
  <c r="G6" i="8"/>
  <c r="G37" i="8"/>
  <c r="G24" i="8"/>
  <c r="G31" i="8"/>
  <c r="G124" i="8"/>
  <c r="G13" i="8"/>
  <c r="G65" i="8"/>
  <c r="G70" i="8"/>
  <c r="G40" i="8"/>
  <c r="G33" i="8"/>
  <c r="G86" i="8"/>
  <c r="G46" i="8"/>
  <c r="G39" i="8"/>
  <c r="G58" i="8"/>
  <c r="G45" i="8"/>
  <c r="G17" i="8"/>
  <c r="G48" i="8"/>
  <c r="G85" i="8"/>
  <c r="G83" i="8"/>
  <c r="G125" i="8"/>
  <c r="G12" i="8"/>
  <c r="G56" i="8"/>
  <c r="G64" i="8"/>
  <c r="G93" i="8"/>
  <c r="G57" i="8"/>
  <c r="G15" i="8"/>
  <c r="G51" i="8"/>
  <c r="G117" i="8"/>
  <c r="G74" i="8"/>
  <c r="AB172" i="6"/>
  <c r="AB173" i="6" s="1"/>
  <c r="AB174" i="6" s="1"/>
  <c r="O4" i="9" l="1"/>
  <c r="J5" i="9"/>
  <c r="I30" i="8"/>
  <c r="G49" i="8"/>
  <c r="L2" i="8"/>
  <c r="M11" i="8" s="1"/>
  <c r="S10" i="6"/>
  <c r="U10" i="6" s="1"/>
  <c r="S7" i="6"/>
  <c r="U7" i="6" s="1"/>
  <c r="S6" i="6"/>
  <c r="U6" i="6" s="1"/>
  <c r="S2" i="6"/>
  <c r="U171" i="6"/>
  <c r="U170" i="6"/>
  <c r="U169" i="6"/>
  <c r="U168" i="6"/>
  <c r="U167" i="6"/>
  <c r="U166" i="6"/>
  <c r="U165" i="6"/>
  <c r="U164" i="6"/>
  <c r="U163" i="6"/>
  <c r="U162" i="6"/>
  <c r="U161" i="6"/>
  <c r="U160" i="6"/>
  <c r="U159" i="6"/>
  <c r="U158" i="6"/>
  <c r="U157" i="6"/>
  <c r="U156" i="6"/>
  <c r="U155" i="6"/>
  <c r="U154" i="6"/>
  <c r="U153" i="6"/>
  <c r="U152" i="6"/>
  <c r="U151" i="6"/>
  <c r="U150" i="6"/>
  <c r="U149" i="6"/>
  <c r="U148" i="6"/>
  <c r="U147" i="6"/>
  <c r="U146" i="6"/>
  <c r="U145" i="6"/>
  <c r="U144" i="6"/>
  <c r="U143" i="6"/>
  <c r="U142" i="6"/>
  <c r="U141" i="6"/>
  <c r="U140" i="6"/>
  <c r="U139" i="6"/>
  <c r="U138" i="6"/>
  <c r="U137" i="6"/>
  <c r="U136" i="6"/>
  <c r="U135" i="6"/>
  <c r="U134" i="6"/>
  <c r="U133" i="6"/>
  <c r="U132" i="6"/>
  <c r="U131" i="6"/>
  <c r="U130" i="6"/>
  <c r="U129" i="6"/>
  <c r="U128" i="6"/>
  <c r="U127" i="6"/>
  <c r="U126" i="6"/>
  <c r="U125" i="6"/>
  <c r="U124" i="6"/>
  <c r="U123" i="6"/>
  <c r="U122" i="6"/>
  <c r="U121" i="6"/>
  <c r="U120" i="6"/>
  <c r="U119" i="6"/>
  <c r="U118" i="6"/>
  <c r="U117" i="6"/>
  <c r="U116" i="6"/>
  <c r="U115" i="6"/>
  <c r="U114" i="6"/>
  <c r="U113" i="6"/>
  <c r="U112" i="6"/>
  <c r="U111" i="6"/>
  <c r="U110" i="6"/>
  <c r="U109" i="6"/>
  <c r="U108" i="6"/>
  <c r="U107" i="6"/>
  <c r="U106" i="6"/>
  <c r="U105" i="6"/>
  <c r="U104" i="6"/>
  <c r="U103" i="6"/>
  <c r="U102" i="6"/>
  <c r="U100" i="6"/>
  <c r="U99" i="6"/>
  <c r="U98" i="6"/>
  <c r="U97" i="6"/>
  <c r="U96" i="6"/>
  <c r="U95" i="6"/>
  <c r="U94" i="6"/>
  <c r="U93" i="6"/>
  <c r="U92" i="6"/>
  <c r="U91" i="6"/>
  <c r="U90" i="6"/>
  <c r="U88" i="6"/>
  <c r="U87" i="6"/>
  <c r="U86" i="6"/>
  <c r="U85" i="6"/>
  <c r="U84" i="6"/>
  <c r="U83" i="6"/>
  <c r="U82" i="6"/>
  <c r="U78" i="6"/>
  <c r="U77" i="6"/>
  <c r="U76" i="6"/>
  <c r="U75" i="6"/>
  <c r="U74" i="6"/>
  <c r="U73" i="6"/>
  <c r="U72" i="6"/>
  <c r="U71" i="6"/>
  <c r="U70" i="6"/>
  <c r="U69" i="6"/>
  <c r="U68" i="6"/>
  <c r="U67" i="6"/>
  <c r="U66" i="6"/>
  <c r="U65" i="6"/>
  <c r="U64" i="6"/>
  <c r="U63" i="6"/>
  <c r="U62" i="6"/>
  <c r="U61" i="6"/>
  <c r="U60" i="6"/>
  <c r="U59" i="6"/>
  <c r="U58" i="6"/>
  <c r="U57" i="6"/>
  <c r="U56" i="6"/>
  <c r="U55" i="6"/>
  <c r="U54" i="6"/>
  <c r="U53" i="6"/>
  <c r="U52" i="6"/>
  <c r="U51" i="6"/>
  <c r="U50" i="6"/>
  <c r="U49" i="6"/>
  <c r="U48" i="6"/>
  <c r="U47" i="6"/>
  <c r="U46" i="6"/>
  <c r="U44" i="6"/>
  <c r="U43" i="6"/>
  <c r="U42" i="6"/>
  <c r="U41" i="6"/>
  <c r="U40" i="6"/>
  <c r="U39" i="6"/>
  <c r="U38" i="6"/>
  <c r="U37" i="6"/>
  <c r="U36" i="6"/>
  <c r="U35" i="6"/>
  <c r="U34" i="6"/>
  <c r="U33" i="6"/>
  <c r="U32" i="6"/>
  <c r="U31" i="6"/>
  <c r="U30" i="6"/>
  <c r="U29" i="6"/>
  <c r="U28" i="6"/>
  <c r="U27" i="6"/>
  <c r="U26" i="6"/>
  <c r="U25" i="6"/>
  <c r="U24" i="6"/>
  <c r="U23" i="6"/>
  <c r="U22" i="6"/>
  <c r="U21" i="6"/>
  <c r="U20" i="6"/>
  <c r="U19" i="6"/>
  <c r="U18" i="6"/>
  <c r="U17" i="6"/>
  <c r="U16" i="6"/>
  <c r="U15" i="6"/>
  <c r="U14" i="6"/>
  <c r="U13" i="6"/>
  <c r="U12" i="6"/>
  <c r="U11" i="6"/>
  <c r="U9" i="6"/>
  <c r="U8" i="6"/>
  <c r="U5" i="6"/>
  <c r="U4" i="6"/>
  <c r="U3" i="6"/>
  <c r="U2" i="6"/>
  <c r="N349" i="6"/>
  <c r="N4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0" i="6"/>
  <c r="N71" i="6"/>
  <c r="N72" i="6"/>
  <c r="N73" i="6"/>
  <c r="N74" i="6"/>
  <c r="N75" i="6"/>
  <c r="N76" i="6"/>
  <c r="N77" i="6"/>
  <c r="N78" i="6"/>
  <c r="N79" i="6"/>
  <c r="N80" i="6"/>
  <c r="N81" i="6"/>
  <c r="N82" i="6"/>
  <c r="N83" i="6"/>
  <c r="N84" i="6"/>
  <c r="N85" i="6"/>
  <c r="N86" i="6"/>
  <c r="N87" i="6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N205" i="6"/>
  <c r="N206" i="6"/>
  <c r="N207" i="6"/>
  <c r="N208" i="6"/>
  <c r="N209" i="6"/>
  <c r="N210" i="6"/>
  <c r="N211" i="6"/>
  <c r="N212" i="6"/>
  <c r="N213" i="6"/>
  <c r="N214" i="6"/>
  <c r="N215" i="6"/>
  <c r="N216" i="6"/>
  <c r="N217" i="6"/>
  <c r="N218" i="6"/>
  <c r="N219" i="6"/>
  <c r="N220" i="6"/>
  <c r="N221" i="6"/>
  <c r="N222" i="6"/>
  <c r="N223" i="6"/>
  <c r="N224" i="6"/>
  <c r="N225" i="6"/>
  <c r="N226" i="6"/>
  <c r="N227" i="6"/>
  <c r="N228" i="6"/>
  <c r="N229" i="6"/>
  <c r="N230" i="6"/>
  <c r="N231" i="6"/>
  <c r="N232" i="6"/>
  <c r="N233" i="6"/>
  <c r="N234" i="6"/>
  <c r="N235" i="6"/>
  <c r="N236" i="6"/>
  <c r="N237" i="6"/>
  <c r="N238" i="6"/>
  <c r="N239" i="6"/>
  <c r="N240" i="6"/>
  <c r="N241" i="6"/>
  <c r="N242" i="6"/>
  <c r="N243" i="6"/>
  <c r="N244" i="6"/>
  <c r="N245" i="6"/>
  <c r="N246" i="6"/>
  <c r="N247" i="6"/>
  <c r="N248" i="6"/>
  <c r="N249" i="6"/>
  <c r="N250" i="6"/>
  <c r="N251" i="6"/>
  <c r="N252" i="6"/>
  <c r="N253" i="6"/>
  <c r="N254" i="6"/>
  <c r="N255" i="6"/>
  <c r="N256" i="6"/>
  <c r="N257" i="6"/>
  <c r="N258" i="6"/>
  <c r="N259" i="6"/>
  <c r="N260" i="6"/>
  <c r="N261" i="6"/>
  <c r="N262" i="6"/>
  <c r="N263" i="6"/>
  <c r="N264" i="6"/>
  <c r="N265" i="6"/>
  <c r="N266" i="6"/>
  <c r="N267" i="6"/>
  <c r="N268" i="6"/>
  <c r="N269" i="6"/>
  <c r="N270" i="6"/>
  <c r="N271" i="6"/>
  <c r="N272" i="6"/>
  <c r="N273" i="6"/>
  <c r="N274" i="6"/>
  <c r="N275" i="6"/>
  <c r="N276" i="6"/>
  <c r="N277" i="6"/>
  <c r="N278" i="6"/>
  <c r="N279" i="6"/>
  <c r="N280" i="6"/>
  <c r="N281" i="6"/>
  <c r="N282" i="6"/>
  <c r="N283" i="6"/>
  <c r="N284" i="6"/>
  <c r="N285" i="6"/>
  <c r="N286" i="6"/>
  <c r="N287" i="6"/>
  <c r="N288" i="6"/>
  <c r="N289" i="6"/>
  <c r="N290" i="6"/>
  <c r="N291" i="6"/>
  <c r="N292" i="6"/>
  <c r="N293" i="6"/>
  <c r="N294" i="6"/>
  <c r="N295" i="6"/>
  <c r="N296" i="6"/>
  <c r="N297" i="6"/>
  <c r="N298" i="6"/>
  <c r="N299" i="6"/>
  <c r="N300" i="6"/>
  <c r="N301" i="6"/>
  <c r="N302" i="6"/>
  <c r="N303" i="6"/>
  <c r="N304" i="6"/>
  <c r="N305" i="6"/>
  <c r="N306" i="6"/>
  <c r="N307" i="6"/>
  <c r="N308" i="6"/>
  <c r="N309" i="6"/>
  <c r="N310" i="6"/>
  <c r="N311" i="6"/>
  <c r="N312" i="6"/>
  <c r="N313" i="6"/>
  <c r="N314" i="6"/>
  <c r="N315" i="6"/>
  <c r="N316" i="6"/>
  <c r="N317" i="6"/>
  <c r="N318" i="6"/>
  <c r="N319" i="6"/>
  <c r="N320" i="6"/>
  <c r="N321" i="6"/>
  <c r="N322" i="6"/>
  <c r="N323" i="6"/>
  <c r="N324" i="6"/>
  <c r="N325" i="6"/>
  <c r="N326" i="6"/>
  <c r="N327" i="6"/>
  <c r="N328" i="6"/>
  <c r="N329" i="6"/>
  <c r="N330" i="6"/>
  <c r="N331" i="6"/>
  <c r="N332" i="6"/>
  <c r="N333" i="6"/>
  <c r="N334" i="6"/>
  <c r="N335" i="6"/>
  <c r="N336" i="6"/>
  <c r="N337" i="6"/>
  <c r="N338" i="6"/>
  <c r="N339" i="6"/>
  <c r="N340" i="6"/>
  <c r="N341" i="6"/>
  <c r="N342" i="6"/>
  <c r="N343" i="6"/>
  <c r="N344" i="6"/>
  <c r="N345" i="6"/>
  <c r="N346" i="6"/>
  <c r="N347" i="6"/>
  <c r="N348" i="6"/>
  <c r="N3" i="6"/>
  <c r="N2" i="6"/>
  <c r="J6" i="9" l="1"/>
  <c r="M2" i="8"/>
  <c r="M3" i="8"/>
  <c r="M8" i="8"/>
  <c r="M7" i="8"/>
  <c r="M5" i="8"/>
  <c r="M12" i="8"/>
  <c r="M4" i="8"/>
  <c r="M6" i="8"/>
  <c r="M10" i="8"/>
  <c r="M9" i="8"/>
  <c r="U172" i="6"/>
  <c r="N350" i="6"/>
  <c r="N351" i="6" s="1"/>
  <c r="N352" i="6" s="1"/>
  <c r="F349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15" i="6"/>
  <c r="J7" i="9" l="1"/>
  <c r="N3" i="8"/>
  <c r="N7" i="8"/>
  <c r="U173" i="6"/>
  <c r="U174" i="6" s="1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2" i="6"/>
  <c r="F273" i="6"/>
  <c r="F274" i="6"/>
  <c r="F275" i="6"/>
  <c r="F277" i="6"/>
  <c r="F278" i="6"/>
  <c r="F279" i="6"/>
  <c r="F280" i="6"/>
  <c r="F281" i="6"/>
  <c r="F282" i="6"/>
  <c r="F284" i="6"/>
  <c r="F285" i="6"/>
  <c r="F287" i="6"/>
  <c r="F288" i="6"/>
  <c r="F289" i="6"/>
  <c r="F291" i="6"/>
  <c r="F292" i="6"/>
  <c r="F293" i="6"/>
  <c r="F294" i="6"/>
  <c r="F295" i="6"/>
  <c r="F296" i="6"/>
  <c r="F297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255" i="6"/>
  <c r="F254" i="6"/>
  <c r="F251" i="6"/>
  <c r="D298" i="6"/>
  <c r="F298" i="6" s="1"/>
  <c r="D290" i="6"/>
  <c r="F290" i="6" s="1"/>
  <c r="D286" i="6"/>
  <c r="F286" i="6" s="1"/>
  <c r="D283" i="6"/>
  <c r="F283" i="6" s="1"/>
  <c r="D276" i="6"/>
  <c r="F276" i="6" s="1"/>
  <c r="D271" i="6"/>
  <c r="F271" i="6" s="1"/>
  <c r="J8" i="9" l="1"/>
  <c r="H31" i="8"/>
  <c r="F175" i="6"/>
  <c r="F174" i="6"/>
  <c r="F173" i="6"/>
  <c r="F172" i="6"/>
  <c r="F171" i="6"/>
  <c r="F170" i="6"/>
  <c r="F169" i="6"/>
  <c r="F168" i="6"/>
  <c r="F167" i="6"/>
  <c r="F166" i="6"/>
  <c r="F165" i="6"/>
  <c r="F164" i="6"/>
  <c r="F163" i="6"/>
  <c r="F162" i="6"/>
  <c r="F161" i="6"/>
  <c r="F160" i="6"/>
  <c r="F159" i="6"/>
  <c r="F158" i="6"/>
  <c r="F157" i="6"/>
  <c r="D233" i="6"/>
  <c r="F253" i="6"/>
  <c r="F252" i="6"/>
  <c r="F250" i="6"/>
  <c r="F249" i="6"/>
  <c r="F248" i="6"/>
  <c r="F247" i="6"/>
  <c r="F246" i="6"/>
  <c r="F245" i="6"/>
  <c r="F244" i="6"/>
  <c r="F243" i="6"/>
  <c r="F242" i="6"/>
  <c r="F241" i="6"/>
  <c r="F240" i="6"/>
  <c r="F239" i="6"/>
  <c r="F238" i="6"/>
  <c r="F237" i="6"/>
  <c r="F236" i="6"/>
  <c r="F235" i="6"/>
  <c r="F234" i="6"/>
  <c r="F232" i="6"/>
  <c r="F231" i="6"/>
  <c r="F230" i="6"/>
  <c r="F229" i="6"/>
  <c r="F228" i="6"/>
  <c r="F227" i="6"/>
  <c r="F226" i="6"/>
  <c r="F225" i="6"/>
  <c r="F224" i="6"/>
  <c r="F223" i="6"/>
  <c r="F222" i="6"/>
  <c r="F221" i="6"/>
  <c r="F220" i="6"/>
  <c r="D219" i="6"/>
  <c r="F219" i="6" s="1"/>
  <c r="F218" i="6"/>
  <c r="D217" i="6"/>
  <c r="F217" i="6" s="1"/>
  <c r="F216" i="6"/>
  <c r="F215" i="6"/>
  <c r="F214" i="6"/>
  <c r="F213" i="6"/>
  <c r="F212" i="6"/>
  <c r="F211" i="6"/>
  <c r="F210" i="6"/>
  <c r="F209" i="6"/>
  <c r="F208" i="6"/>
  <c r="F207" i="6"/>
  <c r="F206" i="6"/>
  <c r="F205" i="6"/>
  <c r="F204" i="6"/>
  <c r="F177" i="6"/>
  <c r="F183" i="6"/>
  <c r="F203" i="6"/>
  <c r="F202" i="6"/>
  <c r="F201" i="6"/>
  <c r="F200" i="6"/>
  <c r="F199" i="6"/>
  <c r="F198" i="6"/>
  <c r="F197" i="6"/>
  <c r="F196" i="6"/>
  <c r="F195" i="6"/>
  <c r="F194" i="6"/>
  <c r="F193" i="6"/>
  <c r="F192" i="6"/>
  <c r="F191" i="6"/>
  <c r="F190" i="6"/>
  <c r="F189" i="6"/>
  <c r="F188" i="6"/>
  <c r="F187" i="6"/>
  <c r="F186" i="6"/>
  <c r="F185" i="6"/>
  <c r="F184" i="6"/>
  <c r="F182" i="6"/>
  <c r="F181" i="6"/>
  <c r="F180" i="6"/>
  <c r="F179" i="6"/>
  <c r="F178" i="6"/>
  <c r="F176" i="6"/>
  <c r="F156" i="6"/>
  <c r="F155" i="6"/>
  <c r="F154" i="6"/>
  <c r="F153" i="6"/>
  <c r="F152" i="6"/>
  <c r="F151" i="6"/>
  <c r="F150" i="6"/>
  <c r="F149" i="6"/>
  <c r="F148" i="6"/>
  <c r="F147" i="6"/>
  <c r="F146" i="6"/>
  <c r="F145" i="6"/>
  <c r="F144" i="6"/>
  <c r="F143" i="6"/>
  <c r="F142" i="6"/>
  <c r="F141" i="6"/>
  <c r="F140" i="6"/>
  <c r="F139" i="6"/>
  <c r="F138" i="6"/>
  <c r="F137" i="6"/>
  <c r="F136" i="6"/>
  <c r="F135" i="6"/>
  <c r="F134" i="6"/>
  <c r="F133" i="6"/>
  <c r="F132" i="6"/>
  <c r="F131" i="6"/>
  <c r="F130" i="6"/>
  <c r="F129" i="6"/>
  <c r="F128" i="6"/>
  <c r="F127" i="6"/>
  <c r="F126" i="6"/>
  <c r="F125" i="6"/>
  <c r="F124" i="6"/>
  <c r="F123" i="6"/>
  <c r="F122" i="6"/>
  <c r="F121" i="6"/>
  <c r="F120" i="6"/>
  <c r="F119" i="6"/>
  <c r="F118" i="6"/>
  <c r="F117" i="6"/>
  <c r="F116" i="6"/>
  <c r="F115" i="6"/>
  <c r="F114" i="6"/>
  <c r="F113" i="6"/>
  <c r="F112" i="6"/>
  <c r="F111" i="6"/>
  <c r="F110" i="6"/>
  <c r="F109" i="6"/>
  <c r="F108" i="6"/>
  <c r="F107" i="6"/>
  <c r="F106" i="6"/>
  <c r="F105" i="6"/>
  <c r="F104" i="6"/>
  <c r="F103" i="6"/>
  <c r="F102" i="6"/>
  <c r="F101" i="6"/>
  <c r="F100" i="6"/>
  <c r="F99" i="6"/>
  <c r="F98" i="6"/>
  <c r="F97" i="6"/>
  <c r="F96" i="6"/>
  <c r="F95" i="6"/>
  <c r="F94" i="6"/>
  <c r="F93" i="6"/>
  <c r="F92" i="6"/>
  <c r="F91" i="6"/>
  <c r="F90" i="6"/>
  <c r="F89" i="6"/>
  <c r="F88" i="6"/>
  <c r="F87" i="6"/>
  <c r="F86" i="6"/>
  <c r="D85" i="6"/>
  <c r="F85" i="6" s="1"/>
  <c r="F84" i="6"/>
  <c r="F83" i="6"/>
  <c r="F82" i="6"/>
  <c r="F81" i="6"/>
  <c r="F80" i="6"/>
  <c r="F79" i="6"/>
  <c r="F78" i="6"/>
  <c r="F77" i="6"/>
  <c r="F76" i="6"/>
  <c r="F75" i="6"/>
  <c r="F74" i="6"/>
  <c r="F73" i="6"/>
  <c r="F72" i="6"/>
  <c r="F71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56" i="6"/>
  <c r="F55" i="6"/>
  <c r="F54" i="6"/>
  <c r="F53" i="6"/>
  <c r="F52" i="6"/>
  <c r="F51" i="6"/>
  <c r="F50" i="6"/>
  <c r="F49" i="6"/>
  <c r="F48" i="6"/>
  <c r="F47" i="6"/>
  <c r="F46" i="6"/>
  <c r="F45" i="6"/>
  <c r="F44" i="6"/>
  <c r="F43" i="6"/>
  <c r="F42" i="6"/>
  <c r="F41" i="6"/>
  <c r="F40" i="6"/>
  <c r="F39" i="6"/>
  <c r="F38" i="6"/>
  <c r="F37" i="6"/>
  <c r="F36" i="6"/>
  <c r="F35" i="6"/>
  <c r="F34" i="6"/>
  <c r="F33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7" i="6"/>
  <c r="F6" i="6"/>
  <c r="F5" i="6"/>
  <c r="F4" i="6"/>
  <c r="F3" i="6"/>
  <c r="F2" i="6"/>
  <c r="J9" i="9" l="1"/>
  <c r="I31" i="8"/>
  <c r="F233" i="6"/>
  <c r="F350" i="6" s="1"/>
  <c r="F351" i="6" s="1"/>
  <c r="F352" i="6" s="1"/>
  <c r="J10" i="9" l="1"/>
  <c r="H32" i="8"/>
  <c r="J11" i="9" l="1"/>
  <c r="J12" i="9" s="1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I32" i="8"/>
  <c r="J38" i="9" l="1"/>
  <c r="H2" i="8"/>
  <c r="J39" i="9" l="1"/>
  <c r="J40" i="9" s="1"/>
  <c r="I2" i="8"/>
  <c r="J41" i="9" l="1"/>
  <c r="J42" i="9" s="1"/>
  <c r="J43" i="9" s="1"/>
  <c r="H48" i="8"/>
  <c r="J44" i="9" l="1"/>
  <c r="J45" i="9" s="1"/>
  <c r="I48" i="8"/>
  <c r="J46" i="9" l="1"/>
  <c r="H3" i="8"/>
  <c r="H4" i="8" s="1"/>
  <c r="H5" i="8" s="1"/>
  <c r="H6" i="8" s="1"/>
  <c r="H33" i="8"/>
  <c r="H50" i="8"/>
  <c r="H51" i="8" s="1"/>
  <c r="H52" i="8" s="1"/>
  <c r="H53" i="8" s="1"/>
  <c r="H54" i="8" s="1"/>
  <c r="H55" i="8" s="1"/>
  <c r="H56" i="8" s="1"/>
  <c r="H57" i="8" s="1"/>
  <c r="H58" i="8" s="1"/>
  <c r="H59" i="8" s="1"/>
  <c r="H60" i="8" s="1"/>
  <c r="H61" i="8" s="1"/>
  <c r="H62" i="8" s="1"/>
  <c r="H63" i="8" s="1"/>
  <c r="H64" i="8" s="1"/>
  <c r="H65" i="8" s="1"/>
  <c r="H66" i="8" s="1"/>
  <c r="H67" i="8" s="1"/>
  <c r="H68" i="8" s="1"/>
  <c r="H69" i="8" s="1"/>
  <c r="H70" i="8" s="1"/>
  <c r="H71" i="8" s="1"/>
  <c r="H72" i="8" s="1"/>
  <c r="H73" i="8" s="1"/>
  <c r="H74" i="8" s="1"/>
  <c r="H75" i="8" s="1"/>
  <c r="H76" i="8" s="1"/>
  <c r="H77" i="8" s="1"/>
  <c r="H78" i="8" s="1"/>
  <c r="H79" i="8" s="1"/>
  <c r="H80" i="8" s="1"/>
  <c r="H81" i="8" s="1"/>
  <c r="H82" i="8" s="1"/>
  <c r="H83" i="8" s="1"/>
  <c r="H84" i="8" s="1"/>
  <c r="H85" i="8" s="1"/>
  <c r="H86" i="8" s="1"/>
  <c r="H87" i="8" s="1"/>
  <c r="H88" i="8" s="1"/>
  <c r="H89" i="8" s="1"/>
  <c r="H90" i="8" s="1"/>
  <c r="H91" i="8" s="1"/>
  <c r="H92" i="8" s="1"/>
  <c r="H93" i="8" s="1"/>
  <c r="H94" i="8" s="1"/>
  <c r="H95" i="8" s="1"/>
  <c r="H96" i="8" s="1"/>
  <c r="H97" i="8" s="1"/>
  <c r="H98" i="8" s="1"/>
  <c r="H99" i="8" s="1"/>
  <c r="H100" i="8" s="1"/>
  <c r="H101" i="8" s="1"/>
  <c r="H102" i="8" s="1"/>
  <c r="H103" i="8" s="1"/>
  <c r="H104" i="8" s="1"/>
  <c r="H105" i="8" s="1"/>
  <c r="H106" i="8" s="1"/>
  <c r="H107" i="8" s="1"/>
  <c r="H108" i="8" s="1"/>
  <c r="H109" i="8" s="1"/>
  <c r="H110" i="8" s="1"/>
  <c r="H111" i="8" s="1"/>
  <c r="H112" i="8" s="1"/>
  <c r="H113" i="8" s="1"/>
  <c r="H114" i="8" s="1"/>
  <c r="H115" i="8" s="1"/>
  <c r="H116" i="8" s="1"/>
  <c r="H117" i="8" s="1"/>
  <c r="H118" i="8" s="1"/>
  <c r="H119" i="8" s="1"/>
  <c r="H120" i="8" s="1"/>
  <c r="H121" i="8" s="1"/>
  <c r="H122" i="8" s="1"/>
  <c r="H123" i="8" s="1"/>
  <c r="H124" i="8" s="1"/>
  <c r="H125" i="8" s="1"/>
  <c r="H126" i="8" s="1"/>
  <c r="H127" i="8" s="1"/>
  <c r="H128" i="8" s="1"/>
  <c r="H129" i="8" s="1"/>
  <c r="H130" i="8" s="1"/>
  <c r="H131" i="8" s="1"/>
  <c r="H132" i="8" s="1"/>
  <c r="H133" i="8" s="1"/>
  <c r="H134" i="8" s="1"/>
  <c r="H135" i="8" s="1"/>
  <c r="H136" i="8" s="1"/>
  <c r="H137" i="8" s="1"/>
  <c r="H138" i="8" s="1"/>
  <c r="H139" i="8" s="1"/>
  <c r="H140" i="8" s="1"/>
  <c r="H141" i="8" s="1"/>
  <c r="J47" i="9" l="1"/>
  <c r="J48" i="9" s="1"/>
  <c r="I33" i="8"/>
  <c r="H7" i="8"/>
  <c r="I6" i="8"/>
  <c r="I3" i="8"/>
  <c r="J49" i="9" l="1"/>
  <c r="J50" i="9" s="1"/>
  <c r="H34" i="8"/>
  <c r="H35" i="8" s="1"/>
  <c r="I7" i="8"/>
  <c r="H8" i="8"/>
  <c r="J51" i="9" l="1"/>
  <c r="H36" i="8"/>
  <c r="H9" i="8"/>
  <c r="H10" i="8" s="1"/>
  <c r="I8" i="8"/>
  <c r="I36" i="8" l="1"/>
  <c r="H37" i="8"/>
  <c r="H11" i="8"/>
  <c r="I10" i="8"/>
  <c r="I37" i="8" l="1"/>
  <c r="H38" i="8"/>
  <c r="H12" i="8"/>
  <c r="I11" i="8"/>
  <c r="I38" i="8" l="1"/>
  <c r="H39" i="8"/>
  <c r="H40" i="8" s="1"/>
  <c r="H41" i="8" s="1"/>
  <c r="H13" i="8"/>
  <c r="H14" i="8" s="1"/>
  <c r="H42" i="8" l="1"/>
  <c r="I41" i="8"/>
  <c r="I14" i="8"/>
  <c r="H15" i="8"/>
  <c r="H43" i="8" l="1"/>
  <c r="I42" i="8"/>
  <c r="I15" i="8"/>
  <c r="H16" i="8"/>
  <c r="I43" i="8" l="1"/>
  <c r="H44" i="8"/>
  <c r="H17" i="8"/>
  <c r="H18" i="8" s="1"/>
  <c r="I16" i="8"/>
  <c r="I44" i="8" l="1"/>
  <c r="H45" i="8"/>
  <c r="I18" i="8"/>
  <c r="H19" i="8"/>
  <c r="H46" i="8" l="1"/>
  <c r="H47" i="8" s="1"/>
  <c r="I45" i="8"/>
  <c r="H20" i="8"/>
  <c r="I19" i="8"/>
  <c r="I47" i="8" l="1"/>
  <c r="I20" i="8"/>
  <c r="H21" i="8"/>
  <c r="H22" i="8" l="1"/>
  <c r="I21" i="8"/>
  <c r="H23" i="8" l="1"/>
  <c r="I22" i="8"/>
  <c r="I23" i="8" l="1"/>
  <c r="H24" i="8"/>
  <c r="H25" i="8" s="1"/>
  <c r="H26" i="8" l="1"/>
  <c r="H27" i="8" s="1"/>
  <c r="H28" i="8" s="1"/>
  <c r="I25" i="8"/>
  <c r="H29" i="8" l="1"/>
  <c r="I28" i="8"/>
  <c r="I29" i="8" l="1"/>
</calcChain>
</file>

<file path=xl/sharedStrings.xml><?xml version="1.0" encoding="utf-8"?>
<sst xmlns="http://schemas.openxmlformats.org/spreadsheetml/2006/main" count="2347" uniqueCount="262">
  <si>
    <t>ITEM</t>
  </si>
  <si>
    <t>UND</t>
  </si>
  <si>
    <t>LOCALIZACION-REPLANTEO CERRAMIENTO-VARIOS</t>
  </si>
  <si>
    <t>ML</t>
  </si>
  <si>
    <t>MODULO ANDAMIO H +2000 M=1.4X3.0 ALTURA CERTIFICADOS</t>
  </si>
  <si>
    <t>M/D</t>
  </si>
  <si>
    <t>COLUMNA CONCRETO 3000 PSI (,30*,30) CORTA SOLES</t>
  </si>
  <si>
    <t>M3</t>
  </si>
  <si>
    <t xml:space="preserve">COLUMNA CONCRETO 3000 PSI (,40*,40) </t>
  </si>
  <si>
    <t>VIGA CONCRETO AEREA 3000 PSI (,40*,40)</t>
  </si>
  <si>
    <t>ACERO REFUERZO FLEJADO 60000 PSI 240Mpa</t>
  </si>
  <si>
    <t>KG</t>
  </si>
  <si>
    <t>ACERO REFUERZO FLEJADO 37000 PSI 240Mpa</t>
  </si>
  <si>
    <t>VIGA CONCR AMARRE MURO 12X25CM</t>
  </si>
  <si>
    <t>ALISTADO PISO 5 CM</t>
  </si>
  <si>
    <t>M2</t>
  </si>
  <si>
    <t>ENCHAPE CERAMICA 20X30 DE 1 CALIDAD</t>
  </si>
  <si>
    <t>MURO LADRILLO CONCRETO #12 12,0x 7,5 x 0,19</t>
  </si>
  <si>
    <t>GUARDAESCOBAS GRANITO PREFABRICADO 10 CM</t>
  </si>
  <si>
    <t>PERFIL ABIERTO HR C160x 60mm -3.0MM C.11</t>
  </si>
  <si>
    <t>TEJA AJOVER TRAPEZOIDAL SUPER ,35MM</t>
  </si>
  <si>
    <t>CABALLETE TEJA AJOVER</t>
  </si>
  <si>
    <t>VIGA CANAL AEREA CONCRETO 3000 PSI</t>
  </si>
  <si>
    <t>BAJANTE AGUAS LLUVIAS PVC 6</t>
  </si>
  <si>
    <t>C.F.PANEL BOARD 6.0MM S.JUNTA+VINILO</t>
  </si>
  <si>
    <t>SOLAPA LAMINA ALUMINIO NATURAL 7MM</t>
  </si>
  <si>
    <t>ADITIVO LIQUIDO IMPERMEABILIZANTE</t>
  </si>
  <si>
    <t>KLS</t>
  </si>
  <si>
    <t>NAVE LAM.LLENA CAL.20 COR. (puertas)</t>
  </si>
  <si>
    <t>MARCO LAM. 1.01-1.5 M CAL.20 PEST S/LUCE (puertas)</t>
  </si>
  <si>
    <t>ESMALTE SOBRE LAMINA LLENA</t>
  </si>
  <si>
    <t xml:space="preserve">ESMALTE MARCO METALICO </t>
  </si>
  <si>
    <t>BALA PANEL LED 24W</t>
  </si>
  <si>
    <t>SALIDA S1 EMT</t>
  </si>
  <si>
    <t>TUBO PVC 2"</t>
  </si>
  <si>
    <t>CABLE COBRE HF-ZH# 12</t>
  </si>
  <si>
    <t>SAL TOMA 120 PVC</t>
  </si>
  <si>
    <t>RETIRO SOBRANTES MAQUINA &lt;=10KM.</t>
  </si>
  <si>
    <t>LIMPIEZA GENERAL</t>
  </si>
  <si>
    <t>MESON EN CONCRETO H=8,1 - 10CM</t>
  </si>
  <si>
    <t>REPELLO MURO IMPERMEABLE 1:2</t>
  </si>
  <si>
    <t>DIV. METALICA BANO L. ACERO INOX C,148</t>
  </si>
  <si>
    <t>NAVE LAM LLENA CAL 20 BAT</t>
  </si>
  <si>
    <t>ORINAL PEQUEÑO</t>
  </si>
  <si>
    <t>GRIFO DUCHA SENCILLA ECO</t>
  </si>
  <si>
    <t>LAVAMANOS SOBREPONER LINEA ECONOMICA</t>
  </si>
  <si>
    <t>GRIFO LAVAMANOS LINEA ECON SENC</t>
  </si>
  <si>
    <t>SANITARIO LINEA ECONOMICA</t>
  </si>
  <si>
    <t>JGO</t>
  </si>
  <si>
    <t>KIT ACCESORIOS BANO PLASTICO CROMO 6P EC</t>
  </si>
  <si>
    <t>VALVULA CIERRE RAPIDO 1/2''</t>
  </si>
  <si>
    <t>TUBERIA PVC ,1/2"</t>
  </si>
  <si>
    <t>TEE PRESION PVC ,1/2"</t>
  </si>
  <si>
    <t>CODO 90 PRESION PVC ,1/2"</t>
  </si>
  <si>
    <t>LAVADA Y LIMPIEZA TEJA</t>
  </si>
  <si>
    <t>PEND IMPERMEAB LOSA 2 A 4 CM MORT 1:3</t>
  </si>
  <si>
    <t>TEJA ASBESTO-FIBRO CEMENTO- BOARD</t>
  </si>
  <si>
    <t>INSTALACION TEJA ASBESTO CEMENTO</t>
  </si>
  <si>
    <t>% ACUMULADO</t>
  </si>
  <si>
    <t>CERRAMIENTO TELA FIB.TEJIDA H=2.10M-BORD</t>
  </si>
  <si>
    <t>DESM.CUBIERTA FIBRO CEMENTO</t>
  </si>
  <si>
    <t>DESM.ESTRUCTURA METALICA PERFILES-VIGAS</t>
  </si>
  <si>
    <t>KL</t>
  </si>
  <si>
    <t>DESM. MARCO DOBLE + NAVE DOBLE</t>
  </si>
  <si>
    <t>DEMOL PISO ENCHAPE-BALDOSA+MORTERO</t>
  </si>
  <si>
    <t>DEMO. CIELO FALSO MADERA</t>
  </si>
  <si>
    <t>DEMOL CIELO FALSO PANEL+ ESTRUCTURA</t>
  </si>
  <si>
    <t>DEMOLICION MURO EN LADRILLO SOGA</t>
  </si>
  <si>
    <t>DEMOL.LOSA CONCRETO E&lt;=15CMS</t>
  </si>
  <si>
    <t>RETIRO LAMPARA</t>
  </si>
  <si>
    <t>DEMOL VIGA AMARRE MURO</t>
  </si>
  <si>
    <t>DEMOL. MESON CONCRETO</t>
  </si>
  <si>
    <t>DEMOL. GUARDAESCOBAS</t>
  </si>
  <si>
    <t>EXCAVACION TIERRA A MANO</t>
  </si>
  <si>
    <t>SOLADO ESPESOR E=0.07M 3000 PSI 210 MPA</t>
  </si>
  <si>
    <t>ZAPATA CONCRETO 3000 PSI INC. FORMALETA (,80*,80*,30)</t>
  </si>
  <si>
    <t>CONTRAPISO REFORZADO E= 10CM 3000 PSI</t>
  </si>
  <si>
    <t>VIGA CIMIENTO ENLACE H=35CM 3100PSI</t>
  </si>
  <si>
    <t>COLUMNA CONCRETO 3000 PSI (,35*,35)</t>
  </si>
  <si>
    <t>MALLA ELECTROSOLDADA</t>
  </si>
  <si>
    <t>LOSA CASETON ESTERILLA E=30 CM TORTA</t>
  </si>
  <si>
    <t>REPELLO MURO 1:2</t>
  </si>
  <si>
    <t xml:space="preserve">CANAL AMAZONAS PVC AGUAS LLUVIAS </t>
  </si>
  <si>
    <t>BAJANTE AGUAS LLUVIAS PVC CUADRADO CANAL</t>
  </si>
  <si>
    <t>SOPORTE CANAL AMAZONAS PVC</t>
  </si>
  <si>
    <t>CODO BAJANTE 90 CANAL PVC</t>
  </si>
  <si>
    <t>TAPA EXTERNA CANAL AMAZONAS PVC</t>
  </si>
  <si>
    <t>UNION CANAL AMAZONAS PVC</t>
  </si>
  <si>
    <t>UNION BAJANTE CUADRADO-TUBO 3" PVC"</t>
  </si>
  <si>
    <t>VENTANA LAM.VIDRIO-VARILLA CAL.20 COR.</t>
  </si>
  <si>
    <t>DESM CIELO FALSO PANEL + ESTRUCTURA</t>
  </si>
  <si>
    <t>CTZ</t>
  </si>
  <si>
    <t>TOTALIZADOR 3X80 AMPERIOS</t>
  </si>
  <si>
    <t>REUBICACION DE PROTECCION TOTALIZADOR</t>
  </si>
  <si>
    <t>CONECTOR BIMETALICO EN LINEA NEUTRO</t>
  </si>
  <si>
    <t>MANTENIMIENTO CAJA DE BREAKERS</t>
  </si>
  <si>
    <t>170659</t>
  </si>
  <si>
    <t>RETIRO ESCOMBROS MANUAL-VOLQUETA &lt;=10KM.</t>
  </si>
  <si>
    <t>DEMOL.PISO ENCHAPE-BALDOSA+MORTERO</t>
  </si>
  <si>
    <t>INSTALACION LAVAMANOS</t>
  </si>
  <si>
    <t>GRIFO SENCILLO LAVAMANOS LIN ECON</t>
  </si>
  <si>
    <t>INSTALACION APARATO SANITARIO</t>
  </si>
  <si>
    <t>MESON EN CONCRETO A &lt;=60 CM H=5.0- 8CM</t>
  </si>
  <si>
    <t>ENCHAPE CERAMICA 21.0-40.0 MESON</t>
  </si>
  <si>
    <t>PUNTO SANITARIO PVC 2 [SIFON]</t>
  </si>
  <si>
    <t>PUNTO SANITARIO PVC 2</t>
  </si>
  <si>
    <t>150506</t>
  </si>
  <si>
    <t>PUNTO SANITARIO PVC 4"</t>
  </si>
  <si>
    <t>PTO</t>
  </si>
  <si>
    <t>TUB.PVC 2 SANI</t>
  </si>
  <si>
    <t>TUB. PVC 4 SANI</t>
  </si>
  <si>
    <t>110105</t>
  </si>
  <si>
    <t>CAJA INSPECCION 60x 60 CM [CONCRETO]</t>
  </si>
  <si>
    <t>REJILLA SOSCO 3"X2" ALUMINIO"</t>
  </si>
  <si>
    <t>160506</t>
  </si>
  <si>
    <t>TUBERIA PVC ,3/4"</t>
  </si>
  <si>
    <t>PUNTO AGUA FRIA PVC ,1/2</t>
  </si>
  <si>
    <t>VALVULA CIERRE RAPIDO ,1/2"</t>
  </si>
  <si>
    <t>ALISTADO PISO IMPERMEABLE 5 CM</t>
  </si>
  <si>
    <t>SAL LAMP PVC</t>
  </si>
  <si>
    <t>SALIDA S1 PVC</t>
  </si>
  <si>
    <t>290413</t>
  </si>
  <si>
    <t>ESMALTE LUCETA METAL BARROTES-PARALES</t>
  </si>
  <si>
    <t>WASH - PRIMER</t>
  </si>
  <si>
    <t>ESMALTE MARCO METALICO 0.70-1.00</t>
  </si>
  <si>
    <t>ESTUCO ACRLICO</t>
  </si>
  <si>
    <t>KORAZA [3M] (MUROS EXTERIORES)</t>
  </si>
  <si>
    <t>CORTE PRADO MANUAL Y CONTROL MALEZA</t>
  </si>
  <si>
    <t>SUMINISTRO E INSTALACION TIERRA AGRICOLA</t>
  </si>
  <si>
    <t>PLANTA ORNAMENTAL PEQUEÑA H=20-40CM</t>
  </si>
  <si>
    <t>PLANTA ORNAMENTAL GRANDE  H=50-80CM</t>
  </si>
  <si>
    <t>ARBUSTO DURANTA</t>
  </si>
  <si>
    <t>CONFIGURACION-NIVELACION TERRENO</t>
  </si>
  <si>
    <t>ZAPATA CONRETO 3000 PSI 210 MPA</t>
  </si>
  <si>
    <t>VIGA CIMIENTO ENLACE H=41CM 3100 PSI</t>
  </si>
  <si>
    <t>COLUMNA CONCRETO 3000 PSI</t>
  </si>
  <si>
    <t>VIGA CONCRETO AEREA 3000 PSI</t>
  </si>
  <si>
    <t>ACERO REFUERZO FLEJADO 60000 PSI</t>
  </si>
  <si>
    <t>ACERO REFUERZO FLEJADO 37000 PSI</t>
  </si>
  <si>
    <t>ESTRUCTURA METALICA</t>
  </si>
  <si>
    <t>TEJA CUBIERTA CINDUTEC</t>
  </si>
  <si>
    <t>SAL TOMA 120 PVC ZONA HUMEDA</t>
  </si>
  <si>
    <t>DESM.APARATO SANITARIO</t>
  </si>
  <si>
    <t>DESM.GRIFERIA-GRIFO-LLAVE</t>
  </si>
  <si>
    <t>RETIRO TUBERIA AGUA GALVA.-PVC-HF-AC-XXX</t>
  </si>
  <si>
    <t>DESM.MARCO + NAVE SENCILLA</t>
  </si>
  <si>
    <t>DEMOL EDIFICACION EXISTENTE</t>
  </si>
  <si>
    <t>DESM CUBIERTA FIBRO CEMENTO</t>
  </si>
  <si>
    <t>LOCALIZACION-REPLANTEO OBRA ARQUITECTON.</t>
  </si>
  <si>
    <t>DEMOL RECUBRIMIENTO CONCRETO A=20CM</t>
  </si>
  <si>
    <t>VIGA CIMIENTO ENLACE H=35 CM 3100 PSI</t>
  </si>
  <si>
    <t>VIGA CONCR.AMARRE MURO 10-12x20CM</t>
  </si>
  <si>
    <t>COLUMNA AMARRE MURO</t>
  </si>
  <si>
    <t>ACERO REFUERZO FLEJADO 60,000 PSI - 420 MPA</t>
  </si>
  <si>
    <t>MURO LAD.SOGA LIMPIO REVITADO [2C]</t>
  </si>
  <si>
    <t>REPELLO MURO IMPERMEABLE 1:3</t>
  </si>
  <si>
    <t>ALISTADO PISO IMPERMEABLE 4 CM</t>
  </si>
  <si>
    <t>CERAMICA 30.01-32.50x30.01-32.50 TRAF.4</t>
  </si>
  <si>
    <t>170655</t>
  </si>
  <si>
    <t>BALA PANEL LED 12W</t>
  </si>
  <si>
    <t>PERFIL ABIERTO HR C160x 60mm -2.5MM C.12</t>
  </si>
  <si>
    <t>MALLA ESLABONADA GALV # 10 ROMBO 1,1/2"</t>
  </si>
  <si>
    <t>DEMOL. CONTRAPISO CONC.  E 7,6 A 12 CM</t>
  </si>
  <si>
    <t>COT</t>
  </si>
  <si>
    <t>VALLA PUBLICITARIA</t>
  </si>
  <si>
    <t>CAMPAMENTO TABLA 18 M2</t>
  </si>
  <si>
    <t>CONFORM.COMPACT.SUBRASANTE CBR=95 URBANA</t>
  </si>
  <si>
    <t>GEOTEXTIL TEJIDO</t>
  </si>
  <si>
    <t>RELLENO ROCA MUERTA COMPAC-CILINDRO +ACA</t>
  </si>
  <si>
    <t xml:space="preserve"> M3</t>
  </si>
  <si>
    <t>RELLENO ROCAMUERTA COMPACT-RANA</t>
  </si>
  <si>
    <t>PEDESTAL CONCRETO 3100 PSI 21,0 MPA</t>
  </si>
  <si>
    <t>VIGA CIMIENTO ENLACE H=50 CM 3100PSI</t>
  </si>
  <si>
    <t>COLUMNA CONCRETO 3000 PSI (,30*,30)</t>
  </si>
  <si>
    <t>VIGA CONCRETO AEREA 3000 PSI (,30*,30)</t>
  </si>
  <si>
    <t>KORAZA [3M]</t>
  </si>
  <si>
    <t>ALFAGIA CONCRETO A= 30CM</t>
  </si>
  <si>
    <t>TEJA ALUMINIO-POLIURETANO-ALUM.E=1 1C</t>
  </si>
  <si>
    <t>INSTALACION TEJA ALUMINIO</t>
  </si>
  <si>
    <t>CABALLETE TEJA ALUM-POLIURETANO</t>
  </si>
  <si>
    <t>BARANDA INDIV.TUBO GALV. 2" C/SOPORT</t>
  </si>
  <si>
    <t>REJA SEGUR.ALUM.TUB.1,1/2´´X1,1/2'' &lt;0,50M</t>
  </si>
  <si>
    <t>DESM. NAVE METALICA EXISTENTE</t>
  </si>
  <si>
    <t>DEMOCION MURO EN LADRILLO SOGA</t>
  </si>
  <si>
    <t>MURO LAD.SOGA LIMPIO 2C</t>
  </si>
  <si>
    <t>VENTANA ALUM.BASCULANTE P.38-31</t>
  </si>
  <si>
    <t>DESM.VIDRIO</t>
  </si>
  <si>
    <t>VIDRIO BRONCE ANTISOL 4 MM</t>
  </si>
  <si>
    <t>DIV.ALUM.ACRILICO 75% CORREDIZA R=4215</t>
  </si>
  <si>
    <t>VENTANA ALUM.BASCULANTE P.7-44</t>
  </si>
  <si>
    <t>DEMOL.ENCHAPE CERAMICO</t>
  </si>
  <si>
    <t>DEMOL.MURO LAD. SOGA</t>
  </si>
  <si>
    <t>LAVAPLATOS A.INOX. 50X 60CM PESTA.GRIFO</t>
  </si>
  <si>
    <t>NAVE LAM.ENTAMB. CAL.20 BAT.</t>
  </si>
  <si>
    <t>RASQUETEADA-LIJADA-RESANE</t>
  </si>
  <si>
    <t>PINTURA MANO DE OBRA [3M]</t>
  </si>
  <si>
    <t>DEMOL. GRANO PULIDO</t>
  </si>
  <si>
    <t>GRANOTEX</t>
  </si>
  <si>
    <t>ESTUDIO DE SUELOS Y LICENCIA DE CONSTRUCCION</t>
  </si>
  <si>
    <t>CANTIDADES TOTALES</t>
  </si>
  <si>
    <t>ORGANIZADOS POR ABC</t>
  </si>
  <si>
    <t>CANTIDADES DE OBRA ORGANIZADAS</t>
  </si>
  <si>
    <t>CANTIDAD</t>
  </si>
  <si>
    <t>V UNITARIO</t>
  </si>
  <si>
    <t>V PARCIAL</t>
  </si>
  <si>
    <t>VALOR TOTAL:</t>
  </si>
  <si>
    <t>% PARTICIPACIÓN</t>
  </si>
  <si>
    <t>PROMEDIO % PARTICIPACIÓN</t>
  </si>
  <si>
    <t>BIENES RELEVANTES</t>
  </si>
  <si>
    <t>PUNTAJE DE CADA BIEN RELEVANTE</t>
  </si>
  <si>
    <t>SUMATORIA PORCENTAJES DE PARTICIPACION DE LOS BIENES</t>
  </si>
  <si>
    <t>LOCALIZACIÓN - REPLANTEO DE OBRA ARQUITECTÓNICA</t>
  </si>
  <si>
    <t>CERRAMIENTO EN TELA FIB. TEJIDA H=2,10M-SINB</t>
  </si>
  <si>
    <t>CAMPAMENTO EN TABLA 18M2</t>
  </si>
  <si>
    <t>LIMPIEZA PERMANENTE DE OBRA (CUADRILLA 2P)</t>
  </si>
  <si>
    <t>MES</t>
  </si>
  <si>
    <t>DESCAPOTE MANUAL MAS RETIRO H=0,20 MTS</t>
  </si>
  <si>
    <t>DEMOLICION DE ANDEN EN CONCRETO 3000 PSI E=10 CMS</t>
  </si>
  <si>
    <t>RETIRO DE ESCOBROS MANUAL - VOLQUETA 10KM</t>
  </si>
  <si>
    <t>EXCAVACION A TIERRA A MANO  H=0,20 CM</t>
  </si>
  <si>
    <t>RELLENO CON MATERIAL DE ROCA MUERTA COMPACTADA</t>
  </si>
  <si>
    <t>MALLA ELECTROSOLDADA M-0,84</t>
  </si>
  <si>
    <t>LOSA EN CONCRETO CANCHA MULTIPLE E=0,10MTS</t>
  </si>
  <si>
    <t>ALLANADO MECANICO ESMALTADO GRIS-NEGRO</t>
  </si>
  <si>
    <t>PORTERIA MULTIPLE FIJA MICROF.BALNC.VOLEIBOL</t>
  </si>
  <si>
    <t>LINEA DE DEMARCACIÓN INCLUYE MICROESFERA</t>
  </si>
  <si>
    <t>SOPORTE PARA VOLEIBOL TRES POSICIONES</t>
  </si>
  <si>
    <t>MALLA CANCHA MULTIPLE MICROF, BALONCESTO. VOLIEB</t>
  </si>
  <si>
    <t>TORNILLO GALVANIZADO PASANTE 5/8" X 15CMS</t>
  </si>
  <si>
    <t>TEJA TRAPEZOIDAL EN LAMINA DE ACERO GALVANIZADA PREPINTADA BLANCO 9002 CALIBRE 26 DE 100MM ANCHO UTIL</t>
  </si>
  <si>
    <t>CABALLETE TRAPEZOIDAL EN LAMINA DE ACERO GALVANIZADA PREPINTADA BLANCO 9002 CALIBRE 26 DE 100MM ANCHO UTIL</t>
  </si>
  <si>
    <t>CUERPO DE ANDAMIOS CERTIFICADOS</t>
  </si>
  <si>
    <t>UND/DIA</t>
  </si>
  <si>
    <t>ESMALTE SOBRE CORREA, VIGA Y VIGUETA (3-4C)</t>
  </si>
  <si>
    <t>BAJANTE DE AGUAS LLUVIAS PVC 4"</t>
  </si>
  <si>
    <t>ABRAZADERA SANITARÍA DE 4"</t>
  </si>
  <si>
    <t>CODO SANITARIO PVC 90G CXC 4"</t>
  </si>
  <si>
    <t>CODO SANITARIO PVC 45G CXC 4"</t>
  </si>
  <si>
    <t>YEE SANITARIA SENCILLA 4" PVC</t>
  </si>
  <si>
    <t>UNION SANITARIA PVC 4"</t>
  </si>
  <si>
    <t>TRAGANTE LOSA TCI - 4" BRONCE</t>
  </si>
  <si>
    <t>TUBERIA PVC SANITARIA 4" LOSA</t>
  </si>
  <si>
    <t>INSTALACION TUBERIA PVC SANITARIA 4"</t>
  </si>
  <si>
    <t>CANAL LAMINA GALVANIZADA CAL 22</t>
  </si>
  <si>
    <t>COLCHON DE AREANA GRUESA E=5-7CM</t>
  </si>
  <si>
    <t>CAMARA DE INSPECCIÓN PISO TAPA</t>
  </si>
  <si>
    <t>CANALIZACIÓN ELECTRICA ( VER ANEXO PPT ELECTRICO)</t>
  </si>
  <si>
    <t>GL</t>
  </si>
  <si>
    <t>SALIDAS ELECTRICAS (VER ANEXO PPTO ELÉCTRICO)</t>
  </si>
  <si>
    <t>ILUMINACIÓN LED (VER ANEXO PPTO ELÉCTRICO)</t>
  </si>
  <si>
    <t>SISTEMA PUESTA A TIERRA (VER ANEXO PPTO ELÉCTRICO</t>
  </si>
  <si>
    <t>APANTALLAMIENTO A DESCARGAS ATMOSFERICAS (VER ANEXO PPTO ELÉCTRICO)</t>
  </si>
  <si>
    <t>INSTALACION Y ADECUACIÓN DE PUNTOS ELECTRICOS CON TOMA CORRIENTE A 220VOLT, 120 VOLT Y PUNTOS DE ILUMINACION PARA TRABAJOS EN OBRA, INCLUYE GESTIOON E INTALACION DEL CONTADOR Y ACOMETIDA PROVISIONAL PARA ENERGIZACIÓN TEMPORAL DE OBRA</t>
  </si>
  <si>
    <t>CONSTRUCCIÓN DE ANDEN EN CONCRETO  3000 PSI E=10CM</t>
  </si>
  <si>
    <t>PROTECTOR COLUMNAS</t>
  </si>
  <si>
    <t>TUBERIA PVC SANITARIA 6"</t>
  </si>
  <si>
    <t>INSTALACION TUBERIA PVC SANITARIA 6"</t>
  </si>
  <si>
    <t>ANCLAJE SOPORTE TUBERIA ANG 1,1/2" X 1/8"</t>
  </si>
  <si>
    <t>CAMARA DE INSPECCION TIPO B H¡2,51 - 3MTS</t>
  </si>
  <si>
    <t>VALOR TOTAL</t>
  </si>
  <si>
    <t>APLICA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</si>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</sst>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_ &quot;$&quot;\ * #,##0_ ;_ &quot;$&quot;\ * \-#,##0_ ;_ &quot;$&quot;\ * &quot;-&quot;??_ ;_ @_ "/>
    <numFmt numFmtId="168" formatCode="###,###.00"/>
    <numFmt numFmtId="169" formatCode="_(&quot;$&quot;\ * #,##0_);_(&quot;$&quot;\ * \(#,##0\);_(&quot;$&quot;\ * &quot;-&quot;??_);_(@_)"/>
    <numFmt numFmtId="170" formatCode="_ &quot;$&quot;\ * #,##0.00_ ;_ &quot;$&quot;\ * \-#,##0.00_ ;_ &quot;$&quot;\ * &quot;-&quot;??_ ;_ @_ "/>
    <numFmt numFmtId="171" formatCode="0.0"/>
    <numFmt numFmtId="172" formatCode="###,###"/>
    <numFmt numFmtId="173" formatCode="0.000%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sz val="10"/>
      <name val="Trebuchet MS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u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E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  <xf numFmtId="0" fontId="2" fillId="0" borderId="0"/>
    <xf numFmtId="166" fontId="4" fillId="0" borderId="0" applyFont="0" applyFill="0" applyBorder="0" applyAlignment="0" applyProtection="0"/>
    <xf numFmtId="0" fontId="4" fillId="0" borderId="0"/>
    <xf numFmtId="17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82">
    <xf numFmtId="0" fontId="0" fillId="0" borderId="0" xfId="0"/>
    <xf numFmtId="0" fontId="6" fillId="0" borderId="3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168" fontId="7" fillId="0" borderId="2" xfId="0" quotePrefix="1" applyNumberFormat="1" applyFont="1" applyBorder="1" applyAlignment="1">
      <alignment horizontal="center" vertical="center"/>
    </xf>
    <xf numFmtId="169" fontId="7" fillId="0" borderId="2" xfId="1" applyNumberFormat="1" applyFont="1" applyFill="1" applyBorder="1" applyAlignment="1" applyProtection="1">
      <alignment horizontal="right" vertical="center"/>
    </xf>
    <xf numFmtId="42" fontId="7" fillId="0" borderId="4" xfId="2" applyFont="1" applyFill="1" applyBorder="1" applyAlignment="1" applyProtection="1">
      <alignment horizontal="right" vertical="center"/>
    </xf>
    <xf numFmtId="0" fontId="7" fillId="0" borderId="5" xfId="0" applyFont="1" applyBorder="1" applyAlignment="1">
      <alignment horizontal="center" vertical="center"/>
    </xf>
    <xf numFmtId="42" fontId="7" fillId="0" borderId="5" xfId="2" applyFont="1" applyFill="1" applyBorder="1" applyAlignment="1" applyProtection="1">
      <alignment horizontal="right" vertical="center"/>
    </xf>
    <xf numFmtId="0" fontId="6" fillId="0" borderId="2" xfId="0" applyFont="1" applyBorder="1" applyAlignment="1">
      <alignment vertical="center"/>
    </xf>
    <xf numFmtId="0" fontId="2" fillId="2" borderId="2" xfId="4" applyFill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2" fillId="0" borderId="2" xfId="4" applyBorder="1" applyAlignment="1">
      <alignment horizontal="left" vertical="center"/>
    </xf>
    <xf numFmtId="0" fontId="5" fillId="0" borderId="2" xfId="4" applyFont="1" applyBorder="1" applyAlignment="1">
      <alignment horizontal="center" vertical="center"/>
    </xf>
    <xf numFmtId="167" fontId="5" fillId="0" borderId="2" xfId="5" applyNumberFormat="1" applyFont="1" applyFill="1" applyBorder="1" applyAlignment="1">
      <alignment horizontal="left" vertical="center"/>
    </xf>
    <xf numFmtId="167" fontId="5" fillId="2" borderId="2" xfId="5" applyNumberFormat="1" applyFont="1" applyFill="1" applyBorder="1" applyAlignment="1">
      <alignment horizontal="left" vertical="center"/>
    </xf>
    <xf numFmtId="0" fontId="7" fillId="3" borderId="3" xfId="0" quotePrefix="1" applyFont="1" applyFill="1" applyBorder="1" applyAlignment="1">
      <alignment horizontal="center" vertical="center"/>
    </xf>
    <xf numFmtId="0" fontId="7" fillId="3" borderId="2" xfId="0" quotePrefix="1" applyFont="1" applyFill="1" applyBorder="1" applyAlignment="1">
      <alignment horizontal="center" vertical="center"/>
    </xf>
    <xf numFmtId="169" fontId="7" fillId="3" borderId="2" xfId="1" quotePrefix="1" applyNumberFormat="1" applyFont="1" applyFill="1" applyBorder="1" applyAlignment="1" applyProtection="1">
      <alignment horizontal="center" vertical="center"/>
    </xf>
    <xf numFmtId="0" fontId="5" fillId="2" borderId="3" xfId="4" applyFont="1" applyFill="1" applyBorder="1" applyAlignment="1">
      <alignment horizontal="center" vertical="center"/>
    </xf>
    <xf numFmtId="0" fontId="2" fillId="2" borderId="2" xfId="4" applyFill="1" applyBorder="1" applyAlignment="1">
      <alignment horizontal="left" vertical="center"/>
    </xf>
    <xf numFmtId="0" fontId="5" fillId="2" borderId="2" xfId="4" applyFont="1" applyFill="1" applyBorder="1" applyAlignment="1">
      <alignment horizontal="center" vertical="center"/>
    </xf>
    <xf numFmtId="0" fontId="7" fillId="3" borderId="6" xfId="0" quotePrefix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69" fontId="7" fillId="3" borderId="5" xfId="1" quotePrefix="1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vertical="center"/>
    </xf>
    <xf numFmtId="1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9" fillId="0" borderId="2" xfId="4" applyFont="1" applyBorder="1" applyAlignment="1">
      <alignment horizontal="center" vertical="center"/>
    </xf>
    <xf numFmtId="169" fontId="8" fillId="0" borderId="2" xfId="1" applyNumberFormat="1" applyFont="1" applyFill="1" applyBorder="1" applyAlignment="1">
      <alignment horizontal="center" vertical="center"/>
    </xf>
    <xf numFmtId="1" fontId="8" fillId="0" borderId="2" xfId="0" applyNumberFormat="1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5" fillId="2" borderId="3" xfId="4" applyFont="1" applyFill="1" applyBorder="1" applyAlignment="1">
      <alignment horizontal="left" vertical="top"/>
    </xf>
    <xf numFmtId="168" fontId="5" fillId="2" borderId="3" xfId="4" applyNumberFormat="1" applyFont="1" applyFill="1" applyBorder="1" applyAlignment="1">
      <alignment horizontal="center" vertical="center"/>
    </xf>
    <xf numFmtId="0" fontId="2" fillId="0" borderId="3" xfId="3" applyBorder="1" applyAlignment="1">
      <alignment horizontal="center"/>
    </xf>
    <xf numFmtId="1" fontId="8" fillId="0" borderId="2" xfId="3" applyNumberFormat="1" applyFont="1" applyBorder="1" applyAlignment="1">
      <alignment horizontal="left" vertical="center"/>
    </xf>
    <xf numFmtId="2" fontId="6" fillId="0" borderId="2" xfId="4" applyNumberFormat="1" applyFont="1" applyBorder="1" applyAlignment="1">
      <alignment horizontal="center" vertical="center"/>
    </xf>
    <xf numFmtId="167" fontId="8" fillId="0" borderId="2" xfId="7" applyNumberFormat="1" applyFont="1" applyFill="1" applyBorder="1" applyAlignment="1">
      <alignment horizontal="left" vertical="center"/>
    </xf>
    <xf numFmtId="0" fontId="5" fillId="2" borderId="6" xfId="4" applyFont="1" applyFill="1" applyBorder="1" applyAlignment="1">
      <alignment horizontal="center" vertical="center"/>
    </xf>
    <xf numFmtId="0" fontId="5" fillId="2" borderId="6" xfId="4" applyFont="1" applyFill="1" applyBorder="1" applyAlignment="1">
      <alignment horizontal="left" vertical="top"/>
    </xf>
    <xf numFmtId="168" fontId="7" fillId="0" borderId="5" xfId="0" quotePrefix="1" applyNumberFormat="1" applyFont="1" applyBorder="1" applyAlignment="1">
      <alignment horizontal="center" vertical="center"/>
    </xf>
    <xf numFmtId="167" fontId="5" fillId="2" borderId="5" xfId="5" applyNumberFormat="1" applyFont="1" applyFill="1" applyBorder="1" applyAlignment="1">
      <alignment horizontal="left" vertical="center"/>
    </xf>
    <xf numFmtId="10" fontId="0" fillId="0" borderId="2" xfId="0" applyNumberFormat="1" applyBorder="1"/>
    <xf numFmtId="0" fontId="2" fillId="0" borderId="2" xfId="4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2" fontId="7" fillId="0" borderId="2" xfId="2" applyFont="1" applyFill="1" applyBorder="1" applyAlignment="1" applyProtection="1">
      <alignment horizontal="right" vertical="center"/>
    </xf>
    <xf numFmtId="42" fontId="6" fillId="0" borderId="2" xfId="2" applyFont="1" applyFill="1" applyBorder="1" applyAlignment="1">
      <alignment vertical="center"/>
    </xf>
    <xf numFmtId="0" fontId="9" fillId="0" borderId="2" xfId="4" applyFont="1" applyBorder="1" applyAlignment="1">
      <alignment horizontal="left" vertical="center"/>
    </xf>
    <xf numFmtId="167" fontId="6" fillId="0" borderId="2" xfId="7" applyNumberFormat="1" applyFont="1" applyFill="1" applyBorder="1" applyAlignment="1">
      <alignment horizontal="left" vertical="center"/>
    </xf>
    <xf numFmtId="2" fontId="11" fillId="0" borderId="2" xfId="3" applyNumberFormat="1" applyFont="1" applyBorder="1" applyAlignment="1">
      <alignment horizontal="center" vertical="center" wrapText="1"/>
    </xf>
    <xf numFmtId="2" fontId="5" fillId="0" borderId="2" xfId="4" applyNumberFormat="1" applyFont="1" applyBorder="1" applyAlignment="1">
      <alignment horizontal="center" vertical="center"/>
    </xf>
    <xf numFmtId="167" fontId="5" fillId="0" borderId="2" xfId="7" applyNumberFormat="1" applyFont="1" applyFill="1" applyBorder="1" applyAlignment="1">
      <alignment horizontal="left" vertical="center"/>
    </xf>
    <xf numFmtId="168" fontId="7" fillId="2" borderId="2" xfId="0" quotePrefix="1" applyNumberFormat="1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0" fontId="12" fillId="0" borderId="2" xfId="0" quotePrefix="1" applyFont="1" applyBorder="1" applyAlignment="1">
      <alignment horizontal="left" vertical="center"/>
    </xf>
    <xf numFmtId="0" fontId="12" fillId="0" borderId="2" xfId="0" quotePrefix="1" applyFont="1" applyBorder="1" applyAlignment="1">
      <alignment horizontal="center" vertical="center"/>
    </xf>
    <xf numFmtId="168" fontId="12" fillId="0" borderId="2" xfId="0" quotePrefix="1" applyNumberFormat="1" applyFont="1" applyBorder="1" applyAlignment="1">
      <alignment horizontal="center" vertical="center"/>
    </xf>
    <xf numFmtId="169" fontId="12" fillId="0" borderId="2" xfId="1" applyNumberFormat="1" applyFont="1" applyFill="1" applyBorder="1" applyAlignment="1" applyProtection="1">
      <alignment horizontal="right" vertical="center"/>
    </xf>
    <xf numFmtId="0" fontId="5" fillId="0" borderId="2" xfId="0" applyFont="1" applyBorder="1" applyAlignment="1">
      <alignment vertical="center"/>
    </xf>
    <xf numFmtId="0" fontId="12" fillId="3" borderId="2" xfId="0" quotePrefix="1" applyFont="1" applyFill="1" applyBorder="1" applyAlignment="1">
      <alignment horizontal="center" vertical="center"/>
    </xf>
    <xf numFmtId="169" fontId="12" fillId="3" borderId="2" xfId="1" quotePrefix="1" applyNumberFormat="1" applyFont="1" applyFill="1" applyBorder="1" applyAlignment="1" applyProtection="1">
      <alignment horizontal="center" vertical="center"/>
    </xf>
    <xf numFmtId="0" fontId="2" fillId="0" borderId="2" xfId="3" applyBorder="1" applyAlignment="1">
      <alignment vertical="center"/>
    </xf>
    <xf numFmtId="0" fontId="13" fillId="0" borderId="2" xfId="3" applyFont="1" applyBorder="1" applyAlignment="1">
      <alignment horizontal="left" vertical="center"/>
    </xf>
    <xf numFmtId="167" fontId="13" fillId="0" borderId="2" xfId="7" applyNumberFormat="1" applyFont="1" applyFill="1" applyBorder="1" applyAlignment="1">
      <alignment horizontal="left" vertical="center"/>
    </xf>
    <xf numFmtId="0" fontId="8" fillId="0" borderId="2" xfId="4" applyFont="1" applyBorder="1" applyAlignment="1">
      <alignment horizontal="center" vertical="center"/>
    </xf>
    <xf numFmtId="2" fontId="8" fillId="0" borderId="2" xfId="4" applyNumberFormat="1" applyFont="1" applyBorder="1" applyAlignment="1">
      <alignment horizontal="center" vertical="center"/>
    </xf>
    <xf numFmtId="164" fontId="9" fillId="0" borderId="2" xfId="8" applyFont="1" applyBorder="1"/>
    <xf numFmtId="0" fontId="6" fillId="0" borderId="2" xfId="4" applyFont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2" fontId="2" fillId="0" borderId="2" xfId="3" applyNumberForma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168" fontId="2" fillId="2" borderId="2" xfId="4" applyNumberFormat="1" applyFill="1" applyBorder="1" applyAlignment="1">
      <alignment horizontal="center" vertical="center"/>
    </xf>
    <xf numFmtId="171" fontId="2" fillId="2" borderId="2" xfId="4" applyNumberFormat="1" applyFill="1" applyBorder="1" applyAlignment="1">
      <alignment horizontal="center" vertical="center"/>
    </xf>
    <xf numFmtId="0" fontId="0" fillId="0" borderId="0" xfId="0" applyBorder="1"/>
    <xf numFmtId="0" fontId="14" fillId="0" borderId="2" xfId="0" applyFont="1" applyBorder="1" applyAlignment="1">
      <alignment vertical="center"/>
    </xf>
    <xf numFmtId="42" fontId="0" fillId="0" borderId="0" xfId="0" applyNumberFormat="1"/>
    <xf numFmtId="172" fontId="7" fillId="0" borderId="2" xfId="0" quotePrefix="1" applyNumberFormat="1" applyFont="1" applyBorder="1" applyAlignment="1">
      <alignment horizontal="center" vertical="center"/>
    </xf>
    <xf numFmtId="0" fontId="7" fillId="0" borderId="10" xfId="0" quotePrefix="1" applyFont="1" applyBorder="1" applyAlignment="1">
      <alignment horizontal="left" vertical="center"/>
    </xf>
    <xf numFmtId="42" fontId="7" fillId="0" borderId="17" xfId="2" applyFont="1" applyFill="1" applyBorder="1" applyAlignment="1" applyProtection="1">
      <alignment horizontal="right" vertical="center"/>
    </xf>
    <xf numFmtId="0" fontId="7" fillId="0" borderId="5" xfId="0" quotePrefix="1" applyFont="1" applyBorder="1" applyAlignment="1">
      <alignment horizontal="center" vertical="center"/>
    </xf>
    <xf numFmtId="42" fontId="7" fillId="0" borderId="15" xfId="2" applyFont="1" applyFill="1" applyBorder="1" applyAlignment="1" applyProtection="1">
      <alignment horizontal="right" vertical="center"/>
    </xf>
    <xf numFmtId="1" fontId="9" fillId="2" borderId="6" xfId="4" applyNumberFormat="1" applyFont="1" applyFill="1" applyBorder="1" applyAlignment="1">
      <alignment horizontal="center" vertical="center"/>
    </xf>
    <xf numFmtId="0" fontId="9" fillId="0" borderId="5" xfId="4" applyFont="1" applyBorder="1" applyAlignment="1">
      <alignment horizontal="left" vertical="center"/>
    </xf>
    <xf numFmtId="0" fontId="9" fillId="2" borderId="5" xfId="4" applyFont="1" applyFill="1" applyBorder="1" applyAlignment="1">
      <alignment horizontal="center" vertical="center"/>
    </xf>
    <xf numFmtId="169" fontId="7" fillId="0" borderId="5" xfId="1" applyNumberFormat="1" applyFont="1" applyFill="1" applyBorder="1" applyAlignment="1" applyProtection="1">
      <alignment horizontal="right" vertical="center"/>
    </xf>
    <xf numFmtId="0" fontId="9" fillId="0" borderId="3" xfId="3" applyFont="1" applyBorder="1" applyAlignment="1">
      <alignment horizontal="center"/>
    </xf>
    <xf numFmtId="0" fontId="9" fillId="0" borderId="18" xfId="4" applyFont="1" applyBorder="1" applyAlignment="1">
      <alignment horizontal="center" vertical="center"/>
    </xf>
    <xf numFmtId="0" fontId="9" fillId="0" borderId="18" xfId="4" applyFont="1" applyBorder="1" applyAlignment="1">
      <alignment horizontal="center" vertical="center" wrapText="1"/>
    </xf>
    <xf numFmtId="0" fontId="7" fillId="2" borderId="6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9" fontId="7" fillId="2" borderId="5" xfId="1" quotePrefix="1" applyNumberFormat="1" applyFont="1" applyFill="1" applyBorder="1" applyAlignment="1" applyProtection="1">
      <alignment horizontal="center" vertical="center"/>
    </xf>
    <xf numFmtId="169" fontId="7" fillId="0" borderId="19" xfId="1" applyNumberFormat="1" applyFont="1" applyFill="1" applyBorder="1" applyAlignment="1" applyProtection="1">
      <alignment horizontal="right" vertical="center"/>
    </xf>
    <xf numFmtId="169" fontId="9" fillId="0" borderId="17" xfId="1" applyNumberFormat="1" applyFont="1" applyFill="1" applyBorder="1" applyAlignment="1" applyProtection="1">
      <alignment horizontal="right" vertical="center"/>
    </xf>
    <xf numFmtId="169" fontId="8" fillId="0" borderId="5" xfId="1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9" fontId="9" fillId="0" borderId="17" xfId="1" applyNumberFormat="1" applyFont="1" applyFill="1" applyBorder="1" applyAlignment="1" applyProtection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170" fontId="5" fillId="0" borderId="17" xfId="7" applyFont="1" applyFill="1" applyBorder="1" applyAlignment="1">
      <alignment horizontal="left" vertical="center"/>
    </xf>
    <xf numFmtId="0" fontId="2" fillId="0" borderId="3" xfId="4" applyBorder="1" applyAlignment="1">
      <alignment horizontal="center" vertical="center"/>
    </xf>
    <xf numFmtId="49" fontId="2" fillId="0" borderId="3" xfId="4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67" fontId="5" fillId="0" borderId="17" xfId="5" applyNumberFormat="1" applyFont="1" applyFill="1" applyBorder="1" applyAlignment="1">
      <alignment horizontal="left" vertical="center"/>
    </xf>
    <xf numFmtId="0" fontId="12" fillId="0" borderId="5" xfId="0" applyFont="1" applyBorder="1" applyAlignment="1">
      <alignment horizontal="center" vertical="center"/>
    </xf>
    <xf numFmtId="42" fontId="12" fillId="0" borderId="5" xfId="2" applyFont="1" applyFill="1" applyBorder="1" applyAlignment="1" applyProtection="1">
      <alignment horizontal="right" vertical="center"/>
    </xf>
    <xf numFmtId="0" fontId="5" fillId="2" borderId="3" xfId="4" applyFont="1" applyFill="1" applyBorder="1" applyAlignment="1">
      <alignment horizontal="left" vertical="center"/>
    </xf>
    <xf numFmtId="1" fontId="2" fillId="2" borderId="3" xfId="4" applyNumberFormat="1" applyFill="1" applyBorder="1" applyAlignment="1">
      <alignment horizontal="center" vertical="center"/>
    </xf>
    <xf numFmtId="0" fontId="12" fillId="3" borderId="6" xfId="0" quotePrefix="1" applyFont="1" applyFill="1" applyBorder="1" applyAlignment="1">
      <alignment horizontal="center" vertical="center"/>
    </xf>
    <xf numFmtId="42" fontId="12" fillId="0" borderId="17" xfId="2" applyFont="1" applyFill="1" applyBorder="1" applyAlignment="1" applyProtection="1">
      <alignment horizontal="right" vertical="center"/>
    </xf>
    <xf numFmtId="167" fontId="5" fillId="0" borderId="17" xfId="7" applyNumberFormat="1" applyFont="1" applyFill="1" applyBorder="1" applyAlignment="1">
      <alignment horizontal="left" vertical="center"/>
    </xf>
    <xf numFmtId="0" fontId="2" fillId="0" borderId="18" xfId="4" applyBorder="1" applyAlignment="1">
      <alignment horizontal="center" vertical="center"/>
    </xf>
    <xf numFmtId="0" fontId="2" fillId="0" borderId="18" xfId="4" applyBorder="1" applyAlignment="1">
      <alignment horizontal="center" vertical="center" wrapText="1"/>
    </xf>
    <xf numFmtId="169" fontId="12" fillId="0" borderId="19" xfId="1" applyNumberFormat="1" applyFont="1" applyFill="1" applyBorder="1" applyAlignment="1" applyProtection="1">
      <alignment horizontal="right" vertical="center"/>
    </xf>
    <xf numFmtId="0" fontId="12" fillId="3" borderId="3" xfId="0" quotePrefix="1" applyFont="1" applyFill="1" applyBorder="1" applyAlignment="1">
      <alignment horizontal="center" vertical="center"/>
    </xf>
    <xf numFmtId="167" fontId="6" fillId="0" borderId="17" xfId="7" applyNumberFormat="1" applyFont="1" applyFill="1" applyBorder="1" applyAlignment="1">
      <alignment horizontal="left" vertical="center"/>
    </xf>
    <xf numFmtId="0" fontId="2" fillId="0" borderId="3" xfId="3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169" fontId="12" fillId="3" borderId="5" xfId="1" quotePrefix="1" applyNumberFormat="1" applyFont="1" applyFill="1" applyBorder="1" applyAlignment="1" applyProtection="1">
      <alignment horizontal="center" vertical="center"/>
    </xf>
    <xf numFmtId="42" fontId="7" fillId="0" borderId="20" xfId="2" applyFont="1" applyFill="1" applyBorder="1" applyAlignment="1" applyProtection="1">
      <alignment horizontal="right" vertical="center"/>
    </xf>
    <xf numFmtId="0" fontId="10" fillId="0" borderId="3" xfId="0" applyFont="1" applyBorder="1" applyAlignment="1">
      <alignment horizontal="center" vertical="center"/>
    </xf>
    <xf numFmtId="0" fontId="7" fillId="0" borderId="16" xfId="0" quotePrefix="1" applyFont="1" applyBorder="1" applyAlignment="1">
      <alignment horizontal="center" vertical="center"/>
    </xf>
    <xf numFmtId="42" fontId="7" fillId="0" borderId="16" xfId="2" applyFont="1" applyFill="1" applyBorder="1" applyAlignment="1" applyProtection="1">
      <alignment horizontal="right" vertical="center"/>
    </xf>
    <xf numFmtId="0" fontId="7" fillId="3" borderId="5" xfId="0" quotePrefix="1" applyFont="1" applyFill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172" fontId="7" fillId="0" borderId="5" xfId="0" quotePrefix="1" applyNumberFormat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169" fontId="7" fillId="3" borderId="2" xfId="9" quotePrefix="1" applyNumberFormat="1" applyFont="1" applyFill="1" applyBorder="1" applyAlignment="1" applyProtection="1">
      <alignment horizontal="center" vertical="center"/>
    </xf>
    <xf numFmtId="169" fontId="8" fillId="0" borderId="2" xfId="9" applyNumberFormat="1" applyFont="1" applyFill="1" applyBorder="1" applyAlignment="1">
      <alignment horizontal="center" vertical="center"/>
    </xf>
    <xf numFmtId="169" fontId="8" fillId="0" borderId="5" xfId="9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9" fontId="7" fillId="3" borderId="5" xfId="9" quotePrefix="1" applyNumberFormat="1" applyFont="1" applyFill="1" applyBorder="1" applyAlignment="1" applyProtection="1">
      <alignment horizontal="center" vertical="center"/>
    </xf>
    <xf numFmtId="0" fontId="6" fillId="0" borderId="6" xfId="0" applyFont="1" applyBorder="1" applyAlignment="1">
      <alignment horizontal="center" vertical="center"/>
    </xf>
    <xf numFmtId="169" fontId="6" fillId="0" borderId="2" xfId="9" applyNumberFormat="1" applyFont="1" applyBorder="1"/>
    <xf numFmtId="0" fontId="6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42" fontId="0" fillId="4" borderId="0" xfId="0" applyNumberFormat="1" applyFill="1"/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69" fontId="6" fillId="0" borderId="9" xfId="9" applyNumberFormat="1" applyFont="1" applyFill="1" applyBorder="1"/>
    <xf numFmtId="1" fontId="8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167" fontId="0" fillId="0" borderId="0" xfId="0" applyNumberFormat="1" applyBorder="1"/>
    <xf numFmtId="0" fontId="6" fillId="2" borderId="3" xfId="0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left" vertical="center"/>
    </xf>
    <xf numFmtId="169" fontId="7" fillId="2" borderId="2" xfId="1" applyNumberFormat="1" applyFont="1" applyFill="1" applyBorder="1" applyAlignment="1" applyProtection="1">
      <alignment horizontal="right" vertical="center"/>
    </xf>
    <xf numFmtId="42" fontId="7" fillId="2" borderId="4" xfId="2" applyFont="1" applyFill="1" applyBorder="1" applyAlignment="1" applyProtection="1">
      <alignment horizontal="right" vertical="center"/>
    </xf>
    <xf numFmtId="0" fontId="7" fillId="6" borderId="6" xfId="0" quotePrefix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vertical="center"/>
    </xf>
    <xf numFmtId="0" fontId="7" fillId="6" borderId="2" xfId="0" quotePrefix="1" applyFont="1" applyFill="1" applyBorder="1" applyAlignment="1">
      <alignment horizontal="center" vertical="center"/>
    </xf>
    <xf numFmtId="168" fontId="7" fillId="6" borderId="2" xfId="0" quotePrefix="1" applyNumberFormat="1" applyFont="1" applyFill="1" applyBorder="1" applyAlignment="1">
      <alignment horizontal="center" vertical="center"/>
    </xf>
    <xf numFmtId="169" fontId="7" fillId="6" borderId="2" xfId="1" quotePrefix="1" applyNumberFormat="1" applyFont="1" applyFill="1" applyBorder="1" applyAlignment="1" applyProtection="1">
      <alignment horizontal="center" vertical="center"/>
    </xf>
    <xf numFmtId="42" fontId="7" fillId="6" borderId="4" xfId="2" applyFont="1" applyFill="1" applyBorder="1" applyAlignment="1" applyProtection="1">
      <alignment horizontal="right" vertical="center"/>
    </xf>
    <xf numFmtId="168" fontId="7" fillId="7" borderId="2" xfId="0" quotePrefix="1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7" fillId="7" borderId="2" xfId="0" quotePrefix="1" applyFont="1" applyFill="1" applyBorder="1" applyAlignment="1">
      <alignment horizontal="center" vertical="center"/>
    </xf>
    <xf numFmtId="42" fontId="7" fillId="7" borderId="4" xfId="12" applyFont="1" applyFill="1" applyBorder="1" applyAlignment="1" applyProtection="1">
      <alignment horizontal="right" vertical="center"/>
    </xf>
    <xf numFmtId="0" fontId="7" fillId="7" borderId="2" xfId="0" quotePrefix="1" applyFont="1" applyFill="1" applyBorder="1" applyAlignment="1">
      <alignment horizontal="left" vertical="center"/>
    </xf>
    <xf numFmtId="169" fontId="7" fillId="7" borderId="2" xfId="11" applyNumberFormat="1" applyFont="1" applyFill="1" applyBorder="1" applyAlignment="1" applyProtection="1">
      <alignment horizontal="right" vertical="center"/>
    </xf>
    <xf numFmtId="0" fontId="12" fillId="7" borderId="2" xfId="0" quotePrefix="1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center" vertical="center"/>
    </xf>
    <xf numFmtId="0" fontId="0" fillId="0" borderId="0" xfId="0"/>
    <xf numFmtId="0" fontId="6" fillId="0" borderId="3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2" xfId="0" quotePrefix="1" applyFont="1" applyBorder="1" applyAlignment="1">
      <alignment horizontal="center" vertical="center"/>
    </xf>
    <xf numFmtId="168" fontId="7" fillId="0" borderId="2" xfId="0" quotePrefix="1" applyNumberFormat="1" applyFont="1" applyBorder="1" applyAlignment="1">
      <alignment horizontal="center" vertical="center"/>
    </xf>
    <xf numFmtId="169" fontId="7" fillId="0" borderId="2" xfId="11" applyNumberFormat="1" applyFont="1" applyFill="1" applyBorder="1" applyAlignment="1" applyProtection="1">
      <alignment horizontal="right" vertical="center"/>
    </xf>
    <xf numFmtId="0" fontId="7" fillId="0" borderId="5" xfId="0" applyFont="1" applyBorder="1" applyAlignment="1">
      <alignment horizontal="center" vertical="center"/>
    </xf>
    <xf numFmtId="42" fontId="7" fillId="0" borderId="5" xfId="12" applyFont="1" applyFill="1" applyBorder="1" applyAlignment="1" applyProtection="1">
      <alignment horizontal="right" vertical="center"/>
    </xf>
    <xf numFmtId="0" fontId="6" fillId="0" borderId="2" xfId="0" applyFont="1" applyBorder="1" applyAlignment="1">
      <alignment vertical="center"/>
    </xf>
    <xf numFmtId="0" fontId="2" fillId="2" borderId="2" xfId="4" applyFill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2" fillId="0" borderId="2" xfId="4" applyBorder="1" applyAlignment="1">
      <alignment horizontal="left" vertical="center"/>
    </xf>
    <xf numFmtId="0" fontId="5" fillId="0" borderId="2" xfId="4" applyFont="1" applyBorder="1" applyAlignment="1">
      <alignment horizontal="center" vertical="center"/>
    </xf>
    <xf numFmtId="167" fontId="5" fillId="0" borderId="2" xfId="5" applyNumberFormat="1" applyFont="1" applyFill="1" applyBorder="1" applyAlignment="1">
      <alignment horizontal="left" vertical="center"/>
    </xf>
    <xf numFmtId="167" fontId="5" fillId="2" borderId="2" xfId="5" applyNumberFormat="1" applyFont="1" applyFill="1" applyBorder="1" applyAlignment="1">
      <alignment horizontal="left" vertical="center"/>
    </xf>
    <xf numFmtId="0" fontId="7" fillId="3" borderId="3" xfId="0" quotePrefix="1" applyFont="1" applyFill="1" applyBorder="1" applyAlignment="1">
      <alignment horizontal="center" vertical="center"/>
    </xf>
    <xf numFmtId="0" fontId="7" fillId="3" borderId="2" xfId="0" quotePrefix="1" applyFont="1" applyFill="1" applyBorder="1" applyAlignment="1">
      <alignment horizontal="center" vertical="center"/>
    </xf>
    <xf numFmtId="169" fontId="7" fillId="3" borderId="2" xfId="11" quotePrefix="1" applyNumberFormat="1" applyFont="1" applyFill="1" applyBorder="1" applyAlignment="1" applyProtection="1">
      <alignment horizontal="center" vertical="center"/>
    </xf>
    <xf numFmtId="0" fontId="5" fillId="2" borderId="3" xfId="4" applyFont="1" applyFill="1" applyBorder="1" applyAlignment="1">
      <alignment horizontal="center" vertical="center"/>
    </xf>
    <xf numFmtId="0" fontId="2" fillId="2" borderId="2" xfId="4" applyFill="1" applyBorder="1" applyAlignment="1">
      <alignment horizontal="left" vertical="center"/>
    </xf>
    <xf numFmtId="0" fontId="5" fillId="2" borderId="2" xfId="4" applyFont="1" applyFill="1" applyBorder="1" applyAlignment="1">
      <alignment horizontal="center" vertical="center"/>
    </xf>
    <xf numFmtId="0" fontId="7" fillId="3" borderId="6" xfId="0" quotePrefix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69" fontId="7" fillId="3" borderId="5" xfId="11" quotePrefix="1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vertical="center"/>
    </xf>
    <xf numFmtId="1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9" fillId="0" borderId="2" xfId="4" applyFont="1" applyBorder="1" applyAlignment="1">
      <alignment horizontal="center" vertical="center"/>
    </xf>
    <xf numFmtId="169" fontId="8" fillId="0" borderId="2" xfId="11" applyNumberFormat="1" applyFont="1" applyFill="1" applyBorder="1" applyAlignment="1">
      <alignment horizontal="center" vertical="center"/>
    </xf>
    <xf numFmtId="1" fontId="8" fillId="0" borderId="2" xfId="0" applyNumberFormat="1" applyFont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2" fillId="0" borderId="3" xfId="3" applyBorder="1" applyAlignment="1">
      <alignment horizontal="center"/>
    </xf>
    <xf numFmtId="1" fontId="8" fillId="0" borderId="2" xfId="3" applyNumberFormat="1" applyFont="1" applyBorder="1" applyAlignment="1">
      <alignment horizontal="left" vertical="center"/>
    </xf>
    <xf numFmtId="2" fontId="6" fillId="0" borderId="2" xfId="4" applyNumberFormat="1" applyFont="1" applyBorder="1" applyAlignment="1">
      <alignment horizontal="center" vertical="center"/>
    </xf>
    <xf numFmtId="167" fontId="8" fillId="0" borderId="2" xfId="7" applyNumberFormat="1" applyFont="1" applyFill="1" applyBorder="1" applyAlignment="1">
      <alignment horizontal="left" vertical="center"/>
    </xf>
    <xf numFmtId="0" fontId="5" fillId="2" borderId="6" xfId="4" applyFont="1" applyFill="1" applyBorder="1" applyAlignment="1">
      <alignment horizontal="center" vertical="center"/>
    </xf>
    <xf numFmtId="168" fontId="7" fillId="0" borderId="5" xfId="0" quotePrefix="1" applyNumberFormat="1" applyFont="1" applyBorder="1" applyAlignment="1">
      <alignment horizontal="center" vertical="center"/>
    </xf>
    <xf numFmtId="167" fontId="5" fillId="2" borderId="5" xfId="5" applyNumberFormat="1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2" fillId="0" borderId="2" xfId="4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2" fontId="7" fillId="0" borderId="2" xfId="12" applyFont="1" applyFill="1" applyBorder="1" applyAlignment="1" applyProtection="1">
      <alignment horizontal="right" vertical="center"/>
    </xf>
    <xf numFmtId="0" fontId="5" fillId="2" borderId="2" xfId="4" applyFont="1" applyFill="1" applyBorder="1" applyAlignment="1">
      <alignment horizontal="left" vertical="top"/>
    </xf>
    <xf numFmtId="42" fontId="6" fillId="0" borderId="2" xfId="12" applyFont="1" applyFill="1" applyBorder="1" applyAlignment="1">
      <alignment vertical="center"/>
    </xf>
    <xf numFmtId="0" fontId="9" fillId="0" borderId="2" xfId="4" applyFont="1" applyBorder="1" applyAlignment="1">
      <alignment horizontal="left" vertical="center"/>
    </xf>
    <xf numFmtId="167" fontId="6" fillId="0" borderId="2" xfId="7" applyNumberFormat="1" applyFont="1" applyFill="1" applyBorder="1" applyAlignment="1">
      <alignment horizontal="left" vertical="center"/>
    </xf>
    <xf numFmtId="2" fontId="11" fillId="0" borderId="2" xfId="3" applyNumberFormat="1" applyFont="1" applyBorder="1" applyAlignment="1">
      <alignment horizontal="center" vertical="center" wrapText="1"/>
    </xf>
    <xf numFmtId="2" fontId="5" fillId="0" borderId="2" xfId="4" applyNumberFormat="1" applyFont="1" applyBorder="1" applyAlignment="1">
      <alignment horizontal="center" vertical="center"/>
    </xf>
    <xf numFmtId="167" fontId="5" fillId="0" borderId="2" xfId="7" applyNumberFormat="1" applyFont="1" applyFill="1" applyBorder="1" applyAlignment="1">
      <alignment horizontal="left" vertical="center"/>
    </xf>
    <xf numFmtId="168" fontId="7" fillId="2" borderId="2" xfId="0" quotePrefix="1" applyNumberFormat="1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0" fontId="12" fillId="0" borderId="2" xfId="0" quotePrefix="1" applyFont="1" applyBorder="1" applyAlignment="1">
      <alignment horizontal="left" vertical="center"/>
    </xf>
    <xf numFmtId="0" fontId="12" fillId="0" borderId="2" xfId="0" quotePrefix="1" applyFont="1" applyBorder="1" applyAlignment="1">
      <alignment horizontal="center" vertical="center"/>
    </xf>
    <xf numFmtId="168" fontId="12" fillId="0" borderId="2" xfId="0" quotePrefix="1" applyNumberFormat="1" applyFont="1" applyBorder="1" applyAlignment="1">
      <alignment horizontal="center" vertical="center"/>
    </xf>
    <xf numFmtId="169" fontId="12" fillId="0" borderId="2" xfId="11" applyNumberFormat="1" applyFont="1" applyFill="1" applyBorder="1" applyAlignment="1" applyProtection="1">
      <alignment horizontal="right" vertical="center"/>
    </xf>
    <xf numFmtId="0" fontId="5" fillId="0" borderId="2" xfId="0" applyFont="1" applyBorder="1" applyAlignment="1">
      <alignment vertical="center"/>
    </xf>
    <xf numFmtId="0" fontId="12" fillId="3" borderId="2" xfId="0" quotePrefix="1" applyFont="1" applyFill="1" applyBorder="1" applyAlignment="1">
      <alignment horizontal="center" vertical="center"/>
    </xf>
    <xf numFmtId="169" fontId="12" fillId="3" borderId="2" xfId="11" quotePrefix="1" applyNumberFormat="1" applyFont="1" applyFill="1" applyBorder="1" applyAlignment="1" applyProtection="1">
      <alignment horizontal="center" vertical="center"/>
    </xf>
    <xf numFmtId="0" fontId="2" fillId="0" borderId="2" xfId="3" applyBorder="1" applyAlignment="1">
      <alignment vertical="center"/>
    </xf>
    <xf numFmtId="0" fontId="13" fillId="0" borderId="2" xfId="3" applyFont="1" applyBorder="1" applyAlignment="1">
      <alignment horizontal="left" vertical="center"/>
    </xf>
    <xf numFmtId="167" fontId="13" fillId="0" borderId="2" xfId="7" applyNumberFormat="1" applyFont="1" applyFill="1" applyBorder="1" applyAlignment="1">
      <alignment horizontal="left" vertical="center"/>
    </xf>
    <xf numFmtId="0" fontId="8" fillId="0" borderId="2" xfId="4" applyFont="1" applyBorder="1" applyAlignment="1">
      <alignment horizontal="center" vertical="center"/>
    </xf>
    <xf numFmtId="2" fontId="8" fillId="0" borderId="2" xfId="4" applyNumberFormat="1" applyFont="1" applyBorder="1" applyAlignment="1">
      <alignment horizontal="center" vertical="center"/>
    </xf>
    <xf numFmtId="164" fontId="9" fillId="0" borderId="2" xfId="8" applyFont="1" applyBorder="1"/>
    <xf numFmtId="0" fontId="5" fillId="2" borderId="2" xfId="0" applyFont="1" applyFill="1" applyBorder="1" applyAlignment="1">
      <alignment vertical="center"/>
    </xf>
    <xf numFmtId="2" fontId="2" fillId="0" borderId="2" xfId="3" applyNumberForma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left" vertical="center"/>
    </xf>
    <xf numFmtId="0" fontId="12" fillId="3" borderId="2" xfId="0" applyFont="1" applyFill="1" applyBorder="1" applyAlignment="1">
      <alignment horizontal="center" vertical="center"/>
    </xf>
    <xf numFmtId="0" fontId="5" fillId="2" borderId="2" xfId="4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42" fontId="12" fillId="0" borderId="2" xfId="12" applyFont="1" applyFill="1" applyBorder="1" applyAlignment="1" applyProtection="1">
      <alignment horizontal="right" vertical="center"/>
    </xf>
    <xf numFmtId="0" fontId="0" fillId="0" borderId="0" xfId="0" applyBorder="1"/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vertical="center"/>
    </xf>
    <xf numFmtId="42" fontId="0" fillId="0" borderId="0" xfId="0" applyNumberFormat="1"/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172" fontId="7" fillId="0" borderId="2" xfId="0" quotePrefix="1" applyNumberFormat="1" applyFont="1" applyBorder="1" applyAlignment="1">
      <alignment horizontal="center" vertical="center"/>
    </xf>
    <xf numFmtId="0" fontId="7" fillId="0" borderId="10" xfId="0" quotePrefix="1" applyFont="1" applyBorder="1" applyAlignment="1">
      <alignment horizontal="left" vertical="center"/>
    </xf>
    <xf numFmtId="0" fontId="7" fillId="0" borderId="5" xfId="0" quotePrefix="1" applyFont="1" applyBorder="1" applyAlignment="1">
      <alignment horizontal="center" vertical="center"/>
    </xf>
    <xf numFmtId="1" fontId="9" fillId="2" borderId="6" xfId="4" applyNumberFormat="1" applyFont="1" applyFill="1" applyBorder="1" applyAlignment="1">
      <alignment horizontal="center" vertical="center"/>
    </xf>
    <xf numFmtId="0" fontId="9" fillId="0" borderId="5" xfId="4" applyFont="1" applyBorder="1" applyAlignment="1">
      <alignment horizontal="left" vertical="center"/>
    </xf>
    <xf numFmtId="0" fontId="9" fillId="2" borderId="5" xfId="4" applyFont="1" applyFill="1" applyBorder="1" applyAlignment="1">
      <alignment horizontal="center" vertical="center"/>
    </xf>
    <xf numFmtId="169" fontId="7" fillId="0" borderId="5" xfId="11" applyNumberFormat="1" applyFont="1" applyFill="1" applyBorder="1" applyAlignment="1" applyProtection="1">
      <alignment horizontal="right" vertical="center"/>
    </xf>
    <xf numFmtId="0" fontId="9" fillId="0" borderId="3" xfId="3" applyFont="1" applyBorder="1" applyAlignment="1">
      <alignment horizontal="center"/>
    </xf>
    <xf numFmtId="0" fontId="9" fillId="0" borderId="18" xfId="4" applyFont="1" applyBorder="1" applyAlignment="1">
      <alignment horizontal="center" vertical="center"/>
    </xf>
    <xf numFmtId="0" fontId="7" fillId="2" borderId="6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9" fontId="7" fillId="2" borderId="5" xfId="11" quotePrefix="1" applyNumberFormat="1" applyFont="1" applyFill="1" applyBorder="1" applyAlignment="1" applyProtection="1">
      <alignment horizontal="center" vertical="center"/>
    </xf>
    <xf numFmtId="169" fontId="8" fillId="0" borderId="5" xfId="11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/>
    </xf>
    <xf numFmtId="0" fontId="2" fillId="0" borderId="3" xfId="4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" fontId="2" fillId="2" borderId="3" xfId="4" applyNumberFormat="1" applyFill="1" applyBorder="1" applyAlignment="1">
      <alignment horizontal="center" vertical="center"/>
    </xf>
    <xf numFmtId="0" fontId="12" fillId="3" borderId="6" xfId="0" quotePrefix="1" applyFont="1" applyFill="1" applyBorder="1" applyAlignment="1">
      <alignment horizontal="center" vertical="center"/>
    </xf>
    <xf numFmtId="0" fontId="2" fillId="0" borderId="18" xfId="4" applyBorder="1" applyAlignment="1">
      <alignment horizontal="center" vertical="center"/>
    </xf>
    <xf numFmtId="0" fontId="12" fillId="3" borderId="3" xfId="0" quotePrefix="1" applyFont="1" applyFill="1" applyBorder="1" applyAlignment="1">
      <alignment horizontal="center" vertical="center"/>
    </xf>
    <xf numFmtId="0" fontId="2" fillId="0" borderId="3" xfId="3" applyBorder="1" applyAlignment="1">
      <alignment vertical="center"/>
    </xf>
    <xf numFmtId="169" fontId="12" fillId="3" borderId="5" xfId="11" quotePrefix="1" applyNumberFormat="1" applyFont="1" applyFill="1" applyBorder="1" applyAlignment="1" applyProtection="1">
      <alignment horizontal="center" vertical="center"/>
    </xf>
    <xf numFmtId="0" fontId="10" fillId="0" borderId="3" xfId="0" applyFont="1" applyBorder="1" applyAlignment="1">
      <alignment horizontal="center" vertical="center"/>
    </xf>
    <xf numFmtId="172" fontId="7" fillId="0" borderId="5" xfId="0" quotePrefix="1" applyNumberFormat="1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169" fontId="7" fillId="3" borderId="2" xfId="9" quotePrefix="1" applyNumberFormat="1" applyFont="1" applyFill="1" applyBorder="1" applyAlignment="1" applyProtection="1">
      <alignment horizontal="center" vertical="center"/>
    </xf>
    <xf numFmtId="169" fontId="8" fillId="0" borderId="2" xfId="9" applyNumberFormat="1" applyFont="1" applyFill="1" applyBorder="1" applyAlignment="1">
      <alignment horizontal="center" vertical="center"/>
    </xf>
    <xf numFmtId="169" fontId="8" fillId="0" borderId="5" xfId="9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9" fontId="6" fillId="0" borderId="2" xfId="9" applyNumberFormat="1" applyFont="1" applyBorder="1"/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69" fontId="6" fillId="0" borderId="9" xfId="9" applyNumberFormat="1" applyFont="1" applyFill="1" applyBorder="1"/>
    <xf numFmtId="0" fontId="9" fillId="0" borderId="6" xfId="3" applyFont="1" applyBorder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2" fillId="0" borderId="6" xfId="4" applyBorder="1" applyAlignment="1">
      <alignment horizontal="center" vertical="center"/>
    </xf>
    <xf numFmtId="1" fontId="9" fillId="2" borderId="3" xfId="4" applyNumberFormat="1" applyFont="1" applyFill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/>
    </xf>
    <xf numFmtId="49" fontId="2" fillId="0" borderId="6" xfId="4" applyNumberForma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0" fontId="7" fillId="3" borderId="18" xfId="0" quotePrefix="1" applyFont="1" applyFill="1" applyBorder="1" applyAlignment="1">
      <alignment horizontal="center" vertical="center"/>
    </xf>
    <xf numFmtId="1" fontId="2" fillId="2" borderId="6" xfId="4" applyNumberFormat="1" applyFill="1" applyBorder="1" applyAlignment="1">
      <alignment horizontal="center" vertical="center"/>
    </xf>
    <xf numFmtId="0" fontId="9" fillId="0" borderId="3" xfId="4" applyFont="1" applyBorder="1" applyAlignment="1">
      <alignment horizontal="center" vertical="center" wrapText="1"/>
    </xf>
    <xf numFmtId="0" fontId="2" fillId="0" borderId="3" xfId="4" applyBorder="1" applyAlignment="1">
      <alignment horizontal="center" vertical="center" wrapText="1"/>
    </xf>
    <xf numFmtId="0" fontId="2" fillId="0" borderId="0" xfId="4" applyBorder="1" applyAlignment="1">
      <alignment horizontal="left" vertical="center"/>
    </xf>
    <xf numFmtId="0" fontId="7" fillId="0" borderId="3" xfId="0" quotePrefix="1" applyFont="1" applyBorder="1" applyAlignment="1">
      <alignment horizontal="left" vertical="center"/>
    </xf>
    <xf numFmtId="0" fontId="9" fillId="0" borderId="10" xfId="4" applyFont="1" applyBorder="1" applyAlignment="1">
      <alignment horizontal="left" vertical="center"/>
    </xf>
    <xf numFmtId="0" fontId="7" fillId="0" borderId="5" xfId="0" quotePrefix="1" applyFont="1" applyBorder="1" applyAlignment="1">
      <alignment horizontal="left" vertical="center"/>
    </xf>
    <xf numFmtId="0" fontId="7" fillId="0" borderId="0" xfId="0" quotePrefix="1" applyFont="1" applyBorder="1" applyAlignment="1">
      <alignment horizontal="left" vertical="center"/>
    </xf>
    <xf numFmtId="0" fontId="2" fillId="0" borderId="5" xfId="4" applyBorder="1" applyAlignment="1">
      <alignment horizontal="left" vertical="center"/>
    </xf>
    <xf numFmtId="0" fontId="9" fillId="0" borderId="3" xfId="4" applyFont="1" applyBorder="1" applyAlignment="1">
      <alignment horizontal="left" vertical="center"/>
    </xf>
    <xf numFmtId="0" fontId="9" fillId="0" borderId="0" xfId="4" applyFont="1" applyBorder="1" applyAlignment="1">
      <alignment horizontal="left" vertical="center"/>
    </xf>
    <xf numFmtId="0" fontId="6" fillId="0" borderId="3" xfId="0" applyFont="1" applyBorder="1" applyAlignment="1">
      <alignment vertical="center"/>
    </xf>
    <xf numFmtId="1" fontId="8" fillId="0" borderId="5" xfId="0" applyNumberFormat="1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5" fillId="0" borderId="5" xfId="4" applyFont="1" applyBorder="1" applyAlignment="1">
      <alignment horizontal="center" vertical="center"/>
    </xf>
    <xf numFmtId="0" fontId="2" fillId="0" borderId="5" xfId="4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9" fillId="0" borderId="15" xfId="4" applyFont="1" applyBorder="1" applyAlignment="1">
      <alignment horizontal="center" vertical="center"/>
    </xf>
    <xf numFmtId="0" fontId="5" fillId="2" borderId="5" xfId="4" applyFont="1" applyFill="1" applyBorder="1" applyAlignment="1">
      <alignment horizontal="center" vertical="center"/>
    </xf>
    <xf numFmtId="0" fontId="2" fillId="2" borderId="5" xfId="4" applyFill="1" applyBorder="1" applyAlignment="1">
      <alignment horizontal="center" vertical="center"/>
    </xf>
    <xf numFmtId="2" fontId="5" fillId="0" borderId="5" xfId="4" applyNumberFormat="1" applyFont="1" applyBorder="1" applyAlignment="1">
      <alignment horizontal="center" vertical="center"/>
    </xf>
    <xf numFmtId="2" fontId="6" fillId="0" borderId="5" xfId="4" applyNumberFormat="1" applyFont="1" applyBorder="1" applyAlignment="1">
      <alignment horizontal="center" vertical="center"/>
    </xf>
    <xf numFmtId="167" fontId="5" fillId="0" borderId="5" xfId="5" applyNumberFormat="1" applyFont="1" applyFill="1" applyBorder="1" applyAlignment="1">
      <alignment horizontal="left" vertical="center"/>
    </xf>
    <xf numFmtId="167" fontId="5" fillId="0" borderId="5" xfId="7" applyNumberFormat="1" applyFont="1" applyFill="1" applyBorder="1" applyAlignment="1">
      <alignment horizontal="left" vertical="center"/>
    </xf>
    <xf numFmtId="167" fontId="6" fillId="0" borderId="5" xfId="7" applyNumberFormat="1" applyFont="1" applyFill="1" applyBorder="1" applyAlignment="1">
      <alignment horizontal="left" vertical="center"/>
    </xf>
    <xf numFmtId="42" fontId="6" fillId="0" borderId="5" xfId="12" applyFont="1" applyFill="1" applyBorder="1" applyAlignment="1">
      <alignment vertical="center"/>
    </xf>
    <xf numFmtId="167" fontId="5" fillId="0" borderId="15" xfId="7" applyNumberFormat="1" applyFont="1" applyFill="1" applyBorder="1" applyAlignment="1">
      <alignment horizontal="left" vertical="center"/>
    </xf>
    <xf numFmtId="0" fontId="2" fillId="0" borderId="14" xfId="4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2" fillId="3" borderId="18" xfId="0" quotePrefix="1" applyFont="1" applyFill="1" applyBorder="1" applyAlignment="1">
      <alignment horizontal="center" vertical="center"/>
    </xf>
    <xf numFmtId="0" fontId="9" fillId="0" borderId="18" xfId="3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5" fillId="2" borderId="0" xfId="4" applyFont="1" applyFill="1" applyBorder="1" applyAlignment="1">
      <alignment horizontal="left" vertical="center"/>
    </xf>
    <xf numFmtId="0" fontId="9" fillId="2" borderId="3" xfId="0" applyFont="1" applyFill="1" applyBorder="1" applyAlignment="1">
      <alignment vertical="center"/>
    </xf>
    <xf numFmtId="0" fontId="5" fillId="2" borderId="5" xfId="4" applyFont="1" applyFill="1" applyBorder="1" applyAlignment="1">
      <alignment horizontal="left" vertical="top"/>
    </xf>
    <xf numFmtId="0" fontId="9" fillId="0" borderId="15" xfId="4" applyFont="1" applyBorder="1" applyAlignment="1">
      <alignment horizontal="left" vertical="center"/>
    </xf>
    <xf numFmtId="0" fontId="13" fillId="0" borderId="5" xfId="3" applyFont="1" applyBorder="1" applyAlignment="1">
      <alignment horizontal="left" vertical="center"/>
    </xf>
    <xf numFmtId="0" fontId="2" fillId="0" borderId="3" xfId="4" applyBorder="1" applyAlignment="1">
      <alignment horizontal="left" vertical="center"/>
    </xf>
    <xf numFmtId="0" fontId="6" fillId="0" borderId="15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6" xfId="0" quotePrefix="1" applyFont="1" applyBorder="1" applyAlignment="1">
      <alignment horizontal="left" vertical="center"/>
    </xf>
    <xf numFmtId="1" fontId="8" fillId="0" borderId="3" xfId="0" applyNumberFormat="1" applyFont="1" applyBorder="1" applyAlignment="1">
      <alignment horizontal="left" vertical="center"/>
    </xf>
    <xf numFmtId="0" fontId="2" fillId="2" borderId="10" xfId="4" applyFill="1" applyBorder="1" applyAlignment="1">
      <alignment horizontal="left" vertical="center"/>
    </xf>
    <xf numFmtId="0" fontId="7" fillId="0" borderId="3" xfId="0" quotePrefix="1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9" fillId="0" borderId="16" xfId="4" applyFont="1" applyBorder="1" applyAlignment="1">
      <alignment horizontal="center" vertical="center"/>
    </xf>
    <xf numFmtId="0" fontId="12" fillId="0" borderId="6" xfId="0" quotePrefix="1" applyFont="1" applyBorder="1" applyAlignment="1">
      <alignment horizontal="center" vertical="center"/>
    </xf>
    <xf numFmtId="168" fontId="5" fillId="2" borderId="5" xfId="4" applyNumberFormat="1" applyFont="1" applyFill="1" applyBorder="1" applyAlignment="1">
      <alignment horizontal="center" vertical="center"/>
    </xf>
    <xf numFmtId="168" fontId="7" fillId="0" borderId="3" xfId="0" quotePrefix="1" applyNumberFormat="1" applyFont="1" applyBorder="1" applyAlignment="1">
      <alignment horizontal="center" vertical="center"/>
    </xf>
    <xf numFmtId="168" fontId="2" fillId="2" borderId="5" xfId="4" applyNumberFormat="1" applyFill="1" applyBorder="1" applyAlignment="1">
      <alignment horizontal="center" vertical="center"/>
    </xf>
    <xf numFmtId="168" fontId="7" fillId="2" borderId="5" xfId="0" quotePrefix="1" applyNumberFormat="1" applyFont="1" applyFill="1" applyBorder="1" applyAlignment="1">
      <alignment horizontal="center" vertical="center"/>
    </xf>
    <xf numFmtId="171" fontId="2" fillId="2" borderId="5" xfId="4" applyNumberFormat="1" applyFill="1" applyBorder="1" applyAlignment="1">
      <alignment horizontal="center" vertical="center"/>
    </xf>
    <xf numFmtId="168" fontId="12" fillId="0" borderId="5" xfId="0" quotePrefix="1" applyNumberFormat="1" applyFont="1" applyBorder="1" applyAlignment="1">
      <alignment horizontal="center" vertical="center"/>
    </xf>
    <xf numFmtId="169" fontId="8" fillId="0" borderId="15" xfId="11" applyNumberFormat="1" applyFont="1" applyFill="1" applyBorder="1" applyAlignment="1">
      <alignment horizontal="center" vertical="center"/>
    </xf>
    <xf numFmtId="169" fontId="6" fillId="0" borderId="5" xfId="9" applyNumberFormat="1" applyFont="1" applyBorder="1"/>
    <xf numFmtId="169" fontId="8" fillId="0" borderId="16" xfId="11" applyNumberFormat="1" applyFont="1" applyFill="1" applyBorder="1" applyAlignment="1">
      <alignment horizontal="center" vertical="center"/>
    </xf>
    <xf numFmtId="169" fontId="12" fillId="0" borderId="5" xfId="11" applyNumberFormat="1" applyFont="1" applyFill="1" applyBorder="1" applyAlignment="1" applyProtection="1">
      <alignment horizontal="right" vertical="center"/>
    </xf>
    <xf numFmtId="167" fontId="5" fillId="0" borderId="15" xfId="5" applyNumberFormat="1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left" vertical="center"/>
    </xf>
    <xf numFmtId="169" fontId="7" fillId="2" borderId="2" xfId="11" applyNumberFormat="1" applyFont="1" applyFill="1" applyBorder="1" applyAlignment="1" applyProtection="1">
      <alignment horizontal="right" vertical="center"/>
    </xf>
    <xf numFmtId="42" fontId="7" fillId="2" borderId="4" xfId="12" applyFont="1" applyFill="1" applyBorder="1" applyAlignment="1" applyProtection="1">
      <alignment horizontal="right" vertical="center"/>
    </xf>
    <xf numFmtId="0" fontId="7" fillId="6" borderId="2" xfId="0" quotePrefix="1" applyFont="1" applyFill="1" applyBorder="1" applyAlignment="1">
      <alignment horizontal="center" vertical="center"/>
    </xf>
    <xf numFmtId="168" fontId="7" fillId="6" borderId="2" xfId="0" quotePrefix="1" applyNumberFormat="1" applyFont="1" applyFill="1" applyBorder="1" applyAlignment="1">
      <alignment horizontal="center" vertical="center"/>
    </xf>
    <xf numFmtId="169" fontId="7" fillId="6" borderId="2" xfId="11" quotePrefix="1" applyNumberFormat="1" applyFont="1" applyFill="1" applyBorder="1" applyAlignment="1" applyProtection="1">
      <alignment horizontal="center" vertical="center"/>
    </xf>
    <xf numFmtId="0" fontId="7" fillId="6" borderId="3" xfId="0" quotePrefix="1" applyFont="1" applyFill="1" applyBorder="1" applyAlignment="1">
      <alignment horizontal="center" vertical="center"/>
    </xf>
    <xf numFmtId="0" fontId="9" fillId="6" borderId="0" xfId="0" applyFont="1" applyFill="1" applyBorder="1" applyAlignment="1">
      <alignment vertical="center"/>
    </xf>
    <xf numFmtId="168" fontId="12" fillId="7" borderId="2" xfId="0" quotePrefix="1" applyNumberFormat="1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42" fontId="12" fillId="7" borderId="2" xfId="12" applyFont="1" applyFill="1" applyBorder="1" applyAlignment="1" applyProtection="1">
      <alignment horizontal="right" vertical="center"/>
    </xf>
    <xf numFmtId="0" fontId="7" fillId="7" borderId="2" xfId="0" applyFont="1" applyFill="1" applyBorder="1" applyAlignment="1">
      <alignment horizontal="center" vertical="center"/>
    </xf>
    <xf numFmtId="42" fontId="7" fillId="7" borderId="2" xfId="12" applyFont="1" applyFill="1" applyBorder="1" applyAlignment="1" applyProtection="1">
      <alignment horizontal="right" vertical="center"/>
    </xf>
    <xf numFmtId="42" fontId="6" fillId="7" borderId="2" xfId="12" applyFont="1" applyFill="1" applyBorder="1" applyAlignment="1">
      <alignment vertical="center"/>
    </xf>
    <xf numFmtId="0" fontId="9" fillId="7" borderId="6" xfId="4" applyFont="1" applyFill="1" applyBorder="1" applyAlignment="1">
      <alignment horizontal="center" vertical="center"/>
    </xf>
    <xf numFmtId="0" fontId="9" fillId="7" borderId="2" xfId="4" applyFont="1" applyFill="1" applyBorder="1" applyAlignment="1">
      <alignment horizontal="left" vertical="center"/>
    </xf>
    <xf numFmtId="0" fontId="9" fillId="7" borderId="2" xfId="4" applyFont="1" applyFill="1" applyBorder="1" applyAlignment="1">
      <alignment horizontal="center" vertical="center"/>
    </xf>
    <xf numFmtId="2" fontId="6" fillId="7" borderId="2" xfId="4" applyNumberFormat="1" applyFont="1" applyFill="1" applyBorder="1" applyAlignment="1">
      <alignment horizontal="center" vertical="center"/>
    </xf>
    <xf numFmtId="167" fontId="6" fillId="7" borderId="2" xfId="7" applyNumberFormat="1" applyFont="1" applyFill="1" applyBorder="1" applyAlignment="1">
      <alignment horizontal="left" vertical="center"/>
    </xf>
    <xf numFmtId="0" fontId="6" fillId="7" borderId="6" xfId="0" applyFont="1" applyFill="1" applyBorder="1" applyAlignment="1">
      <alignment horizontal="center" vertical="center"/>
    </xf>
    <xf numFmtId="0" fontId="7" fillId="7" borderId="5" xfId="0" quotePrefix="1" applyFont="1" applyFill="1" applyBorder="1" applyAlignment="1">
      <alignment horizontal="left" vertical="center"/>
    </xf>
    <xf numFmtId="0" fontId="7" fillId="7" borderId="5" xfId="0" quotePrefix="1" applyFont="1" applyFill="1" applyBorder="1" applyAlignment="1">
      <alignment horizontal="center" vertical="center"/>
    </xf>
    <xf numFmtId="172" fontId="7" fillId="7" borderId="2" xfId="0" quotePrefix="1" applyNumberFormat="1" applyFont="1" applyFill="1" applyBorder="1" applyAlignment="1">
      <alignment horizontal="center" vertical="center"/>
    </xf>
    <xf numFmtId="0" fontId="5" fillId="7" borderId="6" xfId="4" applyFont="1" applyFill="1" applyBorder="1" applyAlignment="1">
      <alignment horizontal="center" vertical="center"/>
    </xf>
    <xf numFmtId="0" fontId="2" fillId="7" borderId="5" xfId="4" applyFill="1" applyBorder="1" applyAlignment="1">
      <alignment horizontal="left" vertical="center"/>
    </xf>
    <xf numFmtId="0" fontId="5" fillId="7" borderId="5" xfId="4" applyFont="1" applyFill="1" applyBorder="1" applyAlignment="1">
      <alignment horizontal="center" vertical="center"/>
    </xf>
    <xf numFmtId="167" fontId="5" fillId="7" borderId="5" xfId="5" applyNumberFormat="1" applyFont="1" applyFill="1" applyBorder="1" applyAlignment="1">
      <alignment horizontal="left" vertical="center"/>
    </xf>
    <xf numFmtId="0" fontId="5" fillId="7" borderId="3" xfId="4" applyFont="1" applyFill="1" applyBorder="1" applyAlignment="1">
      <alignment horizontal="center" vertical="center"/>
    </xf>
    <xf numFmtId="0" fontId="2" fillId="7" borderId="2" xfId="4" applyFill="1" applyBorder="1" applyAlignment="1">
      <alignment horizontal="left" vertical="center"/>
    </xf>
    <xf numFmtId="0" fontId="5" fillId="7" borderId="2" xfId="4" applyFont="1" applyFill="1" applyBorder="1" applyAlignment="1">
      <alignment horizontal="center" vertical="center"/>
    </xf>
    <xf numFmtId="167" fontId="5" fillId="7" borderId="2" xfId="5" applyNumberFormat="1" applyFont="1" applyFill="1" applyBorder="1" applyAlignment="1">
      <alignment horizontal="left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left" vertical="center"/>
    </xf>
    <xf numFmtId="0" fontId="8" fillId="7" borderId="2" xfId="0" applyFont="1" applyFill="1" applyBorder="1" applyAlignment="1">
      <alignment horizontal="center" vertical="center"/>
    </xf>
    <xf numFmtId="1" fontId="8" fillId="7" borderId="2" xfId="0" applyNumberFormat="1" applyFont="1" applyFill="1" applyBorder="1" applyAlignment="1">
      <alignment horizontal="center" vertical="center"/>
    </xf>
    <xf numFmtId="169" fontId="8" fillId="7" borderId="2" xfId="9" applyNumberFormat="1" applyFont="1" applyFill="1" applyBorder="1" applyAlignment="1">
      <alignment horizontal="center" vertical="center"/>
    </xf>
    <xf numFmtId="0" fontId="9" fillId="7" borderId="5" xfId="4" applyFont="1" applyFill="1" applyBorder="1" applyAlignment="1">
      <alignment horizontal="left" vertical="center"/>
    </xf>
    <xf numFmtId="0" fontId="9" fillId="7" borderId="5" xfId="4" applyFont="1" applyFill="1" applyBorder="1" applyAlignment="1">
      <alignment horizontal="center" vertical="center"/>
    </xf>
    <xf numFmtId="2" fontId="5" fillId="7" borderId="2" xfId="4" applyNumberFormat="1" applyFont="1" applyFill="1" applyBorder="1" applyAlignment="1">
      <alignment horizontal="center" vertical="center"/>
    </xf>
    <xf numFmtId="167" fontId="5" fillId="7" borderId="5" xfId="7" applyNumberFormat="1" applyFont="1" applyFill="1" applyBorder="1" applyAlignment="1">
      <alignment horizontal="left" vertical="center"/>
    </xf>
    <xf numFmtId="0" fontId="9" fillId="7" borderId="3" xfId="4" applyFont="1" applyFill="1" applyBorder="1" applyAlignment="1">
      <alignment horizontal="center" vertical="center"/>
    </xf>
    <xf numFmtId="167" fontId="5" fillId="7" borderId="2" xfId="7" applyNumberFormat="1" applyFont="1" applyFill="1" applyBorder="1" applyAlignment="1">
      <alignment horizontal="left" vertical="center"/>
    </xf>
    <xf numFmtId="0" fontId="6" fillId="7" borderId="2" xfId="0" applyFont="1" applyFill="1" applyBorder="1" applyAlignment="1">
      <alignment vertical="center"/>
    </xf>
    <xf numFmtId="0" fontId="2" fillId="7" borderId="2" xfId="4" applyFill="1" applyBorder="1" applyAlignment="1">
      <alignment horizontal="center" vertical="center"/>
    </xf>
    <xf numFmtId="169" fontId="8" fillId="7" borderId="2" xfId="11" applyNumberFormat="1" applyFont="1" applyFill="1" applyBorder="1" applyAlignment="1">
      <alignment horizontal="center" vertical="center"/>
    </xf>
    <xf numFmtId="0" fontId="2" fillId="7" borderId="6" xfId="4" applyFill="1" applyBorder="1" applyAlignment="1">
      <alignment horizontal="center" vertical="center"/>
    </xf>
    <xf numFmtId="0" fontId="2" fillId="7" borderId="3" xfId="4" applyFill="1" applyBorder="1" applyAlignment="1">
      <alignment horizontal="center" vertical="center"/>
    </xf>
    <xf numFmtId="169" fontId="8" fillId="7" borderId="5" xfId="11" applyNumberFormat="1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left" vertical="center"/>
    </xf>
    <xf numFmtId="0" fontId="8" fillId="8" borderId="2" xfId="0" applyFont="1" applyFill="1" applyBorder="1" applyAlignment="1">
      <alignment horizontal="center" vertical="center"/>
    </xf>
    <xf numFmtId="168" fontId="7" fillId="8" borderId="2" xfId="0" quotePrefix="1" applyNumberFormat="1" applyFont="1" applyFill="1" applyBorder="1" applyAlignment="1">
      <alignment horizontal="center" vertical="center"/>
    </xf>
    <xf numFmtId="169" fontId="8" fillId="8" borderId="2" xfId="11" applyNumberFormat="1" applyFont="1" applyFill="1" applyBorder="1" applyAlignment="1">
      <alignment horizontal="center" vertical="center"/>
    </xf>
    <xf numFmtId="42" fontId="7" fillId="8" borderId="4" xfId="12" applyFont="1" applyFill="1" applyBorder="1" applyAlignment="1" applyProtection="1">
      <alignment horizontal="right" vertical="center"/>
    </xf>
    <xf numFmtId="167" fontId="6" fillId="7" borderId="5" xfId="7" applyNumberFormat="1" applyFont="1" applyFill="1" applyBorder="1" applyAlignment="1">
      <alignment horizontal="left" vertical="center"/>
    </xf>
    <xf numFmtId="0" fontId="5" fillId="7" borderId="2" xfId="4" applyFont="1" applyFill="1" applyBorder="1" applyAlignment="1">
      <alignment horizontal="left" vertical="center"/>
    </xf>
    <xf numFmtId="0" fontId="6" fillId="9" borderId="2" xfId="0" applyFont="1" applyFill="1" applyBorder="1" applyAlignment="1">
      <alignment vertical="center"/>
    </xf>
    <xf numFmtId="0" fontId="7" fillId="9" borderId="2" xfId="0" quotePrefix="1" applyFont="1" applyFill="1" applyBorder="1" applyAlignment="1">
      <alignment horizontal="center" vertical="center"/>
    </xf>
    <xf numFmtId="168" fontId="7" fillId="9" borderId="2" xfId="0" quotePrefix="1" applyNumberFormat="1" applyFont="1" applyFill="1" applyBorder="1" applyAlignment="1">
      <alignment horizontal="center" vertical="center"/>
    </xf>
    <xf numFmtId="169" fontId="7" fillId="9" borderId="2" xfId="11" applyNumberFormat="1" applyFont="1" applyFill="1" applyBorder="1" applyAlignment="1" applyProtection="1">
      <alignment horizontal="right" vertical="center"/>
    </xf>
    <xf numFmtId="42" fontId="7" fillId="9" borderId="4" xfId="12" applyFont="1" applyFill="1" applyBorder="1" applyAlignment="1" applyProtection="1">
      <alignment horizontal="right" vertical="center"/>
    </xf>
    <xf numFmtId="0" fontId="6" fillId="9" borderId="3" xfId="0" applyFont="1" applyFill="1" applyBorder="1" applyAlignment="1">
      <alignment horizontal="center" vertical="center"/>
    </xf>
    <xf numFmtId="169" fontId="7" fillId="7" borderId="5" xfId="11" applyNumberFormat="1" applyFont="1" applyFill="1" applyBorder="1" applyAlignment="1" applyProtection="1">
      <alignment horizontal="right" vertical="center"/>
    </xf>
    <xf numFmtId="0" fontId="9" fillId="7" borderId="3" xfId="3" applyFont="1" applyFill="1" applyBorder="1" applyAlignment="1">
      <alignment horizontal="center"/>
    </xf>
    <xf numFmtId="2" fontId="11" fillId="7" borderId="2" xfId="3" applyNumberFormat="1" applyFont="1" applyFill="1" applyBorder="1" applyAlignment="1">
      <alignment horizontal="center" vertical="center" wrapText="1"/>
    </xf>
    <xf numFmtId="167" fontId="8" fillId="7" borderId="2" xfId="7" applyNumberFormat="1" applyFont="1" applyFill="1" applyBorder="1" applyAlignment="1">
      <alignment horizontal="left" vertical="center"/>
    </xf>
    <xf numFmtId="0" fontId="6" fillId="7" borderId="18" xfId="0" applyFont="1" applyFill="1" applyBorder="1" applyAlignment="1">
      <alignment horizontal="center" vertical="center"/>
    </xf>
    <xf numFmtId="0" fontId="9" fillId="7" borderId="6" xfId="3" applyFont="1" applyFill="1" applyBorder="1" applyAlignment="1">
      <alignment horizontal="center"/>
    </xf>
    <xf numFmtId="1" fontId="9" fillId="7" borderId="6" xfId="4" applyNumberFormat="1" applyFont="1" applyFill="1" applyBorder="1" applyAlignment="1">
      <alignment horizontal="center" vertical="center"/>
    </xf>
    <xf numFmtId="0" fontId="7" fillId="7" borderId="3" xfId="0" quotePrefix="1" applyFont="1" applyFill="1" applyBorder="1" applyAlignment="1">
      <alignment horizontal="center" vertical="center"/>
    </xf>
    <xf numFmtId="169" fontId="7" fillId="7" borderId="2" xfId="11" quotePrefix="1" applyNumberFormat="1" applyFont="1" applyFill="1" applyBorder="1" applyAlignment="1" applyProtection="1">
      <alignment horizontal="center" vertical="center"/>
    </xf>
    <xf numFmtId="0" fontId="2" fillId="7" borderId="3" xfId="3" applyFill="1" applyBorder="1" applyAlignment="1">
      <alignment horizontal="center"/>
    </xf>
    <xf numFmtId="1" fontId="8" fillId="7" borderId="2" xfId="3" applyNumberFormat="1" applyFont="1" applyFill="1" applyBorder="1" applyAlignment="1">
      <alignment horizontal="left" vertical="center"/>
    </xf>
    <xf numFmtId="1" fontId="8" fillId="7" borderId="3" xfId="0" applyNumberFormat="1" applyFont="1" applyFill="1" applyBorder="1" applyAlignment="1">
      <alignment horizontal="center" vertical="center"/>
    </xf>
    <xf numFmtId="1" fontId="8" fillId="7" borderId="2" xfId="0" applyNumberFormat="1" applyFont="1" applyFill="1" applyBorder="1" applyAlignment="1">
      <alignment horizontal="left" vertical="center"/>
    </xf>
    <xf numFmtId="0" fontId="7" fillId="7" borderId="18" xfId="0" quotePrefix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7" fillId="7" borderId="6" xfId="0" quotePrefix="1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left" vertical="center"/>
    </xf>
    <xf numFmtId="0" fontId="6" fillId="7" borderId="3" xfId="0" applyFont="1" applyFill="1" applyBorder="1" applyAlignment="1">
      <alignment vertical="center"/>
    </xf>
    <xf numFmtId="0" fontId="9" fillId="7" borderId="18" xfId="4" applyFont="1" applyFill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169" fontId="7" fillId="2" borderId="2" xfId="11" quotePrefix="1" applyNumberFormat="1" applyFont="1" applyFill="1" applyBorder="1" applyAlignment="1" applyProtection="1">
      <alignment horizontal="center" vertical="center"/>
    </xf>
    <xf numFmtId="0" fontId="9" fillId="7" borderId="3" xfId="4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1" fontId="8" fillId="7" borderId="6" xfId="0" applyNumberFormat="1" applyFont="1" applyFill="1" applyBorder="1" applyAlignment="1">
      <alignment horizontal="center" vertical="center"/>
    </xf>
    <xf numFmtId="0" fontId="8" fillId="7" borderId="2" xfId="4" applyFont="1" applyFill="1" applyBorder="1" applyAlignment="1">
      <alignment horizontal="center" vertical="center"/>
    </xf>
    <xf numFmtId="2" fontId="8" fillId="7" borderId="2" xfId="4" applyNumberFormat="1" applyFont="1" applyFill="1" applyBorder="1" applyAlignment="1">
      <alignment horizontal="center" vertical="center"/>
    </xf>
    <xf numFmtId="164" fontId="9" fillId="7" borderId="2" xfId="8" applyFont="1" applyFill="1" applyBorder="1"/>
    <xf numFmtId="0" fontId="8" fillId="7" borderId="5" xfId="0" applyFont="1" applyFill="1" applyBorder="1" applyAlignment="1">
      <alignment horizontal="left" vertical="center"/>
    </xf>
    <xf numFmtId="0" fontId="5" fillId="7" borderId="2" xfId="4" applyFont="1" applyFill="1" applyBorder="1" applyAlignment="1">
      <alignment horizontal="left" vertical="top"/>
    </xf>
    <xf numFmtId="168" fontId="5" fillId="7" borderId="5" xfId="4" applyNumberFormat="1" applyFont="1" applyFill="1" applyBorder="1" applyAlignment="1">
      <alignment horizontal="center" vertical="center"/>
    </xf>
    <xf numFmtId="168" fontId="7" fillId="7" borderId="5" xfId="0" quotePrefix="1" applyNumberFormat="1" applyFont="1" applyFill="1" applyBorder="1" applyAlignment="1">
      <alignment horizontal="center" vertical="center"/>
    </xf>
    <xf numFmtId="1" fontId="8" fillId="7" borderId="5" xfId="0" applyNumberFormat="1" applyFont="1" applyFill="1" applyBorder="1" applyAlignment="1">
      <alignment horizontal="left" vertical="center"/>
    </xf>
    <xf numFmtId="0" fontId="7" fillId="7" borderId="5" xfId="0" applyFont="1" applyFill="1" applyBorder="1" applyAlignment="1">
      <alignment horizontal="center" vertical="center"/>
    </xf>
    <xf numFmtId="42" fontId="7" fillId="7" borderId="5" xfId="12" applyFont="1" applyFill="1" applyBorder="1" applyAlignment="1" applyProtection="1">
      <alignment horizontal="right" vertical="center"/>
    </xf>
    <xf numFmtId="0" fontId="15" fillId="10" borderId="0" xfId="0" applyFont="1" applyFill="1"/>
    <xf numFmtId="0" fontId="0" fillId="11" borderId="7" xfId="0" applyFill="1" applyBorder="1"/>
    <xf numFmtId="0" fontId="15" fillId="11" borderId="8" xfId="0" applyFont="1" applyFill="1" applyBorder="1"/>
    <xf numFmtId="0" fontId="0" fillId="11" borderId="8" xfId="0" applyFill="1" applyBorder="1"/>
    <xf numFmtId="0" fontId="0" fillId="11" borderId="21" xfId="0" applyFill="1" applyBorder="1"/>
    <xf numFmtId="0" fontId="6" fillId="11" borderId="3" xfId="0" applyFont="1" applyFill="1" applyBorder="1" applyAlignment="1">
      <alignment horizontal="center" vertical="center"/>
    </xf>
    <xf numFmtId="0" fontId="7" fillId="11" borderId="2" xfId="0" quotePrefix="1" applyFont="1" applyFill="1" applyBorder="1" applyAlignment="1">
      <alignment horizontal="left" vertical="center"/>
    </xf>
    <xf numFmtId="0" fontId="7" fillId="11" borderId="2" xfId="0" quotePrefix="1" applyFont="1" applyFill="1" applyBorder="1" applyAlignment="1">
      <alignment horizontal="center" vertical="center"/>
    </xf>
    <xf numFmtId="168" fontId="7" fillId="11" borderId="2" xfId="0" quotePrefix="1" applyNumberFormat="1" applyFont="1" applyFill="1" applyBorder="1" applyAlignment="1">
      <alignment horizontal="center" vertical="center"/>
    </xf>
    <xf numFmtId="169" fontId="7" fillId="11" borderId="2" xfId="11" applyNumberFormat="1" applyFont="1" applyFill="1" applyBorder="1" applyAlignment="1" applyProtection="1">
      <alignment horizontal="right" vertical="center"/>
    </xf>
    <xf numFmtId="42" fontId="7" fillId="11" borderId="17" xfId="12" applyFont="1" applyFill="1" applyBorder="1" applyAlignment="1" applyProtection="1">
      <alignment horizontal="right" vertical="center"/>
    </xf>
    <xf numFmtId="42" fontId="7" fillId="11" borderId="2" xfId="12" applyFont="1" applyFill="1" applyBorder="1" applyAlignment="1" applyProtection="1">
      <alignment horizontal="right" vertical="center"/>
    </xf>
    <xf numFmtId="0" fontId="5" fillId="11" borderId="3" xfId="0" applyFont="1" applyFill="1" applyBorder="1" applyAlignment="1">
      <alignment horizontal="center" vertical="center"/>
    </xf>
    <xf numFmtId="0" fontId="12" fillId="11" borderId="2" xfId="0" quotePrefix="1" applyFont="1" applyFill="1" applyBorder="1" applyAlignment="1">
      <alignment horizontal="left" vertical="center"/>
    </xf>
    <xf numFmtId="0" fontId="12" fillId="11" borderId="2" xfId="0" applyFont="1" applyFill="1" applyBorder="1" applyAlignment="1">
      <alignment horizontal="center" vertical="center"/>
    </xf>
    <xf numFmtId="168" fontId="12" fillId="11" borderId="2" xfId="0" quotePrefix="1" applyNumberFormat="1" applyFont="1" applyFill="1" applyBorder="1" applyAlignment="1">
      <alignment horizontal="center" vertical="center"/>
    </xf>
    <xf numFmtId="42" fontId="12" fillId="11" borderId="2" xfId="12" applyFont="1" applyFill="1" applyBorder="1" applyAlignment="1" applyProtection="1">
      <alignment horizontal="right" vertical="center"/>
    </xf>
    <xf numFmtId="42" fontId="6" fillId="11" borderId="2" xfId="12" applyFont="1" applyFill="1" applyBorder="1" applyAlignment="1">
      <alignment vertical="center"/>
    </xf>
    <xf numFmtId="0" fontId="9" fillId="11" borderId="3" xfId="4" applyFont="1" applyFill="1" applyBorder="1" applyAlignment="1">
      <alignment horizontal="center" vertical="center"/>
    </xf>
    <xf numFmtId="0" fontId="9" fillId="11" borderId="2" xfId="4" applyFont="1" applyFill="1" applyBorder="1" applyAlignment="1">
      <alignment horizontal="left" vertical="center"/>
    </xf>
    <xf numFmtId="0" fontId="9" fillId="11" borderId="2" xfId="4" applyFont="1" applyFill="1" applyBorder="1" applyAlignment="1">
      <alignment horizontal="center" vertical="center"/>
    </xf>
    <xf numFmtId="0" fontId="2" fillId="11" borderId="2" xfId="4" applyFill="1" applyBorder="1" applyAlignment="1">
      <alignment horizontal="center" vertical="center"/>
    </xf>
    <xf numFmtId="167" fontId="6" fillId="11" borderId="2" xfId="7" applyNumberFormat="1" applyFont="1" applyFill="1" applyBorder="1" applyAlignment="1">
      <alignment horizontal="left" vertical="center"/>
    </xf>
    <xf numFmtId="0" fontId="5" fillId="11" borderId="3" xfId="4" applyFont="1" applyFill="1" applyBorder="1" applyAlignment="1">
      <alignment horizontal="center" vertical="center"/>
    </xf>
    <xf numFmtId="0" fontId="2" fillId="11" borderId="2" xfId="4" applyFill="1" applyBorder="1" applyAlignment="1">
      <alignment horizontal="left" vertical="center"/>
    </xf>
    <xf numFmtId="0" fontId="5" fillId="11" borderId="2" xfId="4" applyFont="1" applyFill="1" applyBorder="1" applyAlignment="1">
      <alignment horizontal="center" vertical="center"/>
    </xf>
    <xf numFmtId="167" fontId="5" fillId="11" borderId="2" xfId="5" applyNumberFormat="1" applyFont="1" applyFill="1" applyBorder="1" applyAlignment="1">
      <alignment horizontal="left" vertical="center"/>
    </xf>
    <xf numFmtId="0" fontId="7" fillId="11" borderId="2" xfId="0" applyFont="1" applyFill="1" applyBorder="1" applyAlignment="1">
      <alignment horizontal="center" vertical="center"/>
    </xf>
    <xf numFmtId="0" fontId="8" fillId="11" borderId="3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left" vertical="center"/>
    </xf>
    <xf numFmtId="0" fontId="8" fillId="11" borderId="2" xfId="0" applyFont="1" applyFill="1" applyBorder="1" applyAlignment="1">
      <alignment horizontal="center" vertical="center"/>
    </xf>
    <xf numFmtId="1" fontId="8" fillId="11" borderId="2" xfId="0" applyNumberFormat="1" applyFont="1" applyFill="1" applyBorder="1" applyAlignment="1">
      <alignment horizontal="center" vertical="center"/>
    </xf>
    <xf numFmtId="169" fontId="8" fillId="11" borderId="2" xfId="9" applyNumberFormat="1" applyFont="1" applyFill="1" applyBorder="1" applyAlignment="1">
      <alignment horizontal="center" vertical="center"/>
    </xf>
    <xf numFmtId="0" fontId="6" fillId="11" borderId="2" xfId="0" applyFont="1" applyFill="1" applyBorder="1" applyAlignment="1">
      <alignment vertical="center"/>
    </xf>
    <xf numFmtId="0" fontId="6" fillId="11" borderId="2" xfId="0" applyFont="1" applyFill="1" applyBorder="1" applyAlignment="1">
      <alignment horizontal="center" vertical="center"/>
    </xf>
    <xf numFmtId="169" fontId="6" fillId="11" borderId="2" xfId="9" applyNumberFormat="1" applyFont="1" applyFill="1" applyBorder="1"/>
    <xf numFmtId="0" fontId="2" fillId="11" borderId="3" xfId="4" applyFill="1" applyBorder="1" applyAlignment="1">
      <alignment horizontal="center" vertical="center"/>
    </xf>
    <xf numFmtId="2" fontId="5" fillId="11" borderId="2" xfId="4" applyNumberFormat="1" applyFont="1" applyFill="1" applyBorder="1" applyAlignment="1">
      <alignment horizontal="center" vertical="center"/>
    </xf>
    <xf numFmtId="2" fontId="6" fillId="11" borderId="2" xfId="4" applyNumberFormat="1" applyFont="1" applyFill="1" applyBorder="1" applyAlignment="1">
      <alignment horizontal="center" vertical="center"/>
    </xf>
    <xf numFmtId="172" fontId="7" fillId="11" borderId="2" xfId="0" quotePrefix="1" applyNumberFormat="1" applyFont="1" applyFill="1" applyBorder="1" applyAlignment="1">
      <alignment horizontal="center" vertical="center"/>
    </xf>
    <xf numFmtId="0" fontId="12" fillId="11" borderId="2" xfId="0" quotePrefix="1" applyFont="1" applyFill="1" applyBorder="1" applyAlignment="1">
      <alignment horizontal="center" vertical="center"/>
    </xf>
    <xf numFmtId="169" fontId="12" fillId="11" borderId="2" xfId="11" applyNumberFormat="1" applyFont="1" applyFill="1" applyBorder="1" applyAlignment="1" applyProtection="1">
      <alignment horizontal="right" vertical="center"/>
    </xf>
    <xf numFmtId="169" fontId="8" fillId="11" borderId="2" xfId="11" applyNumberFormat="1" applyFont="1" applyFill="1" applyBorder="1" applyAlignment="1">
      <alignment horizontal="center" vertical="center"/>
    </xf>
    <xf numFmtId="1" fontId="2" fillId="11" borderId="3" xfId="4" applyNumberFormat="1" applyFill="1" applyBorder="1" applyAlignment="1">
      <alignment horizontal="center" vertical="center"/>
    </xf>
    <xf numFmtId="0" fontId="5" fillId="11" borderId="2" xfId="4" applyFont="1" applyFill="1" applyBorder="1" applyAlignment="1">
      <alignment horizontal="left" vertical="center"/>
    </xf>
    <xf numFmtId="0" fontId="9" fillId="11" borderId="3" xfId="3" applyFont="1" applyFill="1" applyBorder="1" applyAlignment="1">
      <alignment horizontal="center"/>
    </xf>
    <xf numFmtId="2" fontId="11" fillId="11" borderId="2" xfId="3" applyNumberFormat="1" applyFont="1" applyFill="1" applyBorder="1" applyAlignment="1">
      <alignment horizontal="center" vertical="center" wrapText="1"/>
    </xf>
    <xf numFmtId="167" fontId="8" fillId="11" borderId="2" xfId="7" applyNumberFormat="1" applyFont="1" applyFill="1" applyBorder="1" applyAlignment="1">
      <alignment horizontal="left" vertical="center"/>
    </xf>
    <xf numFmtId="1" fontId="9" fillId="11" borderId="3" xfId="4" applyNumberFormat="1" applyFont="1" applyFill="1" applyBorder="1" applyAlignment="1">
      <alignment horizontal="center" vertical="center"/>
    </xf>
    <xf numFmtId="0" fontId="7" fillId="11" borderId="3" xfId="0" quotePrefix="1" applyFont="1" applyFill="1" applyBorder="1" applyAlignment="1">
      <alignment horizontal="center" vertical="center"/>
    </xf>
    <xf numFmtId="169" fontId="7" fillId="11" borderId="2" xfId="11" quotePrefix="1" applyNumberFormat="1" applyFont="1" applyFill="1" applyBorder="1" applyAlignment="1" applyProtection="1">
      <alignment horizontal="center" vertical="center"/>
    </xf>
    <xf numFmtId="0" fontId="8" fillId="11" borderId="2" xfId="4" applyFont="1" applyFill="1" applyBorder="1" applyAlignment="1">
      <alignment horizontal="center" vertical="center"/>
    </xf>
    <xf numFmtId="2" fontId="8" fillId="11" borderId="2" xfId="4" applyNumberFormat="1" applyFont="1" applyFill="1" applyBorder="1" applyAlignment="1">
      <alignment horizontal="center" vertical="center"/>
    </xf>
    <xf numFmtId="164" fontId="9" fillId="11" borderId="2" xfId="8" applyFont="1" applyFill="1" applyBorder="1"/>
    <xf numFmtId="0" fontId="2" fillId="11" borderId="3" xfId="3" applyFill="1" applyBorder="1" applyAlignment="1">
      <alignment horizontal="center"/>
    </xf>
    <xf numFmtId="1" fontId="8" fillId="11" borderId="2" xfId="3" applyNumberFormat="1" applyFont="1" applyFill="1" applyBorder="1" applyAlignment="1">
      <alignment horizontal="left" vertical="center"/>
    </xf>
    <xf numFmtId="1" fontId="8" fillId="11" borderId="3" xfId="0" applyNumberFormat="1" applyFont="1" applyFill="1" applyBorder="1" applyAlignment="1">
      <alignment horizontal="center" vertical="center"/>
    </xf>
    <xf numFmtId="1" fontId="8" fillId="11" borderId="2" xfId="0" applyNumberFormat="1" applyFont="1" applyFill="1" applyBorder="1" applyAlignment="1">
      <alignment horizontal="left" vertical="center"/>
    </xf>
    <xf numFmtId="0" fontId="12" fillId="11" borderId="3" xfId="0" quotePrefix="1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vertical="center"/>
    </xf>
    <xf numFmtId="169" fontId="12" fillId="11" borderId="2" xfId="11" quotePrefix="1" applyNumberFormat="1" applyFont="1" applyFill="1" applyBorder="1" applyAlignment="1" applyProtection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3" fillId="11" borderId="2" xfId="0" applyFont="1" applyFill="1" applyBorder="1" applyAlignment="1">
      <alignment horizontal="left" vertical="center"/>
    </xf>
    <xf numFmtId="0" fontId="9" fillId="11" borderId="2" xfId="0" applyFont="1" applyFill="1" applyBorder="1" applyAlignment="1">
      <alignment vertical="center"/>
    </xf>
    <xf numFmtId="167" fontId="5" fillId="11" borderId="2" xfId="7" applyNumberFormat="1" applyFont="1" applyFill="1" applyBorder="1" applyAlignment="1">
      <alignment horizontal="left" vertical="center"/>
    </xf>
    <xf numFmtId="0" fontId="9" fillId="11" borderId="3" xfId="4" applyFont="1" applyFill="1" applyBorder="1" applyAlignment="1">
      <alignment horizontal="center" vertical="center" wrapText="1"/>
    </xf>
    <xf numFmtId="169" fontId="7" fillId="11" borderId="2" xfId="9" quotePrefix="1" applyNumberFormat="1" applyFont="1" applyFill="1" applyBorder="1" applyAlignment="1" applyProtection="1">
      <alignment horizontal="center" vertical="center"/>
    </xf>
    <xf numFmtId="0" fontId="9" fillId="11" borderId="2" xfId="0" applyFont="1" applyFill="1" applyBorder="1" applyAlignment="1">
      <alignment horizontal="center" vertical="center"/>
    </xf>
    <xf numFmtId="171" fontId="2" fillId="11" borderId="2" xfId="4" applyNumberFormat="1" applyFill="1" applyBorder="1" applyAlignment="1">
      <alignment horizontal="center" vertical="center"/>
    </xf>
    <xf numFmtId="0" fontId="5" fillId="11" borderId="2" xfId="4" applyFont="1" applyFill="1" applyBorder="1" applyAlignment="1">
      <alignment horizontal="left" vertical="top"/>
    </xf>
    <xf numFmtId="168" fontId="5" fillId="11" borderId="2" xfId="4" applyNumberFormat="1" applyFont="1" applyFill="1" applyBorder="1" applyAlignment="1">
      <alignment horizontal="center" vertical="center"/>
    </xf>
    <xf numFmtId="168" fontId="2" fillId="11" borderId="2" xfId="4" applyNumberFormat="1" applyFill="1" applyBorder="1" applyAlignment="1">
      <alignment horizontal="center" vertical="center"/>
    </xf>
    <xf numFmtId="49" fontId="2" fillId="11" borderId="3" xfId="4" applyNumberFormat="1" applyFill="1" applyBorder="1" applyAlignment="1">
      <alignment horizontal="center" vertical="center"/>
    </xf>
    <xf numFmtId="0" fontId="6" fillId="11" borderId="2" xfId="4" applyFont="1" applyFill="1" applyBorder="1" applyAlignment="1">
      <alignment horizontal="center" vertical="center"/>
    </xf>
    <xf numFmtId="0" fontId="13" fillId="11" borderId="2" xfId="3" applyFont="1" applyFill="1" applyBorder="1" applyAlignment="1">
      <alignment horizontal="left" vertical="center"/>
    </xf>
    <xf numFmtId="0" fontId="2" fillId="11" borderId="2" xfId="3" applyFill="1" applyBorder="1" applyAlignment="1">
      <alignment vertical="center"/>
    </xf>
    <xf numFmtId="0" fontId="0" fillId="11" borderId="22" xfId="0" applyFill="1" applyBorder="1"/>
    <xf numFmtId="0" fontId="6" fillId="11" borderId="16" xfId="0" applyFont="1" applyFill="1" applyBorder="1" applyAlignment="1">
      <alignment vertical="center"/>
    </xf>
    <xf numFmtId="0" fontId="6" fillId="11" borderId="16" xfId="0" applyFont="1" applyFill="1" applyBorder="1" applyAlignment="1">
      <alignment horizontal="center" vertical="center"/>
    </xf>
    <xf numFmtId="169" fontId="6" fillId="11" borderId="16" xfId="9" applyNumberFormat="1" applyFont="1" applyFill="1" applyBorder="1"/>
    <xf numFmtId="42" fontId="7" fillId="11" borderId="23" xfId="12" applyFont="1" applyFill="1" applyBorder="1" applyAlignment="1" applyProtection="1">
      <alignment horizontal="right" vertical="center"/>
    </xf>
    <xf numFmtId="42" fontId="7" fillId="11" borderId="4" xfId="12" applyFont="1" applyFill="1" applyBorder="1" applyAlignment="1" applyProtection="1">
      <alignment horizontal="right" vertical="center"/>
    </xf>
    <xf numFmtId="42" fontId="7" fillId="11" borderId="25" xfId="12" applyFont="1" applyFill="1" applyBorder="1" applyAlignment="1" applyProtection="1">
      <alignment horizontal="right" vertical="center"/>
    </xf>
    <xf numFmtId="0" fontId="15" fillId="11" borderId="26" xfId="0" applyFont="1" applyFill="1" applyBorder="1" applyAlignment="1">
      <alignment horizontal="center"/>
    </xf>
    <xf numFmtId="0" fontId="0" fillId="11" borderId="3" xfId="0" applyFill="1" applyBorder="1"/>
    <xf numFmtId="0" fontId="2" fillId="11" borderId="22" xfId="3" applyFill="1" applyBorder="1" applyAlignment="1">
      <alignment horizontal="center"/>
    </xf>
    <xf numFmtId="1" fontId="8" fillId="11" borderId="16" xfId="3" applyNumberFormat="1" applyFont="1" applyFill="1" applyBorder="1" applyAlignment="1">
      <alignment horizontal="left" vertical="center"/>
    </xf>
    <xf numFmtId="0" fontId="9" fillId="11" borderId="16" xfId="4" applyFont="1" applyFill="1" applyBorder="1" applyAlignment="1">
      <alignment horizontal="center" vertical="center"/>
    </xf>
    <xf numFmtId="2" fontId="6" fillId="11" borderId="16" xfId="4" applyNumberFormat="1" applyFont="1" applyFill="1" applyBorder="1" applyAlignment="1">
      <alignment horizontal="center" vertical="center"/>
    </xf>
    <xf numFmtId="167" fontId="8" fillId="11" borderId="16" xfId="7" applyNumberFormat="1" applyFont="1" applyFill="1" applyBorder="1" applyAlignment="1">
      <alignment horizontal="left" vertical="center"/>
    </xf>
    <xf numFmtId="173" fontId="0" fillId="11" borderId="2" xfId="0" applyNumberFormat="1" applyFill="1" applyBorder="1"/>
    <xf numFmtId="173" fontId="0" fillId="11" borderId="12" xfId="0" applyNumberFormat="1" applyFill="1" applyBorder="1"/>
    <xf numFmtId="0" fontId="15" fillId="11" borderId="28" xfId="0" applyFont="1" applyFill="1" applyBorder="1" applyAlignment="1">
      <alignment horizontal="center"/>
    </xf>
    <xf numFmtId="0" fontId="15" fillId="11" borderId="29" xfId="0" applyFont="1" applyFill="1" applyBorder="1" applyAlignment="1">
      <alignment horizontal="center"/>
    </xf>
    <xf numFmtId="0" fontId="15" fillId="11" borderId="1" xfId="0" applyFont="1" applyFill="1" applyBorder="1" applyAlignment="1">
      <alignment horizontal="center"/>
    </xf>
    <xf numFmtId="173" fontId="0" fillId="11" borderId="8" xfId="0" applyNumberFormat="1" applyFill="1" applyBorder="1"/>
    <xf numFmtId="10" fontId="0" fillId="0" borderId="21" xfId="0" applyNumberFormat="1" applyBorder="1"/>
    <xf numFmtId="10" fontId="0" fillId="0" borderId="17" xfId="0" applyNumberFormat="1" applyBorder="1"/>
    <xf numFmtId="173" fontId="0" fillId="11" borderId="16" xfId="0" applyNumberFormat="1" applyFill="1" applyBorder="1"/>
    <xf numFmtId="0" fontId="15" fillId="11" borderId="0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2" borderId="0" xfId="0" applyFill="1"/>
    <xf numFmtId="0" fontId="16" fillId="0" borderId="2" xfId="0" applyFont="1" applyBorder="1"/>
    <xf numFmtId="0" fontId="16" fillId="0" borderId="2" xfId="0" applyFont="1" applyBorder="1" applyAlignment="1">
      <alignment horizontal="center"/>
    </xf>
    <xf numFmtId="42" fontId="16" fillId="0" borderId="2" xfId="2" applyFont="1" applyFill="1" applyBorder="1" applyAlignment="1">
      <alignment horizontal="right"/>
    </xf>
    <xf numFmtId="3" fontId="16" fillId="0" borderId="2" xfId="0" applyNumberFormat="1" applyFont="1" applyBorder="1"/>
    <xf numFmtId="0" fontId="16" fillId="0" borderId="2" xfId="0" applyFont="1" applyBorder="1" applyAlignment="1">
      <alignment horizontal="left" vertical="top"/>
    </xf>
    <xf numFmtId="0" fontId="16" fillId="0" borderId="2" xfId="0" applyFont="1" applyBorder="1" applyAlignment="1">
      <alignment horizontal="center" vertical="center"/>
    </xf>
    <xf numFmtId="42" fontId="16" fillId="0" borderId="2" xfId="2" applyFont="1" applyFill="1" applyBorder="1" applyAlignment="1">
      <alignment horizontal="right" vertical="center"/>
    </xf>
    <xf numFmtId="0" fontId="16" fillId="0" borderId="2" xfId="0" applyFont="1" applyBorder="1" applyAlignment="1">
      <alignment wrapText="1"/>
    </xf>
    <xf numFmtId="0" fontId="16" fillId="0" borderId="2" xfId="0" applyFont="1" applyBorder="1" applyAlignment="1">
      <alignment horizontal="left" wrapText="1"/>
    </xf>
    <xf numFmtId="0" fontId="16" fillId="0" borderId="2" xfId="0" applyFont="1" applyBorder="1" applyAlignment="1">
      <alignment horizontal="left" vertical="top" wrapText="1"/>
    </xf>
    <xf numFmtId="3" fontId="16" fillId="0" borderId="2" xfId="0" applyNumberFormat="1" applyFont="1" applyBorder="1" applyAlignment="1">
      <alignment horizontal="center" vertical="center"/>
    </xf>
    <xf numFmtId="3" fontId="16" fillId="0" borderId="2" xfId="0" applyNumberFormat="1" applyFont="1" applyBorder="1" applyAlignment="1">
      <alignment horizontal="center"/>
    </xf>
    <xf numFmtId="0" fontId="16" fillId="0" borderId="2" xfId="0" applyFont="1" applyBorder="1" applyAlignment="1">
      <alignment horizontal="left" vertical="center"/>
    </xf>
    <xf numFmtId="42" fontId="16" fillId="0" borderId="2" xfId="2" applyFont="1" applyFill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5" fillId="11" borderId="0" xfId="0" applyFont="1" applyFill="1" applyBorder="1" applyAlignment="1">
      <alignment horizontal="center"/>
    </xf>
    <xf numFmtId="10" fontId="0" fillId="0" borderId="31" xfId="0" applyNumberFormat="1" applyBorder="1"/>
    <xf numFmtId="10" fontId="0" fillId="0" borderId="32" xfId="0" applyNumberFormat="1" applyBorder="1"/>
    <xf numFmtId="10" fontId="0" fillId="0" borderId="0" xfId="0" applyNumberFormat="1" applyBorder="1"/>
    <xf numFmtId="0" fontId="5" fillId="11" borderId="7" xfId="4" applyFont="1" applyFill="1" applyBorder="1" applyAlignment="1">
      <alignment horizontal="center" vertical="center"/>
    </xf>
    <xf numFmtId="0" fontId="2" fillId="11" borderId="0" xfId="3" applyFill="1" applyBorder="1" applyAlignment="1">
      <alignment horizontal="center"/>
    </xf>
    <xf numFmtId="0" fontId="0" fillId="0" borderId="3" xfId="0" applyBorder="1"/>
    <xf numFmtId="1" fontId="8" fillId="11" borderId="11" xfId="3" applyNumberFormat="1" applyFont="1" applyFill="1" applyBorder="1" applyAlignment="1">
      <alignment horizontal="left" vertical="center"/>
    </xf>
    <xf numFmtId="0" fontId="3" fillId="12" borderId="2" xfId="3" applyFont="1" applyFill="1" applyBorder="1" applyAlignment="1">
      <alignment vertical="center"/>
    </xf>
    <xf numFmtId="0" fontId="9" fillId="11" borderId="0" xfId="4" applyFont="1" applyFill="1" applyBorder="1" applyAlignment="1">
      <alignment horizontal="center" vertical="center"/>
    </xf>
    <xf numFmtId="0" fontId="0" fillId="0" borderId="2" xfId="0" applyBorder="1"/>
    <xf numFmtId="2" fontId="6" fillId="11" borderId="0" xfId="4" applyNumberFormat="1" applyFont="1" applyFill="1" applyBorder="1" applyAlignment="1">
      <alignment horizontal="center" vertical="center"/>
    </xf>
    <xf numFmtId="167" fontId="8" fillId="11" borderId="0" xfId="7" applyNumberFormat="1" applyFont="1" applyFill="1" applyBorder="1" applyAlignment="1">
      <alignment horizontal="left" vertical="center"/>
    </xf>
    <xf numFmtId="42" fontId="7" fillId="11" borderId="11" xfId="12" applyFont="1" applyFill="1" applyBorder="1" applyAlignment="1" applyProtection="1">
      <alignment horizontal="right" vertical="center"/>
    </xf>
    <xf numFmtId="173" fontId="0" fillId="11" borderId="0" xfId="0" applyNumberFormat="1" applyFill="1"/>
    <xf numFmtId="173" fontId="0" fillId="0" borderId="2" xfId="0" applyNumberFormat="1" applyBorder="1"/>
    <xf numFmtId="10" fontId="0" fillId="11" borderId="0" xfId="0" applyNumberFormat="1" applyFill="1"/>
    <xf numFmtId="10" fontId="0" fillId="0" borderId="0" xfId="0" applyNumberFormat="1"/>
    <xf numFmtId="0" fontId="0" fillId="0" borderId="17" xfId="0" applyBorder="1"/>
    <xf numFmtId="169" fontId="7" fillId="11" borderId="30" xfId="12" applyNumberFormat="1" applyFont="1" applyFill="1" applyBorder="1" applyAlignment="1" applyProtection="1">
      <alignment horizontal="right" vertical="center"/>
    </xf>
    <xf numFmtId="169" fontId="0" fillId="12" borderId="4" xfId="0" applyNumberFormat="1" applyFill="1" applyBorder="1"/>
    <xf numFmtId="0" fontId="16" fillId="11" borderId="2" xfId="0" applyFont="1" applyFill="1" applyBorder="1" applyAlignment="1">
      <alignment horizontal="center"/>
    </xf>
    <xf numFmtId="4" fontId="16" fillId="11" borderId="2" xfId="0" applyNumberFormat="1" applyFont="1" applyFill="1" applyBorder="1" applyAlignment="1">
      <alignment horizontal="center" vertical="center"/>
    </xf>
    <xf numFmtId="42" fontId="16" fillId="11" borderId="2" xfId="2" applyFont="1" applyFill="1" applyBorder="1" applyAlignment="1">
      <alignment horizontal="right"/>
    </xf>
    <xf numFmtId="0" fontId="16" fillId="11" borderId="2" xfId="0" applyFont="1" applyFill="1" applyBorder="1" applyAlignment="1">
      <alignment horizontal="center" vertical="center"/>
    </xf>
    <xf numFmtId="42" fontId="16" fillId="11" borderId="2" xfId="2" applyFont="1" applyFill="1" applyBorder="1" applyAlignment="1">
      <alignment horizontal="right" vertical="center"/>
    </xf>
    <xf numFmtId="0" fontId="16" fillId="11" borderId="2" xfId="0" applyFont="1" applyFill="1" applyBorder="1" applyAlignment="1">
      <alignment wrapText="1"/>
    </xf>
    <xf numFmtId="0" fontId="16" fillId="11" borderId="2" xfId="0" applyFont="1" applyFill="1" applyBorder="1" applyAlignment="1">
      <alignment horizontal="left" wrapText="1"/>
    </xf>
    <xf numFmtId="0" fontId="16" fillId="11" borderId="2" xfId="0" applyFont="1" applyFill="1" applyBorder="1" applyAlignment="1">
      <alignment horizontal="left" vertical="top" wrapText="1"/>
    </xf>
    <xf numFmtId="3" fontId="16" fillId="11" borderId="2" xfId="0" applyNumberFormat="1" applyFont="1" applyFill="1" applyBorder="1" applyAlignment="1">
      <alignment horizontal="center"/>
    </xf>
    <xf numFmtId="3" fontId="16" fillId="11" borderId="2" xfId="0" applyNumberFormat="1" applyFont="1" applyFill="1" applyBorder="1" applyAlignment="1">
      <alignment horizontal="center" vertical="center"/>
    </xf>
    <xf numFmtId="42" fontId="0" fillId="0" borderId="0" xfId="0" applyNumberFormat="1" applyBorder="1"/>
    <xf numFmtId="0" fontId="0" fillId="0" borderId="0" xfId="0" applyBorder="1" applyAlignment="1">
      <alignment horizontal="center"/>
    </xf>
    <xf numFmtId="4" fontId="16" fillId="11" borderId="16" xfId="0" applyNumberFormat="1" applyFont="1" applyFill="1" applyBorder="1" applyAlignment="1">
      <alignment horizontal="center" vertical="center"/>
    </xf>
    <xf numFmtId="169" fontId="7" fillId="11" borderId="2" xfId="12" applyNumberFormat="1" applyFont="1" applyFill="1" applyBorder="1" applyAlignment="1" applyProtection="1">
      <alignment horizontal="right" vertical="center"/>
    </xf>
    <xf numFmtId="169" fontId="7" fillId="11" borderId="16" xfId="12" applyNumberFormat="1" applyFont="1" applyFill="1" applyBorder="1" applyAlignment="1" applyProtection="1">
      <alignment horizontal="right" vertical="center"/>
    </xf>
    <xf numFmtId="173" fontId="0" fillId="0" borderId="1" xfId="0" applyNumberFormat="1" applyBorder="1" applyAlignment="1">
      <alignment horizontal="center" vertical="center" wrapText="1"/>
    </xf>
    <xf numFmtId="173" fontId="0" fillId="0" borderId="27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27" xfId="0" applyFill="1" applyBorder="1" applyAlignment="1">
      <alignment horizontal="center" vertical="center" wrapText="1"/>
    </xf>
    <xf numFmtId="165" fontId="0" fillId="12" borderId="13" xfId="0" applyNumberFormat="1" applyFill="1" applyBorder="1"/>
    <xf numFmtId="169" fontId="7" fillId="11" borderId="8" xfId="12" applyNumberFormat="1" applyFont="1" applyFill="1" applyBorder="1" applyAlignment="1" applyProtection="1">
      <alignment horizontal="center" vertical="center"/>
    </xf>
    <xf numFmtId="0" fontId="15" fillId="11" borderId="33" xfId="0" applyFont="1" applyFill="1" applyBorder="1" applyAlignment="1">
      <alignment horizontal="center" wrapText="1"/>
    </xf>
    <xf numFmtId="0" fontId="15" fillId="11" borderId="1" xfId="0" applyFont="1" applyFill="1" applyBorder="1" applyAlignment="1">
      <alignment horizontal="center" wrapText="1"/>
    </xf>
    <xf numFmtId="0" fontId="15" fillId="11" borderId="31" xfId="0" applyFont="1" applyFill="1" applyBorder="1" applyAlignment="1">
      <alignment horizontal="center" wrapText="1"/>
    </xf>
    <xf numFmtId="0" fontId="16" fillId="13" borderId="8" xfId="0" applyFont="1" applyFill="1" applyBorder="1" applyAlignment="1">
      <alignment horizontal="center"/>
    </xf>
    <xf numFmtId="4" fontId="16" fillId="13" borderId="8" xfId="0" applyNumberFormat="1" applyFont="1" applyFill="1" applyBorder="1" applyAlignment="1">
      <alignment horizontal="center" vertical="center"/>
    </xf>
    <xf numFmtId="42" fontId="16" fillId="13" borderId="8" xfId="2" applyFont="1" applyFill="1" applyBorder="1" applyAlignment="1">
      <alignment horizontal="right"/>
    </xf>
    <xf numFmtId="169" fontId="7" fillId="13" borderId="8" xfId="12" applyNumberFormat="1" applyFont="1" applyFill="1" applyBorder="1" applyAlignment="1" applyProtection="1">
      <alignment horizontal="right" vertical="center"/>
    </xf>
    <xf numFmtId="173" fontId="0" fillId="13" borderId="8" xfId="0" applyNumberFormat="1" applyFill="1" applyBorder="1"/>
    <xf numFmtId="0" fontId="0" fillId="13" borderId="0" xfId="0" applyFill="1"/>
    <xf numFmtId="0" fontId="16" fillId="13" borderId="2" xfId="0" applyFont="1" applyFill="1" applyBorder="1" applyAlignment="1">
      <alignment horizontal="center" vertical="center"/>
    </xf>
    <xf numFmtId="4" fontId="16" fillId="13" borderId="2" xfId="0" applyNumberFormat="1" applyFont="1" applyFill="1" applyBorder="1" applyAlignment="1">
      <alignment horizontal="center" vertical="center"/>
    </xf>
    <xf numFmtId="42" fontId="16" fillId="13" borderId="2" xfId="2" applyFont="1" applyFill="1" applyBorder="1" applyAlignment="1">
      <alignment horizontal="right" vertical="center"/>
    </xf>
    <xf numFmtId="169" fontId="7" fillId="13" borderId="2" xfId="12" applyNumberFormat="1" applyFont="1" applyFill="1" applyBorder="1" applyAlignment="1" applyProtection="1">
      <alignment horizontal="right" vertical="center"/>
    </xf>
    <xf numFmtId="173" fontId="0" fillId="13" borderId="2" xfId="0" applyNumberFormat="1" applyFill="1" applyBorder="1"/>
    <xf numFmtId="0" fontId="0" fillId="5" borderId="11" xfId="0" applyFill="1" applyBorder="1" applyAlignment="1">
      <alignment vertical="center" wrapText="1"/>
    </xf>
    <xf numFmtId="0" fontId="15" fillId="11" borderId="1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  <xf numFmtId="0" fontId="0" fillId="13" borderId="35" xfId="0" applyFill="1" applyBorder="1"/>
    <xf numFmtId="0" fontId="0" fillId="13" borderId="37" xfId="0" applyFill="1" applyBorder="1" applyAlignment="1">
      <alignment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0" fillId="2" borderId="0" xfId="0" applyFill="1" applyBorder="1"/>
    <xf numFmtId="173" fontId="0" fillId="0" borderId="35" xfId="0" applyNumberFormat="1" applyBorder="1" applyAlignment="1">
      <alignment horizontal="center" vertical="center" wrapText="1"/>
    </xf>
    <xf numFmtId="173" fontId="0" fillId="0" borderId="36" xfId="0" applyNumberFormat="1" applyBorder="1" applyAlignment="1">
      <alignment horizontal="center" vertical="center" wrapText="1"/>
    </xf>
    <xf numFmtId="173" fontId="0" fillId="0" borderId="37" xfId="0" applyNumberFormat="1" applyBorder="1" applyAlignment="1">
      <alignment horizontal="center" vertical="center" wrapText="1"/>
    </xf>
    <xf numFmtId="10" fontId="0" fillId="0" borderId="38" xfId="0" applyNumberFormat="1" applyBorder="1" applyAlignment="1">
      <alignment horizontal="center" vertical="center"/>
    </xf>
    <xf numFmtId="10" fontId="0" fillId="0" borderId="39" xfId="0" applyNumberFormat="1" applyBorder="1" applyAlignment="1">
      <alignment horizontal="center" vertical="center"/>
    </xf>
    <xf numFmtId="10" fontId="0" fillId="0" borderId="40" xfId="0" applyNumberFormat="1" applyBorder="1" applyAlignment="1">
      <alignment horizontal="center" vertical="center"/>
    </xf>
    <xf numFmtId="10" fontId="0" fillId="0" borderId="31" xfId="0" applyNumberFormat="1" applyBorder="1" applyAlignment="1">
      <alignment horizontal="center" vertical="center" wrapText="1"/>
    </xf>
    <xf numFmtId="10" fontId="0" fillId="0" borderId="32" xfId="0" applyNumberFormat="1" applyBorder="1" applyAlignment="1">
      <alignment horizontal="center" vertical="center" wrapText="1"/>
    </xf>
    <xf numFmtId="10" fontId="0" fillId="0" borderId="41" xfId="0" applyNumberFormat="1" applyBorder="1" applyAlignment="1">
      <alignment horizontal="center" vertical="center" wrapText="1"/>
    </xf>
    <xf numFmtId="0" fontId="0" fillId="0" borderId="24" xfId="0" applyBorder="1"/>
    <xf numFmtId="0" fontId="3" fillId="12" borderId="12" xfId="3" applyFont="1" applyFill="1" applyBorder="1" applyAlignment="1">
      <alignment vertical="center"/>
    </xf>
    <xf numFmtId="0" fontId="0" fillId="0" borderId="12" xfId="0" applyBorder="1"/>
    <xf numFmtId="173" fontId="0" fillId="0" borderId="12" xfId="0" applyNumberFormat="1" applyBorder="1"/>
    <xf numFmtId="169" fontId="7" fillId="11" borderId="2" xfId="12" applyNumberFormat="1" applyFont="1" applyFill="1" applyBorder="1" applyAlignment="1" applyProtection="1">
      <alignment horizontal="center" vertical="center"/>
    </xf>
    <xf numFmtId="173" fontId="0" fillId="11" borderId="2" xfId="0" applyNumberFormat="1" applyFill="1" applyBorder="1" applyAlignment="1">
      <alignment horizontal="center" vertical="center"/>
    </xf>
    <xf numFmtId="1" fontId="8" fillId="13" borderId="7" xfId="0" applyNumberFormat="1" applyFont="1" applyFill="1" applyBorder="1" applyAlignment="1">
      <alignment horizontal="center" vertical="center"/>
    </xf>
    <xf numFmtId="173" fontId="0" fillId="13" borderId="21" xfId="0" applyNumberFormat="1" applyFill="1" applyBorder="1"/>
    <xf numFmtId="173" fontId="0" fillId="13" borderId="17" xfId="0" applyNumberFormat="1" applyFill="1" applyBorder="1"/>
    <xf numFmtId="173" fontId="0" fillId="11" borderId="17" xfId="0" applyNumberFormat="1" applyFill="1" applyBorder="1"/>
    <xf numFmtId="173" fontId="0" fillId="11" borderId="17" xfId="0" applyNumberFormat="1" applyFill="1" applyBorder="1" applyAlignment="1">
      <alignment horizontal="center" vertical="center"/>
    </xf>
    <xf numFmtId="0" fontId="16" fillId="11" borderId="16" xfId="0" applyFont="1" applyFill="1" applyBorder="1" applyAlignment="1">
      <alignment horizontal="center"/>
    </xf>
    <xf numFmtId="42" fontId="16" fillId="11" borderId="16" xfId="2" applyFont="1" applyFill="1" applyBorder="1" applyAlignment="1">
      <alignment horizontal="right"/>
    </xf>
    <xf numFmtId="169" fontId="7" fillId="11" borderId="16" xfId="12" applyNumberFormat="1" applyFont="1" applyFill="1" applyBorder="1" applyAlignment="1" applyProtection="1">
      <alignment horizontal="center" vertical="center"/>
    </xf>
    <xf numFmtId="173" fontId="0" fillId="11" borderId="23" xfId="0" applyNumberFormat="1" applyFill="1" applyBorder="1"/>
    <xf numFmtId="171" fontId="7" fillId="13" borderId="3" xfId="0" quotePrefix="1" applyNumberFormat="1" applyFont="1" applyFill="1" applyBorder="1" applyAlignment="1">
      <alignment horizontal="center" vertical="center"/>
    </xf>
    <xf numFmtId="171" fontId="7" fillId="11" borderId="3" xfId="0" quotePrefix="1" applyNumberFormat="1" applyFont="1" applyFill="1" applyBorder="1" applyAlignment="1">
      <alignment horizontal="center" vertical="center"/>
    </xf>
    <xf numFmtId="0" fontId="15" fillId="11" borderId="11" xfId="0" applyFont="1" applyFill="1" applyBorder="1" applyAlignment="1">
      <alignment horizontal="center"/>
    </xf>
    <xf numFmtId="0" fontId="16" fillId="13" borderId="2" xfId="0" applyFont="1" applyFill="1" applyBorder="1" applyAlignment="1">
      <alignment horizontal="left" vertical="top" wrapText="1"/>
    </xf>
    <xf numFmtId="0" fontId="16" fillId="11" borderId="2" xfId="0" applyFont="1" applyFill="1" applyBorder="1" applyAlignment="1">
      <alignment vertical="center" wrapText="1"/>
    </xf>
    <xf numFmtId="3" fontId="16" fillId="11" borderId="2" xfId="0" applyNumberFormat="1" applyFont="1" applyFill="1" applyBorder="1" applyAlignment="1">
      <alignment wrapText="1"/>
    </xf>
    <xf numFmtId="0" fontId="16" fillId="11" borderId="2" xfId="0" applyFont="1" applyFill="1" applyBorder="1" applyAlignment="1">
      <alignment horizontal="left" vertical="center" wrapText="1"/>
    </xf>
    <xf numFmtId="0" fontId="16" fillId="11" borderId="16" xfId="0" applyFont="1" applyFill="1" applyBorder="1" applyAlignment="1">
      <alignment wrapText="1"/>
    </xf>
    <xf numFmtId="0" fontId="16" fillId="13" borderId="8" xfId="0" applyFont="1" applyFill="1" applyBorder="1" applyAlignment="1">
      <alignment horizontal="center" wrapText="1"/>
    </xf>
  </cellXfs>
  <cellStyles count="14">
    <cellStyle name="Cancel 2" xfId="4" xr:uid="{00000000-0005-0000-0000-000000000000}"/>
    <cellStyle name="Moneda" xfId="1" builtinId="4"/>
    <cellStyle name="Moneda [0]" xfId="2" builtinId="7"/>
    <cellStyle name="Moneda [0] 2" xfId="8" xr:uid="{00000000-0005-0000-0000-000003000000}"/>
    <cellStyle name="Moneda [0] 3" xfId="10" xr:uid="{00000000-0005-0000-0000-000004000000}"/>
    <cellStyle name="Moneda [0] 3 2" xfId="13" xr:uid="{00000000-0005-0000-0000-000005000000}"/>
    <cellStyle name="Moneda [0] 4" xfId="12" xr:uid="{00000000-0005-0000-0000-000006000000}"/>
    <cellStyle name="Moneda 2" xfId="9" xr:uid="{00000000-0005-0000-0000-000007000000}"/>
    <cellStyle name="Moneda 2 2" xfId="5" xr:uid="{00000000-0005-0000-0000-000008000000}"/>
    <cellStyle name="Moneda 2 2 2" xfId="7" xr:uid="{00000000-0005-0000-0000-000009000000}"/>
    <cellStyle name="Moneda 3" xfId="11" xr:uid="{00000000-0005-0000-0000-00000A000000}"/>
    <cellStyle name="Normal" xfId="0" builtinId="0"/>
    <cellStyle name="Normal 2 2" xfId="3" xr:uid="{00000000-0005-0000-0000-00000C000000}"/>
    <cellStyle name="Normal 2 3" xfId="6" xr:uid="{00000000-0005-0000-0000-00000D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53"/>
  <sheetViews>
    <sheetView tabSelected="1" workbookViewId="0">
      <selection activeCell="O4" sqref="O4"/>
    </sheetView>
  </sheetViews>
  <sheetFormatPr baseColWidth="10" defaultColWidth="11.42578125" defaultRowHeight="15" x14ac:dyDescent="0.25"/>
  <cols>
    <col min="1" max="1" width="11.42578125" style="174"/>
    <col min="2" max="2" width="4.85546875" style="174" customWidth="1"/>
    <col min="3" max="3" width="13.85546875" style="174" customWidth="1"/>
    <col min="4" max="4" width="5.7109375" style="174" customWidth="1"/>
    <col min="5" max="5" width="10.140625" style="174" customWidth="1"/>
    <col min="6" max="6" width="12.140625" style="174" customWidth="1"/>
    <col min="7" max="7" width="14.7109375" style="174" customWidth="1"/>
    <col min="8" max="8" width="13.42578125" style="174" customWidth="1"/>
    <col min="9" max="9" width="10.140625" style="174" customWidth="1"/>
    <col min="10" max="10" width="9.42578125" style="174" customWidth="1"/>
    <col min="11" max="11" width="8.28515625" style="174" customWidth="1"/>
    <col min="12" max="12" width="8.42578125" style="174" customWidth="1"/>
    <col min="13" max="13" width="12.42578125" style="174" customWidth="1"/>
    <col min="14" max="14" width="18.85546875" style="174" customWidth="1"/>
    <col min="15" max="16384" width="11.42578125" style="174"/>
  </cols>
  <sheetData>
    <row r="1" spans="2:15" ht="15.75" thickBot="1" x14ac:dyDescent="0.3"/>
    <row r="2" spans="2:15" ht="60.75" thickBot="1" x14ac:dyDescent="0.3">
      <c r="B2" s="675" t="s">
        <v>0</v>
      </c>
      <c r="C2" s="640" t="s">
        <v>201</v>
      </c>
      <c r="D2" s="675" t="s">
        <v>1</v>
      </c>
      <c r="E2" s="675" t="s">
        <v>202</v>
      </c>
      <c r="F2" s="675" t="s">
        <v>203</v>
      </c>
      <c r="G2" s="640" t="s">
        <v>204</v>
      </c>
      <c r="H2" s="627" t="s">
        <v>259</v>
      </c>
      <c r="I2" s="626" t="s">
        <v>206</v>
      </c>
      <c r="J2" s="625" t="s">
        <v>58</v>
      </c>
      <c r="K2" s="640" t="s">
        <v>207</v>
      </c>
      <c r="L2" s="639" t="s">
        <v>208</v>
      </c>
      <c r="M2" s="647"/>
      <c r="N2" s="640" t="s">
        <v>210</v>
      </c>
      <c r="O2" s="566" t="s">
        <v>209</v>
      </c>
    </row>
    <row r="3" spans="2:15" s="633" customFormat="1" ht="15.75" customHeight="1" x14ac:dyDescent="0.25">
      <c r="B3" s="664">
        <v>1</v>
      </c>
      <c r="C3" s="681" t="s">
        <v>139</v>
      </c>
      <c r="D3" s="628" t="s">
        <v>27</v>
      </c>
      <c r="E3" s="629">
        <v>25850</v>
      </c>
      <c r="F3" s="630">
        <v>7750</v>
      </c>
      <c r="G3" s="631">
        <f t="shared" ref="G3:G34" si="0">(E3*F3)*+(1+5.62%)</f>
        <v>211596467.5</v>
      </c>
      <c r="H3" s="624">
        <f>SUM(G3:G51)</f>
        <v>602755482.82659984</v>
      </c>
      <c r="I3" s="632">
        <f>(G3/$H$3)*100%</f>
        <v>0.3510485985257672</v>
      </c>
      <c r="J3" s="665">
        <f>I3</f>
        <v>0.3510485985257672</v>
      </c>
      <c r="K3" s="652">
        <f>SUM(I3:I10)/8</f>
        <v>9.8118022396013069E-2</v>
      </c>
      <c r="L3" s="644" t="s">
        <v>260</v>
      </c>
      <c r="M3" s="648"/>
      <c r="N3" s="649">
        <f>SUM(I3:I4)</f>
        <v>0.47108316909609249</v>
      </c>
      <c r="O3" s="633">
        <f>(I3*20)/N3</f>
        <v>14.903890504063396</v>
      </c>
    </row>
    <row r="4" spans="2:15" s="633" customFormat="1" ht="64.5" thickBot="1" x14ac:dyDescent="0.3">
      <c r="B4" s="673">
        <f>B3+0.1</f>
        <v>1.1000000000000001</v>
      </c>
      <c r="C4" s="676" t="s">
        <v>222</v>
      </c>
      <c r="D4" s="634" t="s">
        <v>15</v>
      </c>
      <c r="E4" s="635">
        <v>810</v>
      </c>
      <c r="F4" s="636">
        <v>84570</v>
      </c>
      <c r="G4" s="637">
        <f t="shared" si="0"/>
        <v>72351495.540000007</v>
      </c>
      <c r="H4" s="662"/>
      <c r="I4" s="638">
        <f>(G4/$G$52)*100%</f>
        <v>0.12003457057032532</v>
      </c>
      <c r="J4" s="666">
        <f>J3+I4</f>
        <v>0.47108316909609249</v>
      </c>
      <c r="K4" s="653"/>
      <c r="L4" s="645" t="s">
        <v>260</v>
      </c>
      <c r="M4" s="647"/>
      <c r="N4" s="650"/>
      <c r="O4" s="633">
        <f>(I4*20)/N3</f>
        <v>5.0961094959366049</v>
      </c>
    </row>
    <row r="5" spans="2:15" ht="128.25" x14ac:dyDescent="0.25">
      <c r="B5" s="674">
        <f t="shared" ref="B5:B51" si="1">B4+0.1</f>
        <v>1.2000000000000002</v>
      </c>
      <c r="C5" s="609" t="s">
        <v>229</v>
      </c>
      <c r="D5" s="607" t="s">
        <v>15</v>
      </c>
      <c r="E5" s="605">
        <v>1010</v>
      </c>
      <c r="F5" s="608">
        <v>55250</v>
      </c>
      <c r="G5" s="617">
        <f t="shared" si="0"/>
        <v>58938600.5</v>
      </c>
      <c r="H5" s="662"/>
      <c r="I5" s="556">
        <f>(G5/$G$52)*100%</f>
        <v>9.7781940072298609E-2</v>
      </c>
      <c r="J5" s="667">
        <f>J4+I5</f>
        <v>0.56886510916839106</v>
      </c>
      <c r="K5" s="653"/>
      <c r="L5" s="641" t="s">
        <v>261</v>
      </c>
      <c r="M5" s="646"/>
      <c r="N5" s="650"/>
    </row>
    <row r="6" spans="2:15" ht="51.75" x14ac:dyDescent="0.25">
      <c r="B6" s="674">
        <f t="shared" si="1"/>
        <v>1.3000000000000003</v>
      </c>
      <c r="C6" s="609" t="s">
        <v>249</v>
      </c>
      <c r="D6" s="607" t="s">
        <v>247</v>
      </c>
      <c r="E6" s="605">
        <v>2</v>
      </c>
      <c r="F6" s="608">
        <v>22078986</v>
      </c>
      <c r="G6" s="617">
        <f t="shared" si="0"/>
        <v>46639650.0264</v>
      </c>
      <c r="H6" s="662"/>
      <c r="I6" s="556">
        <f>(G6/$G$52)*100%</f>
        <v>7.7377396564996911E-2</v>
      </c>
      <c r="J6" s="667">
        <f t="shared" ref="J6:J51" si="2">J5+I6</f>
        <v>0.64624250573338793</v>
      </c>
      <c r="K6" s="653"/>
      <c r="L6" s="642"/>
      <c r="M6" s="646"/>
      <c r="N6" s="650"/>
    </row>
    <row r="7" spans="2:15" ht="77.25" x14ac:dyDescent="0.25">
      <c r="B7" s="674">
        <f t="shared" si="1"/>
        <v>1.4000000000000004</v>
      </c>
      <c r="C7" s="609" t="s">
        <v>251</v>
      </c>
      <c r="D7" s="607" t="s">
        <v>247</v>
      </c>
      <c r="E7" s="605">
        <v>2</v>
      </c>
      <c r="F7" s="608">
        <v>11459441</v>
      </c>
      <c r="G7" s="617">
        <f t="shared" si="0"/>
        <v>24206923.168400001</v>
      </c>
      <c r="H7" s="662"/>
      <c r="I7" s="556">
        <f>(G7/$G$52)*100%</f>
        <v>4.0160436293142483E-2</v>
      </c>
      <c r="J7" s="667">
        <f t="shared" si="2"/>
        <v>0.6864029420265304</v>
      </c>
      <c r="K7" s="653"/>
      <c r="L7" s="642"/>
      <c r="M7" s="646"/>
      <c r="N7" s="650"/>
    </row>
    <row r="8" spans="2:15" ht="39" x14ac:dyDescent="0.25">
      <c r="B8" s="674">
        <f t="shared" si="1"/>
        <v>1.5000000000000004</v>
      </c>
      <c r="C8" s="609" t="s">
        <v>233</v>
      </c>
      <c r="D8" s="604" t="s">
        <v>3</v>
      </c>
      <c r="E8" s="605">
        <v>1375</v>
      </c>
      <c r="F8" s="606">
        <v>16200</v>
      </c>
      <c r="G8" s="617">
        <f t="shared" si="0"/>
        <v>23526855</v>
      </c>
      <c r="H8" s="662"/>
      <c r="I8" s="556">
        <f>(G8/$G$52)*100%</f>
        <v>3.9032170872460047E-2</v>
      </c>
      <c r="J8" s="667">
        <f t="shared" si="2"/>
        <v>0.72543511289899043</v>
      </c>
      <c r="K8" s="653"/>
      <c r="L8" s="642"/>
      <c r="M8" s="646"/>
      <c r="N8" s="650"/>
    </row>
    <row r="9" spans="2:15" ht="51" x14ac:dyDescent="0.25">
      <c r="B9" s="674">
        <f t="shared" si="1"/>
        <v>1.6000000000000005</v>
      </c>
      <c r="C9" s="611" t="s">
        <v>246</v>
      </c>
      <c r="D9" s="607" t="s">
        <v>247</v>
      </c>
      <c r="E9" s="605">
        <v>2</v>
      </c>
      <c r="F9" s="608">
        <v>9584409</v>
      </c>
      <c r="G9" s="617">
        <f t="shared" si="0"/>
        <v>20246105.571600001</v>
      </c>
      <c r="H9" s="662"/>
      <c r="I9" s="556">
        <f>(G9/$G$52)*100%</f>
        <v>3.358925160938666E-2</v>
      </c>
      <c r="J9" s="667">
        <f t="shared" si="2"/>
        <v>0.75902436450837707</v>
      </c>
      <c r="K9" s="653"/>
      <c r="L9" s="642"/>
      <c r="M9" s="646"/>
      <c r="N9" s="650"/>
    </row>
    <row r="10" spans="2:15" ht="39" thickBot="1" x14ac:dyDescent="0.3">
      <c r="B10" s="674">
        <f t="shared" si="1"/>
        <v>1.7000000000000006</v>
      </c>
      <c r="C10" s="611" t="s">
        <v>221</v>
      </c>
      <c r="D10" s="607" t="s">
        <v>27</v>
      </c>
      <c r="E10" s="605">
        <v>2150</v>
      </c>
      <c r="F10" s="608">
        <v>6880</v>
      </c>
      <c r="G10" s="617">
        <f t="shared" si="0"/>
        <v>15623310.4</v>
      </c>
      <c r="H10" s="662"/>
      <c r="I10" s="556">
        <f>(G10/$G$52)*100%</f>
        <v>2.5919814659727453E-2</v>
      </c>
      <c r="J10" s="667">
        <f t="shared" si="2"/>
        <v>0.78494417916810455</v>
      </c>
      <c r="K10" s="654"/>
      <c r="L10" s="642"/>
      <c r="M10" s="646"/>
      <c r="N10" s="651"/>
    </row>
    <row r="11" spans="2:15" ht="39" x14ac:dyDescent="0.25">
      <c r="B11" s="674">
        <f t="shared" si="1"/>
        <v>1.8000000000000007</v>
      </c>
      <c r="C11" s="609" t="s">
        <v>231</v>
      </c>
      <c r="D11" s="604" t="s">
        <v>232</v>
      </c>
      <c r="E11" s="605">
        <v>530</v>
      </c>
      <c r="F11" s="606">
        <v>27230</v>
      </c>
      <c r="G11" s="617">
        <f t="shared" si="0"/>
        <v>15242972.780000001</v>
      </c>
      <c r="H11" s="662"/>
      <c r="I11" s="556">
        <f>(G11/$G$52)*100%</f>
        <v>2.5288816467531141E-2</v>
      </c>
      <c r="J11" s="667">
        <f t="shared" si="2"/>
        <v>0.81023299563563567</v>
      </c>
      <c r="K11" s="655" t="s">
        <v>261</v>
      </c>
      <c r="L11" s="642"/>
      <c r="M11" s="646"/>
    </row>
    <row r="12" spans="2:15" ht="51.75" x14ac:dyDescent="0.25">
      <c r="B12" s="674">
        <f t="shared" si="1"/>
        <v>1.9000000000000008</v>
      </c>
      <c r="C12" s="609" t="s">
        <v>224</v>
      </c>
      <c r="D12" s="604" t="s">
        <v>48</v>
      </c>
      <c r="E12" s="605">
        <v>2</v>
      </c>
      <c r="F12" s="606">
        <v>5125340</v>
      </c>
      <c r="G12" s="617">
        <f t="shared" si="0"/>
        <v>10826768.216</v>
      </c>
      <c r="H12" s="662"/>
      <c r="I12" s="556">
        <f>(G12/$G$52)*100%</f>
        <v>1.7962123156853367E-2</v>
      </c>
      <c r="J12" s="667">
        <f t="shared" si="2"/>
        <v>0.82819511879248908</v>
      </c>
      <c r="K12" s="656"/>
      <c r="L12" s="642"/>
      <c r="M12" s="646"/>
    </row>
    <row r="13" spans="2:15" ht="51" x14ac:dyDescent="0.25">
      <c r="B13" s="674">
        <f t="shared" si="1"/>
        <v>2.0000000000000009</v>
      </c>
      <c r="C13" s="611" t="s">
        <v>223</v>
      </c>
      <c r="D13" s="607" t="s">
        <v>15</v>
      </c>
      <c r="E13" s="605">
        <v>810</v>
      </c>
      <c r="F13" s="608">
        <v>12170</v>
      </c>
      <c r="G13" s="617">
        <f t="shared" si="0"/>
        <v>10411702.74</v>
      </c>
      <c r="H13" s="662"/>
      <c r="I13" s="556">
        <f>(G13/$G$52)*100%</f>
        <v>1.7273509800648682E-2</v>
      </c>
      <c r="J13" s="667">
        <f t="shared" si="2"/>
        <v>0.84546862859313776</v>
      </c>
      <c r="K13" s="656"/>
      <c r="L13" s="642"/>
      <c r="M13" s="646"/>
    </row>
    <row r="14" spans="2:15" ht="25.5" x14ac:dyDescent="0.25">
      <c r="B14" s="674">
        <f t="shared" si="1"/>
        <v>2.100000000000001</v>
      </c>
      <c r="C14" s="677" t="s">
        <v>254</v>
      </c>
      <c r="D14" s="607" t="s">
        <v>1</v>
      </c>
      <c r="E14" s="605">
        <v>24</v>
      </c>
      <c r="F14" s="608">
        <v>387998</v>
      </c>
      <c r="G14" s="617">
        <f t="shared" si="0"/>
        <v>9835283.7024000008</v>
      </c>
      <c r="H14" s="662"/>
      <c r="I14" s="556">
        <f>(G14/$G$52)*100%</f>
        <v>1.6317203215270307E-2</v>
      </c>
      <c r="J14" s="667">
        <f t="shared" si="2"/>
        <v>0.86178583180840806</v>
      </c>
      <c r="K14" s="656"/>
      <c r="L14" s="642"/>
      <c r="M14" s="646"/>
    </row>
    <row r="15" spans="2:15" ht="51.75" x14ac:dyDescent="0.25">
      <c r="B15" s="674">
        <f t="shared" si="1"/>
        <v>2.2000000000000011</v>
      </c>
      <c r="C15" s="609" t="s">
        <v>248</v>
      </c>
      <c r="D15" s="607" t="s">
        <v>247</v>
      </c>
      <c r="E15" s="605">
        <v>2</v>
      </c>
      <c r="F15" s="608">
        <v>4112955</v>
      </c>
      <c r="G15" s="617">
        <f t="shared" si="0"/>
        <v>8688206.1420000009</v>
      </c>
      <c r="H15" s="662"/>
      <c r="I15" s="556">
        <f>(G15/$G$52)*100%</f>
        <v>1.4414147012412023E-2</v>
      </c>
      <c r="J15" s="667">
        <f t="shared" si="2"/>
        <v>0.87619997882082012</v>
      </c>
      <c r="K15" s="656"/>
      <c r="L15" s="642"/>
      <c r="M15" s="646"/>
    </row>
    <row r="16" spans="2:15" ht="51.75" x14ac:dyDescent="0.25">
      <c r="B16" s="674">
        <f t="shared" si="1"/>
        <v>2.3000000000000012</v>
      </c>
      <c r="C16" s="609" t="s">
        <v>214</v>
      </c>
      <c r="D16" s="604" t="s">
        <v>215</v>
      </c>
      <c r="E16" s="605">
        <v>2</v>
      </c>
      <c r="F16" s="606">
        <v>3603400</v>
      </c>
      <c r="G16" s="617">
        <f t="shared" si="0"/>
        <v>7611822.1600000001</v>
      </c>
      <c r="H16" s="662"/>
      <c r="I16" s="556">
        <f>(G16/$G$52)*100%</f>
        <v>1.2628374816774188E-2</v>
      </c>
      <c r="J16" s="667">
        <f t="shared" si="2"/>
        <v>0.88882835363759427</v>
      </c>
      <c r="K16" s="656"/>
      <c r="L16" s="642"/>
      <c r="M16" s="646"/>
    </row>
    <row r="17" spans="2:13" ht="39" x14ac:dyDescent="0.25">
      <c r="B17" s="674">
        <f t="shared" si="1"/>
        <v>2.4000000000000012</v>
      </c>
      <c r="C17" s="609" t="s">
        <v>243</v>
      </c>
      <c r="D17" s="604" t="s">
        <v>3</v>
      </c>
      <c r="E17" s="605">
        <v>64</v>
      </c>
      <c r="F17" s="606">
        <v>86960</v>
      </c>
      <c r="G17" s="617">
        <f t="shared" si="0"/>
        <v>5878217.7280000001</v>
      </c>
      <c r="H17" s="662"/>
      <c r="I17" s="556">
        <f>(G17/$G$52)*100%</f>
        <v>9.7522426514219541E-3</v>
      </c>
      <c r="J17" s="667">
        <f t="shared" si="2"/>
        <v>0.89858059628901621</v>
      </c>
      <c r="K17" s="656"/>
      <c r="L17" s="642"/>
      <c r="M17" s="646"/>
    </row>
    <row r="18" spans="2:13" ht="64.5" x14ac:dyDescent="0.25">
      <c r="B18" s="674">
        <f t="shared" si="1"/>
        <v>2.5000000000000013</v>
      </c>
      <c r="C18" s="678" t="s">
        <v>253</v>
      </c>
      <c r="D18" s="612" t="s">
        <v>15</v>
      </c>
      <c r="E18" s="613">
        <v>80</v>
      </c>
      <c r="F18" s="606">
        <v>59080</v>
      </c>
      <c r="G18" s="617">
        <f t="shared" si="0"/>
        <v>4992023.68</v>
      </c>
      <c r="H18" s="662"/>
      <c r="I18" s="556">
        <f>(G18/$G$52)*100%</f>
        <v>8.2820045976024752E-3</v>
      </c>
      <c r="J18" s="667">
        <f t="shared" si="2"/>
        <v>0.90686260088661863</v>
      </c>
      <c r="K18" s="656"/>
      <c r="L18" s="642"/>
      <c r="M18" s="646"/>
    </row>
    <row r="19" spans="2:13" ht="25.5" x14ac:dyDescent="0.25">
      <c r="B19" s="674">
        <f t="shared" si="1"/>
        <v>2.6000000000000014</v>
      </c>
      <c r="C19" s="677" t="s">
        <v>213</v>
      </c>
      <c r="D19" s="607" t="s">
        <v>1</v>
      </c>
      <c r="E19" s="605">
        <v>2</v>
      </c>
      <c r="F19" s="608">
        <v>2344980</v>
      </c>
      <c r="G19" s="617">
        <f t="shared" si="0"/>
        <v>4953535.7520000003</v>
      </c>
      <c r="H19" s="662"/>
      <c r="I19" s="556">
        <f>(G19/$G$52)*100%</f>
        <v>8.218151295398551E-3</v>
      </c>
      <c r="J19" s="667">
        <f t="shared" si="2"/>
        <v>0.91508075218201723</v>
      </c>
      <c r="K19" s="656"/>
      <c r="L19" s="642"/>
      <c r="M19" s="646"/>
    </row>
    <row r="20" spans="2:13" ht="51" x14ac:dyDescent="0.25">
      <c r="B20" s="674">
        <f t="shared" si="1"/>
        <v>2.7000000000000015</v>
      </c>
      <c r="C20" s="611" t="s">
        <v>220</v>
      </c>
      <c r="D20" s="607" t="s">
        <v>7</v>
      </c>
      <c r="E20" s="605">
        <v>170</v>
      </c>
      <c r="F20" s="608">
        <v>26850</v>
      </c>
      <c r="G20" s="617">
        <f t="shared" si="0"/>
        <v>4821024.9000000004</v>
      </c>
      <c r="H20" s="662"/>
      <c r="I20" s="556">
        <f>(G20/$G$52)*100%</f>
        <v>7.9983094925855838E-3</v>
      </c>
      <c r="J20" s="667">
        <f t="shared" si="2"/>
        <v>0.92307906167460285</v>
      </c>
      <c r="K20" s="656"/>
      <c r="L20" s="642"/>
      <c r="M20" s="646"/>
    </row>
    <row r="21" spans="2:13" ht="51.75" x14ac:dyDescent="0.25">
      <c r="B21" s="674">
        <f t="shared" si="1"/>
        <v>2.8000000000000016</v>
      </c>
      <c r="C21" s="609" t="s">
        <v>212</v>
      </c>
      <c r="D21" s="604" t="s">
        <v>3</v>
      </c>
      <c r="E21" s="605">
        <v>195</v>
      </c>
      <c r="F21" s="606">
        <v>20870</v>
      </c>
      <c r="G21" s="617">
        <f t="shared" si="0"/>
        <v>4298364.33</v>
      </c>
      <c r="H21" s="662"/>
      <c r="I21" s="556">
        <f>(G21/$G$52)*100%</f>
        <v>7.1311907605435248E-3</v>
      </c>
      <c r="J21" s="667">
        <f t="shared" si="2"/>
        <v>0.93021025243514632</v>
      </c>
      <c r="K21" s="656"/>
      <c r="L21" s="642"/>
      <c r="M21" s="646"/>
    </row>
    <row r="22" spans="2:13" ht="64.5" x14ac:dyDescent="0.25">
      <c r="B22" s="674">
        <f t="shared" si="1"/>
        <v>2.9000000000000017</v>
      </c>
      <c r="C22" s="609" t="s">
        <v>218</v>
      </c>
      <c r="D22" s="604" t="s">
        <v>7</v>
      </c>
      <c r="E22" s="605">
        <v>210</v>
      </c>
      <c r="F22" s="606">
        <v>16870</v>
      </c>
      <c r="G22" s="617">
        <f t="shared" si="0"/>
        <v>3741799.74</v>
      </c>
      <c r="H22" s="662"/>
      <c r="I22" s="556">
        <f>(G22/$G$52)*100%</f>
        <v>6.2078236475808842E-3</v>
      </c>
      <c r="J22" s="667">
        <f t="shared" si="2"/>
        <v>0.9364180760827272</v>
      </c>
      <c r="K22" s="656"/>
      <c r="L22" s="642"/>
      <c r="M22" s="646"/>
    </row>
    <row r="23" spans="2:13" ht="38.25" x14ac:dyDescent="0.25">
      <c r="B23" s="674">
        <f t="shared" si="1"/>
        <v>3.0000000000000018</v>
      </c>
      <c r="C23" s="611" t="s">
        <v>219</v>
      </c>
      <c r="D23" s="607" t="s">
        <v>7</v>
      </c>
      <c r="E23" s="605">
        <v>170</v>
      </c>
      <c r="F23" s="608">
        <v>20620</v>
      </c>
      <c r="G23" s="617">
        <f t="shared" si="0"/>
        <v>3702403.48</v>
      </c>
      <c r="H23" s="662"/>
      <c r="I23" s="556">
        <f>(G23/$G$52)*100%</f>
        <v>6.1424633794083701E-3</v>
      </c>
      <c r="J23" s="667">
        <f t="shared" si="2"/>
        <v>0.94256053946213558</v>
      </c>
      <c r="K23" s="656"/>
      <c r="L23" s="642"/>
      <c r="M23" s="646"/>
    </row>
    <row r="24" spans="2:13" ht="39" x14ac:dyDescent="0.25">
      <c r="B24" s="674">
        <f t="shared" si="1"/>
        <v>3.1000000000000019</v>
      </c>
      <c r="C24" s="609" t="s">
        <v>245</v>
      </c>
      <c r="D24" s="604" t="s">
        <v>1</v>
      </c>
      <c r="E24" s="605">
        <v>7</v>
      </c>
      <c r="F24" s="606">
        <v>433570</v>
      </c>
      <c r="G24" s="617">
        <f t="shared" si="0"/>
        <v>3205556.4380000001</v>
      </c>
      <c r="H24" s="662"/>
      <c r="I24" s="556">
        <f>(G24/$G$52)*100%</f>
        <v>5.318170517450393E-3</v>
      </c>
      <c r="J24" s="667">
        <f t="shared" si="2"/>
        <v>0.94787870997958601</v>
      </c>
      <c r="K24" s="656"/>
      <c r="L24" s="642"/>
      <c r="M24" s="646"/>
    </row>
    <row r="25" spans="2:13" ht="64.5" x14ac:dyDescent="0.25">
      <c r="B25" s="674">
        <f t="shared" si="1"/>
        <v>3.200000000000002</v>
      </c>
      <c r="C25" s="609" t="s">
        <v>211</v>
      </c>
      <c r="D25" s="604" t="s">
        <v>15</v>
      </c>
      <c r="E25" s="605">
        <v>884</v>
      </c>
      <c r="F25" s="606">
        <v>3424</v>
      </c>
      <c r="G25" s="617">
        <f t="shared" si="0"/>
        <v>3196923.0592</v>
      </c>
      <c r="H25" s="662"/>
      <c r="I25" s="556">
        <f>(G25/$G$52)*100%</f>
        <v>5.3038473316047597E-3</v>
      </c>
      <c r="J25" s="667">
        <f t="shared" si="2"/>
        <v>0.95318255731119073</v>
      </c>
      <c r="K25" s="656"/>
      <c r="L25" s="642"/>
      <c r="M25" s="646"/>
    </row>
    <row r="26" spans="2:13" ht="51.75" x14ac:dyDescent="0.25">
      <c r="B26" s="674">
        <f t="shared" si="1"/>
        <v>3.300000000000002</v>
      </c>
      <c r="C26" s="609" t="s">
        <v>228</v>
      </c>
      <c r="D26" s="604" t="s">
        <v>1</v>
      </c>
      <c r="E26" s="605">
        <v>760</v>
      </c>
      <c r="F26" s="606">
        <v>3749</v>
      </c>
      <c r="G26" s="617">
        <f t="shared" si="0"/>
        <v>3009367.2880000002</v>
      </c>
      <c r="H26" s="662"/>
      <c r="I26" s="556">
        <f>(G26/$G$52)*100%</f>
        <v>4.992683391095311E-3</v>
      </c>
      <c r="J26" s="667">
        <f t="shared" si="2"/>
        <v>0.95817524070228599</v>
      </c>
      <c r="K26" s="656"/>
      <c r="L26" s="642"/>
      <c r="M26" s="646"/>
    </row>
    <row r="27" spans="2:13" ht="26.25" x14ac:dyDescent="0.25">
      <c r="B27" s="674">
        <f t="shared" si="1"/>
        <v>3.4000000000000021</v>
      </c>
      <c r="C27" s="609" t="s">
        <v>240</v>
      </c>
      <c r="D27" s="604" t="s">
        <v>1</v>
      </c>
      <c r="E27" s="605">
        <v>8</v>
      </c>
      <c r="F27" s="606">
        <v>330840</v>
      </c>
      <c r="G27" s="617">
        <f t="shared" si="0"/>
        <v>2795465.6639999999</v>
      </c>
      <c r="H27" s="662"/>
      <c r="I27" s="556">
        <f>(G27/$G$52)*100%</f>
        <v>4.6378104283527474E-3</v>
      </c>
      <c r="J27" s="667">
        <f t="shared" si="2"/>
        <v>0.96281305113063875</v>
      </c>
      <c r="K27" s="656"/>
      <c r="L27" s="642"/>
      <c r="M27" s="646"/>
    </row>
    <row r="28" spans="2:13" ht="51.75" x14ac:dyDescent="0.25">
      <c r="B28" s="674">
        <f t="shared" si="1"/>
        <v>3.5000000000000022</v>
      </c>
      <c r="C28" s="609" t="s">
        <v>250</v>
      </c>
      <c r="D28" s="607" t="s">
        <v>247</v>
      </c>
      <c r="E28" s="605">
        <v>2</v>
      </c>
      <c r="F28" s="608">
        <v>1217402</v>
      </c>
      <c r="G28" s="617">
        <f t="shared" si="0"/>
        <v>2571639.9848000002</v>
      </c>
      <c r="H28" s="662"/>
      <c r="I28" s="556">
        <f>(G28/$G$52)*100%</f>
        <v>4.2664729862603463E-3</v>
      </c>
      <c r="J28" s="667">
        <f t="shared" si="2"/>
        <v>0.96707952411689913</v>
      </c>
      <c r="K28" s="656"/>
      <c r="L28" s="642"/>
      <c r="M28" s="646"/>
    </row>
    <row r="29" spans="2:13" ht="39" x14ac:dyDescent="0.25">
      <c r="B29" s="674">
        <f t="shared" si="1"/>
        <v>3.6000000000000023</v>
      </c>
      <c r="C29" s="609" t="s">
        <v>241</v>
      </c>
      <c r="D29" s="604" t="s">
        <v>3</v>
      </c>
      <c r="E29" s="605">
        <v>76</v>
      </c>
      <c r="F29" s="606">
        <v>29490</v>
      </c>
      <c r="G29" s="617">
        <f t="shared" si="0"/>
        <v>2367197.6880000001</v>
      </c>
      <c r="H29" s="662"/>
      <c r="I29" s="556">
        <f>(G29/$G$52)*100%</f>
        <v>3.9272934970232256E-3</v>
      </c>
      <c r="J29" s="667">
        <f t="shared" si="2"/>
        <v>0.97100681761392238</v>
      </c>
      <c r="K29" s="656"/>
      <c r="L29" s="642"/>
      <c r="M29" s="646"/>
    </row>
    <row r="30" spans="2:13" ht="39" x14ac:dyDescent="0.25">
      <c r="B30" s="674">
        <f t="shared" si="1"/>
        <v>3.7000000000000024</v>
      </c>
      <c r="C30" s="609" t="s">
        <v>226</v>
      </c>
      <c r="D30" s="604" t="s">
        <v>48</v>
      </c>
      <c r="E30" s="605">
        <v>2</v>
      </c>
      <c r="F30" s="606">
        <v>1061100</v>
      </c>
      <c r="G30" s="617">
        <f t="shared" si="0"/>
        <v>2241467.64</v>
      </c>
      <c r="H30" s="662"/>
      <c r="I30" s="556">
        <f>(G30/$G$52)*100%</f>
        <v>3.7187013703943754E-3</v>
      </c>
      <c r="J30" s="667">
        <f t="shared" si="2"/>
        <v>0.97472551898431681</v>
      </c>
      <c r="K30" s="656"/>
      <c r="L30" s="642"/>
      <c r="M30" s="646"/>
    </row>
    <row r="31" spans="2:13" ht="51" x14ac:dyDescent="0.25">
      <c r="B31" s="674">
        <f t="shared" si="1"/>
        <v>3.8000000000000025</v>
      </c>
      <c r="C31" s="677" t="s">
        <v>258</v>
      </c>
      <c r="D31" s="607" t="s">
        <v>1</v>
      </c>
      <c r="E31" s="605">
        <v>1</v>
      </c>
      <c r="F31" s="608">
        <v>1833720</v>
      </c>
      <c r="G31" s="617">
        <f t="shared" si="0"/>
        <v>1936775.064</v>
      </c>
      <c r="H31" s="662"/>
      <c r="I31" s="556">
        <f>(G31/$G$52)*100%</f>
        <v>3.2132019022333303E-3</v>
      </c>
      <c r="J31" s="667">
        <f t="shared" si="2"/>
        <v>0.97793872088655009</v>
      </c>
      <c r="K31" s="656"/>
      <c r="L31" s="642"/>
      <c r="M31" s="646"/>
    </row>
    <row r="32" spans="2:13" ht="64.5" x14ac:dyDescent="0.25">
      <c r="B32" s="674">
        <f t="shared" si="1"/>
        <v>3.9000000000000026</v>
      </c>
      <c r="C32" s="609" t="s">
        <v>227</v>
      </c>
      <c r="D32" s="604" t="s">
        <v>48</v>
      </c>
      <c r="E32" s="605">
        <v>2</v>
      </c>
      <c r="F32" s="606">
        <v>859138</v>
      </c>
      <c r="G32" s="617">
        <f t="shared" si="0"/>
        <v>1814843.1112000002</v>
      </c>
      <c r="H32" s="662"/>
      <c r="I32" s="556">
        <f>(G32/$G$52)*100%</f>
        <v>3.0109109960963932E-3</v>
      </c>
      <c r="J32" s="667">
        <f t="shared" si="2"/>
        <v>0.9809496318826465</v>
      </c>
      <c r="K32" s="656"/>
      <c r="L32" s="642"/>
      <c r="M32" s="646"/>
    </row>
    <row r="33" spans="2:13" ht="51.75" x14ac:dyDescent="0.25">
      <c r="B33" s="674">
        <f t="shared" si="1"/>
        <v>4.0000000000000027</v>
      </c>
      <c r="C33" s="609" t="s">
        <v>225</v>
      </c>
      <c r="D33" s="604" t="s">
        <v>3</v>
      </c>
      <c r="E33" s="605">
        <v>718</v>
      </c>
      <c r="F33" s="606">
        <v>2190</v>
      </c>
      <c r="G33" s="617">
        <f t="shared" si="0"/>
        <v>1660790.004</v>
      </c>
      <c r="H33" s="662"/>
      <c r="I33" s="556">
        <f>(G33/$G$52)*100%</f>
        <v>2.7553295678237315E-3</v>
      </c>
      <c r="J33" s="667">
        <f t="shared" si="2"/>
        <v>0.98370496145047026</v>
      </c>
      <c r="K33" s="656"/>
      <c r="L33" s="642"/>
      <c r="M33" s="646"/>
    </row>
    <row r="34" spans="2:13" ht="128.25" x14ac:dyDescent="0.25">
      <c r="B34" s="674">
        <f t="shared" si="1"/>
        <v>4.1000000000000023</v>
      </c>
      <c r="C34" s="610" t="s">
        <v>230</v>
      </c>
      <c r="D34" s="607" t="s">
        <v>1</v>
      </c>
      <c r="E34" s="605">
        <v>35</v>
      </c>
      <c r="F34" s="608">
        <v>42210</v>
      </c>
      <c r="G34" s="617">
        <f t="shared" si="0"/>
        <v>1560377.07</v>
      </c>
      <c r="H34" s="662"/>
      <c r="I34" s="556">
        <f>(G34/$G$52)*100%</f>
        <v>2.5887397368542691E-3</v>
      </c>
      <c r="J34" s="667">
        <f t="shared" si="2"/>
        <v>0.98629370118732451</v>
      </c>
      <c r="K34" s="656"/>
      <c r="L34" s="642"/>
      <c r="M34" s="646"/>
    </row>
    <row r="35" spans="2:13" ht="25.5" x14ac:dyDescent="0.25">
      <c r="B35" s="674">
        <f t="shared" si="1"/>
        <v>4.200000000000002</v>
      </c>
      <c r="C35" s="677" t="s">
        <v>255</v>
      </c>
      <c r="D35" s="607" t="s">
        <v>3</v>
      </c>
      <c r="E35" s="605">
        <v>33</v>
      </c>
      <c r="F35" s="608">
        <v>42710</v>
      </c>
      <c r="G35" s="617">
        <f t="shared" ref="G35:G51" si="3">(E35*F35)*+(1+5.62%)</f>
        <v>1488639.966</v>
      </c>
      <c r="H35" s="662"/>
      <c r="I35" s="556">
        <f t="shared" ref="I35:I51" si="4">(G35/$G$52)*100%</f>
        <v>2.4697244710559533E-3</v>
      </c>
      <c r="J35" s="667">
        <f t="shared" si="2"/>
        <v>0.98876342565838049</v>
      </c>
      <c r="K35" s="656"/>
      <c r="L35" s="642"/>
      <c r="M35" s="646"/>
    </row>
    <row r="36" spans="2:13" ht="51" x14ac:dyDescent="0.25">
      <c r="B36" s="674">
        <f t="shared" si="1"/>
        <v>4.3000000000000016</v>
      </c>
      <c r="C36" s="677" t="s">
        <v>257</v>
      </c>
      <c r="D36" s="607" t="s">
        <v>1</v>
      </c>
      <c r="E36" s="605">
        <v>32</v>
      </c>
      <c r="F36" s="608">
        <v>41450</v>
      </c>
      <c r="G36" s="617">
        <f t="shared" si="3"/>
        <v>1400943.68</v>
      </c>
      <c r="H36" s="662"/>
      <c r="I36" s="556">
        <f t="shared" si="4"/>
        <v>2.324232163646734E-3</v>
      </c>
      <c r="J36" s="667">
        <f t="shared" si="2"/>
        <v>0.99108765782202723</v>
      </c>
      <c r="K36" s="656"/>
      <c r="L36" s="642"/>
      <c r="M36" s="646"/>
    </row>
    <row r="37" spans="2:13" ht="280.5" x14ac:dyDescent="0.25">
      <c r="B37" s="674">
        <f t="shared" si="1"/>
        <v>4.4000000000000012</v>
      </c>
      <c r="C37" s="611" t="s">
        <v>252</v>
      </c>
      <c r="D37" s="607" t="s">
        <v>247</v>
      </c>
      <c r="E37" s="605">
        <v>1</v>
      </c>
      <c r="F37" s="608">
        <v>1233833</v>
      </c>
      <c r="G37" s="617">
        <f t="shared" si="3"/>
        <v>1303174.4146</v>
      </c>
      <c r="H37" s="662"/>
      <c r="I37" s="663">
        <f t="shared" si="4"/>
        <v>2.1620283045602692E-3</v>
      </c>
      <c r="J37" s="668">
        <f t="shared" si="2"/>
        <v>0.99324968612658748</v>
      </c>
      <c r="K37" s="656"/>
      <c r="L37" s="642"/>
      <c r="M37" s="646"/>
    </row>
    <row r="38" spans="2:13" ht="39" x14ac:dyDescent="0.25">
      <c r="B38" s="674">
        <f t="shared" si="1"/>
        <v>4.5000000000000009</v>
      </c>
      <c r="C38" s="609" t="s">
        <v>107</v>
      </c>
      <c r="D38" s="604" t="s">
        <v>108</v>
      </c>
      <c r="E38" s="605">
        <v>10</v>
      </c>
      <c r="F38" s="606">
        <v>61640</v>
      </c>
      <c r="G38" s="617">
        <f t="shared" si="3"/>
        <v>651041.68000000005</v>
      </c>
      <c r="H38" s="662"/>
      <c r="I38" s="556">
        <f t="shared" si="4"/>
        <v>1.0801090965559764E-3</v>
      </c>
      <c r="J38" s="667">
        <f t="shared" si="2"/>
        <v>0.99432979522314346</v>
      </c>
      <c r="K38" s="656"/>
      <c r="L38" s="642"/>
      <c r="M38" s="646"/>
    </row>
    <row r="39" spans="2:13" ht="39" x14ac:dyDescent="0.25">
      <c r="B39" s="674">
        <f t="shared" si="1"/>
        <v>4.6000000000000005</v>
      </c>
      <c r="C39" s="609" t="s">
        <v>234</v>
      </c>
      <c r="D39" s="604" t="s">
        <v>3</v>
      </c>
      <c r="E39" s="605">
        <v>30</v>
      </c>
      <c r="F39" s="606">
        <v>19580</v>
      </c>
      <c r="G39" s="617">
        <f t="shared" si="3"/>
        <v>620411.88</v>
      </c>
      <c r="H39" s="662"/>
      <c r="I39" s="556">
        <f t="shared" si="4"/>
        <v>1.0292928022663538E-3</v>
      </c>
      <c r="J39" s="667">
        <f t="shared" si="2"/>
        <v>0.99535908802540984</v>
      </c>
      <c r="K39" s="656"/>
      <c r="L39" s="642"/>
      <c r="M39" s="646"/>
    </row>
    <row r="40" spans="2:13" ht="51.75" x14ac:dyDescent="0.25">
      <c r="B40" s="674">
        <f t="shared" si="1"/>
        <v>4.7</v>
      </c>
      <c r="C40" s="609" t="s">
        <v>216</v>
      </c>
      <c r="D40" s="604" t="s">
        <v>15</v>
      </c>
      <c r="E40" s="605">
        <v>115</v>
      </c>
      <c r="F40" s="606">
        <v>4210</v>
      </c>
      <c r="G40" s="617">
        <f t="shared" si="3"/>
        <v>511359.23000000004</v>
      </c>
      <c r="H40" s="662"/>
      <c r="I40" s="556">
        <f t="shared" si="4"/>
        <v>8.4836927173519779E-4</v>
      </c>
      <c r="J40" s="667">
        <f t="shared" si="2"/>
        <v>0.99620745729714499</v>
      </c>
      <c r="K40" s="656"/>
      <c r="L40" s="642"/>
      <c r="M40" s="646"/>
    </row>
    <row r="41" spans="2:13" ht="39" x14ac:dyDescent="0.25">
      <c r="B41" s="674">
        <f t="shared" si="1"/>
        <v>4.8</v>
      </c>
      <c r="C41" s="609" t="s">
        <v>242</v>
      </c>
      <c r="D41" s="604" t="s">
        <v>3</v>
      </c>
      <c r="E41" s="605">
        <v>76</v>
      </c>
      <c r="F41" s="606">
        <v>5560</v>
      </c>
      <c r="G41" s="617">
        <f t="shared" si="3"/>
        <v>446307.87200000003</v>
      </c>
      <c r="H41" s="662"/>
      <c r="I41" s="556">
        <f t="shared" si="4"/>
        <v>7.4044597638009955E-4</v>
      </c>
      <c r="J41" s="667">
        <f t="shared" si="2"/>
        <v>0.99694790327352512</v>
      </c>
      <c r="K41" s="656"/>
      <c r="L41" s="642"/>
      <c r="M41" s="646"/>
    </row>
    <row r="42" spans="2:13" ht="26.25" x14ac:dyDescent="0.25">
      <c r="B42" s="674">
        <f t="shared" si="1"/>
        <v>4.8999999999999995</v>
      </c>
      <c r="C42" s="609" t="s">
        <v>235</v>
      </c>
      <c r="D42" s="604" t="s">
        <v>1</v>
      </c>
      <c r="E42" s="605">
        <v>18</v>
      </c>
      <c r="F42" s="606">
        <v>18190</v>
      </c>
      <c r="G42" s="617">
        <f t="shared" si="3"/>
        <v>345821.00400000002</v>
      </c>
      <c r="H42" s="662"/>
      <c r="I42" s="556">
        <f t="shared" si="4"/>
        <v>5.7373348538993798E-4</v>
      </c>
      <c r="J42" s="667">
        <f t="shared" si="2"/>
        <v>0.99752163675891503</v>
      </c>
      <c r="K42" s="656"/>
      <c r="L42" s="642"/>
      <c r="M42" s="646"/>
    </row>
    <row r="43" spans="2:13" ht="51.75" x14ac:dyDescent="0.25">
      <c r="B43" s="674">
        <f t="shared" si="1"/>
        <v>4.9999999999999991</v>
      </c>
      <c r="C43" s="678" t="s">
        <v>217</v>
      </c>
      <c r="D43" s="604" t="s">
        <v>15</v>
      </c>
      <c r="E43" s="605">
        <v>60</v>
      </c>
      <c r="F43" s="606">
        <v>3740</v>
      </c>
      <c r="G43" s="617">
        <f t="shared" si="3"/>
        <v>237011.28</v>
      </c>
      <c r="H43" s="662"/>
      <c r="I43" s="556">
        <f t="shared" si="4"/>
        <v>3.9321298064107896E-4</v>
      </c>
      <c r="J43" s="667">
        <f t="shared" si="2"/>
        <v>0.99791484973955613</v>
      </c>
      <c r="K43" s="656"/>
      <c r="L43" s="642"/>
      <c r="M43" s="646"/>
    </row>
    <row r="44" spans="2:13" ht="51" x14ac:dyDescent="0.25">
      <c r="B44" s="674">
        <f t="shared" si="1"/>
        <v>5.0999999999999988</v>
      </c>
      <c r="C44" s="679" t="s">
        <v>220</v>
      </c>
      <c r="D44" s="607" t="s">
        <v>7</v>
      </c>
      <c r="E44" s="605">
        <v>8</v>
      </c>
      <c r="F44" s="608">
        <v>27380</v>
      </c>
      <c r="G44" s="617">
        <f t="shared" si="3"/>
        <v>231350.04800000001</v>
      </c>
      <c r="H44" s="662"/>
      <c r="I44" s="556">
        <f t="shared" si="4"/>
        <v>3.8382072762754876E-4</v>
      </c>
      <c r="J44" s="667">
        <f t="shared" si="2"/>
        <v>0.99829867046718368</v>
      </c>
      <c r="K44" s="656"/>
      <c r="L44" s="642"/>
      <c r="M44" s="646"/>
    </row>
    <row r="45" spans="2:13" ht="39" x14ac:dyDescent="0.25">
      <c r="B45" s="674">
        <f t="shared" si="1"/>
        <v>5.1999999999999984</v>
      </c>
      <c r="C45" s="609" t="s">
        <v>244</v>
      </c>
      <c r="D45" s="604" t="s">
        <v>7</v>
      </c>
      <c r="E45" s="605">
        <v>3</v>
      </c>
      <c r="F45" s="606">
        <v>71120</v>
      </c>
      <c r="G45" s="617">
        <f t="shared" si="3"/>
        <v>225350.83199999999</v>
      </c>
      <c r="H45" s="662"/>
      <c r="I45" s="556">
        <f t="shared" si="4"/>
        <v>3.7386774309082266E-4</v>
      </c>
      <c r="J45" s="667">
        <f t="shared" si="2"/>
        <v>0.99867253821027446</v>
      </c>
      <c r="K45" s="656"/>
      <c r="L45" s="642"/>
      <c r="M45" s="646"/>
    </row>
    <row r="46" spans="2:13" ht="26.25" x14ac:dyDescent="0.25">
      <c r="B46" s="674">
        <f t="shared" si="1"/>
        <v>5.299999999999998</v>
      </c>
      <c r="C46" s="609" t="s">
        <v>238</v>
      </c>
      <c r="D46" s="604" t="s">
        <v>1</v>
      </c>
      <c r="E46" s="605">
        <v>10</v>
      </c>
      <c r="F46" s="606">
        <v>20000</v>
      </c>
      <c r="G46" s="617">
        <f t="shared" si="3"/>
        <v>211240</v>
      </c>
      <c r="H46" s="662"/>
      <c r="I46" s="556">
        <f t="shared" si="4"/>
        <v>3.5045720199739655E-4</v>
      </c>
      <c r="J46" s="667">
        <f t="shared" si="2"/>
        <v>0.99902299541227191</v>
      </c>
      <c r="K46" s="656"/>
      <c r="L46" s="642"/>
      <c r="M46" s="646"/>
    </row>
    <row r="47" spans="2:13" ht="38.25" x14ac:dyDescent="0.25">
      <c r="B47" s="674">
        <f t="shared" si="1"/>
        <v>5.3999999999999977</v>
      </c>
      <c r="C47" s="677" t="s">
        <v>256</v>
      </c>
      <c r="D47" s="607" t="s">
        <v>3</v>
      </c>
      <c r="E47" s="605">
        <v>33</v>
      </c>
      <c r="F47" s="608">
        <v>5560</v>
      </c>
      <c r="G47" s="617">
        <f t="shared" si="3"/>
        <v>193791.576</v>
      </c>
      <c r="H47" s="662"/>
      <c r="I47" s="556">
        <f t="shared" si="4"/>
        <v>3.2150943711241163E-4</v>
      </c>
      <c r="J47" s="667">
        <f t="shared" si="2"/>
        <v>0.99934450484938431</v>
      </c>
      <c r="K47" s="656"/>
      <c r="L47" s="642"/>
      <c r="M47" s="646"/>
    </row>
    <row r="48" spans="2:13" ht="39" x14ac:dyDescent="0.25">
      <c r="B48" s="674">
        <f t="shared" si="1"/>
        <v>5.4999999999999973</v>
      </c>
      <c r="C48" s="609" t="s">
        <v>236</v>
      </c>
      <c r="D48" s="604" t="s">
        <v>1</v>
      </c>
      <c r="E48" s="605">
        <v>12</v>
      </c>
      <c r="F48" s="606">
        <v>10680</v>
      </c>
      <c r="G48" s="617">
        <f t="shared" si="3"/>
        <v>135362.592</v>
      </c>
      <c r="H48" s="662"/>
      <c r="I48" s="556">
        <f t="shared" si="4"/>
        <v>2.2457297503993172E-4</v>
      </c>
      <c r="J48" s="667">
        <f t="shared" si="2"/>
        <v>0.99956907782442428</v>
      </c>
      <c r="K48" s="656"/>
      <c r="L48" s="642"/>
      <c r="M48" s="646"/>
    </row>
    <row r="49" spans="2:13" ht="38.25" x14ac:dyDescent="0.25">
      <c r="B49" s="674">
        <f t="shared" si="1"/>
        <v>5.599999999999997</v>
      </c>
      <c r="C49" s="679" t="s">
        <v>219</v>
      </c>
      <c r="D49" s="607" t="s">
        <v>7</v>
      </c>
      <c r="E49" s="605">
        <v>8</v>
      </c>
      <c r="F49" s="608">
        <v>13690</v>
      </c>
      <c r="G49" s="617">
        <f t="shared" si="3"/>
        <v>115675.024</v>
      </c>
      <c r="H49" s="662"/>
      <c r="I49" s="556">
        <f t="shared" si="4"/>
        <v>1.9191036381377438E-4</v>
      </c>
      <c r="J49" s="667">
        <f t="shared" si="2"/>
        <v>0.99976098818823811</v>
      </c>
      <c r="K49" s="656"/>
      <c r="L49" s="642"/>
      <c r="M49" s="646"/>
    </row>
    <row r="50" spans="2:13" ht="39" x14ac:dyDescent="0.25">
      <c r="B50" s="674">
        <f t="shared" si="1"/>
        <v>5.6999999999999966</v>
      </c>
      <c r="C50" s="609" t="s">
        <v>237</v>
      </c>
      <c r="D50" s="604" t="s">
        <v>1</v>
      </c>
      <c r="E50" s="605">
        <v>6</v>
      </c>
      <c r="F50" s="606">
        <v>11900</v>
      </c>
      <c r="G50" s="617">
        <f t="shared" si="3"/>
        <v>75412.680000000008</v>
      </c>
      <c r="H50" s="662"/>
      <c r="I50" s="556">
        <f t="shared" si="4"/>
        <v>1.2511322111307058E-4</v>
      </c>
      <c r="J50" s="667">
        <f t="shared" si="2"/>
        <v>0.99988610140935119</v>
      </c>
      <c r="K50" s="656"/>
      <c r="L50" s="642"/>
      <c r="M50" s="646"/>
    </row>
    <row r="51" spans="2:13" ht="39.75" thickBot="1" x14ac:dyDescent="0.3">
      <c r="B51" s="674">
        <f t="shared" si="1"/>
        <v>5.7999999999999963</v>
      </c>
      <c r="C51" s="680" t="s">
        <v>239</v>
      </c>
      <c r="D51" s="669" t="s">
        <v>1</v>
      </c>
      <c r="E51" s="616">
        <v>10</v>
      </c>
      <c r="F51" s="670">
        <v>6500</v>
      </c>
      <c r="G51" s="618">
        <f t="shared" si="3"/>
        <v>68653</v>
      </c>
      <c r="H51" s="671"/>
      <c r="I51" s="564">
        <f t="shared" si="4"/>
        <v>1.1389859064915388E-4</v>
      </c>
      <c r="J51" s="672">
        <f t="shared" si="2"/>
        <v>1.0000000000000004</v>
      </c>
      <c r="K51" s="657"/>
      <c r="L51" s="643"/>
      <c r="M51" s="646"/>
    </row>
    <row r="52" spans="2:13" x14ac:dyDescent="0.25">
      <c r="B52" s="658"/>
      <c r="C52" s="659" t="s">
        <v>205</v>
      </c>
      <c r="D52" s="660"/>
      <c r="E52" s="660"/>
      <c r="F52" s="660"/>
      <c r="G52" s="623">
        <f>SUM(G3:G51)</f>
        <v>602755482.82659984</v>
      </c>
      <c r="H52" s="623"/>
      <c r="I52" s="661">
        <f>SUM(I3:I51)</f>
        <v>1.0000000000000004</v>
      </c>
      <c r="J52" s="557"/>
    </row>
    <row r="53" spans="2:13" x14ac:dyDescent="0.25">
      <c r="F53" s="250"/>
      <c r="G53" s="614"/>
      <c r="H53" s="614"/>
      <c r="I53" s="615"/>
    </row>
  </sheetData>
  <sortState xmlns:xlrd2="http://schemas.microsoft.com/office/spreadsheetml/2017/richdata2" ref="B3:K51">
    <sortCondition descending="1" ref="I3"/>
  </sortState>
  <mergeCells count="5">
    <mergeCell ref="N3:N10"/>
    <mergeCell ref="H3:H51"/>
    <mergeCell ref="K3:K10"/>
    <mergeCell ref="K11:K51"/>
    <mergeCell ref="L5:L51"/>
  </mergeCells>
  <conditionalFormatting sqref="J3:J52">
    <cfRule type="cellIs" dxfId="1" priority="1" operator="between">
      <formula>0</formula>
      <formula>0.8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3"/>
  <sheetViews>
    <sheetView topLeftCell="A22" workbookViewId="0">
      <selection activeCell="L54" sqref="L54"/>
    </sheetView>
  </sheetViews>
  <sheetFormatPr baseColWidth="10" defaultColWidth="11.42578125" defaultRowHeight="15" x14ac:dyDescent="0.25"/>
  <cols>
    <col min="1" max="1" width="7" style="174" bestFit="1" customWidth="1"/>
    <col min="2" max="2" width="53.28515625" style="174" bestFit="1" customWidth="1"/>
    <col min="3" max="3" width="8.28515625" style="174" bestFit="1" customWidth="1"/>
    <col min="4" max="4" width="10.28515625" style="174" bestFit="1" customWidth="1"/>
    <col min="5" max="5" width="12.42578125" style="174" bestFit="1" customWidth="1"/>
    <col min="6" max="6" width="16.7109375" style="174" bestFit="1" customWidth="1"/>
    <col min="7" max="7" width="17" style="174" bestFit="1" customWidth="1"/>
    <col min="8" max="8" width="15" style="174" hidden="1" customWidth="1"/>
    <col min="9" max="9" width="27.5703125" style="174" hidden="1" customWidth="1"/>
    <col min="10" max="10" width="6.28515625" style="174" customWidth="1"/>
    <col min="11" max="11" width="12.42578125" style="174" customWidth="1"/>
    <col min="12" max="12" width="18.85546875" style="174" customWidth="1"/>
    <col min="13" max="16384" width="11.42578125" style="174"/>
  </cols>
  <sheetData>
    <row r="1" spans="1:14" ht="60.75" thickBot="1" x14ac:dyDescent="0.3">
      <c r="A1" s="558" t="s">
        <v>0</v>
      </c>
      <c r="B1" s="559" t="s">
        <v>201</v>
      </c>
      <c r="C1" s="559" t="s">
        <v>1</v>
      </c>
      <c r="D1" s="559" t="s">
        <v>202</v>
      </c>
      <c r="E1" s="559" t="s">
        <v>203</v>
      </c>
      <c r="F1" s="549" t="s">
        <v>204</v>
      </c>
      <c r="G1" s="560" t="s">
        <v>206</v>
      </c>
      <c r="H1" s="549" t="s">
        <v>58</v>
      </c>
      <c r="I1" s="549" t="s">
        <v>207</v>
      </c>
      <c r="J1" s="583"/>
      <c r="L1" s="565" t="s">
        <v>210</v>
      </c>
      <c r="M1" s="566" t="s">
        <v>209</v>
      </c>
    </row>
    <row r="2" spans="1:14" ht="15.75" thickBot="1" x14ac:dyDescent="0.3">
      <c r="A2" s="587"/>
      <c r="B2" s="568" t="s">
        <v>235</v>
      </c>
      <c r="C2" s="569" t="s">
        <v>1</v>
      </c>
      <c r="D2" s="578">
        <v>18</v>
      </c>
      <c r="E2" s="570">
        <v>18190</v>
      </c>
      <c r="F2" s="602">
        <f>(D2*E2)*+(1+5.62%)</f>
        <v>345821.00400000002</v>
      </c>
      <c r="G2" s="561" t="e">
        <f t="shared" ref="G2:G48" si="0">(F2/$F$141)*100%</f>
        <v>#DIV/0!</v>
      </c>
      <c r="H2" s="561" t="e">
        <f>H1+G2</f>
        <v>#VALUE!</v>
      </c>
      <c r="I2" s="562" t="e">
        <f>(G2+H2)/36</f>
        <v>#DIV/0!</v>
      </c>
      <c r="J2" s="584"/>
      <c r="K2" s="621" t="s">
        <v>208</v>
      </c>
      <c r="L2" s="619" t="e">
        <f>SUM(G2:G12)</f>
        <v>#DIV/0!</v>
      </c>
      <c r="M2" s="174" t="e">
        <f>(G2*20)/L2</f>
        <v>#DIV/0!</v>
      </c>
    </row>
    <row r="3" spans="1:14" ht="15.75" thickBot="1" x14ac:dyDescent="0.3">
      <c r="A3" s="515"/>
      <c r="B3" s="572" t="s">
        <v>223</v>
      </c>
      <c r="C3" s="573" t="s">
        <v>15</v>
      </c>
      <c r="D3" s="578">
        <v>810</v>
      </c>
      <c r="E3" s="574">
        <v>12170</v>
      </c>
      <c r="F3" s="602">
        <f t="shared" ref="F3:F47" si="1">(D3*E3)*+(1+5.62%)</f>
        <v>10411702.74</v>
      </c>
      <c r="G3" s="556" t="e">
        <f t="shared" si="0"/>
        <v>#DIV/0!</v>
      </c>
      <c r="H3" s="556" t="e">
        <f>#REF!+G3</f>
        <v>#REF!</v>
      </c>
      <c r="I3" s="563" t="e">
        <f>(G3+H3)/36</f>
        <v>#DIV/0!</v>
      </c>
      <c r="J3" s="585"/>
      <c r="K3" s="622"/>
      <c r="L3" s="620"/>
      <c r="M3" s="174" t="e">
        <f>(G3*20)/L2</f>
        <v>#DIV/0!</v>
      </c>
      <c r="N3" s="174" t="e">
        <f>M3+M4</f>
        <v>#DIV/0!</v>
      </c>
    </row>
    <row r="4" spans="1:14" ht="15.75" thickBot="1" x14ac:dyDescent="0.3">
      <c r="A4" s="471"/>
      <c r="B4" s="582" t="s">
        <v>257</v>
      </c>
      <c r="C4" s="573" t="s">
        <v>1</v>
      </c>
      <c r="D4" s="578">
        <v>32</v>
      </c>
      <c r="E4" s="574">
        <v>41450</v>
      </c>
      <c r="F4" s="602">
        <f t="shared" si="1"/>
        <v>1400943.68</v>
      </c>
      <c r="G4" s="556" t="e">
        <f t="shared" si="0"/>
        <v>#DIV/0!</v>
      </c>
      <c r="H4" s="556" t="e">
        <f>H3+G4</f>
        <v>#REF!</v>
      </c>
      <c r="I4" s="601"/>
      <c r="J4" s="585"/>
      <c r="K4" s="622"/>
      <c r="L4" s="620"/>
      <c r="M4" s="174" t="e">
        <f>(G4*20)/L2</f>
        <v>#DIV/0!</v>
      </c>
    </row>
    <row r="5" spans="1:14" ht="27" thickBot="1" x14ac:dyDescent="0.3">
      <c r="A5" s="471"/>
      <c r="B5" s="575" t="s">
        <v>251</v>
      </c>
      <c r="C5" s="573" t="s">
        <v>247</v>
      </c>
      <c r="D5" s="578">
        <v>2</v>
      </c>
      <c r="E5" s="574">
        <v>11459441</v>
      </c>
      <c r="F5" s="602">
        <f t="shared" si="1"/>
        <v>24206923.168400001</v>
      </c>
      <c r="G5" s="556" t="e">
        <f t="shared" si="0"/>
        <v>#DIV/0!</v>
      </c>
      <c r="H5" s="556" t="e">
        <f>H4+G5</f>
        <v>#REF!</v>
      </c>
      <c r="I5" s="601"/>
      <c r="J5" s="585"/>
      <c r="K5" s="622"/>
      <c r="L5" s="620"/>
      <c r="M5" s="174" t="e">
        <f>(G5*20)/L2</f>
        <v>#DIV/0!</v>
      </c>
    </row>
    <row r="6" spans="1:14" ht="15.75" thickBot="1" x14ac:dyDescent="0.3">
      <c r="A6" s="550"/>
      <c r="B6" s="568" t="s">
        <v>234</v>
      </c>
      <c r="C6" s="569" t="s">
        <v>3</v>
      </c>
      <c r="D6" s="578">
        <v>30</v>
      </c>
      <c r="E6" s="570">
        <v>19580</v>
      </c>
      <c r="F6" s="602">
        <f t="shared" si="1"/>
        <v>620411.88</v>
      </c>
      <c r="G6" s="556" t="e">
        <f t="shared" si="0"/>
        <v>#DIV/0!</v>
      </c>
      <c r="H6" s="556" t="e">
        <f>#REF!+G6</f>
        <v>#REF!</v>
      </c>
      <c r="I6" s="563" t="e">
        <f>(G6+H6)/36</f>
        <v>#DIV/0!</v>
      </c>
      <c r="J6" s="585"/>
      <c r="K6" s="622"/>
      <c r="L6" s="620"/>
      <c r="M6" s="174" t="e">
        <f>(G6*20)/L2</f>
        <v>#DIV/0!</v>
      </c>
    </row>
    <row r="7" spans="1:14" ht="27" thickBot="1" x14ac:dyDescent="0.3">
      <c r="A7" s="509"/>
      <c r="B7" s="576" t="s">
        <v>230</v>
      </c>
      <c r="C7" s="573" t="s">
        <v>1</v>
      </c>
      <c r="D7" s="578">
        <v>35</v>
      </c>
      <c r="E7" s="574">
        <v>42210</v>
      </c>
      <c r="F7" s="602">
        <f t="shared" si="1"/>
        <v>1560377.07</v>
      </c>
      <c r="G7" s="556" t="e">
        <f t="shared" si="0"/>
        <v>#DIV/0!</v>
      </c>
      <c r="H7" s="556" t="e">
        <f>H6+G7</f>
        <v>#REF!</v>
      </c>
      <c r="I7" s="563" t="e">
        <f>(G7+H7)/36</f>
        <v>#DIV/0!</v>
      </c>
      <c r="J7" s="585"/>
      <c r="K7" s="622"/>
      <c r="L7" s="620"/>
      <c r="M7" s="174" t="e">
        <f>(G7*20)/L2</f>
        <v>#DIV/0!</v>
      </c>
      <c r="N7" s="174" t="e">
        <f>M7+M10</f>
        <v>#DIV/0!</v>
      </c>
    </row>
    <row r="8" spans="1:14" ht="15.75" thickBot="1" x14ac:dyDescent="0.3">
      <c r="A8" s="471"/>
      <c r="B8" s="568" t="s">
        <v>245</v>
      </c>
      <c r="C8" s="569" t="s">
        <v>1</v>
      </c>
      <c r="D8" s="578">
        <v>7</v>
      </c>
      <c r="E8" s="570">
        <v>433570</v>
      </c>
      <c r="F8" s="602">
        <f t="shared" si="1"/>
        <v>3205556.4380000001</v>
      </c>
      <c r="G8" s="556" t="e">
        <f t="shared" si="0"/>
        <v>#DIV/0!</v>
      </c>
      <c r="H8" s="556" t="e">
        <f>H7+G8</f>
        <v>#REF!</v>
      </c>
      <c r="I8" s="563" t="e">
        <f>(G8+H8)/36</f>
        <v>#DIV/0!</v>
      </c>
      <c r="J8" s="585"/>
      <c r="K8" s="622"/>
      <c r="L8" s="620"/>
      <c r="M8" s="567" t="e">
        <f>(G8*20)/L2</f>
        <v>#DIV/0!</v>
      </c>
    </row>
    <row r="9" spans="1:14" ht="15.75" thickBot="1" x14ac:dyDescent="0.3">
      <c r="A9" s="484"/>
      <c r="B9" s="582" t="s">
        <v>258</v>
      </c>
      <c r="C9" s="573" t="s">
        <v>1</v>
      </c>
      <c r="D9" s="578">
        <v>1</v>
      </c>
      <c r="E9" s="574">
        <v>1833720</v>
      </c>
      <c r="F9" s="602">
        <f t="shared" si="1"/>
        <v>1936775.064</v>
      </c>
      <c r="G9" s="556" t="e">
        <f t="shared" si="0"/>
        <v>#DIV/0!</v>
      </c>
      <c r="H9" s="556" t="e">
        <f>#REF!+G9</f>
        <v>#REF!</v>
      </c>
      <c r="I9" s="601"/>
      <c r="J9" s="585"/>
      <c r="K9" s="622"/>
      <c r="L9" s="620"/>
      <c r="M9" s="174" t="e">
        <f>(G9*20)/L2</f>
        <v>#DIV/0!</v>
      </c>
    </row>
    <row r="10" spans="1:14" ht="15.75" thickBot="1" x14ac:dyDescent="0.3">
      <c r="A10" s="471"/>
      <c r="B10" s="568" t="s">
        <v>213</v>
      </c>
      <c r="C10" s="569" t="s">
        <v>1</v>
      </c>
      <c r="D10" s="578">
        <v>2</v>
      </c>
      <c r="E10" s="570">
        <v>2344980</v>
      </c>
      <c r="F10" s="602">
        <f t="shared" si="1"/>
        <v>4953535.7520000003</v>
      </c>
      <c r="G10" s="556" t="e">
        <f t="shared" si="0"/>
        <v>#DIV/0!</v>
      </c>
      <c r="H10" s="556" t="e">
        <f>H9+G10</f>
        <v>#REF!</v>
      </c>
      <c r="I10" s="563" t="e">
        <f>(G10+H10)/36</f>
        <v>#DIV/0!</v>
      </c>
      <c r="J10" s="585"/>
      <c r="K10" s="622"/>
      <c r="L10" s="620"/>
      <c r="M10" s="174" t="e">
        <f>(G10*20)/L2</f>
        <v>#DIV/0!</v>
      </c>
    </row>
    <row r="11" spans="1:14" ht="15.75" thickBot="1" x14ac:dyDescent="0.3">
      <c r="A11" s="515"/>
      <c r="B11" s="568" t="s">
        <v>243</v>
      </c>
      <c r="C11" s="569" t="s">
        <v>3</v>
      </c>
      <c r="D11" s="578">
        <v>64</v>
      </c>
      <c r="E11" s="570">
        <v>86960</v>
      </c>
      <c r="F11" s="602">
        <f t="shared" si="1"/>
        <v>5878217.7280000001</v>
      </c>
      <c r="G11" s="556" t="e">
        <f t="shared" si="0"/>
        <v>#DIV/0!</v>
      </c>
      <c r="H11" s="556" t="e">
        <f>#REF!+G11</f>
        <v>#REF!</v>
      </c>
      <c r="I11" s="563" t="e">
        <f>(G11+H11)/36</f>
        <v>#DIV/0!</v>
      </c>
      <c r="J11" s="585"/>
      <c r="K11" s="622"/>
      <c r="L11" s="620"/>
      <c r="M11" s="174" t="e">
        <f>(G11*20)/L2</f>
        <v>#DIV/0!</v>
      </c>
    </row>
    <row r="12" spans="1:14" ht="15.75" thickBot="1" x14ac:dyDescent="0.3">
      <c r="A12" s="515"/>
      <c r="B12" s="577" t="s">
        <v>246</v>
      </c>
      <c r="C12" s="573" t="s">
        <v>247</v>
      </c>
      <c r="D12" s="578">
        <v>2</v>
      </c>
      <c r="E12" s="574">
        <v>9584409</v>
      </c>
      <c r="F12" s="602">
        <f t="shared" si="1"/>
        <v>20246105.571600001</v>
      </c>
      <c r="G12" s="556" t="e">
        <f t="shared" si="0"/>
        <v>#DIV/0!</v>
      </c>
      <c r="H12" s="556" t="e">
        <f>H11+G12</f>
        <v>#REF!</v>
      </c>
      <c r="I12" s="601"/>
      <c r="J12" s="585"/>
      <c r="K12" s="622"/>
      <c r="L12" s="620"/>
      <c r="M12" s="174" t="e">
        <f>(G12*20)/L2</f>
        <v>#DIV/0!</v>
      </c>
    </row>
    <row r="13" spans="1:14" ht="15.75" thickBot="1" x14ac:dyDescent="0.3">
      <c r="A13" s="489"/>
      <c r="B13" s="580" t="s">
        <v>212</v>
      </c>
      <c r="C13" s="573" t="s">
        <v>3</v>
      </c>
      <c r="D13" s="578">
        <v>195</v>
      </c>
      <c r="E13" s="581">
        <v>20870</v>
      </c>
      <c r="F13" s="602">
        <f t="shared" si="1"/>
        <v>4298364.33</v>
      </c>
      <c r="G13" s="556" t="e">
        <f t="shared" si="0"/>
        <v>#DIV/0!</v>
      </c>
      <c r="H13" s="556" t="e">
        <f>#REF!+G13</f>
        <v>#REF!</v>
      </c>
      <c r="I13" s="593"/>
      <c r="J13" s="586"/>
    </row>
    <row r="14" spans="1:14" ht="15.75" thickBot="1" x14ac:dyDescent="0.3">
      <c r="A14" s="511"/>
      <c r="B14" s="568" t="s">
        <v>237</v>
      </c>
      <c r="C14" s="569" t="s">
        <v>1</v>
      </c>
      <c r="D14" s="578">
        <v>6</v>
      </c>
      <c r="E14" s="570">
        <v>11900</v>
      </c>
      <c r="F14" s="602">
        <f t="shared" si="1"/>
        <v>75412.680000000008</v>
      </c>
      <c r="G14" s="556" t="e">
        <f t="shared" si="0"/>
        <v>#DIV/0!</v>
      </c>
      <c r="H14" s="556" t="e">
        <f>H13+G14</f>
        <v>#REF!</v>
      </c>
      <c r="I14" s="44" t="e">
        <f>(G14+H14)/36</f>
        <v>#DIV/0!</v>
      </c>
      <c r="J14" s="586"/>
    </row>
    <row r="15" spans="1:14" ht="15.75" thickBot="1" x14ac:dyDescent="0.3">
      <c r="A15" s="489"/>
      <c r="B15" s="568" t="s">
        <v>236</v>
      </c>
      <c r="C15" s="569" t="s">
        <v>1</v>
      </c>
      <c r="D15" s="578">
        <v>12</v>
      </c>
      <c r="E15" s="570">
        <v>10680</v>
      </c>
      <c r="F15" s="602">
        <f t="shared" si="1"/>
        <v>135362.592</v>
      </c>
      <c r="G15" s="556" t="e">
        <f t="shared" si="0"/>
        <v>#DIV/0!</v>
      </c>
      <c r="H15" s="556" t="e">
        <f>H14+G15</f>
        <v>#REF!</v>
      </c>
      <c r="I15" s="44" t="e">
        <f>(G15+H15)/36</f>
        <v>#DIV/0!</v>
      </c>
      <c r="J15" s="586"/>
    </row>
    <row r="16" spans="1:14" ht="15.75" thickBot="1" x14ac:dyDescent="0.3">
      <c r="A16" s="515"/>
      <c r="B16" s="568" t="s">
        <v>244</v>
      </c>
      <c r="C16" s="569" t="s">
        <v>7</v>
      </c>
      <c r="D16" s="578">
        <v>3</v>
      </c>
      <c r="E16" s="570">
        <v>71120</v>
      </c>
      <c r="F16" s="602">
        <f t="shared" si="1"/>
        <v>225350.83199999999</v>
      </c>
      <c r="G16" s="556" t="e">
        <f t="shared" si="0"/>
        <v>#DIV/0!</v>
      </c>
      <c r="H16" s="556" t="e">
        <f>H15+G16</f>
        <v>#REF!</v>
      </c>
      <c r="I16" s="44" t="e">
        <f>(G16+H16)/36</f>
        <v>#DIV/0!</v>
      </c>
      <c r="J16" s="586"/>
    </row>
    <row r="17" spans="1:10" ht="15.75" thickBot="1" x14ac:dyDescent="0.3">
      <c r="A17" s="522"/>
      <c r="B17" s="571" t="s">
        <v>253</v>
      </c>
      <c r="C17" s="579" t="s">
        <v>15</v>
      </c>
      <c r="D17" s="578">
        <v>80</v>
      </c>
      <c r="E17" s="570">
        <v>59080</v>
      </c>
      <c r="F17" s="602">
        <f t="shared" si="1"/>
        <v>4992023.68</v>
      </c>
      <c r="G17" s="556" t="e">
        <f t="shared" si="0"/>
        <v>#DIV/0!</v>
      </c>
      <c r="H17" s="556" t="e">
        <f>#REF!+G17</f>
        <v>#REF!</v>
      </c>
      <c r="I17" s="593"/>
      <c r="J17" s="586"/>
    </row>
    <row r="18" spans="1:10" ht="15.75" thickBot="1" x14ac:dyDescent="0.3">
      <c r="A18" s="489"/>
      <c r="B18" s="568" t="s">
        <v>231</v>
      </c>
      <c r="C18" s="569" t="s">
        <v>232</v>
      </c>
      <c r="D18" s="578">
        <v>530</v>
      </c>
      <c r="E18" s="570">
        <v>27230</v>
      </c>
      <c r="F18" s="602">
        <f t="shared" si="1"/>
        <v>15242972.780000001</v>
      </c>
      <c r="G18" s="556" t="e">
        <f t="shared" si="0"/>
        <v>#DIV/0!</v>
      </c>
      <c r="H18" s="556" t="e">
        <f>#REF!+G18</f>
        <v>#REF!</v>
      </c>
      <c r="I18" s="44" t="e">
        <f t="shared" ref="I18:I23" si="2">(G18+H18)/36</f>
        <v>#DIV/0!</v>
      </c>
      <c r="J18" s="586"/>
    </row>
    <row r="19" spans="1:10" ht="15.75" thickBot="1" x14ac:dyDescent="0.3">
      <c r="A19" s="522"/>
      <c r="B19" s="571" t="s">
        <v>217</v>
      </c>
      <c r="C19" s="569" t="s">
        <v>15</v>
      </c>
      <c r="D19" s="578">
        <v>60</v>
      </c>
      <c r="E19" s="570">
        <v>3740</v>
      </c>
      <c r="F19" s="602">
        <f t="shared" si="1"/>
        <v>237011.28</v>
      </c>
      <c r="G19" s="556" t="e">
        <f t="shared" si="0"/>
        <v>#DIV/0!</v>
      </c>
      <c r="H19" s="556" t="e">
        <f>#REF!+G19</f>
        <v>#REF!</v>
      </c>
      <c r="I19" s="44" t="e">
        <f t="shared" si="2"/>
        <v>#DIV/0!</v>
      </c>
      <c r="J19" s="586"/>
    </row>
    <row r="20" spans="1:10" ht="15.75" thickBot="1" x14ac:dyDescent="0.3">
      <c r="A20" s="515"/>
      <c r="B20" s="568" t="s">
        <v>216</v>
      </c>
      <c r="C20" s="569" t="s">
        <v>15</v>
      </c>
      <c r="D20" s="578">
        <v>115</v>
      </c>
      <c r="E20" s="570">
        <v>4210</v>
      </c>
      <c r="F20" s="602">
        <f t="shared" si="1"/>
        <v>511359.23000000004</v>
      </c>
      <c r="G20" s="556" t="e">
        <f t="shared" si="0"/>
        <v>#DIV/0!</v>
      </c>
      <c r="H20" s="556" t="e">
        <f>#REF!+G20</f>
        <v>#REF!</v>
      </c>
      <c r="I20" s="44" t="e">
        <f t="shared" si="2"/>
        <v>#DIV/0!</v>
      </c>
      <c r="J20" s="586"/>
    </row>
    <row r="21" spans="1:10" ht="15.75" thickBot="1" x14ac:dyDescent="0.3">
      <c r="A21" s="515"/>
      <c r="B21" s="568" t="s">
        <v>233</v>
      </c>
      <c r="C21" s="569" t="s">
        <v>3</v>
      </c>
      <c r="D21" s="578">
        <v>1375</v>
      </c>
      <c r="E21" s="570">
        <v>16200</v>
      </c>
      <c r="F21" s="602">
        <f t="shared" si="1"/>
        <v>23526855</v>
      </c>
      <c r="G21" s="556" t="e">
        <f t="shared" si="0"/>
        <v>#DIV/0!</v>
      </c>
      <c r="H21" s="556" t="e">
        <f>H20+G21</f>
        <v>#REF!</v>
      </c>
      <c r="I21" s="44" t="e">
        <f t="shared" si="2"/>
        <v>#DIV/0!</v>
      </c>
      <c r="J21" s="586"/>
    </row>
    <row r="22" spans="1:10" ht="15.75" thickBot="1" x14ac:dyDescent="0.3">
      <c r="A22" s="494"/>
      <c r="B22" s="568" t="s">
        <v>139</v>
      </c>
      <c r="C22" s="569" t="s">
        <v>27</v>
      </c>
      <c r="D22" s="578">
        <v>25850</v>
      </c>
      <c r="E22" s="570">
        <v>7750</v>
      </c>
      <c r="F22" s="602">
        <f t="shared" si="1"/>
        <v>211596467.5</v>
      </c>
      <c r="G22" s="556" t="e">
        <f t="shared" si="0"/>
        <v>#DIV/0!</v>
      </c>
      <c r="H22" s="556" t="e">
        <f>H21+G22</f>
        <v>#REF!</v>
      </c>
      <c r="I22" s="44" t="e">
        <f t="shared" si="2"/>
        <v>#DIV/0!</v>
      </c>
      <c r="J22" s="586"/>
    </row>
    <row r="23" spans="1:10" ht="15.75" thickBot="1" x14ac:dyDescent="0.3">
      <c r="A23" s="515"/>
      <c r="B23" s="572" t="s">
        <v>219</v>
      </c>
      <c r="C23" s="573" t="s">
        <v>7</v>
      </c>
      <c r="D23" s="578">
        <v>178</v>
      </c>
      <c r="E23" s="574">
        <v>20620</v>
      </c>
      <c r="F23" s="602">
        <f t="shared" si="1"/>
        <v>3876634.2320000003</v>
      </c>
      <c r="G23" s="556" t="e">
        <f t="shared" si="0"/>
        <v>#DIV/0!</v>
      </c>
      <c r="H23" s="556" t="e">
        <f>#REF!+G23</f>
        <v>#REF!</v>
      </c>
      <c r="I23" s="44" t="e">
        <f t="shared" si="2"/>
        <v>#DIV/0!</v>
      </c>
      <c r="J23" s="586"/>
    </row>
    <row r="24" spans="1:10" ht="15.75" thickBot="1" x14ac:dyDescent="0.3">
      <c r="A24" s="471"/>
      <c r="B24" s="568" t="s">
        <v>249</v>
      </c>
      <c r="C24" s="573" t="s">
        <v>247</v>
      </c>
      <c r="D24" s="578">
        <v>2</v>
      </c>
      <c r="E24" s="574">
        <v>22078986</v>
      </c>
      <c r="F24" s="602">
        <f t="shared" si="1"/>
        <v>46639650.0264</v>
      </c>
      <c r="G24" s="556" t="e">
        <f t="shared" si="0"/>
        <v>#DIV/0!</v>
      </c>
      <c r="H24" s="556" t="e">
        <f>#REF!+G24</f>
        <v>#REF!</v>
      </c>
      <c r="I24" s="593"/>
      <c r="J24" s="586"/>
    </row>
    <row r="25" spans="1:10" ht="15.75" thickBot="1" x14ac:dyDescent="0.3">
      <c r="A25" s="502"/>
      <c r="B25" s="568" t="s">
        <v>242</v>
      </c>
      <c r="C25" s="569" t="s">
        <v>3</v>
      </c>
      <c r="D25" s="578">
        <v>76</v>
      </c>
      <c r="E25" s="570">
        <v>5560</v>
      </c>
      <c r="F25" s="602">
        <f t="shared" si="1"/>
        <v>446307.87200000003</v>
      </c>
      <c r="G25" s="556" t="e">
        <f t="shared" si="0"/>
        <v>#DIV/0!</v>
      </c>
      <c r="H25" s="556" t="e">
        <f>#REF!+G25</f>
        <v>#REF!</v>
      </c>
      <c r="I25" s="600" t="e">
        <f>(G25+H25)/36</f>
        <v>#DIV/0!</v>
      </c>
    </row>
    <row r="26" spans="1:10" ht="15.75" thickBot="1" x14ac:dyDescent="0.3">
      <c r="A26" s="538"/>
      <c r="B26" s="582" t="s">
        <v>256</v>
      </c>
      <c r="C26" s="573" t="s">
        <v>3</v>
      </c>
      <c r="D26" s="578">
        <v>33</v>
      </c>
      <c r="E26" s="574">
        <v>5560</v>
      </c>
      <c r="F26" s="602">
        <f t="shared" si="1"/>
        <v>193791.576</v>
      </c>
      <c r="G26" s="556" t="e">
        <f t="shared" si="0"/>
        <v>#DIV/0!</v>
      </c>
      <c r="H26" s="556" t="e">
        <f>#REF!+G26</f>
        <v>#REF!</v>
      </c>
    </row>
    <row r="27" spans="1:10" ht="64.5" thickBot="1" x14ac:dyDescent="0.3">
      <c r="A27" s="471"/>
      <c r="B27" s="577" t="s">
        <v>252</v>
      </c>
      <c r="C27" s="573" t="s">
        <v>247</v>
      </c>
      <c r="D27" s="578">
        <v>1</v>
      </c>
      <c r="E27" s="574">
        <v>1233833</v>
      </c>
      <c r="F27" s="602">
        <f t="shared" si="1"/>
        <v>1303174.4146</v>
      </c>
      <c r="G27" s="556" t="e">
        <f t="shared" si="0"/>
        <v>#DIV/0!</v>
      </c>
      <c r="H27" s="556" t="e">
        <f>H26+G27</f>
        <v>#REF!</v>
      </c>
    </row>
    <row r="28" spans="1:10" ht="15.75" thickBot="1" x14ac:dyDescent="0.3">
      <c r="A28" s="471"/>
      <c r="B28" s="568" t="s">
        <v>214</v>
      </c>
      <c r="C28" s="569" t="s">
        <v>215</v>
      </c>
      <c r="D28" s="578">
        <v>2</v>
      </c>
      <c r="E28" s="570">
        <v>3603400</v>
      </c>
      <c r="F28" s="602">
        <f t="shared" si="1"/>
        <v>7611822.1600000001</v>
      </c>
      <c r="G28" s="556" t="e">
        <f t="shared" si="0"/>
        <v>#DIV/0!</v>
      </c>
      <c r="H28" s="556" t="e">
        <f>H27+G28</f>
        <v>#REF!</v>
      </c>
      <c r="I28" s="600" t="e">
        <f t="shared" ref="I28:I33" si="3">(G28+H28)/36</f>
        <v>#DIV/0!</v>
      </c>
    </row>
    <row r="29" spans="1:10" ht="15.75" thickBot="1" x14ac:dyDescent="0.3">
      <c r="A29" s="515"/>
      <c r="B29" s="568" t="s">
        <v>225</v>
      </c>
      <c r="C29" s="569" t="s">
        <v>3</v>
      </c>
      <c r="D29" s="578">
        <v>718</v>
      </c>
      <c r="E29" s="570">
        <v>2190</v>
      </c>
      <c r="F29" s="602">
        <f t="shared" si="1"/>
        <v>1660790.004</v>
      </c>
      <c r="G29" s="556" t="e">
        <f t="shared" si="0"/>
        <v>#DIV/0!</v>
      </c>
      <c r="H29" s="556" t="e">
        <f>#REF!+G29</f>
        <v>#REF!</v>
      </c>
      <c r="I29" s="600" t="e">
        <f t="shared" si="3"/>
        <v>#DIV/0!</v>
      </c>
    </row>
    <row r="30" spans="1:10" ht="15.75" thickBot="1" x14ac:dyDescent="0.3">
      <c r="A30" s="515"/>
      <c r="B30" s="568" t="s">
        <v>211</v>
      </c>
      <c r="C30" s="569" t="s">
        <v>15</v>
      </c>
      <c r="D30" s="578">
        <v>884</v>
      </c>
      <c r="E30" s="570">
        <v>3424</v>
      </c>
      <c r="F30" s="602">
        <f t="shared" si="1"/>
        <v>3196923.0592</v>
      </c>
      <c r="G30" s="556" t="e">
        <f t="shared" si="0"/>
        <v>#DIV/0!</v>
      </c>
      <c r="H30" s="556">
        <v>7.2400000000000006E-2</v>
      </c>
      <c r="I30" s="600" t="e">
        <f t="shared" si="3"/>
        <v>#DIV/0!</v>
      </c>
    </row>
    <row r="31" spans="1:10" ht="15.75" thickBot="1" x14ac:dyDescent="0.3">
      <c r="A31" s="515"/>
      <c r="B31" s="572" t="s">
        <v>222</v>
      </c>
      <c r="C31" s="573" t="s">
        <v>15</v>
      </c>
      <c r="D31" s="578">
        <v>810</v>
      </c>
      <c r="E31" s="574">
        <v>84570</v>
      </c>
      <c r="F31" s="602">
        <f t="shared" si="1"/>
        <v>72351495.540000007</v>
      </c>
      <c r="G31" s="556" t="e">
        <f t="shared" si="0"/>
        <v>#DIV/0!</v>
      </c>
      <c r="H31" s="556" t="e">
        <f>H30+G31</f>
        <v>#DIV/0!</v>
      </c>
      <c r="I31" s="600" t="e">
        <f t="shared" si="3"/>
        <v>#DIV/0!</v>
      </c>
    </row>
    <row r="32" spans="1:10" ht="15.75" thickBot="1" x14ac:dyDescent="0.3">
      <c r="A32" s="515"/>
      <c r="B32" s="568" t="s">
        <v>227</v>
      </c>
      <c r="C32" s="569" t="s">
        <v>48</v>
      </c>
      <c r="D32" s="578">
        <v>2</v>
      </c>
      <c r="E32" s="570">
        <v>859138</v>
      </c>
      <c r="F32" s="602">
        <f t="shared" si="1"/>
        <v>1814843.1112000002</v>
      </c>
      <c r="G32" s="556" t="e">
        <f t="shared" si="0"/>
        <v>#DIV/0!</v>
      </c>
      <c r="H32" s="556" t="e">
        <f>H31+G32</f>
        <v>#DIV/0!</v>
      </c>
      <c r="I32" s="600" t="e">
        <f t="shared" si="3"/>
        <v>#DIV/0!</v>
      </c>
    </row>
    <row r="33" spans="1:9" ht="15.75" thickBot="1" x14ac:dyDescent="0.3">
      <c r="A33" s="471"/>
      <c r="B33" s="572" t="s">
        <v>221</v>
      </c>
      <c r="C33" s="573" t="s">
        <v>27</v>
      </c>
      <c r="D33" s="578">
        <v>2150</v>
      </c>
      <c r="E33" s="574">
        <v>6880</v>
      </c>
      <c r="F33" s="602">
        <f t="shared" si="1"/>
        <v>15623310.4</v>
      </c>
      <c r="G33" s="556" t="e">
        <f t="shared" si="0"/>
        <v>#DIV/0!</v>
      </c>
      <c r="H33" s="556" t="e">
        <f>#REF!+G33</f>
        <v>#REF!</v>
      </c>
      <c r="I33" s="600" t="e">
        <f t="shared" si="3"/>
        <v>#DIV/0!</v>
      </c>
    </row>
    <row r="34" spans="1:9" ht="15.75" thickBot="1" x14ac:dyDescent="0.3">
      <c r="A34" s="471"/>
      <c r="B34" s="582" t="s">
        <v>224</v>
      </c>
      <c r="C34" s="573" t="s">
        <v>48</v>
      </c>
      <c r="D34" s="578">
        <v>2</v>
      </c>
      <c r="E34" s="574">
        <v>5125340</v>
      </c>
      <c r="F34" s="602">
        <f t="shared" si="1"/>
        <v>10826768.216</v>
      </c>
      <c r="G34" s="556" t="e">
        <f t="shared" si="0"/>
        <v>#DIV/0!</v>
      </c>
      <c r="H34" s="556" t="e">
        <f>#REF!+G34</f>
        <v>#REF!</v>
      </c>
    </row>
    <row r="35" spans="1:9" ht="15.75" thickBot="1" x14ac:dyDescent="0.3">
      <c r="A35" s="502"/>
      <c r="B35" s="582" t="s">
        <v>254</v>
      </c>
      <c r="C35" s="573" t="s">
        <v>1</v>
      </c>
      <c r="D35" s="578">
        <v>24</v>
      </c>
      <c r="E35" s="574">
        <v>387998</v>
      </c>
      <c r="F35" s="602">
        <f t="shared" si="1"/>
        <v>9835283.7024000008</v>
      </c>
      <c r="G35" s="556" t="e">
        <f t="shared" si="0"/>
        <v>#DIV/0!</v>
      </c>
      <c r="H35" s="556" t="e">
        <f>H34+G35</f>
        <v>#REF!</v>
      </c>
    </row>
    <row r="36" spans="1:9" ht="15.75" thickBot="1" x14ac:dyDescent="0.3">
      <c r="A36" s="489"/>
      <c r="B36" s="568" t="s">
        <v>107</v>
      </c>
      <c r="C36" s="569" t="s">
        <v>108</v>
      </c>
      <c r="D36" s="578">
        <v>10</v>
      </c>
      <c r="E36" s="570">
        <v>61640</v>
      </c>
      <c r="F36" s="602">
        <f t="shared" si="1"/>
        <v>651041.68000000005</v>
      </c>
      <c r="G36" s="556" t="e">
        <f t="shared" si="0"/>
        <v>#DIV/0!</v>
      </c>
      <c r="H36" s="556" t="e">
        <f>#REF!+G36</f>
        <v>#REF!</v>
      </c>
      <c r="I36" s="600" t="e">
        <f>(G36+H36)/36</f>
        <v>#DIV/0!</v>
      </c>
    </row>
    <row r="37" spans="1:9" ht="15.75" thickBot="1" x14ac:dyDescent="0.3">
      <c r="A37" s="494"/>
      <c r="B37" s="572" t="s">
        <v>220</v>
      </c>
      <c r="C37" s="573" t="s">
        <v>7</v>
      </c>
      <c r="D37" s="578">
        <v>178</v>
      </c>
      <c r="E37" s="574">
        <v>26850</v>
      </c>
      <c r="F37" s="602">
        <f t="shared" si="1"/>
        <v>5047896.66</v>
      </c>
      <c r="G37" s="556" t="e">
        <f t="shared" si="0"/>
        <v>#DIV/0!</v>
      </c>
      <c r="H37" s="556" t="e">
        <f>H36+G37</f>
        <v>#REF!</v>
      </c>
      <c r="I37" s="600" t="e">
        <f>(G37+H37)/36</f>
        <v>#DIV/0!</v>
      </c>
    </row>
    <row r="38" spans="1:9" ht="15.75" thickBot="1" x14ac:dyDescent="0.3">
      <c r="A38" s="471"/>
      <c r="B38" s="568" t="s">
        <v>218</v>
      </c>
      <c r="C38" s="569" t="s">
        <v>7</v>
      </c>
      <c r="D38" s="578">
        <v>210</v>
      </c>
      <c r="E38" s="570">
        <v>16870</v>
      </c>
      <c r="F38" s="602">
        <f t="shared" si="1"/>
        <v>3741799.74</v>
      </c>
      <c r="G38" s="556" t="e">
        <f t="shared" si="0"/>
        <v>#DIV/0!</v>
      </c>
      <c r="H38" s="556" t="e">
        <f>#REF!+G38</f>
        <v>#REF!</v>
      </c>
      <c r="I38" s="600" t="e">
        <f>(G38+H38)/36</f>
        <v>#DIV/0!</v>
      </c>
    </row>
    <row r="39" spans="1:9" ht="15.75" thickBot="1" x14ac:dyDescent="0.3">
      <c r="A39" s="509"/>
      <c r="B39" s="568" t="s">
        <v>248</v>
      </c>
      <c r="C39" s="573" t="s">
        <v>247</v>
      </c>
      <c r="D39" s="578">
        <v>2</v>
      </c>
      <c r="E39" s="574">
        <v>4112955</v>
      </c>
      <c r="F39" s="602">
        <f t="shared" si="1"/>
        <v>8688206.1420000009</v>
      </c>
      <c r="G39" s="556" t="e">
        <f t="shared" si="0"/>
        <v>#DIV/0!</v>
      </c>
      <c r="H39" s="556" t="e">
        <f>#REF!+G39</f>
        <v>#REF!</v>
      </c>
    </row>
    <row r="40" spans="1:9" ht="15.75" thickBot="1" x14ac:dyDescent="0.3">
      <c r="A40" s="489"/>
      <c r="B40" s="575" t="s">
        <v>250</v>
      </c>
      <c r="C40" s="573" t="s">
        <v>247</v>
      </c>
      <c r="D40" s="578">
        <v>2</v>
      </c>
      <c r="E40" s="574">
        <v>1217402</v>
      </c>
      <c r="F40" s="602">
        <f t="shared" si="1"/>
        <v>2571639.9848000002</v>
      </c>
      <c r="G40" s="556" t="e">
        <f t="shared" si="0"/>
        <v>#DIV/0!</v>
      </c>
      <c r="H40" s="556" t="e">
        <f>#REF!+G40</f>
        <v>#REF!</v>
      </c>
    </row>
    <row r="41" spans="1:9" ht="15.75" thickBot="1" x14ac:dyDescent="0.3">
      <c r="A41" s="515"/>
      <c r="B41" s="568" t="s">
        <v>226</v>
      </c>
      <c r="C41" s="569" t="s">
        <v>48</v>
      </c>
      <c r="D41" s="578">
        <v>2</v>
      </c>
      <c r="E41" s="570">
        <v>1061100</v>
      </c>
      <c r="F41" s="602">
        <f t="shared" si="1"/>
        <v>2241467.64</v>
      </c>
      <c r="G41" s="556" t="e">
        <f t="shared" si="0"/>
        <v>#DIV/0!</v>
      </c>
      <c r="H41" s="556" t="e">
        <f>#REF!+G41</f>
        <v>#REF!</v>
      </c>
      <c r="I41" s="600" t="e">
        <f>(G41+H41)/36</f>
        <v>#DIV/0!</v>
      </c>
    </row>
    <row r="42" spans="1:9" ht="27" thickBot="1" x14ac:dyDescent="0.3">
      <c r="A42" s="522"/>
      <c r="B42" s="575" t="s">
        <v>229</v>
      </c>
      <c r="C42" s="573" t="s">
        <v>15</v>
      </c>
      <c r="D42" s="578">
        <v>1010</v>
      </c>
      <c r="E42" s="574">
        <v>55250</v>
      </c>
      <c r="F42" s="602">
        <f t="shared" si="1"/>
        <v>58938600.5</v>
      </c>
      <c r="G42" s="556" t="e">
        <f t="shared" si="0"/>
        <v>#DIV/0!</v>
      </c>
      <c r="H42" s="556" t="e">
        <f>#REF!+G42</f>
        <v>#REF!</v>
      </c>
      <c r="I42" s="600" t="e">
        <f>(G42+H42)/36</f>
        <v>#DIV/0!</v>
      </c>
    </row>
    <row r="43" spans="1:9" ht="15.75" thickBot="1" x14ac:dyDescent="0.3">
      <c r="A43" s="515"/>
      <c r="B43" s="568" t="s">
        <v>228</v>
      </c>
      <c r="C43" s="569" t="s">
        <v>1</v>
      </c>
      <c r="D43" s="578">
        <v>760</v>
      </c>
      <c r="E43" s="570">
        <v>3749</v>
      </c>
      <c r="F43" s="602">
        <f t="shared" si="1"/>
        <v>3009367.2880000002</v>
      </c>
      <c r="G43" s="556" t="e">
        <f t="shared" si="0"/>
        <v>#DIV/0!</v>
      </c>
      <c r="H43" s="556" t="e">
        <f>H42+G43</f>
        <v>#REF!</v>
      </c>
      <c r="I43" s="600" t="e">
        <f>(G43+H43)/36</f>
        <v>#DIV/0!</v>
      </c>
    </row>
    <row r="44" spans="1:9" ht="15.75" thickBot="1" x14ac:dyDescent="0.3">
      <c r="A44" s="522"/>
      <c r="B44" s="568" t="s">
        <v>240</v>
      </c>
      <c r="C44" s="569" t="s">
        <v>1</v>
      </c>
      <c r="D44" s="578">
        <v>8</v>
      </c>
      <c r="E44" s="570">
        <v>330840</v>
      </c>
      <c r="F44" s="602">
        <f t="shared" si="1"/>
        <v>2795465.6639999999</v>
      </c>
      <c r="G44" s="556" t="e">
        <f t="shared" si="0"/>
        <v>#DIV/0!</v>
      </c>
      <c r="H44" s="556" t="e">
        <f>#REF!+G44</f>
        <v>#REF!</v>
      </c>
      <c r="I44" s="600" t="e">
        <f>(G44+H44)/36</f>
        <v>#DIV/0!</v>
      </c>
    </row>
    <row r="45" spans="1:9" ht="15.75" thickBot="1" x14ac:dyDescent="0.3">
      <c r="A45" s="515"/>
      <c r="B45" s="568" t="s">
        <v>241</v>
      </c>
      <c r="C45" s="569" t="s">
        <v>3</v>
      </c>
      <c r="D45" s="578">
        <v>76</v>
      </c>
      <c r="E45" s="570">
        <v>29490</v>
      </c>
      <c r="F45" s="602">
        <f t="shared" si="1"/>
        <v>2367197.6880000001</v>
      </c>
      <c r="G45" s="556" t="e">
        <f t="shared" si="0"/>
        <v>#DIV/0!</v>
      </c>
      <c r="H45" s="556" t="e">
        <f>H44+G45</f>
        <v>#REF!</v>
      </c>
      <c r="I45" s="600" t="e">
        <f>(G45+H45)/36</f>
        <v>#DIV/0!</v>
      </c>
    </row>
    <row r="46" spans="1:9" ht="15.75" thickBot="1" x14ac:dyDescent="0.3">
      <c r="A46" s="489"/>
      <c r="B46" s="582" t="s">
        <v>255</v>
      </c>
      <c r="C46" s="573" t="s">
        <v>3</v>
      </c>
      <c r="D46" s="578">
        <v>33</v>
      </c>
      <c r="E46" s="574">
        <v>42710</v>
      </c>
      <c r="F46" s="602">
        <f t="shared" si="1"/>
        <v>1488639.966</v>
      </c>
      <c r="G46" s="556" t="e">
        <f t="shared" si="0"/>
        <v>#DIV/0!</v>
      </c>
      <c r="H46" s="556" t="e">
        <f>#REF!+G46</f>
        <v>#REF!</v>
      </c>
    </row>
    <row r="47" spans="1:9" ht="15.75" thickBot="1" x14ac:dyDescent="0.3">
      <c r="A47" s="522"/>
      <c r="B47" s="568" t="s">
        <v>239</v>
      </c>
      <c r="C47" s="569" t="s">
        <v>1</v>
      </c>
      <c r="D47" s="578">
        <v>10</v>
      </c>
      <c r="E47" s="570">
        <v>6500</v>
      </c>
      <c r="F47" s="602">
        <f t="shared" si="1"/>
        <v>68653</v>
      </c>
      <c r="G47" s="556" t="e">
        <f t="shared" si="0"/>
        <v>#DIV/0!</v>
      </c>
      <c r="H47" s="556" t="e">
        <f>H46+G47</f>
        <v>#REF!</v>
      </c>
      <c r="I47" s="600" t="e">
        <f>(G47+H47)/36</f>
        <v>#DIV/0!</v>
      </c>
    </row>
    <row r="48" spans="1:9" x14ac:dyDescent="0.25">
      <c r="A48" s="489"/>
      <c r="B48" s="568" t="s">
        <v>238</v>
      </c>
      <c r="C48" s="569" t="s">
        <v>1</v>
      </c>
      <c r="D48" s="578">
        <v>10</v>
      </c>
      <c r="E48" s="570">
        <v>20000</v>
      </c>
      <c r="F48" s="602">
        <f>(D48*E48)*+(1+5.62%)</f>
        <v>211240</v>
      </c>
      <c r="G48" s="556" t="e">
        <f t="shared" si="0"/>
        <v>#DIV/0!</v>
      </c>
      <c r="H48" s="556" t="e">
        <f>H49+G48</f>
        <v>#DIV/0!</v>
      </c>
      <c r="I48" s="600" t="e">
        <f>(G48+H48)/36</f>
        <v>#DIV/0!</v>
      </c>
    </row>
    <row r="49" spans="1:8" x14ac:dyDescent="0.25">
      <c r="A49" s="589"/>
      <c r="B49" s="591" t="s">
        <v>205</v>
      </c>
      <c r="C49" s="593"/>
      <c r="D49" s="593"/>
      <c r="E49" s="593"/>
      <c r="F49" s="603">
        <f>SUM(F2:F48)</f>
        <v>602809560.26659989</v>
      </c>
      <c r="G49" s="598" t="e">
        <f>SUM(G1:G47)</f>
        <v>#DIV/0!</v>
      </c>
      <c r="H49" s="593"/>
    </row>
    <row r="50" spans="1:8" x14ac:dyDescent="0.25">
      <c r="A50" s="511"/>
      <c r="B50" s="485"/>
      <c r="C50" s="486"/>
      <c r="D50" s="512"/>
      <c r="E50" s="513"/>
      <c r="F50" s="547">
        <f t="shared" ref="F50:F81" si="4">(D50*E50)*+(1+5.62%)</f>
        <v>0</v>
      </c>
      <c r="G50" s="556" t="e">
        <f t="shared" ref="G50:G81" si="5">(F50/$F$141)*100%</f>
        <v>#DIV/0!</v>
      </c>
      <c r="H50" s="556" t="e">
        <f>#REF!+G50</f>
        <v>#REF!</v>
      </c>
    </row>
    <row r="51" spans="1:8" x14ac:dyDescent="0.25">
      <c r="A51" s="515"/>
      <c r="B51" s="499"/>
      <c r="C51" s="473"/>
      <c r="D51" s="474"/>
      <c r="E51" s="516"/>
      <c r="F51" s="547">
        <f t="shared" si="4"/>
        <v>0</v>
      </c>
      <c r="G51" s="556" t="e">
        <f t="shared" si="5"/>
        <v>#DIV/0!</v>
      </c>
      <c r="H51" s="556" t="e">
        <f t="shared" ref="H51:H82" si="6">H50+G51</f>
        <v>#REF!</v>
      </c>
    </row>
    <row r="52" spans="1:8" x14ac:dyDescent="0.25">
      <c r="A52" s="502"/>
      <c r="B52" s="485"/>
      <c r="C52" s="486"/>
      <c r="D52" s="503"/>
      <c r="E52" s="488"/>
      <c r="F52" s="547">
        <f t="shared" si="4"/>
        <v>0</v>
      </c>
      <c r="G52" s="556" t="e">
        <f t="shared" si="5"/>
        <v>#DIV/0!</v>
      </c>
      <c r="H52" s="556" t="e">
        <f t="shared" si="6"/>
        <v>#REF!</v>
      </c>
    </row>
    <row r="53" spans="1:8" x14ac:dyDescent="0.25">
      <c r="A53" s="489"/>
      <c r="B53" s="490"/>
      <c r="C53" s="491"/>
      <c r="D53" s="487"/>
      <c r="E53" s="492"/>
      <c r="F53" s="547">
        <f t="shared" si="4"/>
        <v>0</v>
      </c>
      <c r="G53" s="556" t="e">
        <f t="shared" si="5"/>
        <v>#DIV/0!</v>
      </c>
      <c r="H53" s="556" t="e">
        <f t="shared" si="6"/>
        <v>#REF!</v>
      </c>
    </row>
    <row r="54" spans="1:8" x14ac:dyDescent="0.25">
      <c r="A54" s="502"/>
      <c r="B54" s="485"/>
      <c r="C54" s="486"/>
      <c r="D54" s="504"/>
      <c r="E54" s="488"/>
      <c r="F54" s="547">
        <f t="shared" si="4"/>
        <v>0</v>
      </c>
      <c r="G54" s="556" t="e">
        <f t="shared" si="5"/>
        <v>#DIV/0!</v>
      </c>
      <c r="H54" s="556" t="e">
        <f t="shared" si="6"/>
        <v>#REF!</v>
      </c>
    </row>
    <row r="55" spans="1:8" x14ac:dyDescent="0.25">
      <c r="A55" s="471"/>
      <c r="B55" s="499"/>
      <c r="C55" s="493"/>
      <c r="D55" s="505"/>
      <c r="E55" s="477"/>
      <c r="F55" s="547">
        <f t="shared" si="4"/>
        <v>0</v>
      </c>
      <c r="G55" s="556" t="e">
        <f t="shared" si="5"/>
        <v>#DIV/0!</v>
      </c>
      <c r="H55" s="556" t="e">
        <f t="shared" si="6"/>
        <v>#REF!</v>
      </c>
    </row>
    <row r="56" spans="1:8" x14ac:dyDescent="0.25">
      <c r="A56" s="522"/>
      <c r="B56" s="495"/>
      <c r="C56" s="486"/>
      <c r="D56" s="474"/>
      <c r="E56" s="508"/>
      <c r="F56" s="547">
        <f t="shared" si="4"/>
        <v>0</v>
      </c>
      <c r="G56" s="556" t="e">
        <f t="shared" si="5"/>
        <v>#DIV/0!</v>
      </c>
      <c r="H56" s="556" t="e">
        <f t="shared" si="6"/>
        <v>#REF!</v>
      </c>
    </row>
    <row r="57" spans="1:8" x14ac:dyDescent="0.25">
      <c r="A57" s="515"/>
      <c r="B57" s="499"/>
      <c r="C57" s="500"/>
      <c r="D57" s="474"/>
      <c r="E57" s="516"/>
      <c r="F57" s="547">
        <f t="shared" si="4"/>
        <v>0</v>
      </c>
      <c r="G57" s="556" t="e">
        <f t="shared" si="5"/>
        <v>#DIV/0!</v>
      </c>
      <c r="H57" s="556" t="e">
        <f t="shared" si="6"/>
        <v>#REF!</v>
      </c>
    </row>
    <row r="58" spans="1:8" x14ac:dyDescent="0.25">
      <c r="A58" s="515"/>
      <c r="B58" s="499"/>
      <c r="C58" s="500"/>
      <c r="D58" s="474"/>
      <c r="E58" s="516"/>
      <c r="F58" s="547">
        <f t="shared" si="4"/>
        <v>0</v>
      </c>
      <c r="G58" s="556" t="e">
        <f t="shared" si="5"/>
        <v>#DIV/0!</v>
      </c>
      <c r="H58" s="556" t="e">
        <f t="shared" si="6"/>
        <v>#REF!</v>
      </c>
    </row>
    <row r="59" spans="1:8" x14ac:dyDescent="0.25">
      <c r="A59" s="502"/>
      <c r="B59" s="485"/>
      <c r="C59" s="486"/>
      <c r="D59" s="504"/>
      <c r="E59" s="488"/>
      <c r="F59" s="547">
        <f t="shared" si="4"/>
        <v>0</v>
      </c>
      <c r="G59" s="556" t="e">
        <f t="shared" si="5"/>
        <v>#DIV/0!</v>
      </c>
      <c r="H59" s="556" t="e">
        <f t="shared" si="6"/>
        <v>#REF!</v>
      </c>
    </row>
    <row r="60" spans="1:8" x14ac:dyDescent="0.25">
      <c r="A60" s="494"/>
      <c r="B60" s="495"/>
      <c r="C60" s="496"/>
      <c r="D60" s="497"/>
      <c r="E60" s="498"/>
      <c r="F60" s="547">
        <f t="shared" si="4"/>
        <v>0</v>
      </c>
      <c r="G60" s="556" t="e">
        <f t="shared" si="5"/>
        <v>#DIV/0!</v>
      </c>
      <c r="H60" s="556" t="e">
        <f t="shared" si="6"/>
        <v>#REF!</v>
      </c>
    </row>
    <row r="61" spans="1:8" x14ac:dyDescent="0.25">
      <c r="A61" s="522"/>
      <c r="B61" s="495"/>
      <c r="C61" s="486"/>
      <c r="D61" s="474"/>
      <c r="E61" s="508"/>
      <c r="F61" s="547">
        <f t="shared" si="4"/>
        <v>0</v>
      </c>
      <c r="G61" s="556" t="e">
        <f t="shared" si="5"/>
        <v>#DIV/0!</v>
      </c>
      <c r="H61" s="556" t="e">
        <f t="shared" si="6"/>
        <v>#REF!</v>
      </c>
    </row>
    <row r="62" spans="1:8" x14ac:dyDescent="0.25">
      <c r="A62" s="471"/>
      <c r="B62" s="499"/>
      <c r="C62" s="500"/>
      <c r="D62" s="500"/>
      <c r="E62" s="501"/>
      <c r="F62" s="547">
        <f t="shared" si="4"/>
        <v>0</v>
      </c>
      <c r="G62" s="556" t="e">
        <f t="shared" si="5"/>
        <v>#DIV/0!</v>
      </c>
      <c r="H62" s="556" t="e">
        <f t="shared" si="6"/>
        <v>#REF!</v>
      </c>
    </row>
    <row r="63" spans="1:8" x14ac:dyDescent="0.25">
      <c r="A63" s="471"/>
      <c r="B63" s="499"/>
      <c r="C63" s="473"/>
      <c r="D63" s="474"/>
      <c r="E63" s="475"/>
      <c r="F63" s="547">
        <f t="shared" si="4"/>
        <v>0</v>
      </c>
      <c r="G63" s="556" t="e">
        <f t="shared" si="5"/>
        <v>#DIV/0!</v>
      </c>
      <c r="H63" s="556" t="e">
        <f t="shared" si="6"/>
        <v>#REF!</v>
      </c>
    </row>
    <row r="64" spans="1:8" x14ac:dyDescent="0.25">
      <c r="A64" s="515"/>
      <c r="B64" s="499"/>
      <c r="C64" s="473"/>
      <c r="D64" s="474"/>
      <c r="E64" s="516"/>
      <c r="F64" s="547">
        <f t="shared" si="4"/>
        <v>0</v>
      </c>
      <c r="G64" s="556" t="e">
        <f t="shared" si="5"/>
        <v>#DIV/0!</v>
      </c>
      <c r="H64" s="556" t="e">
        <f t="shared" si="6"/>
        <v>#REF!</v>
      </c>
    </row>
    <row r="65" spans="1:8" x14ac:dyDescent="0.25">
      <c r="A65" s="478"/>
      <c r="B65" s="479"/>
      <c r="C65" s="506"/>
      <c r="D65" s="481"/>
      <c r="E65" s="507"/>
      <c r="F65" s="547">
        <f t="shared" si="4"/>
        <v>0</v>
      </c>
      <c r="G65" s="556" t="e">
        <f t="shared" si="5"/>
        <v>#DIV/0!</v>
      </c>
      <c r="H65" s="556" t="e">
        <f t="shared" si="6"/>
        <v>#REF!</v>
      </c>
    </row>
    <row r="66" spans="1:8" x14ac:dyDescent="0.25">
      <c r="A66" s="471"/>
      <c r="B66" s="472"/>
      <c r="C66" s="473"/>
      <c r="D66" s="474"/>
      <c r="E66" s="475"/>
      <c r="F66" s="547">
        <f t="shared" si="4"/>
        <v>0</v>
      </c>
      <c r="G66" s="556" t="e">
        <f t="shared" si="5"/>
        <v>#DIV/0!</v>
      </c>
      <c r="H66" s="556" t="e">
        <f t="shared" si="6"/>
        <v>#REF!</v>
      </c>
    </row>
    <row r="67" spans="1:8" x14ac:dyDescent="0.25">
      <c r="A67" s="489"/>
      <c r="B67" s="490"/>
      <c r="C67" s="491"/>
      <c r="D67" s="474"/>
      <c r="E67" s="492"/>
      <c r="F67" s="547">
        <f t="shared" si="4"/>
        <v>0</v>
      </c>
      <c r="G67" s="556" t="e">
        <f t="shared" si="5"/>
        <v>#DIV/0!</v>
      </c>
      <c r="H67" s="556" t="e">
        <f t="shared" si="6"/>
        <v>#REF!</v>
      </c>
    </row>
    <row r="68" spans="1:8" x14ac:dyDescent="0.25">
      <c r="A68" s="471"/>
      <c r="B68" s="472"/>
      <c r="C68" s="493"/>
      <c r="D68" s="474"/>
      <c r="E68" s="477"/>
      <c r="F68" s="547">
        <f t="shared" si="4"/>
        <v>0</v>
      </c>
      <c r="G68" s="556" t="e">
        <f t="shared" si="5"/>
        <v>#DIV/0!</v>
      </c>
      <c r="H68" s="556" t="e">
        <f t="shared" si="6"/>
        <v>#REF!</v>
      </c>
    </row>
    <row r="69" spans="1:8" x14ac:dyDescent="0.25">
      <c r="A69" s="471"/>
      <c r="B69" s="472"/>
      <c r="C69" s="473"/>
      <c r="D69" s="474"/>
      <c r="E69" s="477"/>
      <c r="F69" s="547">
        <f t="shared" si="4"/>
        <v>0</v>
      </c>
      <c r="G69" s="556" t="e">
        <f t="shared" si="5"/>
        <v>#DIV/0!</v>
      </c>
      <c r="H69" s="556" t="e">
        <f t="shared" si="6"/>
        <v>#REF!</v>
      </c>
    </row>
    <row r="70" spans="1:8" x14ac:dyDescent="0.25">
      <c r="A70" s="538"/>
      <c r="B70" s="485"/>
      <c r="C70" s="486"/>
      <c r="D70" s="504"/>
      <c r="E70" s="488"/>
      <c r="F70" s="547">
        <f t="shared" si="4"/>
        <v>0</v>
      </c>
      <c r="G70" s="556" t="e">
        <f t="shared" si="5"/>
        <v>#DIV/0!</v>
      </c>
      <c r="H70" s="556" t="e">
        <f t="shared" si="6"/>
        <v>#REF!</v>
      </c>
    </row>
    <row r="71" spans="1:8" x14ac:dyDescent="0.25">
      <c r="A71" s="494"/>
      <c r="B71" s="495"/>
      <c r="C71" s="496"/>
      <c r="D71" s="497"/>
      <c r="E71" s="498"/>
      <c r="F71" s="547">
        <f t="shared" si="4"/>
        <v>0</v>
      </c>
      <c r="G71" s="556" t="e">
        <f t="shared" si="5"/>
        <v>#DIV/0!</v>
      </c>
      <c r="H71" s="556" t="e">
        <f t="shared" si="6"/>
        <v>#REF!</v>
      </c>
    </row>
    <row r="72" spans="1:8" x14ac:dyDescent="0.25">
      <c r="A72" s="522"/>
      <c r="B72" s="495"/>
      <c r="C72" s="486"/>
      <c r="D72" s="474"/>
      <c r="E72" s="508"/>
      <c r="F72" s="547">
        <f t="shared" si="4"/>
        <v>0</v>
      </c>
      <c r="G72" s="556" t="e">
        <f t="shared" si="5"/>
        <v>#DIV/0!</v>
      </c>
      <c r="H72" s="556" t="e">
        <f t="shared" si="6"/>
        <v>#REF!</v>
      </c>
    </row>
    <row r="73" spans="1:8" x14ac:dyDescent="0.25">
      <c r="A73" s="489"/>
      <c r="B73" s="535"/>
      <c r="C73" s="491"/>
      <c r="D73" s="537"/>
      <c r="E73" s="492"/>
      <c r="F73" s="547">
        <f t="shared" si="4"/>
        <v>0</v>
      </c>
      <c r="G73" s="556" t="e">
        <f t="shared" si="5"/>
        <v>#DIV/0!</v>
      </c>
      <c r="H73" s="556" t="e">
        <f t="shared" si="6"/>
        <v>#REF!</v>
      </c>
    </row>
    <row r="74" spans="1:8" x14ac:dyDescent="0.25">
      <c r="A74" s="471"/>
      <c r="B74" s="472"/>
      <c r="C74" s="493"/>
      <c r="D74" s="474"/>
      <c r="E74" s="477"/>
      <c r="F74" s="547">
        <f t="shared" si="4"/>
        <v>0</v>
      </c>
      <c r="G74" s="556" t="e">
        <f t="shared" si="5"/>
        <v>#DIV/0!</v>
      </c>
      <c r="H74" s="556" t="e">
        <f t="shared" si="6"/>
        <v>#REF!</v>
      </c>
    </row>
    <row r="75" spans="1:8" x14ac:dyDescent="0.25">
      <c r="A75" s="471"/>
      <c r="B75" s="472"/>
      <c r="C75" s="473"/>
      <c r="D75" s="474"/>
      <c r="E75" s="477"/>
      <c r="F75" s="547">
        <f t="shared" si="4"/>
        <v>0</v>
      </c>
      <c r="G75" s="556" t="e">
        <f t="shared" si="5"/>
        <v>#DIV/0!</v>
      </c>
      <c r="H75" s="556" t="e">
        <f t="shared" si="6"/>
        <v>#REF!</v>
      </c>
    </row>
    <row r="76" spans="1:8" x14ac:dyDescent="0.25">
      <c r="A76" s="471"/>
      <c r="B76" s="472"/>
      <c r="C76" s="473"/>
      <c r="D76" s="474"/>
      <c r="E76" s="477"/>
      <c r="F76" s="547">
        <f t="shared" si="4"/>
        <v>0</v>
      </c>
      <c r="G76" s="556" t="e">
        <f t="shared" si="5"/>
        <v>#DIV/0!</v>
      </c>
      <c r="H76" s="556" t="e">
        <f t="shared" si="6"/>
        <v>#REF!</v>
      </c>
    </row>
    <row r="77" spans="1:8" x14ac:dyDescent="0.25">
      <c r="A77" s="471"/>
      <c r="B77" s="472"/>
      <c r="C77" s="473"/>
      <c r="D77" s="474"/>
      <c r="E77" s="475"/>
      <c r="F77" s="547">
        <f t="shared" si="4"/>
        <v>0</v>
      </c>
      <c r="G77" s="556" t="e">
        <f t="shared" si="5"/>
        <v>#DIV/0!</v>
      </c>
      <c r="H77" s="556" t="e">
        <f t="shared" si="6"/>
        <v>#REF!</v>
      </c>
    </row>
    <row r="78" spans="1:8" x14ac:dyDescent="0.25">
      <c r="A78" s="484"/>
      <c r="B78" s="485"/>
      <c r="C78" s="486"/>
      <c r="D78" s="503"/>
      <c r="E78" s="530"/>
      <c r="F78" s="547">
        <f t="shared" si="4"/>
        <v>0</v>
      </c>
      <c r="G78" s="556" t="e">
        <f t="shared" si="5"/>
        <v>#DIV/0!</v>
      </c>
      <c r="H78" s="556" t="e">
        <f t="shared" si="6"/>
        <v>#REF!</v>
      </c>
    </row>
    <row r="79" spans="1:8" x14ac:dyDescent="0.25">
      <c r="A79" s="494"/>
      <c r="B79" s="528"/>
      <c r="C79" s="496"/>
      <c r="D79" s="497"/>
      <c r="E79" s="498"/>
      <c r="F79" s="547">
        <f t="shared" si="4"/>
        <v>0</v>
      </c>
      <c r="G79" s="556" t="e">
        <f t="shared" si="5"/>
        <v>#DIV/0!</v>
      </c>
      <c r="H79" s="556" t="e">
        <f t="shared" si="6"/>
        <v>#REF!</v>
      </c>
    </row>
    <row r="80" spans="1:8" x14ac:dyDescent="0.25">
      <c r="A80" s="520"/>
      <c r="B80" s="521"/>
      <c r="C80" s="486"/>
      <c r="D80" s="504"/>
      <c r="E80" s="513"/>
      <c r="F80" s="547">
        <f t="shared" si="4"/>
        <v>0</v>
      </c>
      <c r="G80" s="556" t="e">
        <f t="shared" si="5"/>
        <v>#DIV/0!</v>
      </c>
      <c r="H80" s="556" t="e">
        <f t="shared" si="6"/>
        <v>#REF!</v>
      </c>
    </row>
    <row r="81" spans="1:8" x14ac:dyDescent="0.25">
      <c r="A81" s="502"/>
      <c r="B81" s="485"/>
      <c r="C81" s="486"/>
      <c r="D81" s="504"/>
      <c r="E81" s="488"/>
      <c r="F81" s="547">
        <f t="shared" si="4"/>
        <v>0</v>
      </c>
      <c r="G81" s="556" t="e">
        <f t="shared" si="5"/>
        <v>#DIV/0!</v>
      </c>
      <c r="H81" s="556" t="e">
        <f t="shared" si="6"/>
        <v>#REF!</v>
      </c>
    </row>
    <row r="82" spans="1:8" x14ac:dyDescent="0.25">
      <c r="A82" s="515"/>
      <c r="B82" s="499"/>
      <c r="C82" s="473"/>
      <c r="D82" s="474"/>
      <c r="E82" s="516"/>
      <c r="F82" s="547">
        <f t="shared" ref="F82:F113" si="7">(D82*E82)*+(1+5.62%)</f>
        <v>0</v>
      </c>
      <c r="G82" s="556" t="e">
        <f t="shared" ref="G82:G113" si="8">(F82/$F$141)*100%</f>
        <v>#DIV/0!</v>
      </c>
      <c r="H82" s="556" t="e">
        <f t="shared" si="6"/>
        <v>#REF!</v>
      </c>
    </row>
    <row r="83" spans="1:8" x14ac:dyDescent="0.25">
      <c r="A83" s="502"/>
      <c r="B83" s="541"/>
      <c r="C83" s="487"/>
      <c r="D83" s="503"/>
      <c r="E83" s="530"/>
      <c r="F83" s="547">
        <f t="shared" si="7"/>
        <v>0</v>
      </c>
      <c r="G83" s="556" t="e">
        <f t="shared" si="8"/>
        <v>#DIV/0!</v>
      </c>
      <c r="H83" s="556" t="e">
        <f t="shared" ref="H83:H114" si="9">H82+G83</f>
        <v>#REF!</v>
      </c>
    </row>
    <row r="84" spans="1:8" x14ac:dyDescent="0.25">
      <c r="A84" s="494"/>
      <c r="B84" s="495"/>
      <c r="C84" s="496"/>
      <c r="D84" s="497"/>
      <c r="E84" s="498"/>
      <c r="F84" s="547">
        <f t="shared" si="7"/>
        <v>0</v>
      </c>
      <c r="G84" s="556" t="e">
        <f t="shared" si="8"/>
        <v>#DIV/0!</v>
      </c>
      <c r="H84" s="556" t="e">
        <f t="shared" si="9"/>
        <v>#REF!</v>
      </c>
    </row>
    <row r="85" spans="1:8" x14ac:dyDescent="0.25">
      <c r="A85" s="511"/>
      <c r="B85" s="485"/>
      <c r="C85" s="517"/>
      <c r="D85" s="518"/>
      <c r="E85" s="519"/>
      <c r="F85" s="547">
        <f t="shared" si="7"/>
        <v>0</v>
      </c>
      <c r="G85" s="556" t="e">
        <f t="shared" si="8"/>
        <v>#DIV/0!</v>
      </c>
      <c r="H85" s="556" t="e">
        <f t="shared" si="9"/>
        <v>#REF!</v>
      </c>
    </row>
    <row r="86" spans="1:8" x14ac:dyDescent="0.25">
      <c r="A86" s="494"/>
      <c r="B86" s="495"/>
      <c r="C86" s="496"/>
      <c r="D86" s="497"/>
      <c r="E86" s="498"/>
      <c r="F86" s="547">
        <f t="shared" si="7"/>
        <v>0</v>
      </c>
      <c r="G86" s="556" t="e">
        <f t="shared" si="8"/>
        <v>#DIV/0!</v>
      </c>
      <c r="H86" s="556" t="e">
        <f t="shared" si="9"/>
        <v>#REF!</v>
      </c>
    </row>
    <row r="87" spans="1:8" x14ac:dyDescent="0.25">
      <c r="A87" s="471"/>
      <c r="B87" s="499"/>
      <c r="C87" s="473"/>
      <c r="D87" s="474"/>
      <c r="E87" s="477"/>
      <c r="F87" s="547">
        <f t="shared" si="7"/>
        <v>0</v>
      </c>
      <c r="G87" s="556" t="e">
        <f t="shared" si="8"/>
        <v>#DIV/0!</v>
      </c>
      <c r="H87" s="556" t="e">
        <f t="shared" si="9"/>
        <v>#REF!</v>
      </c>
    </row>
    <row r="88" spans="1:8" x14ac:dyDescent="0.25">
      <c r="A88" s="471"/>
      <c r="B88" s="499"/>
      <c r="C88" s="473"/>
      <c r="D88" s="474"/>
      <c r="E88" s="477"/>
      <c r="F88" s="547">
        <f t="shared" si="7"/>
        <v>0</v>
      </c>
      <c r="G88" s="556" t="e">
        <f t="shared" si="8"/>
        <v>#DIV/0!</v>
      </c>
      <c r="H88" s="556" t="e">
        <f t="shared" si="9"/>
        <v>#REF!</v>
      </c>
    </row>
    <row r="89" spans="1:8" x14ac:dyDescent="0.25">
      <c r="A89" s="522"/>
      <c r="B89" s="495"/>
      <c r="C89" s="486"/>
      <c r="D89" s="474"/>
      <c r="E89" s="508"/>
      <c r="F89" s="547">
        <f t="shared" si="7"/>
        <v>0</v>
      </c>
      <c r="G89" s="556" t="e">
        <f t="shared" si="8"/>
        <v>#DIV/0!</v>
      </c>
      <c r="H89" s="556" t="e">
        <f t="shared" si="9"/>
        <v>#REF!</v>
      </c>
    </row>
    <row r="90" spans="1:8" x14ac:dyDescent="0.25">
      <c r="A90" s="515"/>
      <c r="B90" s="499"/>
      <c r="C90" s="473"/>
      <c r="D90" s="474"/>
      <c r="E90" s="516"/>
      <c r="F90" s="547">
        <f t="shared" si="7"/>
        <v>0</v>
      </c>
      <c r="G90" s="556" t="e">
        <f t="shared" si="8"/>
        <v>#DIV/0!</v>
      </c>
      <c r="H90" s="556" t="e">
        <f t="shared" si="9"/>
        <v>#REF!</v>
      </c>
    </row>
    <row r="91" spans="1:8" x14ac:dyDescent="0.25">
      <c r="A91" s="515"/>
      <c r="B91" s="499"/>
      <c r="C91" s="473"/>
      <c r="D91" s="473"/>
      <c r="E91" s="532"/>
      <c r="F91" s="547">
        <f t="shared" si="7"/>
        <v>0</v>
      </c>
      <c r="G91" s="556" t="e">
        <f t="shared" si="8"/>
        <v>#DIV/0!</v>
      </c>
      <c r="H91" s="556" t="e">
        <f t="shared" si="9"/>
        <v>#REF!</v>
      </c>
    </row>
    <row r="92" spans="1:8" x14ac:dyDescent="0.25">
      <c r="A92" s="471"/>
      <c r="B92" s="472"/>
      <c r="C92" s="473"/>
      <c r="D92" s="474"/>
      <c r="E92" s="477"/>
      <c r="F92" s="547">
        <f t="shared" si="7"/>
        <v>0</v>
      </c>
      <c r="G92" s="556" t="e">
        <f t="shared" si="8"/>
        <v>#DIV/0!</v>
      </c>
      <c r="H92" s="556" t="e">
        <f t="shared" si="9"/>
        <v>#REF!</v>
      </c>
    </row>
    <row r="93" spans="1:8" x14ac:dyDescent="0.25">
      <c r="A93" s="471"/>
      <c r="B93" s="499"/>
      <c r="C93" s="473"/>
      <c r="D93" s="474"/>
      <c r="E93" s="477"/>
      <c r="F93" s="547">
        <f t="shared" si="7"/>
        <v>0</v>
      </c>
      <c r="G93" s="556" t="e">
        <f t="shared" si="8"/>
        <v>#DIV/0!</v>
      </c>
      <c r="H93" s="556" t="e">
        <f t="shared" si="9"/>
        <v>#REF!</v>
      </c>
    </row>
    <row r="94" spans="1:8" x14ac:dyDescent="0.25">
      <c r="A94" s="494"/>
      <c r="B94" s="495"/>
      <c r="C94" s="496"/>
      <c r="D94" s="497"/>
      <c r="E94" s="498"/>
      <c r="F94" s="547">
        <f t="shared" si="7"/>
        <v>0</v>
      </c>
      <c r="G94" s="556" t="e">
        <f t="shared" si="8"/>
        <v>#DIV/0!</v>
      </c>
      <c r="H94" s="556" t="e">
        <f t="shared" si="9"/>
        <v>#REF!</v>
      </c>
    </row>
    <row r="95" spans="1:8" x14ac:dyDescent="0.25">
      <c r="A95" s="502"/>
      <c r="B95" s="485"/>
      <c r="C95" s="486"/>
      <c r="D95" s="504"/>
      <c r="E95" s="488"/>
      <c r="F95" s="547">
        <f t="shared" si="7"/>
        <v>0</v>
      </c>
      <c r="G95" s="556" t="e">
        <f t="shared" si="8"/>
        <v>#DIV/0!</v>
      </c>
      <c r="H95" s="556" t="e">
        <f t="shared" si="9"/>
        <v>#REF!</v>
      </c>
    </row>
    <row r="96" spans="1:8" x14ac:dyDescent="0.25">
      <c r="A96" s="484"/>
      <c r="B96" s="485"/>
      <c r="C96" s="486"/>
      <c r="D96" s="504"/>
      <c r="E96" s="488"/>
      <c r="F96" s="547">
        <f t="shared" si="7"/>
        <v>0</v>
      </c>
      <c r="G96" s="556" t="e">
        <f t="shared" si="8"/>
        <v>#DIV/0!</v>
      </c>
      <c r="H96" s="556" t="e">
        <f t="shared" si="9"/>
        <v>#REF!</v>
      </c>
    </row>
    <row r="97" spans="1:8" x14ac:dyDescent="0.25">
      <c r="A97" s="484"/>
      <c r="B97" s="485"/>
      <c r="C97" s="486"/>
      <c r="D97" s="504"/>
      <c r="E97" s="488"/>
      <c r="F97" s="547">
        <f t="shared" si="7"/>
        <v>0</v>
      </c>
      <c r="G97" s="556" t="e">
        <f t="shared" si="8"/>
        <v>#DIV/0!</v>
      </c>
      <c r="H97" s="556" t="e">
        <f t="shared" si="9"/>
        <v>#REF!</v>
      </c>
    </row>
    <row r="98" spans="1:8" x14ac:dyDescent="0.25">
      <c r="A98" s="522"/>
      <c r="B98" s="495"/>
      <c r="C98" s="486"/>
      <c r="D98" s="474"/>
      <c r="E98" s="508"/>
      <c r="F98" s="547">
        <f t="shared" si="7"/>
        <v>0</v>
      </c>
      <c r="G98" s="556" t="e">
        <f t="shared" si="8"/>
        <v>#DIV/0!</v>
      </c>
      <c r="H98" s="556" t="e">
        <f t="shared" si="9"/>
        <v>#REF!</v>
      </c>
    </row>
    <row r="99" spans="1:8" x14ac:dyDescent="0.25">
      <c r="A99" s="502"/>
      <c r="B99" s="485"/>
      <c r="C99" s="486"/>
      <c r="D99" s="504"/>
      <c r="E99" s="488"/>
      <c r="F99" s="547">
        <f t="shared" si="7"/>
        <v>0</v>
      </c>
      <c r="G99" s="556" t="e">
        <f t="shared" si="8"/>
        <v>#DIV/0!</v>
      </c>
      <c r="H99" s="556" t="e">
        <f t="shared" si="9"/>
        <v>#REF!</v>
      </c>
    </row>
    <row r="100" spans="1:8" x14ac:dyDescent="0.25">
      <c r="A100" s="471"/>
      <c r="B100" s="472"/>
      <c r="C100" s="473"/>
      <c r="D100" s="474"/>
      <c r="E100" s="477"/>
      <c r="F100" s="547">
        <f t="shared" si="7"/>
        <v>0</v>
      </c>
      <c r="G100" s="556" t="e">
        <f t="shared" si="8"/>
        <v>#DIV/0!</v>
      </c>
      <c r="H100" s="556" t="e">
        <f t="shared" si="9"/>
        <v>#REF!</v>
      </c>
    </row>
    <row r="101" spans="1:8" x14ac:dyDescent="0.25">
      <c r="A101" s="538"/>
      <c r="B101" s="485"/>
      <c r="C101" s="539"/>
      <c r="D101" s="504"/>
      <c r="E101" s="488"/>
      <c r="F101" s="547">
        <f t="shared" si="7"/>
        <v>0</v>
      </c>
      <c r="G101" s="556" t="e">
        <f t="shared" si="8"/>
        <v>#DIV/0!</v>
      </c>
      <c r="H101" s="556" t="e">
        <f t="shared" si="9"/>
        <v>#REF!</v>
      </c>
    </row>
    <row r="102" spans="1:8" x14ac:dyDescent="0.25">
      <c r="A102" s="511"/>
      <c r="B102" s="485"/>
      <c r="C102" s="517"/>
      <c r="D102" s="518"/>
      <c r="E102" s="519"/>
      <c r="F102" s="547">
        <f t="shared" si="7"/>
        <v>0</v>
      </c>
      <c r="G102" s="556" t="e">
        <f t="shared" si="8"/>
        <v>#DIV/0!</v>
      </c>
      <c r="H102" s="556" t="e">
        <f t="shared" si="9"/>
        <v>#REF!</v>
      </c>
    </row>
    <row r="103" spans="1:8" x14ac:dyDescent="0.25">
      <c r="A103" s="471"/>
      <c r="B103" s="499"/>
      <c r="C103" s="493"/>
      <c r="D103" s="505"/>
      <c r="E103" s="477"/>
      <c r="F103" s="547">
        <f t="shared" si="7"/>
        <v>0</v>
      </c>
      <c r="G103" s="556" t="e">
        <f t="shared" si="8"/>
        <v>#DIV/0!</v>
      </c>
      <c r="H103" s="556" t="e">
        <f t="shared" si="9"/>
        <v>#REF!</v>
      </c>
    </row>
    <row r="104" spans="1:8" x14ac:dyDescent="0.25">
      <c r="A104" s="531"/>
      <c r="B104" s="485"/>
      <c r="C104" s="486"/>
      <c r="D104" s="503"/>
      <c r="E104" s="530"/>
      <c r="F104" s="547">
        <f t="shared" si="7"/>
        <v>0</v>
      </c>
      <c r="G104" s="556" t="e">
        <f t="shared" si="8"/>
        <v>#DIV/0!</v>
      </c>
      <c r="H104" s="556" t="e">
        <f t="shared" si="9"/>
        <v>#REF!</v>
      </c>
    </row>
    <row r="105" spans="1:8" x14ac:dyDescent="0.25">
      <c r="A105" s="484"/>
      <c r="B105" s="485"/>
      <c r="C105" s="486"/>
      <c r="D105" s="503"/>
      <c r="E105" s="530"/>
      <c r="F105" s="547">
        <f t="shared" si="7"/>
        <v>0</v>
      </c>
      <c r="G105" s="556" t="e">
        <f t="shared" si="8"/>
        <v>#DIV/0!</v>
      </c>
      <c r="H105" s="556" t="e">
        <f t="shared" si="9"/>
        <v>#REF!</v>
      </c>
    </row>
    <row r="106" spans="1:8" x14ac:dyDescent="0.25">
      <c r="A106" s="484"/>
      <c r="B106" s="485"/>
      <c r="C106" s="486"/>
      <c r="D106" s="504"/>
      <c r="E106" s="488"/>
      <c r="F106" s="547">
        <f t="shared" si="7"/>
        <v>0</v>
      </c>
      <c r="G106" s="556" t="e">
        <f t="shared" si="8"/>
        <v>#DIV/0!</v>
      </c>
      <c r="H106" s="556" t="e">
        <f t="shared" si="9"/>
        <v>#REF!</v>
      </c>
    </row>
    <row r="107" spans="1:8" x14ac:dyDescent="0.25">
      <c r="A107" s="489"/>
      <c r="B107" s="490"/>
      <c r="C107" s="491"/>
      <c r="D107" s="474"/>
      <c r="E107" s="492"/>
      <c r="F107" s="547">
        <f t="shared" si="7"/>
        <v>0</v>
      </c>
      <c r="G107" s="556" t="e">
        <f t="shared" si="8"/>
        <v>#DIV/0!</v>
      </c>
      <c r="H107" s="556" t="e">
        <f t="shared" si="9"/>
        <v>#REF!</v>
      </c>
    </row>
    <row r="108" spans="1:8" x14ac:dyDescent="0.25">
      <c r="A108" s="494"/>
      <c r="B108" s="495"/>
      <c r="C108" s="496"/>
      <c r="D108" s="497"/>
      <c r="E108" s="498"/>
      <c r="F108" s="547">
        <f t="shared" si="7"/>
        <v>0</v>
      </c>
      <c r="G108" s="556" t="e">
        <f t="shared" si="8"/>
        <v>#DIV/0!</v>
      </c>
      <c r="H108" s="556" t="e">
        <f t="shared" si="9"/>
        <v>#REF!</v>
      </c>
    </row>
    <row r="109" spans="1:8" x14ac:dyDescent="0.25">
      <c r="A109" s="524"/>
      <c r="B109" s="525"/>
      <c r="C109" s="480"/>
      <c r="D109" s="481"/>
      <c r="E109" s="526"/>
      <c r="F109" s="547">
        <f t="shared" si="7"/>
        <v>0</v>
      </c>
      <c r="G109" s="556" t="e">
        <f t="shared" si="8"/>
        <v>#DIV/0!</v>
      </c>
      <c r="H109" s="556" t="e">
        <f t="shared" si="9"/>
        <v>#REF!</v>
      </c>
    </row>
    <row r="110" spans="1:8" x14ac:dyDescent="0.25">
      <c r="A110" s="502"/>
      <c r="B110" s="541"/>
      <c r="C110" s="487"/>
      <c r="D110" s="503"/>
      <c r="E110" s="530"/>
      <c r="F110" s="547">
        <f t="shared" si="7"/>
        <v>0</v>
      </c>
      <c r="G110" s="556" t="e">
        <f t="shared" si="8"/>
        <v>#DIV/0!</v>
      </c>
      <c r="H110" s="556" t="e">
        <f t="shared" si="9"/>
        <v>#REF!</v>
      </c>
    </row>
    <row r="111" spans="1:8" x14ac:dyDescent="0.25">
      <c r="A111" s="471"/>
      <c r="B111" s="472"/>
      <c r="C111" s="473"/>
      <c r="D111" s="474"/>
      <c r="E111" s="475"/>
      <c r="F111" s="547">
        <f t="shared" si="7"/>
        <v>0</v>
      </c>
      <c r="G111" s="556" t="e">
        <f t="shared" si="8"/>
        <v>#DIV/0!</v>
      </c>
      <c r="H111" s="556" t="e">
        <f t="shared" si="9"/>
        <v>#REF!</v>
      </c>
    </row>
    <row r="112" spans="1:8" x14ac:dyDescent="0.25">
      <c r="A112" s="471"/>
      <c r="B112" s="499"/>
      <c r="C112" s="473"/>
      <c r="D112" s="474"/>
      <c r="E112" s="477"/>
      <c r="F112" s="547">
        <f t="shared" si="7"/>
        <v>0</v>
      </c>
      <c r="G112" s="556" t="e">
        <f t="shared" si="8"/>
        <v>#DIV/0!</v>
      </c>
      <c r="H112" s="556" t="e">
        <f t="shared" si="9"/>
        <v>#REF!</v>
      </c>
    </row>
    <row r="113" spans="1:8" x14ac:dyDescent="0.25">
      <c r="A113" s="484"/>
      <c r="B113" s="485"/>
      <c r="C113" s="486"/>
      <c r="D113" s="503"/>
      <c r="E113" s="530"/>
      <c r="F113" s="547">
        <f t="shared" si="7"/>
        <v>0</v>
      </c>
      <c r="G113" s="556" t="e">
        <f t="shared" si="8"/>
        <v>#DIV/0!</v>
      </c>
      <c r="H113" s="556" t="e">
        <f t="shared" si="9"/>
        <v>#REF!</v>
      </c>
    </row>
    <row r="114" spans="1:8" x14ac:dyDescent="0.25">
      <c r="A114" s="538"/>
      <c r="B114" s="485"/>
      <c r="C114" s="539"/>
      <c r="D114" s="504"/>
      <c r="E114" s="488"/>
      <c r="F114" s="547">
        <f t="shared" ref="F114:F141" si="10">(D114*E114)*+(1+5.62%)</f>
        <v>0</v>
      </c>
      <c r="G114" s="556" t="e">
        <f t="shared" ref="G114:G141" si="11">(F114/$F$141)*100%</f>
        <v>#DIV/0!</v>
      </c>
      <c r="H114" s="556" t="e">
        <f t="shared" si="9"/>
        <v>#REF!</v>
      </c>
    </row>
    <row r="115" spans="1:8" x14ac:dyDescent="0.25">
      <c r="A115" s="522"/>
      <c r="B115" s="495"/>
      <c r="C115" s="486"/>
      <c r="D115" s="474"/>
      <c r="E115" s="508"/>
      <c r="F115" s="547">
        <f t="shared" si="10"/>
        <v>0</v>
      </c>
      <c r="G115" s="556" t="e">
        <f t="shared" si="11"/>
        <v>#DIV/0!</v>
      </c>
      <c r="H115" s="556" t="e">
        <f t="shared" ref="H115:H141" si="12">H114+G115</f>
        <v>#REF!</v>
      </c>
    </row>
    <row r="116" spans="1:8" x14ac:dyDescent="0.25">
      <c r="A116" s="484"/>
      <c r="B116" s="485"/>
      <c r="C116" s="486"/>
      <c r="D116" s="503"/>
      <c r="E116" s="530"/>
      <c r="F116" s="547">
        <f t="shared" si="10"/>
        <v>0</v>
      </c>
      <c r="G116" s="556" t="e">
        <f t="shared" si="11"/>
        <v>#DIV/0!</v>
      </c>
      <c r="H116" s="556" t="e">
        <f t="shared" si="12"/>
        <v>#REF!</v>
      </c>
    </row>
    <row r="117" spans="1:8" x14ac:dyDescent="0.25">
      <c r="A117" s="484"/>
      <c r="B117" s="485"/>
      <c r="C117" s="486"/>
      <c r="D117" s="503"/>
      <c r="E117" s="530"/>
      <c r="F117" s="547">
        <f t="shared" si="10"/>
        <v>0</v>
      </c>
      <c r="G117" s="556" t="e">
        <f t="shared" si="11"/>
        <v>#DIV/0!</v>
      </c>
      <c r="H117" s="556" t="e">
        <f t="shared" si="12"/>
        <v>#REF!</v>
      </c>
    </row>
    <row r="118" spans="1:8" x14ac:dyDescent="0.25">
      <c r="A118" s="538"/>
      <c r="B118" s="485"/>
      <c r="C118" s="486"/>
      <c r="D118" s="504"/>
      <c r="E118" s="488"/>
      <c r="F118" s="547">
        <f t="shared" si="10"/>
        <v>0</v>
      </c>
      <c r="G118" s="556" t="e">
        <f t="shared" si="11"/>
        <v>#DIV/0!</v>
      </c>
      <c r="H118" s="556" t="e">
        <f t="shared" si="12"/>
        <v>#REF!</v>
      </c>
    </row>
    <row r="119" spans="1:8" x14ac:dyDescent="0.25">
      <c r="A119" s="478"/>
      <c r="B119" s="479"/>
      <c r="C119" s="480"/>
      <c r="D119" s="481"/>
      <c r="E119" s="482"/>
      <c r="F119" s="547">
        <f t="shared" si="10"/>
        <v>0</v>
      </c>
      <c r="G119" s="556" t="e">
        <f t="shared" si="11"/>
        <v>#DIV/0!</v>
      </c>
      <c r="H119" s="556" t="e">
        <f t="shared" si="12"/>
        <v>#REF!</v>
      </c>
    </row>
    <row r="120" spans="1:8" x14ac:dyDescent="0.25">
      <c r="A120" s="484"/>
      <c r="B120" s="485"/>
      <c r="C120" s="486"/>
      <c r="D120" s="503"/>
      <c r="E120" s="530"/>
      <c r="F120" s="547">
        <f t="shared" si="10"/>
        <v>0</v>
      </c>
      <c r="G120" s="556" t="e">
        <f t="shared" si="11"/>
        <v>#DIV/0!</v>
      </c>
      <c r="H120" s="556" t="e">
        <f t="shared" si="12"/>
        <v>#REF!</v>
      </c>
    </row>
    <row r="121" spans="1:8" x14ac:dyDescent="0.25">
      <c r="A121" s="522"/>
      <c r="B121" s="495"/>
      <c r="C121" s="486"/>
      <c r="D121" s="474"/>
      <c r="E121" s="508"/>
      <c r="F121" s="547">
        <f t="shared" si="10"/>
        <v>0</v>
      </c>
      <c r="G121" s="556" t="e">
        <f t="shared" si="11"/>
        <v>#DIV/0!</v>
      </c>
      <c r="H121" s="556" t="e">
        <f t="shared" si="12"/>
        <v>#REF!</v>
      </c>
    </row>
    <row r="122" spans="1:8" x14ac:dyDescent="0.25">
      <c r="A122" s="484"/>
      <c r="B122" s="485"/>
      <c r="C122" s="486"/>
      <c r="D122" s="487"/>
      <c r="E122" s="488"/>
      <c r="F122" s="547">
        <f t="shared" si="10"/>
        <v>0</v>
      </c>
      <c r="G122" s="556" t="e">
        <f t="shared" si="11"/>
        <v>#DIV/0!</v>
      </c>
      <c r="H122" s="556" t="e">
        <f t="shared" si="12"/>
        <v>#REF!</v>
      </c>
    </row>
    <row r="123" spans="1:8" x14ac:dyDescent="0.25">
      <c r="A123" s="489"/>
      <c r="B123" s="490"/>
      <c r="C123" s="491"/>
      <c r="D123" s="487"/>
      <c r="E123" s="492"/>
      <c r="F123" s="547">
        <f t="shared" si="10"/>
        <v>0</v>
      </c>
      <c r="G123" s="556" t="e">
        <f t="shared" si="11"/>
        <v>#DIV/0!</v>
      </c>
      <c r="H123" s="556" t="e">
        <f t="shared" si="12"/>
        <v>#REF!</v>
      </c>
    </row>
    <row r="124" spans="1:8" x14ac:dyDescent="0.25">
      <c r="A124" s="522"/>
      <c r="B124" s="495"/>
      <c r="C124" s="486"/>
      <c r="D124" s="474"/>
      <c r="E124" s="508"/>
      <c r="F124" s="547">
        <f t="shared" si="10"/>
        <v>0</v>
      </c>
      <c r="G124" s="556" t="e">
        <f t="shared" si="11"/>
        <v>#DIV/0!</v>
      </c>
      <c r="H124" s="556" t="e">
        <f t="shared" si="12"/>
        <v>#REF!</v>
      </c>
    </row>
    <row r="125" spans="1:8" x14ac:dyDescent="0.25">
      <c r="A125" s="502"/>
      <c r="B125" s="485"/>
      <c r="C125" s="486"/>
      <c r="D125" s="504"/>
      <c r="E125" s="488"/>
      <c r="F125" s="547">
        <f t="shared" si="10"/>
        <v>0</v>
      </c>
      <c r="G125" s="556" t="e">
        <f t="shared" si="11"/>
        <v>#DIV/0!</v>
      </c>
      <c r="H125" s="556" t="e">
        <f t="shared" si="12"/>
        <v>#REF!</v>
      </c>
    </row>
    <row r="126" spans="1:8" x14ac:dyDescent="0.25">
      <c r="A126" s="484"/>
      <c r="B126" s="485"/>
      <c r="C126" s="486"/>
      <c r="D126" s="503"/>
      <c r="E126" s="530"/>
      <c r="F126" s="547">
        <f t="shared" si="10"/>
        <v>0</v>
      </c>
      <c r="G126" s="556" t="e">
        <f t="shared" si="11"/>
        <v>#DIV/0!</v>
      </c>
      <c r="H126" s="556" t="e">
        <f t="shared" si="12"/>
        <v>#REF!</v>
      </c>
    </row>
    <row r="127" spans="1:8" x14ac:dyDescent="0.25">
      <c r="A127" s="489"/>
      <c r="B127" s="490"/>
      <c r="C127" s="491"/>
      <c r="D127" s="474"/>
      <c r="E127" s="492"/>
      <c r="F127" s="547">
        <f t="shared" si="10"/>
        <v>0</v>
      </c>
      <c r="G127" s="556" t="e">
        <f t="shared" si="11"/>
        <v>#DIV/0!</v>
      </c>
      <c r="H127" s="556" t="e">
        <f t="shared" si="12"/>
        <v>#REF!</v>
      </c>
    </row>
    <row r="128" spans="1:8" x14ac:dyDescent="0.25">
      <c r="A128" s="494"/>
      <c r="B128" s="495"/>
      <c r="C128" s="496"/>
      <c r="D128" s="497"/>
      <c r="E128" s="498"/>
      <c r="F128" s="547">
        <f t="shared" si="10"/>
        <v>0</v>
      </c>
      <c r="G128" s="556" t="e">
        <f t="shared" si="11"/>
        <v>#DIV/0!</v>
      </c>
      <c r="H128" s="556" t="e">
        <f t="shared" si="12"/>
        <v>#REF!</v>
      </c>
    </row>
    <row r="129" spans="1:8" x14ac:dyDescent="0.25">
      <c r="A129" s="511"/>
      <c r="B129" s="485"/>
      <c r="C129" s="517"/>
      <c r="D129" s="518"/>
      <c r="E129" s="519"/>
      <c r="F129" s="547">
        <f t="shared" si="10"/>
        <v>0</v>
      </c>
      <c r="G129" s="556" t="e">
        <f t="shared" si="11"/>
        <v>#DIV/0!</v>
      </c>
      <c r="H129" s="556" t="e">
        <f t="shared" si="12"/>
        <v>#REF!</v>
      </c>
    </row>
    <row r="130" spans="1:8" x14ac:dyDescent="0.25">
      <c r="A130" s="484"/>
      <c r="B130" s="485"/>
      <c r="C130" s="486"/>
      <c r="D130" s="503"/>
      <c r="E130" s="530"/>
      <c r="F130" s="547">
        <f t="shared" si="10"/>
        <v>0</v>
      </c>
      <c r="G130" s="556" t="e">
        <f t="shared" si="11"/>
        <v>#DIV/0!</v>
      </c>
      <c r="H130" s="556" t="e">
        <f t="shared" si="12"/>
        <v>#REF!</v>
      </c>
    </row>
    <row r="131" spans="1:8" x14ac:dyDescent="0.25">
      <c r="A131" s="471"/>
      <c r="B131" s="472"/>
      <c r="C131" s="493"/>
      <c r="D131" s="505"/>
      <c r="E131" s="483"/>
      <c r="F131" s="547">
        <f t="shared" si="10"/>
        <v>0</v>
      </c>
      <c r="G131" s="556" t="e">
        <f t="shared" si="11"/>
        <v>#DIV/0!</v>
      </c>
      <c r="H131" s="556" t="e">
        <f t="shared" si="12"/>
        <v>#REF!</v>
      </c>
    </row>
    <row r="132" spans="1:8" x14ac:dyDescent="0.25">
      <c r="A132" s="502"/>
      <c r="B132" s="485"/>
      <c r="C132" s="486"/>
      <c r="D132" s="504"/>
      <c r="E132" s="488"/>
      <c r="F132" s="547">
        <f t="shared" si="10"/>
        <v>0</v>
      </c>
      <c r="G132" s="556" t="e">
        <f t="shared" si="11"/>
        <v>#DIV/0!</v>
      </c>
      <c r="H132" s="556" t="e">
        <f t="shared" si="12"/>
        <v>#REF!</v>
      </c>
    </row>
    <row r="133" spans="1:8" x14ac:dyDescent="0.25">
      <c r="A133" s="484"/>
      <c r="B133" s="485"/>
      <c r="C133" s="486"/>
      <c r="D133" s="504"/>
      <c r="E133" s="488"/>
      <c r="F133" s="547">
        <f t="shared" si="10"/>
        <v>0</v>
      </c>
      <c r="G133" s="556" t="e">
        <f t="shared" si="11"/>
        <v>#DIV/0!</v>
      </c>
      <c r="H133" s="556" t="e">
        <f t="shared" si="12"/>
        <v>#REF!</v>
      </c>
    </row>
    <row r="134" spans="1:8" x14ac:dyDescent="0.25">
      <c r="A134" s="502"/>
      <c r="B134" s="541"/>
      <c r="C134" s="487"/>
      <c r="D134" s="503"/>
      <c r="E134" s="530"/>
      <c r="F134" s="547">
        <f t="shared" si="10"/>
        <v>0</v>
      </c>
      <c r="G134" s="556" t="e">
        <f t="shared" si="11"/>
        <v>#DIV/0!</v>
      </c>
      <c r="H134" s="556" t="e">
        <f t="shared" si="12"/>
        <v>#REF!</v>
      </c>
    </row>
    <row r="135" spans="1:8" x14ac:dyDescent="0.25">
      <c r="A135" s="527"/>
      <c r="B135" s="499"/>
      <c r="C135" s="493"/>
      <c r="D135" s="474"/>
      <c r="E135" s="477"/>
      <c r="F135" s="547">
        <f t="shared" si="10"/>
        <v>0</v>
      </c>
      <c r="G135" s="556" t="e">
        <f t="shared" si="11"/>
        <v>#DIV/0!</v>
      </c>
      <c r="H135" s="556" t="e">
        <f t="shared" si="12"/>
        <v>#REF!</v>
      </c>
    </row>
    <row r="136" spans="1:8" x14ac:dyDescent="0.25">
      <c r="A136" s="484"/>
      <c r="B136" s="485"/>
      <c r="C136" s="486"/>
      <c r="D136" s="504"/>
      <c r="E136" s="488"/>
      <c r="F136" s="547">
        <f t="shared" si="10"/>
        <v>0</v>
      </c>
      <c r="G136" s="556" t="e">
        <f t="shared" si="11"/>
        <v>#DIV/0!</v>
      </c>
      <c r="H136" s="556" t="e">
        <f t="shared" si="12"/>
        <v>#REF!</v>
      </c>
    </row>
    <row r="137" spans="1:8" x14ac:dyDescent="0.25">
      <c r="A137" s="527"/>
      <c r="B137" s="499"/>
      <c r="C137" s="493"/>
      <c r="D137" s="474"/>
      <c r="E137" s="477"/>
      <c r="F137" s="547">
        <f t="shared" si="10"/>
        <v>0</v>
      </c>
      <c r="G137" s="556" t="e">
        <f t="shared" si="11"/>
        <v>#DIV/0!</v>
      </c>
      <c r="H137" s="556" t="e">
        <f t="shared" si="12"/>
        <v>#REF!</v>
      </c>
    </row>
    <row r="138" spans="1:8" x14ac:dyDescent="0.25">
      <c r="A138" s="527"/>
      <c r="B138" s="499"/>
      <c r="C138" s="493"/>
      <c r="D138" s="505"/>
      <c r="E138" s="477"/>
      <c r="F138" s="547">
        <f t="shared" si="10"/>
        <v>0</v>
      </c>
      <c r="G138" s="556" t="e">
        <f t="shared" si="11"/>
        <v>#DIV/0!</v>
      </c>
      <c r="H138" s="556" t="e">
        <f t="shared" si="12"/>
        <v>#REF!</v>
      </c>
    </row>
    <row r="139" spans="1:8" x14ac:dyDescent="0.25">
      <c r="A139" s="471"/>
      <c r="B139" s="499"/>
      <c r="C139" s="473"/>
      <c r="D139" s="474"/>
      <c r="E139" s="475"/>
      <c r="F139" s="547">
        <f t="shared" si="10"/>
        <v>0</v>
      </c>
      <c r="G139" s="556" t="e">
        <f t="shared" si="11"/>
        <v>#DIV/0!</v>
      </c>
      <c r="H139" s="556" t="e">
        <f t="shared" si="12"/>
        <v>#REF!</v>
      </c>
    </row>
    <row r="140" spans="1:8" ht="15.75" thickBot="1" x14ac:dyDescent="0.3">
      <c r="A140" s="551"/>
      <c r="B140" s="552"/>
      <c r="C140" s="553"/>
      <c r="D140" s="554"/>
      <c r="E140" s="555"/>
      <c r="F140" s="548">
        <f t="shared" si="10"/>
        <v>0</v>
      </c>
      <c r="G140" s="556" t="e">
        <f t="shared" si="11"/>
        <v>#DIV/0!</v>
      </c>
      <c r="H140" s="556" t="e">
        <f t="shared" si="12"/>
        <v>#REF!</v>
      </c>
    </row>
    <row r="141" spans="1:8" ht="15.75" thickBot="1" x14ac:dyDescent="0.3">
      <c r="A141" s="588"/>
      <c r="B141" s="590"/>
      <c r="C141" s="592"/>
      <c r="D141" s="594"/>
      <c r="E141" s="595"/>
      <c r="F141" s="596">
        <f t="shared" si="10"/>
        <v>0</v>
      </c>
      <c r="G141" s="597" t="e">
        <f t="shared" si="11"/>
        <v>#DIV/0!</v>
      </c>
      <c r="H141" s="599" t="e">
        <f t="shared" si="12"/>
        <v>#REF!</v>
      </c>
    </row>
    <row r="142" spans="1:8" x14ac:dyDescent="0.25">
      <c r="F142" s="254">
        <f>F141*30%</f>
        <v>0</v>
      </c>
    </row>
    <row r="143" spans="1:8" x14ac:dyDescent="0.25">
      <c r="F143" s="254">
        <f>F142+F141</f>
        <v>0</v>
      </c>
    </row>
  </sheetData>
  <sortState xmlns:xlrd2="http://schemas.microsoft.com/office/spreadsheetml/2017/richdata2" ref="A2:I174">
    <sortCondition ref="B2"/>
  </sortState>
  <mergeCells count="2">
    <mergeCell ref="K2:K12"/>
    <mergeCell ref="L2:L12"/>
  </mergeCells>
  <conditionalFormatting sqref="H2:H140">
    <cfRule type="cellIs" dxfId="0" priority="1" operator="between">
      <formula>0</formula>
      <formula>0.8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52"/>
  <sheetViews>
    <sheetView workbookViewId="0">
      <selection activeCell="AC8" sqref="AC8"/>
    </sheetView>
  </sheetViews>
  <sheetFormatPr baseColWidth="10" defaultRowHeight="15" x14ac:dyDescent="0.25"/>
  <cols>
    <col min="1" max="1" width="7" bestFit="1" customWidth="1"/>
    <col min="2" max="2" width="53.28515625" bestFit="1" customWidth="1"/>
    <col min="3" max="3" width="4.85546875" bestFit="1" customWidth="1"/>
    <col min="4" max="4" width="7.85546875" bestFit="1" customWidth="1"/>
    <col min="5" max="5" width="12" customWidth="1"/>
    <col min="6" max="6" width="16.7109375" bestFit="1" customWidth="1"/>
    <col min="10" max="10" width="53.28515625" bestFit="1" customWidth="1"/>
    <col min="14" max="14" width="16.28515625" customWidth="1"/>
    <col min="16" max="16" width="7" bestFit="1" customWidth="1"/>
    <col min="17" max="17" width="53.28515625" bestFit="1" customWidth="1"/>
    <col min="18" max="18" width="4.85546875" bestFit="1" customWidth="1"/>
    <col min="19" max="19" width="10" bestFit="1" customWidth="1"/>
    <col min="21" max="21" width="14" bestFit="1" customWidth="1"/>
    <col min="23" max="23" width="7" bestFit="1" customWidth="1"/>
    <col min="24" max="24" width="53.28515625" bestFit="1" customWidth="1"/>
    <col min="25" max="25" width="4.85546875" bestFit="1" customWidth="1"/>
    <col min="26" max="26" width="10" bestFit="1" customWidth="1"/>
    <col min="28" max="28" width="14" bestFit="1" customWidth="1"/>
  </cols>
  <sheetData>
    <row r="1" spans="1:28" x14ac:dyDescent="0.25">
      <c r="B1" s="466" t="s">
        <v>199</v>
      </c>
      <c r="J1" s="466" t="s">
        <v>200</v>
      </c>
      <c r="Q1" s="466" t="s">
        <v>201</v>
      </c>
      <c r="W1" s="467"/>
      <c r="X1" s="468" t="s">
        <v>201</v>
      </c>
      <c r="Y1" s="469"/>
      <c r="Z1" s="469"/>
      <c r="AA1" s="469"/>
      <c r="AB1" s="470"/>
    </row>
    <row r="2" spans="1:28" x14ac:dyDescent="0.25">
      <c r="A2" s="156">
        <v>10114</v>
      </c>
      <c r="B2" s="157" t="s">
        <v>2</v>
      </c>
      <c r="C2" s="56" t="s">
        <v>3</v>
      </c>
      <c r="D2" s="55">
        <v>40</v>
      </c>
      <c r="E2" s="158">
        <v>2010</v>
      </c>
      <c r="F2" s="159">
        <f t="shared" ref="F2:F33" si="0">(D2*E2)*+(1+5.62%)</f>
        <v>84918.48</v>
      </c>
      <c r="I2" s="366">
        <v>10114</v>
      </c>
      <c r="J2" s="367" t="s">
        <v>2</v>
      </c>
      <c r="K2" s="228" t="s">
        <v>3</v>
      </c>
      <c r="L2" s="227">
        <v>40</v>
      </c>
      <c r="M2" s="368">
        <v>2010</v>
      </c>
      <c r="N2" s="369">
        <f>(L2*M2)*+(1+5.62%)</f>
        <v>84918.48</v>
      </c>
      <c r="P2" s="167">
        <v>10114</v>
      </c>
      <c r="Q2" s="170" t="s">
        <v>2</v>
      </c>
      <c r="R2" s="168" t="s">
        <v>3</v>
      </c>
      <c r="S2" s="166">
        <f>40+172.1+26.4+72</f>
        <v>310.5</v>
      </c>
      <c r="T2" s="171">
        <v>2010</v>
      </c>
      <c r="U2" s="169">
        <f>(S2*T2)*+(1+5.62%)</f>
        <v>659179.701</v>
      </c>
      <c r="W2" s="471">
        <v>10114</v>
      </c>
      <c r="X2" s="472" t="s">
        <v>2</v>
      </c>
      <c r="Y2" s="473" t="s">
        <v>3</v>
      </c>
      <c r="Z2" s="474">
        <f>40+172.1+26.4+72</f>
        <v>310.5</v>
      </c>
      <c r="AA2" s="475">
        <v>2010</v>
      </c>
      <c r="AB2" s="476">
        <f>(Z2*AA2)*+(1+5.62%)</f>
        <v>659179.701</v>
      </c>
    </row>
    <row r="3" spans="1:28" ht="14.25" customHeight="1" x14ac:dyDescent="0.25">
      <c r="A3" s="140">
        <v>330602</v>
      </c>
      <c r="B3" s="153" t="s">
        <v>4</v>
      </c>
      <c r="C3" s="7" t="s">
        <v>5</v>
      </c>
      <c r="D3" s="4">
        <v>10</v>
      </c>
      <c r="E3" s="8">
        <v>15990</v>
      </c>
      <c r="F3" s="6">
        <f t="shared" si="0"/>
        <v>168886.38</v>
      </c>
      <c r="I3" s="175">
        <v>10105</v>
      </c>
      <c r="J3" s="313" t="s">
        <v>68</v>
      </c>
      <c r="K3" s="259" t="s">
        <v>15</v>
      </c>
      <c r="L3" s="178">
        <v>15.259</v>
      </c>
      <c r="M3" s="181">
        <v>25220</v>
      </c>
      <c r="N3" s="369">
        <f>(L3*M3)*+(1+5.62%)</f>
        <v>406459.53727600002</v>
      </c>
      <c r="P3" s="175">
        <v>10105</v>
      </c>
      <c r="Q3" s="313" t="s">
        <v>68</v>
      </c>
      <c r="R3" s="259" t="s">
        <v>15</v>
      </c>
      <c r="S3" s="178">
        <v>15.259</v>
      </c>
      <c r="T3" s="181">
        <v>25220</v>
      </c>
      <c r="U3" s="369">
        <f>(S3*T3)*+(1+5.62%)</f>
        <v>406459.53727600002</v>
      </c>
      <c r="W3" s="471">
        <v>10105</v>
      </c>
      <c r="X3" s="472" t="s">
        <v>68</v>
      </c>
      <c r="Y3" s="473" t="s">
        <v>15</v>
      </c>
      <c r="Z3" s="474">
        <v>15.259</v>
      </c>
      <c r="AA3" s="477">
        <v>25220</v>
      </c>
      <c r="AB3" s="476">
        <f>(Z3*AA3)*+(1+5.62%)</f>
        <v>406459.53727600002</v>
      </c>
    </row>
    <row r="4" spans="1:28" x14ac:dyDescent="0.25">
      <c r="A4" s="140">
        <v>130204</v>
      </c>
      <c r="B4" s="136" t="s">
        <v>6</v>
      </c>
      <c r="C4" s="3" t="s">
        <v>7</v>
      </c>
      <c r="D4" s="4">
        <v>5.0999999999999996</v>
      </c>
      <c r="E4" s="5">
        <v>931680</v>
      </c>
      <c r="F4" s="6">
        <f t="shared" si="0"/>
        <v>5018606.1216000002</v>
      </c>
      <c r="I4" s="175">
        <v>10114</v>
      </c>
      <c r="J4" s="176" t="s">
        <v>2</v>
      </c>
      <c r="K4" s="177" t="s">
        <v>3</v>
      </c>
      <c r="L4" s="178">
        <v>172.1</v>
      </c>
      <c r="M4" s="179">
        <v>2010</v>
      </c>
      <c r="N4" s="369">
        <f t="shared" ref="N4:N67" si="1">(L4*M4)*+(1+5.62%)</f>
        <v>365361.76020000002</v>
      </c>
      <c r="P4" s="175">
        <v>10115</v>
      </c>
      <c r="Q4" s="176" t="s">
        <v>166</v>
      </c>
      <c r="R4" s="177" t="s">
        <v>15</v>
      </c>
      <c r="S4" s="178">
        <v>116.735</v>
      </c>
      <c r="T4" s="219">
        <v>2550</v>
      </c>
      <c r="U4" s="369">
        <f t="shared" ref="U4:U38" si="2">(S4*T4)*+(1+5.62%)</f>
        <v>314403.54285000003</v>
      </c>
      <c r="W4" s="471">
        <v>10115</v>
      </c>
      <c r="X4" s="472" t="s">
        <v>166</v>
      </c>
      <c r="Y4" s="473" t="s">
        <v>15</v>
      </c>
      <c r="Z4" s="474">
        <v>116.735</v>
      </c>
      <c r="AA4" s="477">
        <v>2550</v>
      </c>
      <c r="AB4" s="476">
        <f t="shared" ref="AB4:AB67" si="3">(Z4*AA4)*+(1+5.62%)</f>
        <v>314403.54285000003</v>
      </c>
    </row>
    <row r="5" spans="1:28" x14ac:dyDescent="0.25">
      <c r="A5" s="140">
        <v>130204</v>
      </c>
      <c r="B5" s="136" t="s">
        <v>8</v>
      </c>
      <c r="C5" s="3" t="s">
        <v>7</v>
      </c>
      <c r="D5" s="4">
        <v>4.8959999999999999</v>
      </c>
      <c r="E5" s="5">
        <v>931680</v>
      </c>
      <c r="F5" s="6">
        <f t="shared" si="0"/>
        <v>4817861.8767360002</v>
      </c>
      <c r="I5" s="276">
        <v>10114</v>
      </c>
      <c r="J5" s="229" t="s">
        <v>2</v>
      </c>
      <c r="K5" s="230" t="s">
        <v>3</v>
      </c>
      <c r="L5" s="231">
        <v>26.4</v>
      </c>
      <c r="M5" s="232">
        <v>2010</v>
      </c>
      <c r="N5" s="369">
        <f t="shared" si="1"/>
        <v>56046.196799999998</v>
      </c>
      <c r="P5" s="175">
        <v>10207</v>
      </c>
      <c r="Q5" s="176" t="s">
        <v>168</v>
      </c>
      <c r="R5" s="177" t="s">
        <v>169</v>
      </c>
      <c r="S5" s="178">
        <v>20</v>
      </c>
      <c r="T5" s="219">
        <v>30550</v>
      </c>
      <c r="U5" s="369">
        <f t="shared" si="2"/>
        <v>645338.20000000007</v>
      </c>
      <c r="W5" s="471">
        <v>10207</v>
      </c>
      <c r="X5" s="472" t="s">
        <v>168</v>
      </c>
      <c r="Y5" s="473" t="s">
        <v>169</v>
      </c>
      <c r="Z5" s="474">
        <v>20</v>
      </c>
      <c r="AA5" s="477">
        <v>30550</v>
      </c>
      <c r="AB5" s="476">
        <f t="shared" si="3"/>
        <v>645338.20000000007</v>
      </c>
    </row>
    <row r="6" spans="1:28" x14ac:dyDescent="0.25">
      <c r="A6" s="1">
        <v>130413</v>
      </c>
      <c r="B6" s="141" t="s">
        <v>9</v>
      </c>
      <c r="C6" s="3" t="s">
        <v>7</v>
      </c>
      <c r="D6" s="4">
        <v>9.6</v>
      </c>
      <c r="E6" s="5">
        <v>859250</v>
      </c>
      <c r="F6" s="6">
        <f t="shared" si="0"/>
        <v>8712382.5600000005</v>
      </c>
      <c r="I6" s="175">
        <v>10114</v>
      </c>
      <c r="J6" s="313" t="s">
        <v>2</v>
      </c>
      <c r="K6" s="177" t="s">
        <v>3</v>
      </c>
      <c r="L6" s="178">
        <v>72</v>
      </c>
      <c r="M6" s="179">
        <v>2010</v>
      </c>
      <c r="N6" s="369">
        <f t="shared" si="1"/>
        <v>152853.264</v>
      </c>
      <c r="P6" s="173">
        <v>10215</v>
      </c>
      <c r="Q6" s="172" t="s">
        <v>132</v>
      </c>
      <c r="R6" s="376" t="s">
        <v>15</v>
      </c>
      <c r="S6" s="375">
        <f>32+43+116.74</f>
        <v>191.74</v>
      </c>
      <c r="T6" s="377">
        <v>750</v>
      </c>
      <c r="U6" s="169">
        <f t="shared" si="2"/>
        <v>151886.84100000001</v>
      </c>
      <c r="W6" s="478">
        <v>10215</v>
      </c>
      <c r="X6" s="479" t="s">
        <v>132</v>
      </c>
      <c r="Y6" s="480" t="s">
        <v>15</v>
      </c>
      <c r="Z6" s="481">
        <f>32+43+116.74</f>
        <v>191.74</v>
      </c>
      <c r="AA6" s="482">
        <v>750</v>
      </c>
      <c r="AB6" s="476">
        <f t="shared" si="3"/>
        <v>151886.84100000001</v>
      </c>
    </row>
    <row r="7" spans="1:28" x14ac:dyDescent="0.25">
      <c r="A7" s="140">
        <v>130102</v>
      </c>
      <c r="B7" s="2" t="s">
        <v>10</v>
      </c>
      <c r="C7" s="3" t="s">
        <v>11</v>
      </c>
      <c r="D7" s="10">
        <v>952</v>
      </c>
      <c r="E7" s="5">
        <v>5330</v>
      </c>
      <c r="F7" s="6">
        <f t="shared" si="0"/>
        <v>5359327.7920000004</v>
      </c>
      <c r="I7" s="175">
        <v>10115</v>
      </c>
      <c r="J7" s="176" t="s">
        <v>166</v>
      </c>
      <c r="K7" s="177" t="s">
        <v>15</v>
      </c>
      <c r="L7" s="178">
        <v>116.735</v>
      </c>
      <c r="M7" s="219">
        <v>2550</v>
      </c>
      <c r="N7" s="369">
        <f t="shared" si="1"/>
        <v>314403.54285000003</v>
      </c>
      <c r="P7" s="167">
        <v>60810</v>
      </c>
      <c r="Q7" s="170" t="s">
        <v>73</v>
      </c>
      <c r="R7" s="168" t="s">
        <v>7</v>
      </c>
      <c r="S7" s="166">
        <f>14.05+4.194+18.83</f>
        <v>37.073999999999998</v>
      </c>
      <c r="T7" s="171">
        <v>13690</v>
      </c>
      <c r="U7" s="169">
        <f t="shared" si="2"/>
        <v>536066.979972</v>
      </c>
      <c r="W7" s="471">
        <v>60810</v>
      </c>
      <c r="X7" s="472" t="s">
        <v>73</v>
      </c>
      <c r="Y7" s="473" t="s">
        <v>7</v>
      </c>
      <c r="Z7" s="474">
        <f>14.05+4.194+18.83</f>
        <v>37.073999999999998</v>
      </c>
      <c r="AA7" s="475">
        <v>13690</v>
      </c>
      <c r="AB7" s="476">
        <f t="shared" si="3"/>
        <v>536066.979972</v>
      </c>
    </row>
    <row r="8" spans="1:28" x14ac:dyDescent="0.25">
      <c r="A8" s="140">
        <v>130109</v>
      </c>
      <c r="B8" s="2" t="s">
        <v>12</v>
      </c>
      <c r="C8" s="3" t="s">
        <v>11</v>
      </c>
      <c r="D8" s="10">
        <v>1180</v>
      </c>
      <c r="E8" s="5">
        <v>4890</v>
      </c>
      <c r="F8" s="6">
        <f t="shared" si="0"/>
        <v>6094485.2400000002</v>
      </c>
      <c r="I8" s="175">
        <v>10207</v>
      </c>
      <c r="J8" s="176" t="s">
        <v>168</v>
      </c>
      <c r="K8" s="177" t="s">
        <v>169</v>
      </c>
      <c r="L8" s="178">
        <v>20</v>
      </c>
      <c r="M8" s="219">
        <v>30550</v>
      </c>
      <c r="N8" s="369">
        <f t="shared" si="1"/>
        <v>645338.20000000007</v>
      </c>
      <c r="P8" s="291">
        <v>100103</v>
      </c>
      <c r="Q8" s="176" t="s">
        <v>165</v>
      </c>
      <c r="R8" s="177" t="s">
        <v>1</v>
      </c>
      <c r="S8" s="178">
        <v>1</v>
      </c>
      <c r="T8" s="221">
        <v>2344980</v>
      </c>
      <c r="U8" s="369">
        <f t="shared" si="2"/>
        <v>2476767.8760000002</v>
      </c>
      <c r="W8" s="471">
        <v>100103</v>
      </c>
      <c r="X8" s="472" t="s">
        <v>165</v>
      </c>
      <c r="Y8" s="473" t="s">
        <v>1</v>
      </c>
      <c r="Z8" s="474">
        <v>1</v>
      </c>
      <c r="AA8" s="483">
        <v>2344980</v>
      </c>
      <c r="AB8" s="476">
        <f t="shared" si="3"/>
        <v>2476767.8760000002</v>
      </c>
    </row>
    <row r="9" spans="1:28" x14ac:dyDescent="0.25">
      <c r="A9" s="11">
        <v>130403</v>
      </c>
      <c r="B9" s="12" t="s">
        <v>13</v>
      </c>
      <c r="C9" s="13" t="s">
        <v>3</v>
      </c>
      <c r="D9" s="4">
        <v>39.950000000000003</v>
      </c>
      <c r="E9" s="14">
        <v>32120</v>
      </c>
      <c r="F9" s="6">
        <f t="shared" si="0"/>
        <v>1355309.5028000001</v>
      </c>
      <c r="I9" s="276">
        <v>10215</v>
      </c>
      <c r="J9" s="229" t="s">
        <v>132</v>
      </c>
      <c r="K9" s="251" t="s">
        <v>15</v>
      </c>
      <c r="L9" s="231">
        <v>32</v>
      </c>
      <c r="M9" s="249">
        <v>750</v>
      </c>
      <c r="N9" s="369">
        <f t="shared" si="1"/>
        <v>25348.799999999999</v>
      </c>
      <c r="P9" s="301">
        <v>100113</v>
      </c>
      <c r="Q9" s="222" t="s">
        <v>148</v>
      </c>
      <c r="R9" s="203" t="s">
        <v>15</v>
      </c>
      <c r="S9" s="183">
        <v>34.94</v>
      </c>
      <c r="T9" s="223">
        <v>3980</v>
      </c>
      <c r="U9" s="369">
        <f t="shared" si="2"/>
        <v>146876.43943999999</v>
      </c>
      <c r="W9" s="484">
        <v>100113</v>
      </c>
      <c r="X9" s="485" t="s">
        <v>148</v>
      </c>
      <c r="Y9" s="486" t="s">
        <v>15</v>
      </c>
      <c r="Z9" s="487">
        <v>34.94</v>
      </c>
      <c r="AA9" s="488">
        <v>3980</v>
      </c>
      <c r="AB9" s="476">
        <f t="shared" si="3"/>
        <v>146876.43943999999</v>
      </c>
    </row>
    <row r="10" spans="1:28" x14ac:dyDescent="0.25">
      <c r="A10" s="16">
        <v>200102</v>
      </c>
      <c r="B10" s="136" t="s">
        <v>14</v>
      </c>
      <c r="C10" s="17" t="s">
        <v>15</v>
      </c>
      <c r="D10" s="4">
        <v>94</v>
      </c>
      <c r="E10" s="18">
        <v>27820</v>
      </c>
      <c r="F10" s="6">
        <f t="shared" si="0"/>
        <v>2762047.4960000003</v>
      </c>
      <c r="I10" s="175">
        <v>10215</v>
      </c>
      <c r="J10" s="176" t="s">
        <v>132</v>
      </c>
      <c r="K10" s="218" t="s">
        <v>15</v>
      </c>
      <c r="L10" s="178">
        <v>43</v>
      </c>
      <c r="M10" s="219">
        <v>750</v>
      </c>
      <c r="N10" s="369">
        <f t="shared" si="1"/>
        <v>34062.450000000004</v>
      </c>
      <c r="P10" s="167">
        <v>100119</v>
      </c>
      <c r="Q10" s="170" t="s">
        <v>59</v>
      </c>
      <c r="R10" s="168" t="s">
        <v>3</v>
      </c>
      <c r="S10" s="166">
        <f>49+40+170+20</f>
        <v>279</v>
      </c>
      <c r="T10" s="380">
        <v>10250</v>
      </c>
      <c r="U10" s="169">
        <f t="shared" si="2"/>
        <v>3020467.95</v>
      </c>
      <c r="W10" s="471">
        <v>100119</v>
      </c>
      <c r="X10" s="472" t="s">
        <v>59</v>
      </c>
      <c r="Y10" s="473" t="s">
        <v>3</v>
      </c>
      <c r="Z10" s="474">
        <f>49+40+170+20</f>
        <v>279</v>
      </c>
      <c r="AA10" s="483">
        <v>10250</v>
      </c>
      <c r="AB10" s="476">
        <f t="shared" si="3"/>
        <v>3020467.95</v>
      </c>
    </row>
    <row r="11" spans="1:28" x14ac:dyDescent="0.25">
      <c r="A11" s="16">
        <v>190524</v>
      </c>
      <c r="B11" s="136" t="s">
        <v>16</v>
      </c>
      <c r="C11" s="17" t="s">
        <v>15</v>
      </c>
      <c r="D11" s="4">
        <v>94</v>
      </c>
      <c r="E11" s="18">
        <v>52040</v>
      </c>
      <c r="F11" s="6">
        <f t="shared" si="0"/>
        <v>5166676.9120000005</v>
      </c>
      <c r="I11" s="175">
        <v>10215</v>
      </c>
      <c r="J11" s="176" t="s">
        <v>132</v>
      </c>
      <c r="K11" s="218" t="s">
        <v>15</v>
      </c>
      <c r="L11" s="178">
        <v>116.735</v>
      </c>
      <c r="M11" s="219">
        <v>750</v>
      </c>
      <c r="N11" s="369">
        <f t="shared" si="1"/>
        <v>92471.630250000002</v>
      </c>
      <c r="P11" s="390">
        <v>100214</v>
      </c>
      <c r="Q11" s="391" t="s">
        <v>70</v>
      </c>
      <c r="R11" s="392" t="s">
        <v>3</v>
      </c>
      <c r="S11" s="166">
        <f>40.43+59.86</f>
        <v>100.28999999999999</v>
      </c>
      <c r="T11" s="393">
        <v>6170</v>
      </c>
      <c r="U11" s="169">
        <f t="shared" si="2"/>
        <v>653565.25865999993</v>
      </c>
      <c r="W11" s="489">
        <v>100214</v>
      </c>
      <c r="X11" s="490" t="s">
        <v>70</v>
      </c>
      <c r="Y11" s="491" t="s">
        <v>3</v>
      </c>
      <c r="Z11" s="474">
        <f>40.43+59.86</f>
        <v>100.28999999999999</v>
      </c>
      <c r="AA11" s="492">
        <v>6170</v>
      </c>
      <c r="AB11" s="476">
        <f t="shared" si="3"/>
        <v>653565.25865999993</v>
      </c>
    </row>
    <row r="12" spans="1:28" x14ac:dyDescent="0.25">
      <c r="A12" s="16">
        <v>140117</v>
      </c>
      <c r="B12" s="136" t="s">
        <v>17</v>
      </c>
      <c r="C12" s="17" t="s">
        <v>15</v>
      </c>
      <c r="D12" s="4">
        <v>42</v>
      </c>
      <c r="E12" s="18">
        <v>49900</v>
      </c>
      <c r="F12" s="6">
        <f t="shared" si="0"/>
        <v>2213583.96</v>
      </c>
      <c r="I12" s="175">
        <v>60810</v>
      </c>
      <c r="J12" s="176" t="s">
        <v>73</v>
      </c>
      <c r="K12" s="177" t="s">
        <v>7</v>
      </c>
      <c r="L12" s="178">
        <v>14.05</v>
      </c>
      <c r="M12" s="179">
        <v>13690</v>
      </c>
      <c r="N12" s="369">
        <f t="shared" si="1"/>
        <v>203154.26089999999</v>
      </c>
      <c r="P12" s="175">
        <v>100219</v>
      </c>
      <c r="Q12" s="176" t="s">
        <v>149</v>
      </c>
      <c r="R12" s="218" t="s">
        <v>3</v>
      </c>
      <c r="S12" s="178">
        <v>30.13</v>
      </c>
      <c r="T12" s="219">
        <v>20470</v>
      </c>
      <c r="U12" s="369">
        <f t="shared" si="2"/>
        <v>651423.07382000005</v>
      </c>
      <c r="W12" s="471">
        <v>100219</v>
      </c>
      <c r="X12" s="472" t="s">
        <v>149</v>
      </c>
      <c r="Y12" s="493" t="s">
        <v>3</v>
      </c>
      <c r="Z12" s="474">
        <v>30.13</v>
      </c>
      <c r="AA12" s="477">
        <v>20470</v>
      </c>
      <c r="AB12" s="476">
        <f t="shared" si="3"/>
        <v>651423.07382000005</v>
      </c>
    </row>
    <row r="13" spans="1:28" x14ac:dyDescent="0.25">
      <c r="A13" s="19">
        <v>200808</v>
      </c>
      <c r="B13" s="20" t="s">
        <v>18</v>
      </c>
      <c r="C13" s="21" t="s">
        <v>3</v>
      </c>
      <c r="D13" s="4">
        <v>43</v>
      </c>
      <c r="E13" s="15">
        <v>14420</v>
      </c>
      <c r="F13" s="6">
        <f t="shared" si="0"/>
        <v>654907.37199999997</v>
      </c>
      <c r="I13" s="276">
        <v>60810</v>
      </c>
      <c r="J13" s="229" t="s">
        <v>73</v>
      </c>
      <c r="K13" s="230" t="s">
        <v>7</v>
      </c>
      <c r="L13" s="231">
        <v>4.194</v>
      </c>
      <c r="M13" s="232">
        <v>13690</v>
      </c>
      <c r="N13" s="369">
        <f t="shared" si="1"/>
        <v>60642.631332000004</v>
      </c>
      <c r="P13" s="270">
        <v>100305</v>
      </c>
      <c r="Q13" s="202" t="s">
        <v>190</v>
      </c>
      <c r="R13" s="216" t="s">
        <v>15</v>
      </c>
      <c r="S13" s="217">
        <v>31.5</v>
      </c>
      <c r="T13" s="287">
        <v>8230</v>
      </c>
      <c r="U13" s="369">
        <f t="shared" si="2"/>
        <v>273814.56900000002</v>
      </c>
      <c r="W13" s="494">
        <v>100305</v>
      </c>
      <c r="X13" s="495" t="s">
        <v>190</v>
      </c>
      <c r="Y13" s="496" t="s">
        <v>15</v>
      </c>
      <c r="Z13" s="497">
        <v>31.5</v>
      </c>
      <c r="AA13" s="498">
        <v>8230</v>
      </c>
      <c r="AB13" s="476">
        <f t="shared" si="3"/>
        <v>273814.56900000002</v>
      </c>
    </row>
    <row r="14" spans="1:28" ht="14.25" customHeight="1" x14ac:dyDescent="0.25">
      <c r="A14" s="22">
        <v>182115</v>
      </c>
      <c r="B14" s="136" t="s">
        <v>19</v>
      </c>
      <c r="C14" s="17" t="s">
        <v>3</v>
      </c>
      <c r="D14" s="4">
        <v>70</v>
      </c>
      <c r="E14" s="18">
        <v>67990</v>
      </c>
      <c r="F14" s="6">
        <f t="shared" si="0"/>
        <v>5026772.66</v>
      </c>
      <c r="I14" s="291">
        <v>60810</v>
      </c>
      <c r="J14" s="176" t="s">
        <v>73</v>
      </c>
      <c r="K14" s="177" t="s">
        <v>7</v>
      </c>
      <c r="L14" s="178">
        <v>18.830000000000002</v>
      </c>
      <c r="M14" s="179">
        <v>13690</v>
      </c>
      <c r="N14" s="369">
        <f t="shared" si="1"/>
        <v>272270.08774000005</v>
      </c>
      <c r="P14" s="394">
        <v>100308</v>
      </c>
      <c r="Q14" s="395" t="s">
        <v>72</v>
      </c>
      <c r="R14" s="396" t="s">
        <v>3</v>
      </c>
      <c r="S14" s="166">
        <f>55.98+58.23</f>
        <v>114.21</v>
      </c>
      <c r="T14" s="397">
        <v>2270</v>
      </c>
      <c r="U14" s="169">
        <f t="shared" si="2"/>
        <v>273826.92654000001</v>
      </c>
      <c r="W14" s="489">
        <v>100308</v>
      </c>
      <c r="X14" s="490" t="s">
        <v>72</v>
      </c>
      <c r="Y14" s="491" t="s">
        <v>3</v>
      </c>
      <c r="Z14" s="474">
        <f>55.98+58.23</f>
        <v>114.21</v>
      </c>
      <c r="AA14" s="492">
        <v>2270</v>
      </c>
      <c r="AB14" s="476">
        <f t="shared" si="3"/>
        <v>273826.92654000001</v>
      </c>
    </row>
    <row r="15" spans="1:28" x14ac:dyDescent="0.25">
      <c r="A15" s="160">
        <v>180820</v>
      </c>
      <c r="B15" s="161" t="s">
        <v>20</v>
      </c>
      <c r="C15" s="162" t="s">
        <v>15</v>
      </c>
      <c r="D15" s="163">
        <v>73.709999999999994</v>
      </c>
      <c r="E15" s="164">
        <v>55250</v>
      </c>
      <c r="F15" s="165">
        <f t="shared" si="0"/>
        <v>4301350.7354999995</v>
      </c>
      <c r="I15" s="291">
        <v>100103</v>
      </c>
      <c r="J15" s="176" t="s">
        <v>165</v>
      </c>
      <c r="K15" s="177" t="s">
        <v>1</v>
      </c>
      <c r="L15" s="178">
        <v>1</v>
      </c>
      <c r="M15" s="221">
        <v>2344980</v>
      </c>
      <c r="N15" s="369">
        <f t="shared" si="1"/>
        <v>2476767.8760000002</v>
      </c>
      <c r="P15" s="300">
        <v>100312</v>
      </c>
      <c r="Q15" s="185" t="s">
        <v>71</v>
      </c>
      <c r="R15" s="186" t="s">
        <v>15</v>
      </c>
      <c r="S15" s="178">
        <v>3.88</v>
      </c>
      <c r="T15" s="187">
        <v>27630</v>
      </c>
      <c r="U15" s="369">
        <f t="shared" si="2"/>
        <v>113229.28727999999</v>
      </c>
      <c r="W15" s="489">
        <v>100312</v>
      </c>
      <c r="X15" s="490" t="s">
        <v>71</v>
      </c>
      <c r="Y15" s="491" t="s">
        <v>15</v>
      </c>
      <c r="Z15" s="474">
        <v>3.88</v>
      </c>
      <c r="AA15" s="492">
        <v>27630</v>
      </c>
      <c r="AB15" s="476">
        <f t="shared" si="3"/>
        <v>113229.28727999999</v>
      </c>
    </row>
    <row r="16" spans="1:28" x14ac:dyDescent="0.25">
      <c r="A16" s="22">
        <v>180803</v>
      </c>
      <c r="B16" s="24" t="s">
        <v>21</v>
      </c>
      <c r="C16" s="17" t="s">
        <v>3</v>
      </c>
      <c r="D16" s="4">
        <v>12.6</v>
      </c>
      <c r="E16" s="18">
        <v>42110</v>
      </c>
      <c r="F16" s="6">
        <f t="shared" si="0"/>
        <v>560404.93319999997</v>
      </c>
      <c r="I16" s="301">
        <v>100113</v>
      </c>
      <c r="J16" s="222" t="s">
        <v>148</v>
      </c>
      <c r="K16" s="203" t="s">
        <v>15</v>
      </c>
      <c r="L16" s="183">
        <v>34.94</v>
      </c>
      <c r="M16" s="223">
        <v>3980</v>
      </c>
      <c r="N16" s="369">
        <f t="shared" si="1"/>
        <v>146876.43943999999</v>
      </c>
      <c r="P16" s="386">
        <v>100314</v>
      </c>
      <c r="Q16" s="170" t="s">
        <v>67</v>
      </c>
      <c r="R16" s="168" t="s">
        <v>15</v>
      </c>
      <c r="S16" s="166">
        <f>220.95+233.6+52+12</f>
        <v>518.54999999999995</v>
      </c>
      <c r="T16" s="379">
        <v>5050</v>
      </c>
      <c r="U16" s="169">
        <f t="shared" si="2"/>
        <v>2765847.1754999999</v>
      </c>
      <c r="W16" s="471">
        <v>100314</v>
      </c>
      <c r="X16" s="472" t="s">
        <v>67</v>
      </c>
      <c r="Y16" s="473" t="s">
        <v>15</v>
      </c>
      <c r="Z16" s="474">
        <f>220.95+233.6+52+12</f>
        <v>518.54999999999995</v>
      </c>
      <c r="AA16" s="477">
        <v>5050</v>
      </c>
      <c r="AB16" s="476">
        <f t="shared" si="3"/>
        <v>2765847.1754999999</v>
      </c>
    </row>
    <row r="17" spans="1:28" x14ac:dyDescent="0.25">
      <c r="A17" s="11">
        <v>130411</v>
      </c>
      <c r="B17" s="12" t="s">
        <v>22</v>
      </c>
      <c r="C17" s="13" t="s">
        <v>7</v>
      </c>
      <c r="D17" s="4">
        <v>1.72</v>
      </c>
      <c r="E17" s="14">
        <v>917520</v>
      </c>
      <c r="F17" s="6">
        <f t="shared" si="0"/>
        <v>1666825.5532799999</v>
      </c>
      <c r="I17" s="175">
        <v>100119</v>
      </c>
      <c r="J17" s="176" t="s">
        <v>59</v>
      </c>
      <c r="K17" s="177" t="s">
        <v>3</v>
      </c>
      <c r="L17" s="178">
        <v>49</v>
      </c>
      <c r="M17" s="221">
        <v>10250</v>
      </c>
      <c r="N17" s="369">
        <f t="shared" si="1"/>
        <v>530476.45000000007</v>
      </c>
      <c r="P17" s="175">
        <v>100401</v>
      </c>
      <c r="Q17" s="310" t="s">
        <v>162</v>
      </c>
      <c r="R17" s="350" t="s">
        <v>15</v>
      </c>
      <c r="S17" s="356">
        <v>113.11</v>
      </c>
      <c r="T17" s="219">
        <v>4640</v>
      </c>
      <c r="U17" s="369">
        <f t="shared" si="2"/>
        <v>554325.86848000006</v>
      </c>
      <c r="W17" s="471">
        <v>100401</v>
      </c>
      <c r="X17" s="472" t="s">
        <v>162</v>
      </c>
      <c r="Y17" s="473" t="s">
        <v>15</v>
      </c>
      <c r="Z17" s="474">
        <v>113.11</v>
      </c>
      <c r="AA17" s="477">
        <v>4640</v>
      </c>
      <c r="AB17" s="476">
        <f t="shared" si="3"/>
        <v>554325.86848000006</v>
      </c>
    </row>
    <row r="18" spans="1:28" x14ac:dyDescent="0.25">
      <c r="A18" s="22">
        <v>150205</v>
      </c>
      <c r="B18" s="136" t="s">
        <v>23</v>
      </c>
      <c r="C18" s="17" t="s">
        <v>3</v>
      </c>
      <c r="D18" s="4">
        <v>39.4</v>
      </c>
      <c r="E18" s="18">
        <v>46400</v>
      </c>
      <c r="F18" s="6">
        <f t="shared" si="0"/>
        <v>1930902.5919999999</v>
      </c>
      <c r="I18" s="301">
        <v>100119</v>
      </c>
      <c r="J18" s="222" t="s">
        <v>59</v>
      </c>
      <c r="K18" s="203" t="s">
        <v>3</v>
      </c>
      <c r="L18" s="209">
        <v>40</v>
      </c>
      <c r="M18" s="223">
        <v>10250</v>
      </c>
      <c r="N18" s="369">
        <f t="shared" si="1"/>
        <v>433042</v>
      </c>
      <c r="P18" s="394">
        <v>100407</v>
      </c>
      <c r="Q18" s="395" t="s">
        <v>64</v>
      </c>
      <c r="R18" s="396" t="s">
        <v>15</v>
      </c>
      <c r="S18" s="166">
        <f>161.42+67.5+34.94</f>
        <v>263.86</v>
      </c>
      <c r="T18" s="397">
        <v>6490</v>
      </c>
      <c r="U18" s="169">
        <f t="shared" si="2"/>
        <v>1808691.1686800001</v>
      </c>
      <c r="W18" s="489">
        <v>100407</v>
      </c>
      <c r="X18" s="490" t="s">
        <v>64</v>
      </c>
      <c r="Y18" s="491" t="s">
        <v>15</v>
      </c>
      <c r="Z18" s="474">
        <f>161.42+67.5+34.94</f>
        <v>263.86</v>
      </c>
      <c r="AA18" s="492">
        <v>6490</v>
      </c>
      <c r="AB18" s="476">
        <f t="shared" si="3"/>
        <v>1808691.1686800001</v>
      </c>
    </row>
    <row r="19" spans="1:28" x14ac:dyDescent="0.25">
      <c r="A19" s="22">
        <v>180410</v>
      </c>
      <c r="B19" s="143" t="s">
        <v>24</v>
      </c>
      <c r="C19" s="25" t="s">
        <v>15</v>
      </c>
      <c r="D19" s="4">
        <v>94</v>
      </c>
      <c r="E19" s="26">
        <v>49570</v>
      </c>
      <c r="F19" s="6">
        <f t="shared" si="0"/>
        <v>4921448.3959999997</v>
      </c>
      <c r="I19" s="291">
        <v>100119</v>
      </c>
      <c r="J19" s="312" t="s">
        <v>59</v>
      </c>
      <c r="K19" s="259" t="s">
        <v>3</v>
      </c>
      <c r="L19" s="178">
        <v>170</v>
      </c>
      <c r="M19" s="331">
        <v>10250</v>
      </c>
      <c r="N19" s="369">
        <f t="shared" si="1"/>
        <v>1840428.5</v>
      </c>
      <c r="P19" s="175">
        <v>100408</v>
      </c>
      <c r="Q19" s="182" t="s">
        <v>196</v>
      </c>
      <c r="R19" s="214" t="s">
        <v>15</v>
      </c>
      <c r="S19" s="214">
        <v>150</v>
      </c>
      <c r="T19" s="292">
        <v>4590</v>
      </c>
      <c r="U19" s="369">
        <f t="shared" si="2"/>
        <v>727193.70000000007</v>
      </c>
      <c r="W19" s="471">
        <v>100408</v>
      </c>
      <c r="X19" s="499" t="s">
        <v>196</v>
      </c>
      <c r="Y19" s="500" t="s">
        <v>15</v>
      </c>
      <c r="Z19" s="500">
        <v>150</v>
      </c>
      <c r="AA19" s="501">
        <v>4590</v>
      </c>
      <c r="AB19" s="476">
        <f t="shared" si="3"/>
        <v>727193.70000000007</v>
      </c>
    </row>
    <row r="20" spans="1:28" x14ac:dyDescent="0.25">
      <c r="A20" s="22">
        <v>181213</v>
      </c>
      <c r="B20" s="143" t="s">
        <v>25</v>
      </c>
      <c r="C20" s="25" t="s">
        <v>3</v>
      </c>
      <c r="D20" s="4">
        <v>12</v>
      </c>
      <c r="E20" s="26">
        <v>26500</v>
      </c>
      <c r="F20" s="6">
        <f t="shared" si="0"/>
        <v>335871.60000000003</v>
      </c>
      <c r="I20" s="291">
        <v>100119</v>
      </c>
      <c r="J20" s="312" t="s">
        <v>59</v>
      </c>
      <c r="K20" s="259" t="s">
        <v>3</v>
      </c>
      <c r="L20" s="257">
        <v>20</v>
      </c>
      <c r="M20" s="331">
        <v>10250</v>
      </c>
      <c r="N20" s="369">
        <f t="shared" si="1"/>
        <v>216521</v>
      </c>
      <c r="P20" s="275">
        <v>100413</v>
      </c>
      <c r="Q20" s="222" t="s">
        <v>146</v>
      </c>
      <c r="R20" s="203" t="s">
        <v>15</v>
      </c>
      <c r="S20" s="225">
        <v>39.479999999999997</v>
      </c>
      <c r="T20" s="223">
        <v>30160</v>
      </c>
      <c r="U20" s="369">
        <f t="shared" si="2"/>
        <v>1257635.0841599999</v>
      </c>
      <c r="W20" s="502">
        <v>100413</v>
      </c>
      <c r="X20" s="485" t="s">
        <v>146</v>
      </c>
      <c r="Y20" s="486" t="s">
        <v>15</v>
      </c>
      <c r="Z20" s="503">
        <v>39.479999999999997</v>
      </c>
      <c r="AA20" s="488">
        <v>30160</v>
      </c>
      <c r="AB20" s="476">
        <f t="shared" si="3"/>
        <v>1257635.0841599999</v>
      </c>
    </row>
    <row r="21" spans="1:28" x14ac:dyDescent="0.25">
      <c r="A21" s="22">
        <v>320203</v>
      </c>
      <c r="B21" s="27" t="s">
        <v>26</v>
      </c>
      <c r="C21" s="25" t="s">
        <v>27</v>
      </c>
      <c r="D21" s="4">
        <v>10</v>
      </c>
      <c r="E21" s="26">
        <v>13980</v>
      </c>
      <c r="F21" s="6">
        <f t="shared" si="0"/>
        <v>147656.76</v>
      </c>
      <c r="I21" s="300">
        <v>100214</v>
      </c>
      <c r="J21" s="314" t="s">
        <v>70</v>
      </c>
      <c r="K21" s="320" t="s">
        <v>3</v>
      </c>
      <c r="L21" s="178">
        <v>40.43</v>
      </c>
      <c r="M21" s="328">
        <v>6170</v>
      </c>
      <c r="N21" s="369">
        <f t="shared" si="1"/>
        <v>263472.36421999999</v>
      </c>
      <c r="P21" s="175">
        <v>100419</v>
      </c>
      <c r="Q21" s="182" t="s">
        <v>66</v>
      </c>
      <c r="R21" s="177" t="s">
        <v>15</v>
      </c>
      <c r="S21" s="178">
        <v>53.78</v>
      </c>
      <c r="T21" s="219">
        <v>3820</v>
      </c>
      <c r="U21" s="369">
        <f t="shared" si="2"/>
        <v>216985.30552000002</v>
      </c>
      <c r="W21" s="471">
        <v>100419</v>
      </c>
      <c r="X21" s="499" t="s">
        <v>66</v>
      </c>
      <c r="Y21" s="473" t="s">
        <v>15</v>
      </c>
      <c r="Z21" s="474">
        <v>53.78</v>
      </c>
      <c r="AA21" s="477">
        <v>3820</v>
      </c>
      <c r="AB21" s="476">
        <f t="shared" si="3"/>
        <v>216985.30552000002</v>
      </c>
    </row>
    <row r="22" spans="1:28" x14ac:dyDescent="0.25">
      <c r="A22" s="28">
        <v>220313</v>
      </c>
      <c r="B22" s="29" t="s">
        <v>28</v>
      </c>
      <c r="C22" s="30" t="s">
        <v>15</v>
      </c>
      <c r="D22" s="4">
        <v>3.5</v>
      </c>
      <c r="E22" s="31">
        <v>251370</v>
      </c>
      <c r="F22" s="6">
        <f t="shared" si="0"/>
        <v>929239.47900000005</v>
      </c>
      <c r="I22" s="184">
        <v>100214</v>
      </c>
      <c r="J22" s="185" t="s">
        <v>70</v>
      </c>
      <c r="K22" s="186" t="s">
        <v>3</v>
      </c>
      <c r="L22" s="178">
        <v>59.86</v>
      </c>
      <c r="M22" s="187">
        <v>6170</v>
      </c>
      <c r="N22" s="369">
        <f t="shared" si="1"/>
        <v>390092.89444</v>
      </c>
      <c r="P22" s="274">
        <v>100501</v>
      </c>
      <c r="Q22" s="222" t="s">
        <v>142</v>
      </c>
      <c r="R22" s="203" t="s">
        <v>1</v>
      </c>
      <c r="S22" s="209">
        <v>14</v>
      </c>
      <c r="T22" s="223">
        <v>25710</v>
      </c>
      <c r="U22" s="369">
        <f t="shared" si="2"/>
        <v>380168.62800000003</v>
      </c>
      <c r="W22" s="484">
        <v>100501</v>
      </c>
      <c r="X22" s="485" t="s">
        <v>142</v>
      </c>
      <c r="Y22" s="486" t="s">
        <v>1</v>
      </c>
      <c r="Z22" s="504">
        <v>14</v>
      </c>
      <c r="AA22" s="488">
        <v>25710</v>
      </c>
      <c r="AB22" s="476">
        <f t="shared" si="3"/>
        <v>380168.62800000003</v>
      </c>
    </row>
    <row r="23" spans="1:28" x14ac:dyDescent="0.25">
      <c r="A23" s="28">
        <v>220405</v>
      </c>
      <c r="B23" s="29" t="s">
        <v>29</v>
      </c>
      <c r="C23" s="30" t="s">
        <v>1</v>
      </c>
      <c r="D23" s="4">
        <v>1</v>
      </c>
      <c r="E23" s="31">
        <v>162640</v>
      </c>
      <c r="F23" s="6">
        <f t="shared" si="0"/>
        <v>171780.36800000002</v>
      </c>
      <c r="I23" s="175">
        <v>100219</v>
      </c>
      <c r="J23" s="176" t="s">
        <v>149</v>
      </c>
      <c r="K23" s="218" t="s">
        <v>3</v>
      </c>
      <c r="L23" s="178">
        <v>30.13</v>
      </c>
      <c r="M23" s="219">
        <v>20470</v>
      </c>
      <c r="N23" s="369">
        <f t="shared" si="1"/>
        <v>651423.07382000005</v>
      </c>
      <c r="P23" s="175">
        <v>100502</v>
      </c>
      <c r="Q23" s="182" t="s">
        <v>65</v>
      </c>
      <c r="R23" s="177" t="s">
        <v>15</v>
      </c>
      <c r="S23" s="178">
        <v>95.61</v>
      </c>
      <c r="T23" s="219">
        <v>4550</v>
      </c>
      <c r="U23" s="369">
        <f t="shared" si="2"/>
        <v>459473.93310000002</v>
      </c>
      <c r="W23" s="471">
        <v>100502</v>
      </c>
      <c r="X23" s="499" t="s">
        <v>65</v>
      </c>
      <c r="Y23" s="473" t="s">
        <v>15</v>
      </c>
      <c r="Z23" s="474">
        <v>95.61</v>
      </c>
      <c r="AA23" s="477">
        <v>4550</v>
      </c>
      <c r="AB23" s="476">
        <f t="shared" si="3"/>
        <v>459473.93310000002</v>
      </c>
    </row>
    <row r="24" spans="1:28" x14ac:dyDescent="0.25">
      <c r="A24" s="28">
        <v>290407</v>
      </c>
      <c r="B24" s="29" t="s">
        <v>30</v>
      </c>
      <c r="C24" s="30" t="s">
        <v>15</v>
      </c>
      <c r="D24" s="4">
        <v>3.5756410000000001</v>
      </c>
      <c r="E24" s="31">
        <v>10130</v>
      </c>
      <c r="F24" s="6">
        <f t="shared" si="0"/>
        <v>38256.877205145996</v>
      </c>
      <c r="I24" s="270">
        <v>100305</v>
      </c>
      <c r="J24" s="202" t="s">
        <v>190</v>
      </c>
      <c r="K24" s="216" t="s">
        <v>15</v>
      </c>
      <c r="L24" s="217">
        <v>31.5</v>
      </c>
      <c r="M24" s="287">
        <v>8230</v>
      </c>
      <c r="N24" s="369">
        <f t="shared" si="1"/>
        <v>273814.56900000002</v>
      </c>
      <c r="P24" s="167">
        <v>100505</v>
      </c>
      <c r="Q24" s="170" t="s">
        <v>60</v>
      </c>
      <c r="R24" s="168" t="s">
        <v>15</v>
      </c>
      <c r="S24" s="166">
        <f>170+39.48+181.68</f>
        <v>391.15999999999997</v>
      </c>
      <c r="T24" s="379">
        <v>5120</v>
      </c>
      <c r="U24" s="169">
        <f t="shared" si="2"/>
        <v>2115293.1430399995</v>
      </c>
      <c r="W24" s="471">
        <v>100505</v>
      </c>
      <c r="X24" s="472" t="s">
        <v>60</v>
      </c>
      <c r="Y24" s="473" t="s">
        <v>15</v>
      </c>
      <c r="Z24" s="474">
        <f>170+39.48+181.68</f>
        <v>391.15999999999997</v>
      </c>
      <c r="AA24" s="477">
        <v>5120</v>
      </c>
      <c r="AB24" s="476">
        <f t="shared" si="3"/>
        <v>2115293.1430399995</v>
      </c>
    </row>
    <row r="25" spans="1:28" x14ac:dyDescent="0.25">
      <c r="A25" s="28">
        <v>290417</v>
      </c>
      <c r="B25" s="29" t="s">
        <v>31</v>
      </c>
      <c r="C25" s="30" t="s">
        <v>1</v>
      </c>
      <c r="D25" s="4">
        <v>4</v>
      </c>
      <c r="E25" s="31">
        <v>21280</v>
      </c>
      <c r="F25" s="6">
        <f t="shared" si="0"/>
        <v>89903.744000000006</v>
      </c>
      <c r="I25" s="184">
        <v>100308</v>
      </c>
      <c r="J25" s="185" t="s">
        <v>72</v>
      </c>
      <c r="K25" s="186" t="s">
        <v>3</v>
      </c>
      <c r="L25" s="178">
        <v>55.98</v>
      </c>
      <c r="M25" s="187">
        <v>2270</v>
      </c>
      <c r="N25" s="369">
        <f t="shared" si="1"/>
        <v>134216.19251999998</v>
      </c>
      <c r="P25" s="407">
        <v>100515</v>
      </c>
      <c r="Q25" s="382" t="s">
        <v>145</v>
      </c>
      <c r="R25" s="383" t="s">
        <v>1</v>
      </c>
      <c r="S25" s="384">
        <v>3</v>
      </c>
      <c r="T25" s="385">
        <v>18230</v>
      </c>
      <c r="U25" s="169">
        <f t="shared" si="2"/>
        <v>57763.578000000001</v>
      </c>
      <c r="W25" s="484">
        <v>100515</v>
      </c>
      <c r="X25" s="485" t="s">
        <v>145</v>
      </c>
      <c r="Y25" s="486" t="s">
        <v>1</v>
      </c>
      <c r="Z25" s="504">
        <v>3</v>
      </c>
      <c r="AA25" s="488">
        <v>18230</v>
      </c>
      <c r="AB25" s="476">
        <f t="shared" si="3"/>
        <v>57763.578000000001</v>
      </c>
    </row>
    <row r="26" spans="1:28" x14ac:dyDescent="0.25">
      <c r="A26" s="22">
        <v>170659</v>
      </c>
      <c r="B26" s="32" t="s">
        <v>32</v>
      </c>
      <c r="C26" s="30" t="s">
        <v>1</v>
      </c>
      <c r="D26" s="4">
        <v>6</v>
      </c>
      <c r="E26" s="18">
        <v>62150</v>
      </c>
      <c r="F26" s="6">
        <f t="shared" si="0"/>
        <v>393856.98</v>
      </c>
      <c r="I26" s="300">
        <v>100308</v>
      </c>
      <c r="J26" s="185" t="s">
        <v>72</v>
      </c>
      <c r="K26" s="186" t="s">
        <v>3</v>
      </c>
      <c r="L26" s="178">
        <v>58.23</v>
      </c>
      <c r="M26" s="187">
        <v>2270</v>
      </c>
      <c r="N26" s="369">
        <f t="shared" si="1"/>
        <v>139610.73402</v>
      </c>
      <c r="P26" s="270">
        <v>100521</v>
      </c>
      <c r="Q26" s="202" t="s">
        <v>186</v>
      </c>
      <c r="R26" s="216" t="s">
        <v>15</v>
      </c>
      <c r="S26" s="217">
        <v>160</v>
      </c>
      <c r="T26" s="287">
        <v>2720</v>
      </c>
      <c r="U26" s="369">
        <f t="shared" si="2"/>
        <v>459658.23999999999</v>
      </c>
      <c r="W26" s="494">
        <v>100521</v>
      </c>
      <c r="X26" s="495" t="s">
        <v>186</v>
      </c>
      <c r="Y26" s="496" t="s">
        <v>15</v>
      </c>
      <c r="Z26" s="497">
        <v>160</v>
      </c>
      <c r="AA26" s="498">
        <v>2720</v>
      </c>
      <c r="AB26" s="476">
        <f t="shared" si="3"/>
        <v>459658.23999999999</v>
      </c>
    </row>
    <row r="27" spans="1:28" x14ac:dyDescent="0.25">
      <c r="A27" s="22">
        <v>170538</v>
      </c>
      <c r="B27" s="32" t="s">
        <v>33</v>
      </c>
      <c r="C27" s="30" t="s">
        <v>1</v>
      </c>
      <c r="D27" s="4">
        <v>1</v>
      </c>
      <c r="E27" s="18">
        <v>113280</v>
      </c>
      <c r="F27" s="6">
        <f t="shared" si="0"/>
        <v>119646.33600000001</v>
      </c>
      <c r="I27" s="300">
        <v>100312</v>
      </c>
      <c r="J27" s="185" t="s">
        <v>71</v>
      </c>
      <c r="K27" s="186" t="s">
        <v>15</v>
      </c>
      <c r="L27" s="178">
        <v>3.88</v>
      </c>
      <c r="M27" s="187">
        <v>27630</v>
      </c>
      <c r="N27" s="369">
        <f t="shared" si="1"/>
        <v>113229.28727999999</v>
      </c>
      <c r="P27" s="274">
        <v>100532</v>
      </c>
      <c r="Q27" s="222" t="s">
        <v>144</v>
      </c>
      <c r="R27" s="203" t="s">
        <v>3</v>
      </c>
      <c r="S27" s="209">
        <v>12</v>
      </c>
      <c r="T27" s="223">
        <v>2700</v>
      </c>
      <c r="U27" s="369">
        <f t="shared" si="2"/>
        <v>34220.879999999997</v>
      </c>
      <c r="W27" s="484">
        <v>100532</v>
      </c>
      <c r="X27" s="485" t="s">
        <v>144</v>
      </c>
      <c r="Y27" s="486" t="s">
        <v>3</v>
      </c>
      <c r="Z27" s="504">
        <v>12</v>
      </c>
      <c r="AA27" s="488">
        <v>2700</v>
      </c>
      <c r="AB27" s="476">
        <f t="shared" si="3"/>
        <v>34220.879999999997</v>
      </c>
    </row>
    <row r="28" spans="1:28" x14ac:dyDescent="0.25">
      <c r="A28" s="22">
        <v>173306</v>
      </c>
      <c r="B28" s="32" t="s">
        <v>34</v>
      </c>
      <c r="C28" s="30" t="s">
        <v>3</v>
      </c>
      <c r="D28" s="4">
        <v>30</v>
      </c>
      <c r="E28" s="18">
        <v>20260</v>
      </c>
      <c r="F28" s="6">
        <f t="shared" si="0"/>
        <v>641958.36</v>
      </c>
      <c r="I28" s="291">
        <v>100314</v>
      </c>
      <c r="J28" s="176" t="s">
        <v>67</v>
      </c>
      <c r="K28" s="177" t="s">
        <v>15</v>
      </c>
      <c r="L28" s="178">
        <v>220.95</v>
      </c>
      <c r="M28" s="219">
        <v>5050</v>
      </c>
      <c r="N28" s="369">
        <f t="shared" si="1"/>
        <v>1178505.3195</v>
      </c>
      <c r="P28" s="167">
        <v>100536</v>
      </c>
      <c r="Q28" s="409" t="s">
        <v>61</v>
      </c>
      <c r="R28" s="168" t="s">
        <v>62</v>
      </c>
      <c r="S28" s="166">
        <f>80+156</f>
        <v>236</v>
      </c>
      <c r="T28" s="379">
        <v>1800</v>
      </c>
      <c r="U28" s="169">
        <f t="shared" si="2"/>
        <v>448673.76</v>
      </c>
      <c r="W28" s="471">
        <v>100536</v>
      </c>
      <c r="X28" s="499" t="s">
        <v>61</v>
      </c>
      <c r="Y28" s="473" t="s">
        <v>62</v>
      </c>
      <c r="Z28" s="474">
        <f>80+156</f>
        <v>236</v>
      </c>
      <c r="AA28" s="477">
        <v>1800</v>
      </c>
      <c r="AB28" s="476">
        <f t="shared" si="3"/>
        <v>448673.76</v>
      </c>
    </row>
    <row r="29" spans="1:28" x14ac:dyDescent="0.25">
      <c r="A29" s="22">
        <v>170134</v>
      </c>
      <c r="B29" s="32" t="s">
        <v>35</v>
      </c>
      <c r="C29" s="30" t="s">
        <v>3</v>
      </c>
      <c r="D29" s="4">
        <v>50</v>
      </c>
      <c r="E29" s="18">
        <v>4650</v>
      </c>
      <c r="F29" s="6">
        <f t="shared" si="0"/>
        <v>245566.5</v>
      </c>
      <c r="I29" s="291">
        <v>100314</v>
      </c>
      <c r="J29" s="176" t="s">
        <v>67</v>
      </c>
      <c r="K29" s="177" t="s">
        <v>15</v>
      </c>
      <c r="L29" s="178">
        <v>233.6</v>
      </c>
      <c r="M29" s="219">
        <v>5050</v>
      </c>
      <c r="N29" s="369">
        <f t="shared" si="1"/>
        <v>1245978.0160000001</v>
      </c>
      <c r="P29" s="291">
        <v>100537</v>
      </c>
      <c r="Q29" s="176" t="s">
        <v>182</v>
      </c>
      <c r="R29" s="218" t="s">
        <v>15</v>
      </c>
      <c r="S29" s="257">
        <v>9.6</v>
      </c>
      <c r="T29" s="221">
        <v>9160</v>
      </c>
      <c r="U29" s="369">
        <f t="shared" si="2"/>
        <v>92878.003200000006</v>
      </c>
      <c r="W29" s="471">
        <v>100537</v>
      </c>
      <c r="X29" s="472" t="s">
        <v>182</v>
      </c>
      <c r="Y29" s="493" t="s">
        <v>15</v>
      </c>
      <c r="Z29" s="505">
        <v>9.6</v>
      </c>
      <c r="AA29" s="483">
        <v>9160</v>
      </c>
      <c r="AB29" s="476">
        <f t="shared" si="3"/>
        <v>92878.003200000006</v>
      </c>
    </row>
    <row r="30" spans="1:28" x14ac:dyDescent="0.25">
      <c r="A30" s="16">
        <v>170722</v>
      </c>
      <c r="B30" s="136" t="s">
        <v>36</v>
      </c>
      <c r="C30" s="33" t="s">
        <v>1</v>
      </c>
      <c r="D30" s="4">
        <v>4</v>
      </c>
      <c r="E30" s="18">
        <v>82790</v>
      </c>
      <c r="F30" s="6">
        <f t="shared" si="0"/>
        <v>349771.19199999998</v>
      </c>
      <c r="I30" s="175">
        <v>100314</v>
      </c>
      <c r="J30" s="176" t="s">
        <v>183</v>
      </c>
      <c r="K30" s="177" t="s">
        <v>15</v>
      </c>
      <c r="L30" s="257">
        <v>52</v>
      </c>
      <c r="M30" s="219">
        <v>5050</v>
      </c>
      <c r="N30" s="369">
        <f t="shared" si="1"/>
        <v>277358.12</v>
      </c>
      <c r="P30" s="291">
        <v>100538</v>
      </c>
      <c r="Q30" s="182" t="s">
        <v>63</v>
      </c>
      <c r="R30" s="177" t="s">
        <v>1</v>
      </c>
      <c r="S30" s="178">
        <v>6</v>
      </c>
      <c r="T30" s="219">
        <v>62750</v>
      </c>
      <c r="U30" s="369">
        <f t="shared" si="2"/>
        <v>397659.3</v>
      </c>
      <c r="W30" s="471">
        <v>100538</v>
      </c>
      <c r="X30" s="499" t="s">
        <v>63</v>
      </c>
      <c r="Y30" s="473" t="s">
        <v>1</v>
      </c>
      <c r="Z30" s="474">
        <v>6</v>
      </c>
      <c r="AA30" s="477">
        <v>62750</v>
      </c>
      <c r="AB30" s="476">
        <f t="shared" si="3"/>
        <v>397659.3</v>
      </c>
    </row>
    <row r="31" spans="1:28" x14ac:dyDescent="0.25">
      <c r="A31" s="11">
        <v>100608</v>
      </c>
      <c r="B31" s="12" t="s">
        <v>37</v>
      </c>
      <c r="C31" s="13" t="s">
        <v>7</v>
      </c>
      <c r="D31" s="10">
        <v>3</v>
      </c>
      <c r="E31" s="14">
        <v>16720</v>
      </c>
      <c r="F31" s="6">
        <f t="shared" si="0"/>
        <v>52978.991999999998</v>
      </c>
      <c r="I31" s="270">
        <v>100314</v>
      </c>
      <c r="J31" s="202" t="s">
        <v>191</v>
      </c>
      <c r="K31" s="216" t="s">
        <v>15</v>
      </c>
      <c r="L31" s="217">
        <v>12</v>
      </c>
      <c r="M31" s="287">
        <v>5050</v>
      </c>
      <c r="N31" s="369">
        <f t="shared" si="1"/>
        <v>64005.72</v>
      </c>
      <c r="P31" s="301">
        <v>100540</v>
      </c>
      <c r="Q31" s="222" t="s">
        <v>143</v>
      </c>
      <c r="R31" s="203" t="s">
        <v>1</v>
      </c>
      <c r="S31" s="209">
        <v>14</v>
      </c>
      <c r="T31" s="223">
        <v>18740</v>
      </c>
      <c r="U31" s="369">
        <f t="shared" si="2"/>
        <v>277104.63199999998</v>
      </c>
      <c r="W31" s="484">
        <v>100540</v>
      </c>
      <c r="X31" s="485" t="s">
        <v>143</v>
      </c>
      <c r="Y31" s="486" t="s">
        <v>1</v>
      </c>
      <c r="Z31" s="504">
        <v>14</v>
      </c>
      <c r="AA31" s="488">
        <v>18740</v>
      </c>
      <c r="AB31" s="476">
        <f t="shared" si="3"/>
        <v>277104.63199999998</v>
      </c>
    </row>
    <row r="32" spans="1:28" x14ac:dyDescent="0.25">
      <c r="A32" s="19">
        <v>310105</v>
      </c>
      <c r="B32" s="34" t="s">
        <v>38</v>
      </c>
      <c r="C32" s="19" t="s">
        <v>15</v>
      </c>
      <c r="D32" s="35">
        <v>94</v>
      </c>
      <c r="E32" s="15">
        <v>1780</v>
      </c>
      <c r="F32" s="6">
        <f t="shared" si="0"/>
        <v>176723.38399999999</v>
      </c>
      <c r="I32" s="175">
        <v>100401</v>
      </c>
      <c r="J32" s="310" t="s">
        <v>162</v>
      </c>
      <c r="K32" s="350" t="s">
        <v>15</v>
      </c>
      <c r="L32" s="356">
        <v>113.11</v>
      </c>
      <c r="M32" s="219">
        <v>4640</v>
      </c>
      <c r="N32" s="369">
        <f t="shared" si="1"/>
        <v>554325.86848000006</v>
      </c>
      <c r="P32" s="337">
        <v>100543</v>
      </c>
      <c r="Q32" s="347" t="s">
        <v>90</v>
      </c>
      <c r="R32" s="354" t="s">
        <v>15</v>
      </c>
      <c r="S32" s="360">
        <v>144.29</v>
      </c>
      <c r="T32" s="364">
        <v>4450</v>
      </c>
      <c r="U32" s="369">
        <f t="shared" si="2"/>
        <v>678175.98609999998</v>
      </c>
      <c r="W32" s="478">
        <v>100543</v>
      </c>
      <c r="X32" s="479" t="s">
        <v>90</v>
      </c>
      <c r="Y32" s="506" t="s">
        <v>15</v>
      </c>
      <c r="Z32" s="481">
        <v>144.29</v>
      </c>
      <c r="AA32" s="507">
        <v>4450</v>
      </c>
      <c r="AB32" s="476">
        <f t="shared" si="3"/>
        <v>678175.98609999998</v>
      </c>
    </row>
    <row r="33" spans="1:28" x14ac:dyDescent="0.25">
      <c r="A33" s="140">
        <v>140404</v>
      </c>
      <c r="B33" s="2" t="s">
        <v>39</v>
      </c>
      <c r="C33" s="3" t="s">
        <v>15</v>
      </c>
      <c r="D33" s="4">
        <v>1.52</v>
      </c>
      <c r="E33" s="5">
        <v>136700</v>
      </c>
      <c r="F33" s="6">
        <f t="shared" si="0"/>
        <v>219461.4608</v>
      </c>
      <c r="I33" s="184">
        <v>100407</v>
      </c>
      <c r="J33" s="185" t="s">
        <v>64</v>
      </c>
      <c r="K33" s="186" t="s">
        <v>15</v>
      </c>
      <c r="L33" s="178">
        <v>161.41999999999999</v>
      </c>
      <c r="M33" s="187">
        <v>6490</v>
      </c>
      <c r="N33" s="369">
        <f t="shared" si="1"/>
        <v>1106491.8079599999</v>
      </c>
      <c r="P33" s="415">
        <v>100608</v>
      </c>
      <c r="Q33" s="416" t="s">
        <v>37</v>
      </c>
      <c r="R33" s="417" t="s">
        <v>7</v>
      </c>
      <c r="S33" s="418">
        <f>26.7500414+5+2+2+15+60.24+2</f>
        <v>112.9900414</v>
      </c>
      <c r="T33" s="419">
        <v>16870</v>
      </c>
      <c r="U33" s="420">
        <f t="shared" si="2"/>
        <v>2013267.1787290915</v>
      </c>
      <c r="W33" s="494">
        <v>100608</v>
      </c>
      <c r="X33" s="495" t="s">
        <v>37</v>
      </c>
      <c r="Y33" s="496" t="s">
        <v>7</v>
      </c>
      <c r="Z33" s="474">
        <f>26.7500414+5+2+2+15+60.24+2</f>
        <v>112.9900414</v>
      </c>
      <c r="AA33" s="508">
        <v>16870</v>
      </c>
      <c r="AB33" s="476">
        <f t="shared" si="3"/>
        <v>2013267.1787290915</v>
      </c>
    </row>
    <row r="34" spans="1:28" x14ac:dyDescent="0.25">
      <c r="A34" s="22">
        <v>180410</v>
      </c>
      <c r="B34" s="143" t="s">
        <v>24</v>
      </c>
      <c r="C34" s="25" t="s">
        <v>15</v>
      </c>
      <c r="D34" s="4">
        <v>22.42</v>
      </c>
      <c r="E34" s="26">
        <v>49570</v>
      </c>
      <c r="F34" s="6">
        <f t="shared" ref="F34:F65" si="4">(D34*E34)*+(1+5.62%)</f>
        <v>1173817.7982800002</v>
      </c>
      <c r="I34" s="301">
        <v>100407</v>
      </c>
      <c r="J34" s="261" t="s">
        <v>98</v>
      </c>
      <c r="K34" s="322" t="s">
        <v>15</v>
      </c>
      <c r="L34" s="225">
        <v>67.5</v>
      </c>
      <c r="M34" s="329">
        <v>6490</v>
      </c>
      <c r="N34" s="369">
        <f t="shared" si="1"/>
        <v>462694.815</v>
      </c>
      <c r="P34" s="390">
        <v>100608</v>
      </c>
      <c r="Q34" s="391" t="s">
        <v>37</v>
      </c>
      <c r="R34" s="392" t="s">
        <v>7</v>
      </c>
      <c r="S34" s="410">
        <f>4.9676759+3</f>
        <v>7.9676758999999997</v>
      </c>
      <c r="T34" s="393">
        <v>16720</v>
      </c>
      <c r="U34" s="169">
        <f t="shared" si="2"/>
        <v>140706.4792548976</v>
      </c>
      <c r="W34" s="489">
        <v>100608</v>
      </c>
      <c r="X34" s="490" t="s">
        <v>37</v>
      </c>
      <c r="Y34" s="491" t="s">
        <v>7</v>
      </c>
      <c r="Z34" s="487">
        <f>4.9676759+3</f>
        <v>7.9676758999999997</v>
      </c>
      <c r="AA34" s="492">
        <v>16720</v>
      </c>
      <c r="AB34" s="476">
        <f t="shared" si="3"/>
        <v>140706.4792548976</v>
      </c>
    </row>
    <row r="35" spans="1:28" x14ac:dyDescent="0.25">
      <c r="A35" s="16">
        <v>190524</v>
      </c>
      <c r="B35" s="136" t="s">
        <v>16</v>
      </c>
      <c r="C35" s="17" t="s">
        <v>15</v>
      </c>
      <c r="D35" s="4">
        <v>13.6</v>
      </c>
      <c r="E35" s="18">
        <v>52040</v>
      </c>
      <c r="F35" s="6">
        <f t="shared" si="4"/>
        <v>747519.21279999998</v>
      </c>
      <c r="I35" s="274">
        <v>100407</v>
      </c>
      <c r="J35" s="222" t="s">
        <v>98</v>
      </c>
      <c r="K35" s="203" t="s">
        <v>15</v>
      </c>
      <c r="L35" s="225">
        <v>34.94</v>
      </c>
      <c r="M35" s="226">
        <v>6490</v>
      </c>
      <c r="N35" s="369">
        <f t="shared" si="1"/>
        <v>239504.54571999999</v>
      </c>
      <c r="P35" s="175">
        <v>100619</v>
      </c>
      <c r="Q35" s="176" t="s">
        <v>170</v>
      </c>
      <c r="R35" s="180" t="s">
        <v>7</v>
      </c>
      <c r="S35" s="178">
        <v>21</v>
      </c>
      <c r="T35" s="181">
        <v>25400</v>
      </c>
      <c r="U35" s="369">
        <f t="shared" si="2"/>
        <v>563377.07999999996</v>
      </c>
      <c r="W35" s="471">
        <v>100619</v>
      </c>
      <c r="X35" s="472" t="s">
        <v>170</v>
      </c>
      <c r="Y35" s="493" t="s">
        <v>7</v>
      </c>
      <c r="Z35" s="474">
        <v>21</v>
      </c>
      <c r="AA35" s="477">
        <v>25400</v>
      </c>
      <c r="AB35" s="476">
        <f t="shared" si="3"/>
        <v>563377.07999999996</v>
      </c>
    </row>
    <row r="36" spans="1:28" x14ac:dyDescent="0.25">
      <c r="A36" s="16">
        <v>140117</v>
      </c>
      <c r="B36" s="136" t="s">
        <v>17</v>
      </c>
      <c r="C36" s="17" t="s">
        <v>15</v>
      </c>
      <c r="D36" s="4">
        <v>6.8</v>
      </c>
      <c r="E36" s="18">
        <v>49900</v>
      </c>
      <c r="F36" s="6">
        <f t="shared" si="4"/>
        <v>358389.78399999999</v>
      </c>
      <c r="I36" s="175">
        <v>100408</v>
      </c>
      <c r="J36" s="182" t="s">
        <v>196</v>
      </c>
      <c r="K36" s="214" t="s">
        <v>15</v>
      </c>
      <c r="L36" s="214">
        <v>150</v>
      </c>
      <c r="M36" s="292">
        <v>4590</v>
      </c>
      <c r="N36" s="369">
        <f t="shared" si="1"/>
        <v>727193.70000000007</v>
      </c>
      <c r="P36" s="413">
        <v>110301</v>
      </c>
      <c r="Q36" s="382" t="s">
        <v>109</v>
      </c>
      <c r="R36" s="383" t="s">
        <v>3</v>
      </c>
      <c r="S36" s="384">
        <v>27</v>
      </c>
      <c r="T36" s="385">
        <v>13470</v>
      </c>
      <c r="U36" s="169">
        <f t="shared" si="2"/>
        <v>384129.37800000003</v>
      </c>
      <c r="W36" s="502">
        <v>110301</v>
      </c>
      <c r="X36" s="485" t="s">
        <v>109</v>
      </c>
      <c r="Y36" s="486" t="s">
        <v>3</v>
      </c>
      <c r="Z36" s="504">
        <v>27</v>
      </c>
      <c r="AA36" s="488">
        <v>13470</v>
      </c>
      <c r="AB36" s="476">
        <f t="shared" si="3"/>
        <v>384129.37800000003</v>
      </c>
    </row>
    <row r="37" spans="1:28" x14ac:dyDescent="0.25">
      <c r="A37" s="16">
        <v>190116</v>
      </c>
      <c r="B37" s="136" t="s">
        <v>40</v>
      </c>
      <c r="C37" s="17" t="s">
        <v>15</v>
      </c>
      <c r="D37" s="4">
        <v>13.6</v>
      </c>
      <c r="E37" s="18">
        <v>30420</v>
      </c>
      <c r="F37" s="6">
        <f t="shared" si="4"/>
        <v>436962.61440000002</v>
      </c>
      <c r="I37" s="275">
        <v>100413</v>
      </c>
      <c r="J37" s="222" t="s">
        <v>146</v>
      </c>
      <c r="K37" s="203" t="s">
        <v>15</v>
      </c>
      <c r="L37" s="225">
        <v>39.479999999999997</v>
      </c>
      <c r="M37" s="223">
        <v>30160</v>
      </c>
      <c r="N37" s="369">
        <f t="shared" si="1"/>
        <v>1257635.0841599999</v>
      </c>
      <c r="P37" s="413">
        <v>110303</v>
      </c>
      <c r="Q37" s="382" t="s">
        <v>110</v>
      </c>
      <c r="R37" s="404" t="s">
        <v>3</v>
      </c>
      <c r="S37" s="384">
        <v>68</v>
      </c>
      <c r="T37" s="421">
        <v>27910</v>
      </c>
      <c r="U37" s="169">
        <f t="shared" si="2"/>
        <v>2004540.8560000001</v>
      </c>
      <c r="W37" s="502">
        <v>110303</v>
      </c>
      <c r="X37" s="485" t="s">
        <v>110</v>
      </c>
      <c r="Y37" s="486" t="s">
        <v>3</v>
      </c>
      <c r="Z37" s="504">
        <v>68</v>
      </c>
      <c r="AA37" s="488">
        <v>27910</v>
      </c>
      <c r="AB37" s="476">
        <f t="shared" si="3"/>
        <v>2004540.8560000001</v>
      </c>
    </row>
    <row r="38" spans="1:28" x14ac:dyDescent="0.25">
      <c r="A38" s="28">
        <v>240309</v>
      </c>
      <c r="B38" s="29" t="s">
        <v>41</v>
      </c>
      <c r="C38" s="30" t="s">
        <v>15</v>
      </c>
      <c r="D38" s="4">
        <v>6.16</v>
      </c>
      <c r="E38" s="31">
        <v>675870</v>
      </c>
      <c r="F38" s="6">
        <f t="shared" si="4"/>
        <v>4397339.98704</v>
      </c>
      <c r="I38" s="175">
        <v>100419</v>
      </c>
      <c r="J38" s="182" t="s">
        <v>66</v>
      </c>
      <c r="K38" s="177" t="s">
        <v>15</v>
      </c>
      <c r="L38" s="178">
        <v>53.78</v>
      </c>
      <c r="M38" s="219">
        <v>3820</v>
      </c>
      <c r="N38" s="369">
        <f t="shared" si="1"/>
        <v>216985.30552000002</v>
      </c>
      <c r="P38" s="175">
        <v>110904</v>
      </c>
      <c r="Q38" s="258" t="s">
        <v>167</v>
      </c>
      <c r="R38" s="259" t="s">
        <v>15</v>
      </c>
      <c r="S38" s="178">
        <v>116.735</v>
      </c>
      <c r="T38" s="181">
        <v>4540</v>
      </c>
      <c r="U38" s="369">
        <f t="shared" si="2"/>
        <v>559761.60178000003</v>
      </c>
      <c r="W38" s="471">
        <v>110904</v>
      </c>
      <c r="X38" s="472" t="s">
        <v>167</v>
      </c>
      <c r="Y38" s="473" t="s">
        <v>15</v>
      </c>
      <c r="Z38" s="474">
        <v>116.735</v>
      </c>
      <c r="AA38" s="477">
        <v>4540</v>
      </c>
      <c r="AB38" s="476">
        <f t="shared" si="3"/>
        <v>559761.60178000003</v>
      </c>
    </row>
    <row r="39" spans="1:28" x14ac:dyDescent="0.25">
      <c r="A39" s="28">
        <v>220312</v>
      </c>
      <c r="B39" s="29" t="s">
        <v>42</v>
      </c>
      <c r="C39" s="30" t="s">
        <v>15</v>
      </c>
      <c r="D39" s="4">
        <v>7.5</v>
      </c>
      <c r="E39" s="31">
        <v>175240</v>
      </c>
      <c r="F39" s="6">
        <f t="shared" si="4"/>
        <v>1388163.6600000001</v>
      </c>
      <c r="I39" s="274">
        <v>100501</v>
      </c>
      <c r="J39" s="222" t="s">
        <v>142</v>
      </c>
      <c r="K39" s="203" t="s">
        <v>1</v>
      </c>
      <c r="L39" s="209">
        <v>14</v>
      </c>
      <c r="M39" s="223">
        <v>25710</v>
      </c>
      <c r="N39" s="369">
        <f t="shared" si="1"/>
        <v>380168.62800000003</v>
      </c>
      <c r="P39" s="306">
        <v>120101</v>
      </c>
      <c r="Q39" s="309" t="s">
        <v>137</v>
      </c>
      <c r="R39" s="325" t="s">
        <v>27</v>
      </c>
      <c r="S39" s="183">
        <v>550</v>
      </c>
      <c r="T39" s="365">
        <v>5330</v>
      </c>
      <c r="U39" s="369">
        <f t="shared" ref="U39:U69" si="5">(S39*T39)*+(1+5.62%)</f>
        <v>3096250.3000000003</v>
      </c>
      <c r="W39" s="509">
        <v>120101</v>
      </c>
      <c r="X39" s="490" t="s">
        <v>137</v>
      </c>
      <c r="Y39" s="487" t="s">
        <v>27</v>
      </c>
      <c r="Z39" s="487">
        <v>550</v>
      </c>
      <c r="AA39" s="492">
        <v>5330</v>
      </c>
      <c r="AB39" s="476">
        <f t="shared" si="3"/>
        <v>3096250.3000000003</v>
      </c>
    </row>
    <row r="40" spans="1:28" x14ac:dyDescent="0.25">
      <c r="A40" s="28">
        <v>250422</v>
      </c>
      <c r="B40" s="29" t="s">
        <v>43</v>
      </c>
      <c r="C40" s="30" t="s">
        <v>1</v>
      </c>
      <c r="D40" s="4">
        <v>2</v>
      </c>
      <c r="E40" s="31">
        <v>177070</v>
      </c>
      <c r="F40" s="6">
        <f t="shared" si="4"/>
        <v>374042.66800000001</v>
      </c>
      <c r="I40" s="175">
        <v>100502</v>
      </c>
      <c r="J40" s="182" t="s">
        <v>65</v>
      </c>
      <c r="K40" s="177" t="s">
        <v>15</v>
      </c>
      <c r="L40" s="178">
        <v>95.61</v>
      </c>
      <c r="M40" s="219">
        <v>4550</v>
      </c>
      <c r="N40" s="369">
        <f t="shared" si="1"/>
        <v>459473.93310000002</v>
      </c>
      <c r="P40" s="394">
        <v>120102</v>
      </c>
      <c r="Q40" s="395" t="s">
        <v>138</v>
      </c>
      <c r="R40" s="396" t="s">
        <v>27</v>
      </c>
      <c r="S40" s="410">
        <v>1500</v>
      </c>
      <c r="T40" s="397">
        <v>4890</v>
      </c>
      <c r="U40" s="169">
        <f t="shared" si="5"/>
        <v>7747227</v>
      </c>
      <c r="W40" s="489">
        <v>120102</v>
      </c>
      <c r="X40" s="490" t="s">
        <v>138</v>
      </c>
      <c r="Y40" s="491" t="s">
        <v>27</v>
      </c>
      <c r="Z40" s="487">
        <v>1500</v>
      </c>
      <c r="AA40" s="492">
        <v>4890</v>
      </c>
      <c r="AB40" s="476">
        <f t="shared" si="3"/>
        <v>7747227</v>
      </c>
    </row>
    <row r="41" spans="1:28" x14ac:dyDescent="0.25">
      <c r="A41" s="28">
        <v>250520</v>
      </c>
      <c r="B41" s="29" t="s">
        <v>44</v>
      </c>
      <c r="C41" s="30" t="s">
        <v>1</v>
      </c>
      <c r="D41" s="4">
        <v>2</v>
      </c>
      <c r="E41" s="31">
        <v>61710</v>
      </c>
      <c r="F41" s="6">
        <f t="shared" si="4"/>
        <v>130356.204</v>
      </c>
      <c r="I41" s="175">
        <v>100505</v>
      </c>
      <c r="J41" s="176" t="s">
        <v>60</v>
      </c>
      <c r="K41" s="177" t="s">
        <v>15</v>
      </c>
      <c r="L41" s="178">
        <v>170</v>
      </c>
      <c r="M41" s="219">
        <v>5120</v>
      </c>
      <c r="N41" s="369">
        <f t="shared" si="1"/>
        <v>919316.47999999998</v>
      </c>
      <c r="P41" s="167">
        <v>120211</v>
      </c>
      <c r="Q41" s="409" t="s">
        <v>74</v>
      </c>
      <c r="R41" s="168" t="s">
        <v>15</v>
      </c>
      <c r="S41" s="166">
        <f>7.68+6+8.32</f>
        <v>22</v>
      </c>
      <c r="T41" s="171">
        <v>31250</v>
      </c>
      <c r="U41" s="169">
        <f t="shared" si="5"/>
        <v>726137.5</v>
      </c>
      <c r="W41" s="471">
        <v>120211</v>
      </c>
      <c r="X41" s="499" t="s">
        <v>74</v>
      </c>
      <c r="Y41" s="473" t="s">
        <v>15</v>
      </c>
      <c r="Z41" s="474">
        <f>7.68+6+8.32</f>
        <v>22</v>
      </c>
      <c r="AA41" s="475">
        <v>31250</v>
      </c>
      <c r="AB41" s="476">
        <f t="shared" si="3"/>
        <v>726137.5</v>
      </c>
    </row>
    <row r="42" spans="1:28" x14ac:dyDescent="0.25">
      <c r="A42" s="28">
        <v>250446</v>
      </c>
      <c r="B42" s="29" t="s">
        <v>45</v>
      </c>
      <c r="C42" s="30" t="s">
        <v>1</v>
      </c>
      <c r="D42" s="4">
        <v>6</v>
      </c>
      <c r="E42" s="31">
        <v>164220</v>
      </c>
      <c r="F42" s="6">
        <f t="shared" si="4"/>
        <v>1040694.9840000001</v>
      </c>
      <c r="I42" s="184">
        <v>100505</v>
      </c>
      <c r="J42" s="185" t="s">
        <v>147</v>
      </c>
      <c r="K42" s="186" t="s">
        <v>15</v>
      </c>
      <c r="L42" s="225">
        <v>39.479999999999997</v>
      </c>
      <c r="M42" s="187">
        <v>5120</v>
      </c>
      <c r="N42" s="369">
        <f t="shared" si="1"/>
        <v>213497.73311999999</v>
      </c>
      <c r="P42" s="192">
        <v>120212</v>
      </c>
      <c r="Q42" s="339" t="s">
        <v>133</v>
      </c>
      <c r="R42" s="194" t="s">
        <v>7</v>
      </c>
      <c r="S42" s="183">
        <v>1.8</v>
      </c>
      <c r="T42" s="187">
        <v>931680</v>
      </c>
      <c r="U42" s="369">
        <f t="shared" si="5"/>
        <v>1771272.7487999999</v>
      </c>
      <c r="W42" s="489">
        <v>120212</v>
      </c>
      <c r="X42" s="510" t="s">
        <v>133</v>
      </c>
      <c r="Y42" s="491" t="s">
        <v>7</v>
      </c>
      <c r="Z42" s="487">
        <v>1.8</v>
      </c>
      <c r="AA42" s="492">
        <v>931680</v>
      </c>
      <c r="AB42" s="476">
        <f t="shared" si="3"/>
        <v>1771272.7487999999</v>
      </c>
    </row>
    <row r="43" spans="1:28" x14ac:dyDescent="0.25">
      <c r="A43" s="28">
        <v>250517</v>
      </c>
      <c r="B43" s="29" t="s">
        <v>46</v>
      </c>
      <c r="C43" s="30" t="s">
        <v>1</v>
      </c>
      <c r="D43" s="4">
        <v>6</v>
      </c>
      <c r="E43" s="31">
        <v>35100</v>
      </c>
      <c r="F43" s="6">
        <f t="shared" si="4"/>
        <v>222435.72</v>
      </c>
      <c r="I43" s="175">
        <v>100505</v>
      </c>
      <c r="J43" s="176" t="s">
        <v>60</v>
      </c>
      <c r="K43" s="177" t="s">
        <v>15</v>
      </c>
      <c r="L43" s="178">
        <v>181.68</v>
      </c>
      <c r="M43" s="219">
        <v>5120</v>
      </c>
      <c r="N43" s="369">
        <f t="shared" si="1"/>
        <v>982478.92992000014</v>
      </c>
      <c r="P43" s="167">
        <v>120213</v>
      </c>
      <c r="Q43" s="409" t="s">
        <v>75</v>
      </c>
      <c r="R43" s="168" t="s">
        <v>7</v>
      </c>
      <c r="S43" s="166">
        <f>2.3+2.5</f>
        <v>4.8</v>
      </c>
      <c r="T43" s="171">
        <v>427970</v>
      </c>
      <c r="U43" s="169">
        <f t="shared" si="5"/>
        <v>2169705.1872</v>
      </c>
      <c r="W43" s="471">
        <v>120213</v>
      </c>
      <c r="X43" s="499" t="s">
        <v>75</v>
      </c>
      <c r="Y43" s="473" t="s">
        <v>7</v>
      </c>
      <c r="Z43" s="474">
        <f>2.3+2.5</f>
        <v>4.8</v>
      </c>
      <c r="AA43" s="475">
        <v>427970</v>
      </c>
      <c r="AB43" s="476">
        <f t="shared" si="3"/>
        <v>2169705.1872</v>
      </c>
    </row>
    <row r="44" spans="1:28" x14ac:dyDescent="0.25">
      <c r="A44" s="28">
        <v>250423</v>
      </c>
      <c r="B44" s="29" t="s">
        <v>47</v>
      </c>
      <c r="C44" s="30" t="s">
        <v>48</v>
      </c>
      <c r="D44" s="4">
        <v>3</v>
      </c>
      <c r="E44" s="31">
        <v>203970</v>
      </c>
      <c r="F44" s="6">
        <f t="shared" si="4"/>
        <v>646299.34200000006</v>
      </c>
      <c r="I44" s="274">
        <v>100515</v>
      </c>
      <c r="J44" s="222" t="s">
        <v>145</v>
      </c>
      <c r="K44" s="203" t="s">
        <v>1</v>
      </c>
      <c r="L44" s="209">
        <v>2</v>
      </c>
      <c r="M44" s="223">
        <v>18230</v>
      </c>
      <c r="N44" s="369">
        <f t="shared" si="1"/>
        <v>38509.052000000003</v>
      </c>
      <c r="P44" s="428">
        <v>120301</v>
      </c>
      <c r="Q44" s="423" t="s">
        <v>77</v>
      </c>
      <c r="R44" s="424" t="s">
        <v>7</v>
      </c>
      <c r="S44" s="425">
        <v>11.21</v>
      </c>
      <c r="T44" s="426">
        <v>638.48</v>
      </c>
      <c r="U44" s="427">
        <f t="shared" si="5"/>
        <v>7559.6044769600003</v>
      </c>
      <c r="W44" s="471">
        <v>120301</v>
      </c>
      <c r="X44" s="499" t="s">
        <v>77</v>
      </c>
      <c r="Y44" s="473" t="s">
        <v>7</v>
      </c>
      <c r="Z44" s="474">
        <v>11.21</v>
      </c>
      <c r="AA44" s="475">
        <v>638.48</v>
      </c>
      <c r="AB44" s="476">
        <f t="shared" si="3"/>
        <v>7559.6044769600003</v>
      </c>
    </row>
    <row r="45" spans="1:28" x14ac:dyDescent="0.25">
      <c r="A45" s="28">
        <v>250113</v>
      </c>
      <c r="B45" s="29" t="s">
        <v>49</v>
      </c>
      <c r="C45" s="30" t="s">
        <v>48</v>
      </c>
      <c r="D45" s="4">
        <v>2</v>
      </c>
      <c r="E45" s="31">
        <v>105840</v>
      </c>
      <c r="F45" s="6">
        <f t="shared" si="4"/>
        <v>223576.416</v>
      </c>
      <c r="I45" s="175">
        <v>100515</v>
      </c>
      <c r="J45" s="182" t="s">
        <v>145</v>
      </c>
      <c r="K45" s="218" t="s">
        <v>1</v>
      </c>
      <c r="L45" s="257">
        <v>1</v>
      </c>
      <c r="M45" s="219">
        <v>18230</v>
      </c>
      <c r="N45" s="369">
        <f t="shared" si="1"/>
        <v>19254.526000000002</v>
      </c>
      <c r="P45" s="394">
        <v>120301</v>
      </c>
      <c r="Q45" s="422" t="s">
        <v>150</v>
      </c>
      <c r="R45" s="396" t="s">
        <v>7</v>
      </c>
      <c r="S45" s="410">
        <v>2.4700000000000002</v>
      </c>
      <c r="T45" s="397">
        <v>638480</v>
      </c>
      <c r="U45" s="169">
        <f t="shared" si="5"/>
        <v>1665675.56272</v>
      </c>
      <c r="W45" s="489">
        <v>120301</v>
      </c>
      <c r="X45" s="510" t="s">
        <v>150</v>
      </c>
      <c r="Y45" s="491" t="s">
        <v>7</v>
      </c>
      <c r="Z45" s="487">
        <v>2.4700000000000002</v>
      </c>
      <c r="AA45" s="492">
        <v>638480</v>
      </c>
      <c r="AB45" s="476">
        <f t="shared" si="3"/>
        <v>1665675.56272</v>
      </c>
    </row>
    <row r="46" spans="1:28" x14ac:dyDescent="0.25">
      <c r="A46" s="28">
        <v>160629</v>
      </c>
      <c r="B46" s="29" t="s">
        <v>50</v>
      </c>
      <c r="C46" s="30" t="s">
        <v>1</v>
      </c>
      <c r="D46" s="4">
        <v>2</v>
      </c>
      <c r="E46" s="31">
        <v>23460</v>
      </c>
      <c r="F46" s="6">
        <f t="shared" si="4"/>
        <v>49556.904000000002</v>
      </c>
      <c r="I46" s="270">
        <v>100521</v>
      </c>
      <c r="J46" s="202" t="s">
        <v>186</v>
      </c>
      <c r="K46" s="216" t="s">
        <v>15</v>
      </c>
      <c r="L46" s="217">
        <v>160</v>
      </c>
      <c r="M46" s="287">
        <v>2720</v>
      </c>
      <c r="N46" s="369">
        <f t="shared" si="1"/>
        <v>459658.23999999999</v>
      </c>
      <c r="P46" s="394">
        <v>120303</v>
      </c>
      <c r="Q46" s="395" t="s">
        <v>134</v>
      </c>
      <c r="R46" s="396" t="s">
        <v>7</v>
      </c>
      <c r="S46" s="410">
        <f>2.394+7.46</f>
        <v>9.8539999999999992</v>
      </c>
      <c r="T46" s="397">
        <v>657170</v>
      </c>
      <c r="U46" s="169">
        <f t="shared" si="5"/>
        <v>6839690.5087160002</v>
      </c>
      <c r="W46" s="489">
        <v>120303</v>
      </c>
      <c r="X46" s="490" t="s">
        <v>134</v>
      </c>
      <c r="Y46" s="491" t="s">
        <v>7</v>
      </c>
      <c r="Z46" s="487">
        <f>2.394+7.46</f>
        <v>9.8539999999999992</v>
      </c>
      <c r="AA46" s="492">
        <v>657170</v>
      </c>
      <c r="AB46" s="476">
        <f t="shared" si="3"/>
        <v>6839690.5087160002</v>
      </c>
    </row>
    <row r="47" spans="1:28" x14ac:dyDescent="0.25">
      <c r="A47" s="36">
        <v>160505</v>
      </c>
      <c r="B47" s="37" t="s">
        <v>51</v>
      </c>
      <c r="C47" s="30" t="s">
        <v>3</v>
      </c>
      <c r="D47" s="38">
        <v>4.5</v>
      </c>
      <c r="E47" s="39">
        <v>6280</v>
      </c>
      <c r="F47" s="6">
        <f t="shared" si="4"/>
        <v>29848.212</v>
      </c>
      <c r="I47" s="274">
        <v>100532</v>
      </c>
      <c r="J47" s="222" t="s">
        <v>144</v>
      </c>
      <c r="K47" s="203" t="s">
        <v>3</v>
      </c>
      <c r="L47" s="209">
        <v>12</v>
      </c>
      <c r="M47" s="223">
        <v>2700</v>
      </c>
      <c r="N47" s="369">
        <f t="shared" si="1"/>
        <v>34220.879999999997</v>
      </c>
      <c r="P47" s="175">
        <v>120401</v>
      </c>
      <c r="Q47" s="182" t="s">
        <v>171</v>
      </c>
      <c r="R47" s="177" t="s">
        <v>7</v>
      </c>
      <c r="S47" s="178">
        <v>2.86</v>
      </c>
      <c r="T47" s="179">
        <v>480430</v>
      </c>
      <c r="U47" s="369">
        <f t="shared" si="5"/>
        <v>1451250.2747600002</v>
      </c>
      <c r="W47" s="471">
        <v>120401</v>
      </c>
      <c r="X47" s="499" t="s">
        <v>171</v>
      </c>
      <c r="Y47" s="473" t="s">
        <v>7</v>
      </c>
      <c r="Z47" s="474">
        <v>2.86</v>
      </c>
      <c r="AA47" s="475">
        <v>480430</v>
      </c>
      <c r="AB47" s="476">
        <f t="shared" si="3"/>
        <v>1451250.2747600002</v>
      </c>
    </row>
    <row r="48" spans="1:28" x14ac:dyDescent="0.25">
      <c r="A48" s="36">
        <v>160129</v>
      </c>
      <c r="B48" s="37" t="s">
        <v>52</v>
      </c>
      <c r="C48" s="30" t="s">
        <v>1</v>
      </c>
      <c r="D48" s="38">
        <v>4</v>
      </c>
      <c r="E48" s="39">
        <v>1460</v>
      </c>
      <c r="F48" s="6">
        <f t="shared" si="4"/>
        <v>6168.2080000000005</v>
      </c>
      <c r="I48" s="175">
        <v>100536</v>
      </c>
      <c r="J48" s="182" t="s">
        <v>61</v>
      </c>
      <c r="K48" s="177" t="s">
        <v>62</v>
      </c>
      <c r="L48" s="178">
        <v>80</v>
      </c>
      <c r="M48" s="219">
        <v>1800</v>
      </c>
      <c r="N48" s="369">
        <f t="shared" si="1"/>
        <v>152092.80000000002</v>
      </c>
      <c r="P48" s="386">
        <v>130102</v>
      </c>
      <c r="Q48" s="387" t="s">
        <v>10</v>
      </c>
      <c r="R48" s="388" t="s">
        <v>11</v>
      </c>
      <c r="S48" s="410">
        <f>952+1490+332.25+3350</f>
        <v>6124.25</v>
      </c>
      <c r="T48" s="429">
        <v>5330</v>
      </c>
      <c r="U48" s="169">
        <f t="shared" si="5"/>
        <v>34476747.090500005</v>
      </c>
      <c r="W48" s="471">
        <v>130102</v>
      </c>
      <c r="X48" s="472" t="s">
        <v>10</v>
      </c>
      <c r="Y48" s="473" t="s">
        <v>11</v>
      </c>
      <c r="Z48" s="487">
        <f>952+1490+332.25+3350</f>
        <v>6124.25</v>
      </c>
      <c r="AA48" s="475">
        <v>5330</v>
      </c>
      <c r="AB48" s="476">
        <f t="shared" si="3"/>
        <v>34476747.090500005</v>
      </c>
    </row>
    <row r="49" spans="1:28" x14ac:dyDescent="0.25">
      <c r="A49" s="36">
        <v>160110</v>
      </c>
      <c r="B49" s="37" t="s">
        <v>53</v>
      </c>
      <c r="C49" s="30" t="s">
        <v>1</v>
      </c>
      <c r="D49" s="38">
        <v>6</v>
      </c>
      <c r="E49" s="39">
        <v>930</v>
      </c>
      <c r="F49" s="6">
        <f t="shared" si="4"/>
        <v>5893.5960000000005</v>
      </c>
      <c r="I49" s="175">
        <v>100536</v>
      </c>
      <c r="J49" s="182" t="s">
        <v>61</v>
      </c>
      <c r="K49" s="177" t="s">
        <v>62</v>
      </c>
      <c r="L49" s="178">
        <v>156</v>
      </c>
      <c r="M49" s="219">
        <v>1800</v>
      </c>
      <c r="N49" s="369">
        <f t="shared" si="1"/>
        <v>296580.96000000002</v>
      </c>
      <c r="P49" s="167">
        <v>130109</v>
      </c>
      <c r="Q49" s="170" t="s">
        <v>12</v>
      </c>
      <c r="R49" s="168" t="s">
        <v>11</v>
      </c>
      <c r="S49" s="410">
        <f>1180+2030+3907</f>
        <v>7117</v>
      </c>
      <c r="T49" s="171">
        <v>4890</v>
      </c>
      <c r="U49" s="169">
        <f t="shared" si="5"/>
        <v>36758009.706</v>
      </c>
      <c r="W49" s="471">
        <v>130109</v>
      </c>
      <c r="X49" s="472" t="s">
        <v>12</v>
      </c>
      <c r="Y49" s="473" t="s">
        <v>11</v>
      </c>
      <c r="Z49" s="487">
        <f>1180+2030+3907</f>
        <v>7117</v>
      </c>
      <c r="AA49" s="475">
        <v>4890</v>
      </c>
      <c r="AB49" s="476">
        <f t="shared" si="3"/>
        <v>36758009.706</v>
      </c>
    </row>
    <row r="50" spans="1:28" x14ac:dyDescent="0.25">
      <c r="A50" s="22">
        <v>170659</v>
      </c>
      <c r="B50" s="32" t="s">
        <v>32</v>
      </c>
      <c r="C50" s="30" t="s">
        <v>1</v>
      </c>
      <c r="D50" s="4">
        <v>4</v>
      </c>
      <c r="E50" s="18">
        <v>62150</v>
      </c>
      <c r="F50" s="6">
        <f t="shared" si="4"/>
        <v>262571.32</v>
      </c>
      <c r="I50" s="291">
        <v>100537</v>
      </c>
      <c r="J50" s="176" t="s">
        <v>182</v>
      </c>
      <c r="K50" s="218" t="s">
        <v>15</v>
      </c>
      <c r="L50" s="257">
        <v>9.6</v>
      </c>
      <c r="M50" s="221">
        <v>9160</v>
      </c>
      <c r="N50" s="369">
        <f t="shared" si="1"/>
        <v>92878.003200000006</v>
      </c>
      <c r="P50" s="167">
        <v>130111</v>
      </c>
      <c r="Q50" s="170" t="s">
        <v>79</v>
      </c>
      <c r="R50" s="168" t="s">
        <v>11</v>
      </c>
      <c r="S50" s="166">
        <f>135.78+95.2</f>
        <v>230.98000000000002</v>
      </c>
      <c r="T50" s="171">
        <v>6880</v>
      </c>
      <c r="U50" s="169">
        <f t="shared" si="5"/>
        <v>1678452.2028800002</v>
      </c>
      <c r="W50" s="471">
        <v>130111</v>
      </c>
      <c r="X50" s="472" t="s">
        <v>79</v>
      </c>
      <c r="Y50" s="473" t="s">
        <v>11</v>
      </c>
      <c r="Z50" s="474">
        <f>135.78+95.2</f>
        <v>230.98000000000002</v>
      </c>
      <c r="AA50" s="475">
        <v>6880</v>
      </c>
      <c r="AB50" s="476">
        <f t="shared" si="3"/>
        <v>1678452.2028800002</v>
      </c>
    </row>
    <row r="51" spans="1:28" x14ac:dyDescent="0.25">
      <c r="A51" s="22">
        <v>170538</v>
      </c>
      <c r="B51" s="32" t="s">
        <v>33</v>
      </c>
      <c r="C51" s="30" t="s">
        <v>1</v>
      </c>
      <c r="D51" s="4">
        <v>2</v>
      </c>
      <c r="E51" s="18">
        <v>113280</v>
      </c>
      <c r="F51" s="6">
        <f t="shared" si="4"/>
        <v>239292.67200000002</v>
      </c>
      <c r="I51" s="291">
        <v>100538</v>
      </c>
      <c r="J51" s="182" t="s">
        <v>63</v>
      </c>
      <c r="K51" s="177" t="s">
        <v>1</v>
      </c>
      <c r="L51" s="178">
        <v>6</v>
      </c>
      <c r="M51" s="219">
        <v>62750</v>
      </c>
      <c r="N51" s="369">
        <f t="shared" si="1"/>
        <v>397659.3</v>
      </c>
      <c r="P51" s="336">
        <v>130201</v>
      </c>
      <c r="Q51" s="222" t="s">
        <v>152</v>
      </c>
      <c r="R51" s="203" t="s">
        <v>3</v>
      </c>
      <c r="S51" s="224">
        <v>31</v>
      </c>
      <c r="T51" s="210">
        <v>39120</v>
      </c>
      <c r="U51" s="369">
        <f t="shared" si="5"/>
        <v>1280874.8640000001</v>
      </c>
      <c r="W51" s="511">
        <v>130201</v>
      </c>
      <c r="X51" s="485" t="s">
        <v>152</v>
      </c>
      <c r="Y51" s="486" t="s">
        <v>3</v>
      </c>
      <c r="Z51" s="512">
        <v>31</v>
      </c>
      <c r="AA51" s="513">
        <v>39120</v>
      </c>
      <c r="AB51" s="476">
        <f t="shared" si="3"/>
        <v>1280874.8640000001</v>
      </c>
    </row>
    <row r="52" spans="1:28" x14ac:dyDescent="0.25">
      <c r="A52" s="22">
        <v>173306</v>
      </c>
      <c r="B52" s="32" t="s">
        <v>34</v>
      </c>
      <c r="C52" s="30" t="s">
        <v>3</v>
      </c>
      <c r="D52" s="4">
        <v>6</v>
      </c>
      <c r="E52" s="18">
        <v>20260</v>
      </c>
      <c r="F52" s="6">
        <f t="shared" si="4"/>
        <v>128391.67200000001</v>
      </c>
      <c r="I52" s="301">
        <v>100540</v>
      </c>
      <c r="J52" s="222" t="s">
        <v>143</v>
      </c>
      <c r="K52" s="203" t="s">
        <v>1</v>
      </c>
      <c r="L52" s="209">
        <v>14</v>
      </c>
      <c r="M52" s="223">
        <v>18740</v>
      </c>
      <c r="N52" s="369">
        <f t="shared" si="1"/>
        <v>277104.63199999998</v>
      </c>
      <c r="P52" s="433">
        <v>130204</v>
      </c>
      <c r="Q52" s="409" t="s">
        <v>8</v>
      </c>
      <c r="R52" s="168" t="s">
        <v>7</v>
      </c>
      <c r="S52" s="166">
        <f>4.896+5.1+3.97+1.62+7.5</f>
        <v>23.085999999999999</v>
      </c>
      <c r="T52" s="171">
        <v>931680</v>
      </c>
      <c r="U52" s="169">
        <f t="shared" si="5"/>
        <v>22717557.043776002</v>
      </c>
      <c r="W52" s="471">
        <v>130204</v>
      </c>
      <c r="X52" s="499" t="s">
        <v>8</v>
      </c>
      <c r="Y52" s="473" t="s">
        <v>7</v>
      </c>
      <c r="Z52" s="474">
        <f>4.896+5.1+3.97+1.62+7.5</f>
        <v>23.085999999999999</v>
      </c>
      <c r="AA52" s="475">
        <v>931680</v>
      </c>
      <c r="AB52" s="476">
        <f t="shared" si="3"/>
        <v>22717557.043776002</v>
      </c>
    </row>
    <row r="53" spans="1:28" x14ac:dyDescent="0.25">
      <c r="A53" s="40">
        <v>310105</v>
      </c>
      <c r="B53" s="41" t="s">
        <v>38</v>
      </c>
      <c r="C53" s="40" t="s">
        <v>15</v>
      </c>
      <c r="D53" s="42">
        <v>20.654599999999999</v>
      </c>
      <c r="E53" s="43">
        <v>1780</v>
      </c>
      <c r="F53" s="6">
        <f t="shared" si="4"/>
        <v>38831.391565599995</v>
      </c>
      <c r="I53" s="337">
        <v>100543</v>
      </c>
      <c r="J53" s="347" t="s">
        <v>90</v>
      </c>
      <c r="K53" s="354" t="s">
        <v>15</v>
      </c>
      <c r="L53" s="360">
        <v>144.29</v>
      </c>
      <c r="M53" s="364">
        <v>4450</v>
      </c>
      <c r="N53" s="369">
        <f t="shared" si="1"/>
        <v>678175.98609999998</v>
      </c>
      <c r="P53" s="390">
        <v>130403</v>
      </c>
      <c r="Q53" s="395" t="s">
        <v>13</v>
      </c>
      <c r="R53" s="396" t="s">
        <v>3</v>
      </c>
      <c r="S53" s="166">
        <f>39.95+20+34.6+50</f>
        <v>144.55000000000001</v>
      </c>
      <c r="T53" s="397">
        <v>32120</v>
      </c>
      <c r="U53" s="169">
        <f t="shared" si="5"/>
        <v>4903879.5652000001</v>
      </c>
      <c r="W53" s="489">
        <v>130403</v>
      </c>
      <c r="X53" s="490" t="s">
        <v>13</v>
      </c>
      <c r="Y53" s="491" t="s">
        <v>3</v>
      </c>
      <c r="Z53" s="474">
        <f>39.95+20+34.6+50</f>
        <v>144.55000000000001</v>
      </c>
      <c r="AA53" s="492">
        <v>32120</v>
      </c>
      <c r="AB53" s="476">
        <f t="shared" si="3"/>
        <v>4903879.5652000001</v>
      </c>
    </row>
    <row r="54" spans="1:28" x14ac:dyDescent="0.25">
      <c r="A54" s="140">
        <v>181219</v>
      </c>
      <c r="B54" s="2" t="s">
        <v>54</v>
      </c>
      <c r="C54" s="3" t="s">
        <v>15</v>
      </c>
      <c r="D54" s="4">
        <v>1002</v>
      </c>
      <c r="E54" s="5">
        <v>1200</v>
      </c>
      <c r="F54" s="6">
        <f t="shared" si="4"/>
        <v>1269974.8800000001</v>
      </c>
      <c r="I54" s="184">
        <v>100608</v>
      </c>
      <c r="J54" s="185" t="s">
        <v>37</v>
      </c>
      <c r="K54" s="186" t="s">
        <v>7</v>
      </c>
      <c r="L54" s="183">
        <v>3</v>
      </c>
      <c r="M54" s="187">
        <v>16720</v>
      </c>
      <c r="N54" s="369">
        <f t="shared" si="1"/>
        <v>52978.991999999998</v>
      </c>
      <c r="P54" s="394">
        <v>130411</v>
      </c>
      <c r="Q54" s="395" t="s">
        <v>22</v>
      </c>
      <c r="R54" s="396" t="s">
        <v>7</v>
      </c>
      <c r="S54" s="166">
        <f>1.72+3.17</f>
        <v>4.8899999999999997</v>
      </c>
      <c r="T54" s="397">
        <v>917520</v>
      </c>
      <c r="U54" s="169">
        <f t="shared" si="5"/>
        <v>4738823.8113599997</v>
      </c>
      <c r="W54" s="489">
        <v>130411</v>
      </c>
      <c r="X54" s="490" t="s">
        <v>22</v>
      </c>
      <c r="Y54" s="491" t="s">
        <v>7</v>
      </c>
      <c r="Z54" s="474">
        <f>1.72+3.17</f>
        <v>4.8899999999999997</v>
      </c>
      <c r="AA54" s="492">
        <v>917520</v>
      </c>
      <c r="AB54" s="476">
        <f t="shared" si="3"/>
        <v>4738823.8113599997</v>
      </c>
    </row>
    <row r="55" spans="1:28" x14ac:dyDescent="0.25">
      <c r="A55" s="140">
        <v>190301</v>
      </c>
      <c r="B55" s="2" t="s">
        <v>55</v>
      </c>
      <c r="C55" s="3" t="s">
        <v>3</v>
      </c>
      <c r="D55" s="4">
        <v>143.7515799</v>
      </c>
      <c r="E55" s="5">
        <v>21450</v>
      </c>
      <c r="F55" s="6">
        <f t="shared" si="4"/>
        <v>3256762.4809086509</v>
      </c>
      <c r="I55" s="270">
        <v>100608</v>
      </c>
      <c r="J55" s="202" t="s">
        <v>37</v>
      </c>
      <c r="K55" s="216" t="s">
        <v>7</v>
      </c>
      <c r="L55" s="178">
        <v>26.750041400000001</v>
      </c>
      <c r="M55" s="204">
        <v>16870</v>
      </c>
      <c r="N55" s="369">
        <f t="shared" si="1"/>
        <v>476634.7521690916</v>
      </c>
      <c r="P55" s="167">
        <v>130413</v>
      </c>
      <c r="Q55" s="409" t="s">
        <v>9</v>
      </c>
      <c r="R55" s="168" t="s">
        <v>7</v>
      </c>
      <c r="S55" s="166">
        <f>9.6+2.394+4.1</f>
        <v>16.094000000000001</v>
      </c>
      <c r="T55" s="171">
        <v>859250</v>
      </c>
      <c r="U55" s="169">
        <f t="shared" si="5"/>
        <v>14605946.345900003</v>
      </c>
      <c r="W55" s="471">
        <v>130413</v>
      </c>
      <c r="X55" s="499" t="s">
        <v>9</v>
      </c>
      <c r="Y55" s="473" t="s">
        <v>7</v>
      </c>
      <c r="Z55" s="474">
        <f>9.6+2.394+4.1</f>
        <v>16.094000000000001</v>
      </c>
      <c r="AA55" s="475">
        <v>859250</v>
      </c>
      <c r="AB55" s="476">
        <f t="shared" si="3"/>
        <v>14605946.345900003</v>
      </c>
    </row>
    <row r="56" spans="1:28" x14ac:dyDescent="0.25">
      <c r="A56" s="22">
        <v>290620</v>
      </c>
      <c r="B56" s="136" t="s">
        <v>56</v>
      </c>
      <c r="C56" s="17" t="s">
        <v>15</v>
      </c>
      <c r="D56" s="4">
        <v>159</v>
      </c>
      <c r="E56" s="18">
        <v>10250</v>
      </c>
      <c r="F56" s="6">
        <f t="shared" si="4"/>
        <v>1721341.95</v>
      </c>
      <c r="I56" s="298">
        <v>100608</v>
      </c>
      <c r="J56" s="222" t="s">
        <v>97</v>
      </c>
      <c r="K56" s="203" t="s">
        <v>7</v>
      </c>
      <c r="L56" s="209">
        <v>5</v>
      </c>
      <c r="M56" s="223">
        <v>16870</v>
      </c>
      <c r="N56" s="369">
        <f t="shared" si="1"/>
        <v>89090.47</v>
      </c>
      <c r="P56" s="435">
        <v>130622</v>
      </c>
      <c r="Q56" s="403" t="s">
        <v>80</v>
      </c>
      <c r="R56" s="404" t="s">
        <v>15</v>
      </c>
      <c r="S56" s="166">
        <f>166.48+140.45</f>
        <v>306.92999999999995</v>
      </c>
      <c r="T56" s="429">
        <v>129880</v>
      </c>
      <c r="U56" s="169">
        <f t="shared" si="5"/>
        <v>42104429.044079989</v>
      </c>
      <c r="W56" s="514">
        <v>130622</v>
      </c>
      <c r="X56" s="485" t="s">
        <v>80</v>
      </c>
      <c r="Y56" s="486" t="s">
        <v>15</v>
      </c>
      <c r="Z56" s="474">
        <f>166.48+140.45</f>
        <v>306.92999999999995</v>
      </c>
      <c r="AA56" s="475">
        <v>129880</v>
      </c>
      <c r="AB56" s="476">
        <f t="shared" si="3"/>
        <v>42104429.044079989</v>
      </c>
    </row>
    <row r="57" spans="1:28" x14ac:dyDescent="0.25">
      <c r="A57" s="22">
        <v>181210</v>
      </c>
      <c r="B57" s="136" t="s">
        <v>57</v>
      </c>
      <c r="C57" s="17" t="s">
        <v>15</v>
      </c>
      <c r="D57" s="4">
        <v>159</v>
      </c>
      <c r="E57" s="18">
        <v>12140</v>
      </c>
      <c r="F57" s="6">
        <f t="shared" si="4"/>
        <v>2038740.612</v>
      </c>
      <c r="I57" s="298">
        <v>100608</v>
      </c>
      <c r="J57" s="185" t="s">
        <v>97</v>
      </c>
      <c r="K57" s="215" t="s">
        <v>7</v>
      </c>
      <c r="L57" s="225">
        <v>2</v>
      </c>
      <c r="M57" s="226">
        <v>16870</v>
      </c>
      <c r="N57" s="369">
        <f t="shared" si="1"/>
        <v>35636.188000000002</v>
      </c>
      <c r="P57" s="436">
        <v>140117</v>
      </c>
      <c r="Q57" s="409" t="s">
        <v>17</v>
      </c>
      <c r="R57" s="168" t="s">
        <v>15</v>
      </c>
      <c r="S57" s="166">
        <f>42+6.8+44.7+179.1</f>
        <v>272.60000000000002</v>
      </c>
      <c r="T57" s="437">
        <v>49900</v>
      </c>
      <c r="U57" s="169">
        <f t="shared" si="5"/>
        <v>14367213.988000002</v>
      </c>
      <c r="W57" s="515">
        <v>140117</v>
      </c>
      <c r="X57" s="499" t="s">
        <v>17</v>
      </c>
      <c r="Y57" s="473" t="s">
        <v>15</v>
      </c>
      <c r="Z57" s="474">
        <f>42+6.8+44.7+179.1</f>
        <v>272.60000000000002</v>
      </c>
      <c r="AA57" s="516">
        <v>49900</v>
      </c>
      <c r="AB57" s="476">
        <f t="shared" si="3"/>
        <v>14367213.988000002</v>
      </c>
    </row>
    <row r="58" spans="1:28" x14ac:dyDescent="0.25">
      <c r="A58" s="22">
        <v>320203</v>
      </c>
      <c r="B58" s="143" t="s">
        <v>26</v>
      </c>
      <c r="C58" s="25" t="s">
        <v>27</v>
      </c>
      <c r="D58" s="4">
        <v>40</v>
      </c>
      <c r="E58" s="26">
        <v>13980</v>
      </c>
      <c r="F58" s="6">
        <f t="shared" si="4"/>
        <v>590627.04</v>
      </c>
      <c r="I58" s="300">
        <v>100608</v>
      </c>
      <c r="J58" s="314" t="s">
        <v>37</v>
      </c>
      <c r="K58" s="320" t="s">
        <v>7</v>
      </c>
      <c r="L58" s="183">
        <v>4.9676758999999997</v>
      </c>
      <c r="M58" s="328">
        <v>16720</v>
      </c>
      <c r="N58" s="369">
        <f t="shared" si="1"/>
        <v>87727.487254897598</v>
      </c>
      <c r="P58" s="167">
        <v>140217</v>
      </c>
      <c r="Q58" s="409" t="s">
        <v>184</v>
      </c>
      <c r="R58" s="378" t="s">
        <v>15</v>
      </c>
      <c r="S58" s="389">
        <v>20</v>
      </c>
      <c r="T58" s="379">
        <v>53640</v>
      </c>
      <c r="U58" s="169">
        <f t="shared" si="5"/>
        <v>1133091.3600000001</v>
      </c>
      <c r="W58" s="471">
        <v>140217</v>
      </c>
      <c r="X58" s="499" t="s">
        <v>184</v>
      </c>
      <c r="Y58" s="493" t="s">
        <v>15</v>
      </c>
      <c r="Z58" s="505">
        <v>20</v>
      </c>
      <c r="AA58" s="477">
        <v>53640</v>
      </c>
      <c r="AB58" s="476">
        <f t="shared" si="3"/>
        <v>1133091.3600000001</v>
      </c>
    </row>
    <row r="59" spans="1:28" x14ac:dyDescent="0.25">
      <c r="A59" s="140">
        <v>100119</v>
      </c>
      <c r="B59" s="81" t="s">
        <v>59</v>
      </c>
      <c r="C59" s="3" t="s">
        <v>3</v>
      </c>
      <c r="D59" s="4">
        <v>49</v>
      </c>
      <c r="E59" s="49">
        <v>10250</v>
      </c>
      <c r="F59" s="82">
        <f t="shared" si="4"/>
        <v>530476.45000000007</v>
      </c>
      <c r="I59" s="275">
        <v>100608</v>
      </c>
      <c r="J59" s="311" t="s">
        <v>97</v>
      </c>
      <c r="K59" s="203" t="s">
        <v>7</v>
      </c>
      <c r="L59" s="209">
        <v>15</v>
      </c>
      <c r="M59" s="223">
        <v>16870</v>
      </c>
      <c r="N59" s="369">
        <f t="shared" si="1"/>
        <v>267271.41000000003</v>
      </c>
      <c r="P59" s="277">
        <v>140219</v>
      </c>
      <c r="Q59" s="185" t="s">
        <v>154</v>
      </c>
      <c r="R59" s="183" t="s">
        <v>15</v>
      </c>
      <c r="S59" s="183">
        <v>141.09</v>
      </c>
      <c r="T59" s="187">
        <v>55660</v>
      </c>
      <c r="U59" s="369">
        <f t="shared" si="5"/>
        <v>8294411.9002800006</v>
      </c>
      <c r="W59" s="509">
        <v>140219</v>
      </c>
      <c r="X59" s="490" t="s">
        <v>154</v>
      </c>
      <c r="Y59" s="487" t="s">
        <v>15</v>
      </c>
      <c r="Z59" s="487">
        <v>141.09</v>
      </c>
      <c r="AA59" s="492">
        <v>55660</v>
      </c>
      <c r="AB59" s="476">
        <f t="shared" si="3"/>
        <v>8294411.9002800006</v>
      </c>
    </row>
    <row r="60" spans="1:28" x14ac:dyDescent="0.25">
      <c r="A60" s="140">
        <v>100505</v>
      </c>
      <c r="B60" s="2" t="s">
        <v>60</v>
      </c>
      <c r="C60" s="83" t="s">
        <v>15</v>
      </c>
      <c r="D60" s="4">
        <v>170</v>
      </c>
      <c r="E60" s="8">
        <v>5120</v>
      </c>
      <c r="F60" s="82">
        <f t="shared" si="4"/>
        <v>919316.47999999998</v>
      </c>
      <c r="I60" s="270">
        <v>100608</v>
      </c>
      <c r="J60" s="202" t="s">
        <v>37</v>
      </c>
      <c r="K60" s="273" t="s">
        <v>7</v>
      </c>
      <c r="L60" s="178">
        <v>60.24</v>
      </c>
      <c r="M60" s="269">
        <v>16870</v>
      </c>
      <c r="N60" s="369">
        <f t="shared" si="1"/>
        <v>1073361.9825600001</v>
      </c>
      <c r="P60" s="192">
        <v>140304</v>
      </c>
      <c r="Q60" s="193" t="s">
        <v>176</v>
      </c>
      <c r="R60" s="194" t="s">
        <v>3</v>
      </c>
      <c r="S60" s="178">
        <v>42.76</v>
      </c>
      <c r="T60" s="188">
        <v>63950</v>
      </c>
      <c r="U60" s="369">
        <f t="shared" si="5"/>
        <v>2888181.0123999999</v>
      </c>
      <c r="W60" s="489">
        <v>140304</v>
      </c>
      <c r="X60" s="490" t="s">
        <v>176</v>
      </c>
      <c r="Y60" s="491" t="s">
        <v>3</v>
      </c>
      <c r="Z60" s="474">
        <v>42.76</v>
      </c>
      <c r="AA60" s="492">
        <v>63950</v>
      </c>
      <c r="AB60" s="476">
        <f t="shared" si="3"/>
        <v>2888181.0123999999</v>
      </c>
    </row>
    <row r="61" spans="1:28" x14ac:dyDescent="0.25">
      <c r="A61" s="140">
        <v>100536</v>
      </c>
      <c r="B61" s="136" t="s">
        <v>61</v>
      </c>
      <c r="C61" s="83" t="s">
        <v>62</v>
      </c>
      <c r="D61" s="4">
        <v>80</v>
      </c>
      <c r="E61" s="8">
        <v>1800</v>
      </c>
      <c r="F61" s="82">
        <f t="shared" si="4"/>
        <v>152092.80000000002</v>
      </c>
      <c r="I61" s="270">
        <v>100608</v>
      </c>
      <c r="J61" s="202" t="s">
        <v>37</v>
      </c>
      <c r="K61" s="273" t="s">
        <v>7</v>
      </c>
      <c r="L61" s="216">
        <v>2</v>
      </c>
      <c r="M61" s="288">
        <v>16870</v>
      </c>
      <c r="N61" s="369">
        <f t="shared" si="1"/>
        <v>35636.188000000002</v>
      </c>
      <c r="P61" s="264">
        <v>140403</v>
      </c>
      <c r="Q61" s="222" t="s">
        <v>102</v>
      </c>
      <c r="R61" s="239" t="s">
        <v>3</v>
      </c>
      <c r="S61" s="240">
        <v>4.7</v>
      </c>
      <c r="T61" s="241">
        <v>92950</v>
      </c>
      <c r="U61" s="369">
        <f t="shared" si="5"/>
        <v>461416.81300000002</v>
      </c>
      <c r="W61" s="511">
        <v>140403</v>
      </c>
      <c r="X61" s="485" t="s">
        <v>102</v>
      </c>
      <c r="Y61" s="517" t="s">
        <v>3</v>
      </c>
      <c r="Z61" s="518">
        <v>4.7</v>
      </c>
      <c r="AA61" s="519">
        <v>92950</v>
      </c>
      <c r="AB61" s="476">
        <f t="shared" si="3"/>
        <v>461416.81300000002</v>
      </c>
    </row>
    <row r="62" spans="1:28" x14ac:dyDescent="0.25">
      <c r="A62" s="140">
        <v>100538</v>
      </c>
      <c r="B62" s="136" t="s">
        <v>63</v>
      </c>
      <c r="C62" s="83" t="s">
        <v>1</v>
      </c>
      <c r="D62" s="4">
        <v>6</v>
      </c>
      <c r="E62" s="8">
        <v>62750</v>
      </c>
      <c r="F62" s="82">
        <f t="shared" si="4"/>
        <v>397659.3</v>
      </c>
      <c r="I62" s="175">
        <v>100619</v>
      </c>
      <c r="J62" s="176" t="s">
        <v>170</v>
      </c>
      <c r="K62" s="180" t="s">
        <v>7</v>
      </c>
      <c r="L62" s="178">
        <v>21</v>
      </c>
      <c r="M62" s="181">
        <v>25400</v>
      </c>
      <c r="N62" s="369">
        <f t="shared" si="1"/>
        <v>563377.07999999996</v>
      </c>
      <c r="P62" s="175">
        <v>140404</v>
      </c>
      <c r="Q62" s="176" t="s">
        <v>39</v>
      </c>
      <c r="R62" s="177" t="s">
        <v>15</v>
      </c>
      <c r="S62" s="178">
        <v>1.52</v>
      </c>
      <c r="T62" s="179">
        <v>136700</v>
      </c>
      <c r="U62" s="369">
        <f t="shared" si="5"/>
        <v>219461.4608</v>
      </c>
      <c r="W62" s="471">
        <v>140404</v>
      </c>
      <c r="X62" s="472" t="s">
        <v>39</v>
      </c>
      <c r="Y62" s="473" t="s">
        <v>15</v>
      </c>
      <c r="Z62" s="474">
        <v>1.52</v>
      </c>
      <c r="AA62" s="475">
        <v>136700</v>
      </c>
      <c r="AB62" s="476">
        <f t="shared" si="3"/>
        <v>219461.4608</v>
      </c>
    </row>
    <row r="63" spans="1:28" x14ac:dyDescent="0.25">
      <c r="A63" s="11">
        <v>100407</v>
      </c>
      <c r="B63" s="12" t="s">
        <v>64</v>
      </c>
      <c r="C63" s="13" t="s">
        <v>15</v>
      </c>
      <c r="D63" s="4">
        <v>161.41999999999999</v>
      </c>
      <c r="E63" s="14">
        <v>6490</v>
      </c>
      <c r="F63" s="82">
        <f t="shared" si="4"/>
        <v>1106491.8079599999</v>
      </c>
      <c r="I63" s="275">
        <v>110301</v>
      </c>
      <c r="J63" s="222" t="s">
        <v>109</v>
      </c>
      <c r="K63" s="203" t="s">
        <v>3</v>
      </c>
      <c r="L63" s="209">
        <v>12</v>
      </c>
      <c r="M63" s="223">
        <v>13470</v>
      </c>
      <c r="N63" s="369">
        <f t="shared" si="1"/>
        <v>170724.16800000001</v>
      </c>
      <c r="P63" s="436">
        <v>150205</v>
      </c>
      <c r="Q63" s="409" t="s">
        <v>23</v>
      </c>
      <c r="R63" s="168" t="s">
        <v>3</v>
      </c>
      <c r="S63" s="166">
        <f>39.4+32</f>
        <v>71.400000000000006</v>
      </c>
      <c r="T63" s="437">
        <v>46400</v>
      </c>
      <c r="U63" s="169">
        <f t="shared" si="5"/>
        <v>3499148.3520000004</v>
      </c>
      <c r="W63" s="515">
        <v>150205</v>
      </c>
      <c r="X63" s="499" t="s">
        <v>23</v>
      </c>
      <c r="Y63" s="473" t="s">
        <v>3</v>
      </c>
      <c r="Z63" s="474">
        <f>39.4+32</f>
        <v>71.400000000000006</v>
      </c>
      <c r="AA63" s="516">
        <v>46400</v>
      </c>
      <c r="AB63" s="476">
        <f t="shared" si="3"/>
        <v>3499148.3520000004</v>
      </c>
    </row>
    <row r="64" spans="1:28" x14ac:dyDescent="0.25">
      <c r="A64" s="140">
        <v>100502</v>
      </c>
      <c r="B64" s="136" t="s">
        <v>65</v>
      </c>
      <c r="C64" s="83" t="s">
        <v>15</v>
      </c>
      <c r="D64" s="4">
        <v>95.61</v>
      </c>
      <c r="E64" s="8">
        <v>4550</v>
      </c>
      <c r="F64" s="82">
        <f t="shared" si="4"/>
        <v>459473.93310000002</v>
      </c>
      <c r="I64" s="275">
        <v>110301</v>
      </c>
      <c r="J64" s="222" t="s">
        <v>109</v>
      </c>
      <c r="K64" s="322" t="s">
        <v>3</v>
      </c>
      <c r="L64" s="209">
        <v>15</v>
      </c>
      <c r="M64" s="330">
        <v>13470</v>
      </c>
      <c r="N64" s="369">
        <f t="shared" si="1"/>
        <v>213405.21</v>
      </c>
      <c r="P64" s="413">
        <v>150502</v>
      </c>
      <c r="Q64" s="382" t="s">
        <v>105</v>
      </c>
      <c r="R64" s="383" t="s">
        <v>1</v>
      </c>
      <c r="S64" s="384">
        <v>17</v>
      </c>
      <c r="T64" s="385">
        <v>27300</v>
      </c>
      <c r="U64" s="169">
        <f t="shared" si="5"/>
        <v>490182.42000000004</v>
      </c>
      <c r="W64" s="502">
        <v>150502</v>
      </c>
      <c r="X64" s="485" t="s">
        <v>105</v>
      </c>
      <c r="Y64" s="486" t="s">
        <v>1</v>
      </c>
      <c r="Z64" s="504">
        <v>17</v>
      </c>
      <c r="AA64" s="488">
        <v>27300</v>
      </c>
      <c r="AB64" s="476">
        <f t="shared" si="3"/>
        <v>490182.42000000004</v>
      </c>
    </row>
    <row r="65" spans="1:28" x14ac:dyDescent="0.25">
      <c r="A65" s="140">
        <v>100419</v>
      </c>
      <c r="B65" s="136" t="s">
        <v>66</v>
      </c>
      <c r="C65" s="83" t="s">
        <v>15</v>
      </c>
      <c r="D65" s="4">
        <v>53.78</v>
      </c>
      <c r="E65" s="8">
        <v>3820</v>
      </c>
      <c r="F65" s="82">
        <f t="shared" si="4"/>
        <v>216985.30552000002</v>
      </c>
      <c r="I65" s="275">
        <v>110303</v>
      </c>
      <c r="J65" s="222" t="s">
        <v>110</v>
      </c>
      <c r="K65" s="322" t="s">
        <v>3</v>
      </c>
      <c r="L65" s="209">
        <v>36</v>
      </c>
      <c r="M65" s="330">
        <v>27910</v>
      </c>
      <c r="N65" s="369">
        <f t="shared" si="1"/>
        <v>1061227.5120000001</v>
      </c>
      <c r="P65" s="413">
        <v>150511</v>
      </c>
      <c r="Q65" s="382" t="s">
        <v>104</v>
      </c>
      <c r="R65" s="383" t="s">
        <v>1</v>
      </c>
      <c r="S65" s="384">
        <v>7</v>
      </c>
      <c r="T65" s="385">
        <v>46940</v>
      </c>
      <c r="U65" s="169">
        <f t="shared" si="5"/>
        <v>347046.196</v>
      </c>
      <c r="W65" s="502">
        <v>150511</v>
      </c>
      <c r="X65" s="485" t="s">
        <v>104</v>
      </c>
      <c r="Y65" s="486" t="s">
        <v>1</v>
      </c>
      <c r="Z65" s="504">
        <v>7</v>
      </c>
      <c r="AA65" s="488">
        <v>46940</v>
      </c>
      <c r="AB65" s="476">
        <f t="shared" si="3"/>
        <v>347046.196</v>
      </c>
    </row>
    <row r="66" spans="1:28" x14ac:dyDescent="0.25">
      <c r="A66" s="140">
        <v>100314</v>
      </c>
      <c r="B66" s="81" t="s">
        <v>67</v>
      </c>
      <c r="C66" s="83" t="s">
        <v>15</v>
      </c>
      <c r="D66" s="4">
        <v>220.95</v>
      </c>
      <c r="E66" s="8">
        <v>5050</v>
      </c>
      <c r="F66" s="82">
        <f t="shared" ref="F66:F88" si="6">(D66*E66)*+(1+5.62%)</f>
        <v>1178505.3195</v>
      </c>
      <c r="I66" s="275">
        <v>110303</v>
      </c>
      <c r="J66" s="311" t="s">
        <v>110</v>
      </c>
      <c r="K66" s="322" t="s">
        <v>3</v>
      </c>
      <c r="L66" s="209">
        <v>32</v>
      </c>
      <c r="M66" s="330">
        <v>27910</v>
      </c>
      <c r="N66" s="369">
        <f t="shared" si="1"/>
        <v>943313.34400000004</v>
      </c>
      <c r="P66" s="207">
        <v>160110</v>
      </c>
      <c r="Q66" s="208" t="s">
        <v>53</v>
      </c>
      <c r="R66" s="203" t="s">
        <v>1</v>
      </c>
      <c r="S66" s="209">
        <v>6</v>
      </c>
      <c r="T66" s="210">
        <v>930</v>
      </c>
      <c r="U66" s="369">
        <f t="shared" si="5"/>
        <v>5893.5960000000005</v>
      </c>
      <c r="W66" s="520">
        <v>160110</v>
      </c>
      <c r="X66" s="521" t="s">
        <v>53</v>
      </c>
      <c r="Y66" s="486" t="s">
        <v>1</v>
      </c>
      <c r="Z66" s="504">
        <v>6</v>
      </c>
      <c r="AA66" s="513">
        <v>930</v>
      </c>
      <c r="AB66" s="476">
        <f t="shared" si="3"/>
        <v>5893.5960000000005</v>
      </c>
    </row>
    <row r="67" spans="1:28" x14ac:dyDescent="0.25">
      <c r="A67" s="1">
        <v>10105</v>
      </c>
      <c r="B67" s="81" t="s">
        <v>68</v>
      </c>
      <c r="C67" s="83" t="s">
        <v>15</v>
      </c>
      <c r="D67" s="4">
        <v>15.259</v>
      </c>
      <c r="E67" s="8">
        <v>25220</v>
      </c>
      <c r="F67" s="82">
        <f t="shared" si="6"/>
        <v>406459.53727600002</v>
      </c>
      <c r="I67" s="175">
        <v>110904</v>
      </c>
      <c r="J67" s="258" t="s">
        <v>167</v>
      </c>
      <c r="K67" s="259" t="s">
        <v>15</v>
      </c>
      <c r="L67" s="178">
        <v>116.735</v>
      </c>
      <c r="M67" s="181">
        <v>4540</v>
      </c>
      <c r="N67" s="369">
        <f t="shared" si="1"/>
        <v>559761.60178000003</v>
      </c>
      <c r="P67" s="207">
        <v>160129</v>
      </c>
      <c r="Q67" s="208" t="s">
        <v>52</v>
      </c>
      <c r="R67" s="203" t="s">
        <v>1</v>
      </c>
      <c r="S67" s="209">
        <v>4</v>
      </c>
      <c r="T67" s="210">
        <v>1460</v>
      </c>
      <c r="U67" s="369">
        <f t="shared" si="5"/>
        <v>6168.2080000000005</v>
      </c>
      <c r="W67" s="520">
        <v>160129</v>
      </c>
      <c r="X67" s="521" t="s">
        <v>52</v>
      </c>
      <c r="Y67" s="486" t="s">
        <v>1</v>
      </c>
      <c r="Z67" s="504">
        <v>4</v>
      </c>
      <c r="AA67" s="513">
        <v>1460</v>
      </c>
      <c r="AB67" s="476">
        <f t="shared" si="3"/>
        <v>6168.2080000000005</v>
      </c>
    </row>
    <row r="68" spans="1:28" x14ac:dyDescent="0.25">
      <c r="A68" s="142">
        <v>172414</v>
      </c>
      <c r="B68" s="141" t="s">
        <v>69</v>
      </c>
      <c r="C68" s="7" t="s">
        <v>1</v>
      </c>
      <c r="D68" s="4">
        <v>6</v>
      </c>
      <c r="E68" s="84">
        <v>5180</v>
      </c>
      <c r="F68" s="82">
        <f t="shared" si="6"/>
        <v>32826.696000000004</v>
      </c>
      <c r="I68" s="306">
        <v>120101</v>
      </c>
      <c r="J68" s="309" t="s">
        <v>137</v>
      </c>
      <c r="K68" s="325" t="s">
        <v>27</v>
      </c>
      <c r="L68" s="183">
        <v>550</v>
      </c>
      <c r="M68" s="365">
        <v>5330</v>
      </c>
      <c r="N68" s="369">
        <f t="shared" ref="N68:N131" si="7">(L68*M68)*+(1+5.62%)</f>
        <v>3096250.3000000003</v>
      </c>
      <c r="P68" s="438">
        <v>160505</v>
      </c>
      <c r="Q68" s="439" t="s">
        <v>51</v>
      </c>
      <c r="R68" s="383" t="s">
        <v>3</v>
      </c>
      <c r="S68" s="384">
        <f>4.5+32+40</f>
        <v>76.5</v>
      </c>
      <c r="T68" s="432">
        <v>6280</v>
      </c>
      <c r="U68" s="169">
        <f t="shared" si="5"/>
        <v>507419.60399999999</v>
      </c>
      <c r="W68" s="520">
        <v>160505</v>
      </c>
      <c r="X68" s="521" t="s">
        <v>51</v>
      </c>
      <c r="Y68" s="486" t="s">
        <v>3</v>
      </c>
      <c r="Z68" s="504">
        <f>4.5+32+40</f>
        <v>76.5</v>
      </c>
      <c r="AA68" s="513">
        <v>6280</v>
      </c>
      <c r="AB68" s="476">
        <f t="shared" ref="AB68:AB131" si="8">(Z68*AA68)*+(1+5.62%)</f>
        <v>507419.60399999999</v>
      </c>
    </row>
    <row r="69" spans="1:28" x14ac:dyDescent="0.25">
      <c r="A69" s="11">
        <v>100214</v>
      </c>
      <c r="B69" s="12" t="s">
        <v>70</v>
      </c>
      <c r="C69" s="13" t="s">
        <v>3</v>
      </c>
      <c r="D69" s="4">
        <v>40.43</v>
      </c>
      <c r="E69" s="14">
        <v>6170</v>
      </c>
      <c r="F69" s="82">
        <f t="shared" si="6"/>
        <v>263472.36421999999</v>
      </c>
      <c r="I69" s="184">
        <v>120102</v>
      </c>
      <c r="J69" s="185" t="s">
        <v>138</v>
      </c>
      <c r="K69" s="186" t="s">
        <v>27</v>
      </c>
      <c r="L69" s="183">
        <v>1050</v>
      </c>
      <c r="M69" s="187">
        <v>4890</v>
      </c>
      <c r="N69" s="369">
        <f t="shared" si="7"/>
        <v>5423058.9000000004</v>
      </c>
      <c r="P69" s="440">
        <v>160629</v>
      </c>
      <c r="Q69" s="399" t="s">
        <v>50</v>
      </c>
      <c r="R69" s="383" t="s">
        <v>1</v>
      </c>
      <c r="S69" s="166">
        <v>6</v>
      </c>
      <c r="T69" s="411">
        <v>23460</v>
      </c>
      <c r="U69" s="169">
        <f t="shared" si="5"/>
        <v>148670.712</v>
      </c>
      <c r="W69" s="522">
        <v>160629</v>
      </c>
      <c r="X69" s="495" t="s">
        <v>50</v>
      </c>
      <c r="Y69" s="486" t="s">
        <v>1</v>
      </c>
      <c r="Z69" s="474">
        <v>6</v>
      </c>
      <c r="AA69" s="508">
        <v>23460</v>
      </c>
      <c r="AB69" s="476">
        <f t="shared" si="8"/>
        <v>148670.712</v>
      </c>
    </row>
    <row r="70" spans="1:28" x14ac:dyDescent="0.25">
      <c r="A70" s="11">
        <v>100312</v>
      </c>
      <c r="B70" s="12" t="s">
        <v>71</v>
      </c>
      <c r="C70" s="13" t="s">
        <v>15</v>
      </c>
      <c r="D70" s="4">
        <v>3.88</v>
      </c>
      <c r="E70" s="14">
        <v>27630</v>
      </c>
      <c r="F70" s="82">
        <f t="shared" si="6"/>
        <v>113229.28727999999</v>
      </c>
      <c r="I70" s="184">
        <v>120102</v>
      </c>
      <c r="J70" s="185" t="s">
        <v>138</v>
      </c>
      <c r="K70" s="186" t="s">
        <v>27</v>
      </c>
      <c r="L70" s="183">
        <v>450</v>
      </c>
      <c r="M70" s="187">
        <v>4890</v>
      </c>
      <c r="N70" s="369">
        <f t="shared" si="7"/>
        <v>2324168.1</v>
      </c>
      <c r="P70" s="412">
        <v>160801</v>
      </c>
      <c r="Q70" s="382" t="s">
        <v>116</v>
      </c>
      <c r="R70" s="383" t="s">
        <v>1</v>
      </c>
      <c r="S70" s="384">
        <v>47</v>
      </c>
      <c r="T70" s="385">
        <v>42840</v>
      </c>
      <c r="U70" s="169">
        <f t="shared" ref="U70:U93" si="9">(S70*T70)*+(1+5.62%)</f>
        <v>2126637.5759999999</v>
      </c>
      <c r="W70" s="502">
        <v>160801</v>
      </c>
      <c r="X70" s="485" t="s">
        <v>116</v>
      </c>
      <c r="Y70" s="486" t="s">
        <v>1</v>
      </c>
      <c r="Z70" s="504">
        <v>47</v>
      </c>
      <c r="AA70" s="488">
        <v>42840</v>
      </c>
      <c r="AB70" s="476">
        <f t="shared" si="8"/>
        <v>2126637.5759999999</v>
      </c>
    </row>
    <row r="71" spans="1:28" x14ac:dyDescent="0.25">
      <c r="A71" s="11">
        <v>100308</v>
      </c>
      <c r="B71" s="12" t="s">
        <v>72</v>
      </c>
      <c r="C71" s="13" t="s">
        <v>3</v>
      </c>
      <c r="D71" s="4">
        <v>55.98</v>
      </c>
      <c r="E71" s="14">
        <v>2270</v>
      </c>
      <c r="F71" s="82">
        <f t="shared" si="6"/>
        <v>134216.19251999998</v>
      </c>
      <c r="I71" s="175">
        <v>120211</v>
      </c>
      <c r="J71" s="182" t="s">
        <v>74</v>
      </c>
      <c r="K71" s="177" t="s">
        <v>15</v>
      </c>
      <c r="L71" s="178">
        <v>7.68</v>
      </c>
      <c r="M71" s="179">
        <v>31250</v>
      </c>
      <c r="N71" s="369">
        <f t="shared" si="7"/>
        <v>253488</v>
      </c>
      <c r="P71" s="436">
        <v>170134</v>
      </c>
      <c r="Q71" s="441" t="s">
        <v>35</v>
      </c>
      <c r="R71" s="383" t="s">
        <v>3</v>
      </c>
      <c r="S71" s="166">
        <f>50+130+50+25+300</f>
        <v>555</v>
      </c>
      <c r="T71" s="437">
        <v>4650</v>
      </c>
      <c r="U71" s="169">
        <f t="shared" si="9"/>
        <v>2725788.15</v>
      </c>
      <c r="W71" s="515">
        <v>170134</v>
      </c>
      <c r="X71" s="523" t="s">
        <v>35</v>
      </c>
      <c r="Y71" s="486" t="s">
        <v>3</v>
      </c>
      <c r="Z71" s="474">
        <f>50+130+50+25+300</f>
        <v>555</v>
      </c>
      <c r="AA71" s="516">
        <v>4650</v>
      </c>
      <c r="AB71" s="476">
        <f t="shared" si="8"/>
        <v>2725788.15</v>
      </c>
    </row>
    <row r="72" spans="1:28" x14ac:dyDescent="0.25">
      <c r="A72" s="140">
        <v>10114</v>
      </c>
      <c r="B72" s="2" t="s">
        <v>2</v>
      </c>
      <c r="C72" s="3" t="s">
        <v>3</v>
      </c>
      <c r="D72" s="4">
        <v>172.1</v>
      </c>
      <c r="E72" s="5">
        <v>2010</v>
      </c>
      <c r="F72" s="82">
        <f t="shared" si="6"/>
        <v>365361.76020000002</v>
      </c>
      <c r="I72" s="276">
        <v>120211</v>
      </c>
      <c r="J72" s="233" t="s">
        <v>74</v>
      </c>
      <c r="K72" s="230" t="s">
        <v>15</v>
      </c>
      <c r="L72" s="231">
        <v>6</v>
      </c>
      <c r="M72" s="232">
        <v>31250</v>
      </c>
      <c r="N72" s="369">
        <f t="shared" si="7"/>
        <v>198037.5</v>
      </c>
      <c r="P72" s="413">
        <v>170404</v>
      </c>
      <c r="Q72" s="382" t="s">
        <v>119</v>
      </c>
      <c r="R72" s="383" t="s">
        <v>1</v>
      </c>
      <c r="S72" s="384">
        <v>13</v>
      </c>
      <c r="T72" s="385">
        <v>58010</v>
      </c>
      <c r="U72" s="169">
        <f t="shared" si="9"/>
        <v>796512.10600000003</v>
      </c>
      <c r="W72" s="502">
        <v>170404</v>
      </c>
      <c r="X72" s="485" t="s">
        <v>119</v>
      </c>
      <c r="Y72" s="486" t="s">
        <v>1</v>
      </c>
      <c r="Z72" s="504">
        <v>13</v>
      </c>
      <c r="AA72" s="488">
        <v>58010</v>
      </c>
      <c r="AB72" s="476">
        <f t="shared" si="8"/>
        <v>796512.10600000003</v>
      </c>
    </row>
    <row r="73" spans="1:28" x14ac:dyDescent="0.25">
      <c r="A73" s="140">
        <v>60810</v>
      </c>
      <c r="B73" s="2" t="s">
        <v>73</v>
      </c>
      <c r="C73" s="3" t="s">
        <v>7</v>
      </c>
      <c r="D73" s="4">
        <v>14.05</v>
      </c>
      <c r="E73" s="5">
        <v>13690</v>
      </c>
      <c r="F73" s="82">
        <f t="shared" si="6"/>
        <v>203154.26089999999</v>
      </c>
      <c r="I73" s="175">
        <v>120211</v>
      </c>
      <c r="J73" s="182" t="s">
        <v>74</v>
      </c>
      <c r="K73" s="177" t="s">
        <v>15</v>
      </c>
      <c r="L73" s="178">
        <v>8.32</v>
      </c>
      <c r="M73" s="179">
        <v>31250</v>
      </c>
      <c r="N73" s="369">
        <f t="shared" si="7"/>
        <v>274612</v>
      </c>
      <c r="P73" s="413">
        <v>170532</v>
      </c>
      <c r="Q73" s="382" t="s">
        <v>120</v>
      </c>
      <c r="R73" s="383" t="s">
        <v>1</v>
      </c>
      <c r="S73" s="384">
        <v>17</v>
      </c>
      <c r="T73" s="385">
        <v>118310</v>
      </c>
      <c r="U73" s="169">
        <f t="shared" si="9"/>
        <v>2124303.3739999998</v>
      </c>
      <c r="W73" s="502">
        <v>170532</v>
      </c>
      <c r="X73" s="485" t="s">
        <v>120</v>
      </c>
      <c r="Y73" s="486" t="s">
        <v>1</v>
      </c>
      <c r="Z73" s="504">
        <v>17</v>
      </c>
      <c r="AA73" s="488">
        <v>118310</v>
      </c>
      <c r="AB73" s="476">
        <f t="shared" si="8"/>
        <v>2124303.3739999998</v>
      </c>
    </row>
    <row r="74" spans="1:28" x14ac:dyDescent="0.25">
      <c r="A74" s="140">
        <v>120211</v>
      </c>
      <c r="B74" s="141" t="s">
        <v>74</v>
      </c>
      <c r="C74" s="3" t="s">
        <v>15</v>
      </c>
      <c r="D74" s="4">
        <v>7.68</v>
      </c>
      <c r="E74" s="5">
        <v>31250</v>
      </c>
      <c r="F74" s="82">
        <f t="shared" si="6"/>
        <v>253488</v>
      </c>
      <c r="I74" s="192">
        <v>120212</v>
      </c>
      <c r="J74" s="339" t="s">
        <v>133</v>
      </c>
      <c r="K74" s="194" t="s">
        <v>7</v>
      </c>
      <c r="L74" s="183">
        <v>1.8</v>
      </c>
      <c r="M74" s="187">
        <v>931680</v>
      </c>
      <c r="N74" s="369">
        <f t="shared" si="7"/>
        <v>1771272.7487999999</v>
      </c>
      <c r="P74" s="442">
        <v>170538</v>
      </c>
      <c r="Q74" s="441" t="s">
        <v>33</v>
      </c>
      <c r="R74" s="383" t="s">
        <v>1</v>
      </c>
      <c r="S74" s="166">
        <v>16</v>
      </c>
      <c r="T74" s="437">
        <v>113280</v>
      </c>
      <c r="U74" s="169">
        <f t="shared" si="9"/>
        <v>1914341.3760000002</v>
      </c>
      <c r="W74" s="515">
        <v>170538</v>
      </c>
      <c r="X74" s="523" t="s">
        <v>33</v>
      </c>
      <c r="Y74" s="486" t="s">
        <v>1</v>
      </c>
      <c r="Z74" s="474">
        <v>16</v>
      </c>
      <c r="AA74" s="516">
        <v>113280</v>
      </c>
      <c r="AB74" s="476">
        <f t="shared" si="8"/>
        <v>1914341.3760000002</v>
      </c>
    </row>
    <row r="75" spans="1:28" x14ac:dyDescent="0.25">
      <c r="A75" s="140">
        <v>120213</v>
      </c>
      <c r="B75" s="136" t="s">
        <v>75</v>
      </c>
      <c r="C75" s="3" t="s">
        <v>7</v>
      </c>
      <c r="D75" s="4">
        <v>2.2999999999999998</v>
      </c>
      <c r="E75" s="5">
        <v>427970</v>
      </c>
      <c r="F75" s="82">
        <f t="shared" si="6"/>
        <v>1039650.4021999999</v>
      </c>
      <c r="I75" s="175">
        <v>120213</v>
      </c>
      <c r="J75" s="182" t="s">
        <v>75</v>
      </c>
      <c r="K75" s="177" t="s">
        <v>7</v>
      </c>
      <c r="L75" s="178">
        <v>2.2999999999999998</v>
      </c>
      <c r="M75" s="179">
        <v>427970</v>
      </c>
      <c r="N75" s="369">
        <f t="shared" si="7"/>
        <v>1039650.4021999999</v>
      </c>
      <c r="P75" s="436">
        <v>170659</v>
      </c>
      <c r="Q75" s="441" t="s">
        <v>32</v>
      </c>
      <c r="R75" s="383" t="s">
        <v>1</v>
      </c>
      <c r="S75" s="166">
        <f>6+4+20+14+4+28+3+93</f>
        <v>172</v>
      </c>
      <c r="T75" s="437">
        <v>62150</v>
      </c>
      <c r="U75" s="169">
        <f t="shared" si="9"/>
        <v>11290566.76</v>
      </c>
      <c r="W75" s="515">
        <v>170659</v>
      </c>
      <c r="X75" s="523" t="s">
        <v>32</v>
      </c>
      <c r="Y75" s="486" t="s">
        <v>1</v>
      </c>
      <c r="Z75" s="474">
        <f>6+4+20+14+4+28+3+93</f>
        <v>172</v>
      </c>
      <c r="AA75" s="516">
        <v>62150</v>
      </c>
      <c r="AB75" s="476">
        <f t="shared" si="8"/>
        <v>11290566.76</v>
      </c>
    </row>
    <row r="76" spans="1:28" x14ac:dyDescent="0.25">
      <c r="A76" s="1">
        <v>200127</v>
      </c>
      <c r="B76" s="9" t="s">
        <v>76</v>
      </c>
      <c r="C76" s="3" t="s">
        <v>15</v>
      </c>
      <c r="D76" s="4">
        <v>166.48</v>
      </c>
      <c r="E76" s="5">
        <v>60710</v>
      </c>
      <c r="F76" s="82">
        <f t="shared" si="6"/>
        <v>10675014.244959999</v>
      </c>
      <c r="I76" s="175">
        <v>120213</v>
      </c>
      <c r="J76" s="182" t="s">
        <v>75</v>
      </c>
      <c r="K76" s="177" t="s">
        <v>7</v>
      </c>
      <c r="L76" s="178">
        <v>2.5</v>
      </c>
      <c r="M76" s="179">
        <v>427970</v>
      </c>
      <c r="N76" s="369">
        <f t="shared" si="7"/>
        <v>1130054.7849999999</v>
      </c>
      <c r="P76" s="436">
        <v>170722</v>
      </c>
      <c r="Q76" s="409" t="s">
        <v>36</v>
      </c>
      <c r="R76" s="378" t="s">
        <v>1</v>
      </c>
      <c r="S76" s="166">
        <v>44</v>
      </c>
      <c r="T76" s="437">
        <v>82790</v>
      </c>
      <c r="U76" s="169">
        <f t="shared" si="9"/>
        <v>3847483.1120000002</v>
      </c>
      <c r="W76" s="515">
        <v>170722</v>
      </c>
      <c r="X76" s="499" t="s">
        <v>36</v>
      </c>
      <c r="Y76" s="493" t="s">
        <v>1</v>
      </c>
      <c r="Z76" s="474">
        <v>44</v>
      </c>
      <c r="AA76" s="516">
        <v>82790</v>
      </c>
      <c r="AB76" s="476">
        <f t="shared" si="8"/>
        <v>3847483.1120000002</v>
      </c>
    </row>
    <row r="77" spans="1:28" x14ac:dyDescent="0.25">
      <c r="A77" s="140">
        <v>120301</v>
      </c>
      <c r="B77" s="136" t="s">
        <v>77</v>
      </c>
      <c r="C77" s="3" t="s">
        <v>7</v>
      </c>
      <c r="D77" s="4">
        <v>11.21</v>
      </c>
      <c r="E77" s="5">
        <v>638.48</v>
      </c>
      <c r="F77" s="82">
        <f t="shared" si="6"/>
        <v>7559.6044769600003</v>
      </c>
      <c r="I77" s="175">
        <v>120301</v>
      </c>
      <c r="J77" s="182" t="s">
        <v>77</v>
      </c>
      <c r="K77" s="177" t="s">
        <v>7</v>
      </c>
      <c r="L77" s="178">
        <v>11.21</v>
      </c>
      <c r="M77" s="179">
        <v>638.48</v>
      </c>
      <c r="N77" s="369">
        <f t="shared" si="7"/>
        <v>7559.6044769600003</v>
      </c>
      <c r="P77" s="278">
        <v>170723</v>
      </c>
      <c r="Q77" s="233" t="s">
        <v>141</v>
      </c>
      <c r="R77" s="245" t="s">
        <v>1</v>
      </c>
      <c r="S77" s="231">
        <v>2</v>
      </c>
      <c r="T77" s="235">
        <v>124470</v>
      </c>
      <c r="U77" s="369">
        <f t="shared" si="9"/>
        <v>262930.42800000001</v>
      </c>
      <c r="W77" s="524">
        <v>170723</v>
      </c>
      <c r="X77" s="525" t="s">
        <v>141</v>
      </c>
      <c r="Y77" s="480" t="s">
        <v>1</v>
      </c>
      <c r="Z77" s="481">
        <v>2</v>
      </c>
      <c r="AA77" s="526">
        <v>124470</v>
      </c>
      <c r="AB77" s="476">
        <f t="shared" si="8"/>
        <v>262930.42800000001</v>
      </c>
    </row>
    <row r="78" spans="1:28" x14ac:dyDescent="0.25">
      <c r="A78" s="140">
        <v>130204</v>
      </c>
      <c r="B78" s="136" t="s">
        <v>78</v>
      </c>
      <c r="C78" s="3" t="s">
        <v>7</v>
      </c>
      <c r="D78" s="4">
        <v>3.97</v>
      </c>
      <c r="E78" s="5">
        <v>931680</v>
      </c>
      <c r="F78" s="82">
        <f t="shared" si="6"/>
        <v>3906640.4515200001</v>
      </c>
      <c r="I78" s="192">
        <v>120301</v>
      </c>
      <c r="J78" s="246" t="s">
        <v>150</v>
      </c>
      <c r="K78" s="194" t="s">
        <v>7</v>
      </c>
      <c r="L78" s="183">
        <v>2.4700000000000002</v>
      </c>
      <c r="M78" s="187">
        <v>638480</v>
      </c>
      <c r="N78" s="369">
        <f t="shared" si="7"/>
        <v>1665675.56272</v>
      </c>
      <c r="P78" s="445">
        <v>172414</v>
      </c>
      <c r="Q78" s="409" t="s">
        <v>69</v>
      </c>
      <c r="R78" s="378" t="s">
        <v>1</v>
      </c>
      <c r="S78" s="166">
        <v>6</v>
      </c>
      <c r="T78" s="379">
        <v>5180</v>
      </c>
      <c r="U78" s="169">
        <f t="shared" si="9"/>
        <v>32826.696000000004</v>
      </c>
      <c r="W78" s="527">
        <v>172414</v>
      </c>
      <c r="X78" s="499" t="s">
        <v>69</v>
      </c>
      <c r="Y78" s="493" t="s">
        <v>1</v>
      </c>
      <c r="Z78" s="474">
        <v>6</v>
      </c>
      <c r="AA78" s="477">
        <v>5180</v>
      </c>
      <c r="AB78" s="476">
        <f t="shared" si="8"/>
        <v>32826.696000000004</v>
      </c>
    </row>
    <row r="79" spans="1:28" x14ac:dyDescent="0.25">
      <c r="A79" s="140">
        <v>130102</v>
      </c>
      <c r="B79" s="2" t="s">
        <v>10</v>
      </c>
      <c r="C79" s="3" t="s">
        <v>11</v>
      </c>
      <c r="D79" s="4">
        <v>1490</v>
      </c>
      <c r="E79" s="5">
        <v>5330</v>
      </c>
      <c r="F79" s="82">
        <f t="shared" si="6"/>
        <v>8388023.54</v>
      </c>
      <c r="I79" s="184">
        <v>120303</v>
      </c>
      <c r="J79" s="185" t="s">
        <v>134</v>
      </c>
      <c r="K79" s="186" t="s">
        <v>7</v>
      </c>
      <c r="L79" s="183">
        <v>2.3940000000000001</v>
      </c>
      <c r="M79" s="187">
        <v>657170</v>
      </c>
      <c r="N79" s="369">
        <f t="shared" si="7"/>
        <v>1661682.4718760001</v>
      </c>
      <c r="P79" s="445">
        <v>172414</v>
      </c>
      <c r="Q79" s="409" t="s">
        <v>69</v>
      </c>
      <c r="R79" s="378" t="s">
        <v>1</v>
      </c>
      <c r="S79" s="166">
        <v>8</v>
      </c>
      <c r="T79" s="379">
        <v>5180</v>
      </c>
      <c r="U79" s="169">
        <f t="shared" si="9"/>
        <v>43768.928</v>
      </c>
      <c r="W79" s="527">
        <v>172414</v>
      </c>
      <c r="X79" s="499" t="s">
        <v>69</v>
      </c>
      <c r="Y79" s="493" t="s">
        <v>1</v>
      </c>
      <c r="Z79" s="474">
        <v>8</v>
      </c>
      <c r="AA79" s="477">
        <v>5180</v>
      </c>
      <c r="AB79" s="476">
        <f t="shared" si="8"/>
        <v>43768.928</v>
      </c>
    </row>
    <row r="80" spans="1:28" x14ac:dyDescent="0.25">
      <c r="A80" s="140">
        <v>130109</v>
      </c>
      <c r="B80" s="2" t="s">
        <v>12</v>
      </c>
      <c r="C80" s="3" t="s">
        <v>11</v>
      </c>
      <c r="D80" s="4">
        <v>2030</v>
      </c>
      <c r="E80" s="5">
        <v>4890</v>
      </c>
      <c r="F80" s="82">
        <f t="shared" si="6"/>
        <v>10484580.540000001</v>
      </c>
      <c r="I80" s="175">
        <v>120303</v>
      </c>
      <c r="J80" s="182" t="s">
        <v>172</v>
      </c>
      <c r="K80" s="177" t="s">
        <v>7</v>
      </c>
      <c r="L80" s="178">
        <v>7.46</v>
      </c>
      <c r="M80" s="179">
        <v>657170</v>
      </c>
      <c r="N80" s="369">
        <f t="shared" si="7"/>
        <v>5178008.0368400002</v>
      </c>
      <c r="P80" s="445">
        <v>172414</v>
      </c>
      <c r="Q80" s="409" t="s">
        <v>69</v>
      </c>
      <c r="R80" s="378" t="s">
        <v>1</v>
      </c>
      <c r="S80" s="389">
        <v>3</v>
      </c>
      <c r="T80" s="379">
        <v>5180</v>
      </c>
      <c r="U80" s="169">
        <f t="shared" si="9"/>
        <v>16413.348000000002</v>
      </c>
      <c r="W80" s="527">
        <v>172414</v>
      </c>
      <c r="X80" s="499" t="s">
        <v>69</v>
      </c>
      <c r="Y80" s="493" t="s">
        <v>1</v>
      </c>
      <c r="Z80" s="505">
        <v>3</v>
      </c>
      <c r="AA80" s="477">
        <v>5180</v>
      </c>
      <c r="AB80" s="476">
        <f t="shared" si="8"/>
        <v>16413.348000000002</v>
      </c>
    </row>
    <row r="81" spans="1:28" x14ac:dyDescent="0.25">
      <c r="A81" s="140">
        <v>130111</v>
      </c>
      <c r="B81" s="2" t="s">
        <v>79</v>
      </c>
      <c r="C81" s="3" t="s">
        <v>11</v>
      </c>
      <c r="D81" s="4">
        <v>135.78</v>
      </c>
      <c r="E81" s="5">
        <v>6880</v>
      </c>
      <c r="F81" s="82">
        <f t="shared" si="6"/>
        <v>986666.55168000003</v>
      </c>
      <c r="I81" s="175">
        <v>120401</v>
      </c>
      <c r="J81" s="182" t="s">
        <v>171</v>
      </c>
      <c r="K81" s="177" t="s">
        <v>7</v>
      </c>
      <c r="L81" s="178">
        <v>2.86</v>
      </c>
      <c r="M81" s="179">
        <v>480430</v>
      </c>
      <c r="N81" s="369">
        <f t="shared" si="7"/>
        <v>1451250.2747600002</v>
      </c>
      <c r="P81" s="398">
        <v>172414</v>
      </c>
      <c r="Q81" s="446" t="s">
        <v>69</v>
      </c>
      <c r="R81" s="400" t="s">
        <v>1</v>
      </c>
      <c r="S81" s="401">
        <v>93</v>
      </c>
      <c r="T81" s="402">
        <v>5180</v>
      </c>
      <c r="U81" s="169">
        <f t="shared" si="9"/>
        <v>508813.788</v>
      </c>
      <c r="W81" s="494">
        <v>172414</v>
      </c>
      <c r="X81" s="528" t="s">
        <v>69</v>
      </c>
      <c r="Y81" s="496" t="s">
        <v>1</v>
      </c>
      <c r="Z81" s="497">
        <v>93</v>
      </c>
      <c r="AA81" s="498">
        <v>5180</v>
      </c>
      <c r="AB81" s="476">
        <f t="shared" si="8"/>
        <v>508813.788</v>
      </c>
    </row>
    <row r="82" spans="1:28" x14ac:dyDescent="0.25">
      <c r="A82" s="85">
        <v>130622</v>
      </c>
      <c r="B82" s="86" t="s">
        <v>80</v>
      </c>
      <c r="C82" s="87" t="s">
        <v>15</v>
      </c>
      <c r="D82" s="4">
        <v>166.48</v>
      </c>
      <c r="E82" s="88">
        <v>129880</v>
      </c>
      <c r="F82" s="82">
        <f t="shared" si="6"/>
        <v>22837602.538879998</v>
      </c>
      <c r="I82" s="291">
        <v>130102</v>
      </c>
      <c r="J82" s="312" t="s">
        <v>10</v>
      </c>
      <c r="K82" s="259" t="s">
        <v>11</v>
      </c>
      <c r="L82" s="183">
        <v>952</v>
      </c>
      <c r="M82" s="263">
        <v>5330</v>
      </c>
      <c r="N82" s="369">
        <f t="shared" si="7"/>
        <v>5359327.7920000004</v>
      </c>
      <c r="P82" s="436">
        <v>173306</v>
      </c>
      <c r="Q82" s="441" t="s">
        <v>34</v>
      </c>
      <c r="R82" s="383" t="s">
        <v>3</v>
      </c>
      <c r="S82" s="166">
        <f>30+6+130+25+300</f>
        <v>491</v>
      </c>
      <c r="T82" s="437">
        <v>20260</v>
      </c>
      <c r="U82" s="169">
        <f t="shared" si="9"/>
        <v>10506718.492000001</v>
      </c>
      <c r="W82" s="515">
        <v>173306</v>
      </c>
      <c r="X82" s="523" t="s">
        <v>34</v>
      </c>
      <c r="Y82" s="486" t="s">
        <v>3</v>
      </c>
      <c r="Z82" s="474">
        <f>30+6+130+25+300</f>
        <v>491</v>
      </c>
      <c r="AA82" s="516">
        <v>20260</v>
      </c>
      <c r="AB82" s="476">
        <f t="shared" si="8"/>
        <v>10506718.492000001</v>
      </c>
    </row>
    <row r="83" spans="1:28" x14ac:dyDescent="0.25">
      <c r="A83" s="11">
        <v>130403</v>
      </c>
      <c r="B83" s="12" t="s">
        <v>13</v>
      </c>
      <c r="C83" s="13" t="s">
        <v>3</v>
      </c>
      <c r="D83" s="4">
        <v>20</v>
      </c>
      <c r="E83" s="14">
        <v>32120</v>
      </c>
      <c r="F83" s="82">
        <f t="shared" si="6"/>
        <v>678502.88</v>
      </c>
      <c r="I83" s="175">
        <v>130102</v>
      </c>
      <c r="J83" s="176" t="s">
        <v>10</v>
      </c>
      <c r="K83" s="177" t="s">
        <v>11</v>
      </c>
      <c r="L83" s="178">
        <v>1490</v>
      </c>
      <c r="M83" s="179">
        <v>5330</v>
      </c>
      <c r="N83" s="369">
        <f t="shared" si="7"/>
        <v>8388023.54</v>
      </c>
      <c r="P83" s="302">
        <v>180101</v>
      </c>
      <c r="Q83" s="344" t="s">
        <v>139</v>
      </c>
      <c r="R83" s="186" t="s">
        <v>27</v>
      </c>
      <c r="S83" s="183">
        <v>264.8</v>
      </c>
      <c r="T83" s="187">
        <v>7290</v>
      </c>
      <c r="U83" s="369">
        <f t="shared" si="9"/>
        <v>2038880.0304</v>
      </c>
      <c r="W83" s="489">
        <v>180101</v>
      </c>
      <c r="X83" s="490" t="s">
        <v>139</v>
      </c>
      <c r="Y83" s="491" t="s">
        <v>27</v>
      </c>
      <c r="Z83" s="487">
        <v>264.8</v>
      </c>
      <c r="AA83" s="492">
        <v>7290</v>
      </c>
      <c r="AB83" s="476">
        <f t="shared" si="8"/>
        <v>2038880.0304</v>
      </c>
    </row>
    <row r="84" spans="1:28" x14ac:dyDescent="0.25">
      <c r="A84" s="16">
        <v>200102</v>
      </c>
      <c r="B84" s="136" t="s">
        <v>14</v>
      </c>
      <c r="C84" s="17" t="s">
        <v>15</v>
      </c>
      <c r="D84" s="4">
        <v>176.29</v>
      </c>
      <c r="E84" s="18">
        <v>27820</v>
      </c>
      <c r="F84" s="82">
        <f t="shared" si="6"/>
        <v>5180014.3943600003</v>
      </c>
      <c r="I84" s="264">
        <v>130102</v>
      </c>
      <c r="J84" s="222" t="s">
        <v>153</v>
      </c>
      <c r="K84" s="203" t="s">
        <v>27</v>
      </c>
      <c r="L84" s="224">
        <v>332.25</v>
      </c>
      <c r="M84" s="210">
        <v>5330</v>
      </c>
      <c r="N84" s="369">
        <f t="shared" si="7"/>
        <v>1870416.6585000001</v>
      </c>
      <c r="P84" s="442">
        <v>180410</v>
      </c>
      <c r="Q84" s="447" t="s">
        <v>24</v>
      </c>
      <c r="R84" s="443" t="s">
        <v>15</v>
      </c>
      <c r="S84" s="166">
        <f>94+22.42+67.5+144.29+236.13</f>
        <v>564.34</v>
      </c>
      <c r="T84" s="437">
        <v>49570</v>
      </c>
      <c r="U84" s="169">
        <f t="shared" si="9"/>
        <v>29546491.359560002</v>
      </c>
      <c r="W84" s="515">
        <v>180410</v>
      </c>
      <c r="X84" s="499" t="s">
        <v>24</v>
      </c>
      <c r="Y84" s="500" t="s">
        <v>15</v>
      </c>
      <c r="Z84" s="474">
        <f>94+22.42+67.5+144.29+236.13</f>
        <v>564.34</v>
      </c>
      <c r="AA84" s="516">
        <v>49570</v>
      </c>
      <c r="AB84" s="476">
        <f t="shared" si="8"/>
        <v>29546491.359560002</v>
      </c>
    </row>
    <row r="85" spans="1:28" x14ac:dyDescent="0.25">
      <c r="A85" s="16">
        <v>190524</v>
      </c>
      <c r="B85" s="136" t="s">
        <v>16</v>
      </c>
      <c r="C85" s="17" t="s">
        <v>15</v>
      </c>
      <c r="D85" s="4">
        <f>D84</f>
        <v>176.29</v>
      </c>
      <c r="E85" s="18">
        <v>52040</v>
      </c>
      <c r="F85" s="82">
        <f t="shared" si="6"/>
        <v>9689717.7959199995</v>
      </c>
      <c r="I85" s="175">
        <v>130102</v>
      </c>
      <c r="J85" s="176" t="s">
        <v>10</v>
      </c>
      <c r="K85" s="177" t="s">
        <v>11</v>
      </c>
      <c r="L85" s="178">
        <v>3350</v>
      </c>
      <c r="M85" s="179">
        <v>5330</v>
      </c>
      <c r="N85" s="369">
        <f t="shared" si="7"/>
        <v>18858979.100000001</v>
      </c>
      <c r="P85" s="436">
        <v>180803</v>
      </c>
      <c r="Q85" s="409" t="s">
        <v>21</v>
      </c>
      <c r="R85" s="168" t="s">
        <v>3</v>
      </c>
      <c r="S85" s="166">
        <f>12.6+3.2</f>
        <v>15.8</v>
      </c>
      <c r="T85" s="437">
        <v>42110</v>
      </c>
      <c r="U85" s="169">
        <f t="shared" si="9"/>
        <v>702729.99560000002</v>
      </c>
      <c r="W85" s="515">
        <v>180803</v>
      </c>
      <c r="X85" s="499" t="s">
        <v>21</v>
      </c>
      <c r="Y85" s="473" t="s">
        <v>3</v>
      </c>
      <c r="Z85" s="474">
        <f>12.6+3.2</f>
        <v>15.8</v>
      </c>
      <c r="AA85" s="516">
        <v>42110</v>
      </c>
      <c r="AB85" s="476">
        <f t="shared" si="8"/>
        <v>702729.99560000002</v>
      </c>
    </row>
    <row r="86" spans="1:28" x14ac:dyDescent="0.25">
      <c r="A86" s="16">
        <v>140117</v>
      </c>
      <c r="B86" s="136" t="s">
        <v>17</v>
      </c>
      <c r="C86" s="17" t="s">
        <v>15</v>
      </c>
      <c r="D86" s="4">
        <v>44.7</v>
      </c>
      <c r="E86" s="18">
        <v>49900</v>
      </c>
      <c r="F86" s="82">
        <f t="shared" si="6"/>
        <v>2355885.7859999998</v>
      </c>
      <c r="I86" s="175">
        <v>130109</v>
      </c>
      <c r="J86" s="176" t="s">
        <v>12</v>
      </c>
      <c r="K86" s="177" t="s">
        <v>11</v>
      </c>
      <c r="L86" s="183">
        <v>1180</v>
      </c>
      <c r="M86" s="179">
        <v>4890</v>
      </c>
      <c r="N86" s="369">
        <f t="shared" si="7"/>
        <v>6094485.2400000002</v>
      </c>
      <c r="P86" s="184">
        <v>180815</v>
      </c>
      <c r="Q86" s="185" t="s">
        <v>140</v>
      </c>
      <c r="R86" s="186" t="s">
        <v>15</v>
      </c>
      <c r="S86" s="183">
        <v>34.880000000000003</v>
      </c>
      <c r="T86" s="187">
        <v>32680</v>
      </c>
      <c r="U86" s="369">
        <f t="shared" si="9"/>
        <v>1203939.5660800003</v>
      </c>
      <c r="W86" s="489">
        <v>180815</v>
      </c>
      <c r="X86" s="490" t="s">
        <v>140</v>
      </c>
      <c r="Y86" s="491" t="s">
        <v>15</v>
      </c>
      <c r="Z86" s="487">
        <v>34.880000000000003</v>
      </c>
      <c r="AA86" s="492">
        <v>32680</v>
      </c>
      <c r="AB86" s="476">
        <f t="shared" si="8"/>
        <v>1203939.5660800003</v>
      </c>
    </row>
    <row r="87" spans="1:28" x14ac:dyDescent="0.25">
      <c r="A87" s="16">
        <v>190106</v>
      </c>
      <c r="B87" s="136" t="s">
        <v>81</v>
      </c>
      <c r="C87" s="17" t="s">
        <v>15</v>
      </c>
      <c r="D87" s="4">
        <v>443.35199999999998</v>
      </c>
      <c r="E87" s="18">
        <v>22030</v>
      </c>
      <c r="F87" s="82">
        <f t="shared" si="6"/>
        <v>10315952.464271998</v>
      </c>
      <c r="I87" s="175">
        <v>130109</v>
      </c>
      <c r="J87" s="176" t="s">
        <v>12</v>
      </c>
      <c r="K87" s="177" t="s">
        <v>11</v>
      </c>
      <c r="L87" s="178">
        <v>2030</v>
      </c>
      <c r="M87" s="179">
        <v>4890</v>
      </c>
      <c r="N87" s="369">
        <f t="shared" si="7"/>
        <v>10484580.540000001</v>
      </c>
      <c r="P87" s="184">
        <v>180818</v>
      </c>
      <c r="Q87" s="185" t="s">
        <v>20</v>
      </c>
      <c r="R87" s="320" t="s">
        <v>15</v>
      </c>
      <c r="S87" s="183">
        <v>43.37</v>
      </c>
      <c r="T87" s="328">
        <v>55250</v>
      </c>
      <c r="U87" s="369">
        <f t="shared" si="9"/>
        <v>2530858.5185000002</v>
      </c>
      <c r="W87" s="489">
        <v>180818</v>
      </c>
      <c r="X87" s="490" t="s">
        <v>20</v>
      </c>
      <c r="Y87" s="491" t="s">
        <v>15</v>
      </c>
      <c r="Z87" s="487">
        <v>43.37</v>
      </c>
      <c r="AA87" s="492">
        <v>55250</v>
      </c>
      <c r="AB87" s="476">
        <f t="shared" si="8"/>
        <v>2530858.5185000002</v>
      </c>
    </row>
    <row r="88" spans="1:28" x14ac:dyDescent="0.25">
      <c r="A88" s="19">
        <v>200808</v>
      </c>
      <c r="B88" s="20" t="s">
        <v>18</v>
      </c>
      <c r="C88" s="21" t="s">
        <v>3</v>
      </c>
      <c r="D88" s="4">
        <v>170.52</v>
      </c>
      <c r="E88" s="15">
        <v>14420</v>
      </c>
      <c r="F88" s="82">
        <f t="shared" si="6"/>
        <v>2597088.4900800004</v>
      </c>
      <c r="I88" s="175">
        <v>130109</v>
      </c>
      <c r="J88" s="176" t="s">
        <v>12</v>
      </c>
      <c r="K88" s="177" t="s">
        <v>11</v>
      </c>
      <c r="L88" s="178">
        <v>3907</v>
      </c>
      <c r="M88" s="179">
        <v>4890</v>
      </c>
      <c r="N88" s="369">
        <f t="shared" si="7"/>
        <v>20178943.925999999</v>
      </c>
      <c r="P88" s="449">
        <v>180820</v>
      </c>
      <c r="Q88" s="450" t="s">
        <v>20</v>
      </c>
      <c r="R88" s="228" t="s">
        <v>15</v>
      </c>
      <c r="S88" s="227">
        <v>73.709999999999994</v>
      </c>
      <c r="T88" s="451">
        <v>55250</v>
      </c>
      <c r="U88" s="369">
        <f t="shared" si="9"/>
        <v>4301350.7354999995</v>
      </c>
      <c r="W88" s="515">
        <v>180820</v>
      </c>
      <c r="X88" s="529" t="s">
        <v>20</v>
      </c>
      <c r="Y88" s="473" t="s">
        <v>15</v>
      </c>
      <c r="Z88" s="474">
        <v>73.709999999999994</v>
      </c>
      <c r="AA88" s="516">
        <v>55250</v>
      </c>
      <c r="AB88" s="476">
        <f t="shared" si="8"/>
        <v>4301350.7354999995</v>
      </c>
    </row>
    <row r="89" spans="1:28" x14ac:dyDescent="0.25">
      <c r="A89" s="89">
        <v>181002</v>
      </c>
      <c r="B89" s="50" t="s">
        <v>82</v>
      </c>
      <c r="C89" s="30" t="s">
        <v>3</v>
      </c>
      <c r="D89" s="38">
        <v>18</v>
      </c>
      <c r="E89" s="51">
        <v>42530</v>
      </c>
      <c r="F89" s="51">
        <f t="shared" ref="F89:F96" si="10">(E89*D89)*+(1+5.62%)</f>
        <v>808563.348</v>
      </c>
      <c r="I89" s="175">
        <v>130111</v>
      </c>
      <c r="J89" s="176" t="s">
        <v>79</v>
      </c>
      <c r="K89" s="177" t="s">
        <v>11</v>
      </c>
      <c r="L89" s="178">
        <v>135.78</v>
      </c>
      <c r="M89" s="179">
        <v>6880</v>
      </c>
      <c r="N89" s="369">
        <f t="shared" si="7"/>
        <v>986666.55168000003</v>
      </c>
      <c r="P89" s="449">
        <v>180820</v>
      </c>
      <c r="Q89" s="340" t="s">
        <v>177</v>
      </c>
      <c r="R89" s="449" t="s">
        <v>15</v>
      </c>
      <c r="S89" s="227">
        <v>73.709999999999994</v>
      </c>
      <c r="T89" s="451">
        <v>140080</v>
      </c>
      <c r="U89" s="369">
        <f t="shared" si="9"/>
        <v>10905578.48016</v>
      </c>
      <c r="W89" s="515">
        <v>180820</v>
      </c>
      <c r="X89" s="529" t="s">
        <v>177</v>
      </c>
      <c r="Y89" s="473" t="s">
        <v>15</v>
      </c>
      <c r="Z89" s="474">
        <v>73.709999999999994</v>
      </c>
      <c r="AA89" s="516">
        <v>140080</v>
      </c>
      <c r="AB89" s="476">
        <f t="shared" si="8"/>
        <v>10905578.48016</v>
      </c>
    </row>
    <row r="90" spans="1:28" x14ac:dyDescent="0.25">
      <c r="A90" s="89">
        <v>181001</v>
      </c>
      <c r="B90" s="50" t="s">
        <v>83</v>
      </c>
      <c r="C90" s="30" t="s">
        <v>3</v>
      </c>
      <c r="D90" s="52">
        <v>6</v>
      </c>
      <c r="E90" s="39">
        <v>39000</v>
      </c>
      <c r="F90" s="51">
        <f t="shared" si="10"/>
        <v>247150.80000000002</v>
      </c>
      <c r="I90" s="175">
        <v>130111</v>
      </c>
      <c r="J90" s="176" t="s">
        <v>79</v>
      </c>
      <c r="K90" s="177" t="s">
        <v>11</v>
      </c>
      <c r="L90" s="178">
        <v>95.2</v>
      </c>
      <c r="M90" s="179">
        <v>6880</v>
      </c>
      <c r="N90" s="369">
        <f t="shared" si="7"/>
        <v>691785.65119999996</v>
      </c>
      <c r="P90" s="189">
        <v>180822</v>
      </c>
      <c r="Q90" s="196" t="s">
        <v>179</v>
      </c>
      <c r="R90" s="190" t="s">
        <v>3</v>
      </c>
      <c r="S90" s="178">
        <v>12.6</v>
      </c>
      <c r="T90" s="191">
        <v>36560</v>
      </c>
      <c r="U90" s="369">
        <f t="shared" si="9"/>
        <v>486544.86720000004</v>
      </c>
      <c r="W90" s="515">
        <v>180822</v>
      </c>
      <c r="X90" s="499" t="s">
        <v>179</v>
      </c>
      <c r="Y90" s="473" t="s">
        <v>3</v>
      </c>
      <c r="Z90" s="474">
        <v>12.6</v>
      </c>
      <c r="AA90" s="516">
        <v>36560</v>
      </c>
      <c r="AB90" s="476">
        <f t="shared" si="8"/>
        <v>486544.86720000004</v>
      </c>
    </row>
    <row r="91" spans="1:28" x14ac:dyDescent="0.25">
      <c r="A91" s="90">
        <v>181006</v>
      </c>
      <c r="B91" s="50" t="s">
        <v>84</v>
      </c>
      <c r="C91" s="30" t="s">
        <v>1</v>
      </c>
      <c r="D91" s="53">
        <v>6</v>
      </c>
      <c r="E91" s="54">
        <v>4880</v>
      </c>
      <c r="F91" s="51">
        <f t="shared" si="10"/>
        <v>30925.536</v>
      </c>
      <c r="I91" s="336">
        <v>130201</v>
      </c>
      <c r="J91" s="222" t="s">
        <v>152</v>
      </c>
      <c r="K91" s="203" t="s">
        <v>3</v>
      </c>
      <c r="L91" s="224">
        <v>31</v>
      </c>
      <c r="M91" s="210">
        <v>39120</v>
      </c>
      <c r="N91" s="369">
        <f t="shared" si="7"/>
        <v>1280874.8640000001</v>
      </c>
      <c r="P91" s="430">
        <v>181001</v>
      </c>
      <c r="Q91" s="382" t="s">
        <v>83</v>
      </c>
      <c r="R91" s="383" t="s">
        <v>3</v>
      </c>
      <c r="S91" s="431">
        <f>6+12+17.09+12+5</f>
        <v>52.09</v>
      </c>
      <c r="T91" s="432">
        <v>39000</v>
      </c>
      <c r="U91" s="169">
        <f t="shared" si="9"/>
        <v>2145680.8620000002</v>
      </c>
      <c r="W91" s="511">
        <v>181001</v>
      </c>
      <c r="X91" s="485" t="s">
        <v>83</v>
      </c>
      <c r="Y91" s="486" t="s">
        <v>3</v>
      </c>
      <c r="Z91" s="512">
        <f>6+12+17.09+12+5</f>
        <v>52.09</v>
      </c>
      <c r="AA91" s="513">
        <v>39000</v>
      </c>
      <c r="AB91" s="476">
        <f t="shared" si="8"/>
        <v>2145680.8620000002</v>
      </c>
    </row>
    <row r="92" spans="1:28" x14ac:dyDescent="0.25">
      <c r="A92" s="90">
        <v>181005</v>
      </c>
      <c r="B92" s="50" t="s">
        <v>85</v>
      </c>
      <c r="C92" s="30" t="s">
        <v>1</v>
      </c>
      <c r="D92" s="53">
        <v>2</v>
      </c>
      <c r="E92" s="54">
        <v>10680</v>
      </c>
      <c r="F92" s="51">
        <f t="shared" si="10"/>
        <v>22560.432000000001</v>
      </c>
      <c r="I92" s="297">
        <v>130204</v>
      </c>
      <c r="J92" s="182" t="s">
        <v>6</v>
      </c>
      <c r="K92" s="177" t="s">
        <v>7</v>
      </c>
      <c r="L92" s="178">
        <v>5.0999999999999996</v>
      </c>
      <c r="M92" s="179">
        <v>931680</v>
      </c>
      <c r="N92" s="369">
        <f t="shared" si="7"/>
        <v>5018606.1216000002</v>
      </c>
      <c r="P92" s="430">
        <v>181002</v>
      </c>
      <c r="Q92" s="382" t="s">
        <v>82</v>
      </c>
      <c r="R92" s="383" t="s">
        <v>3</v>
      </c>
      <c r="S92" s="384">
        <f>18+19.5+57+6.4+6.1</f>
        <v>107</v>
      </c>
      <c r="T92" s="385">
        <v>42530</v>
      </c>
      <c r="U92" s="169">
        <f t="shared" si="9"/>
        <v>4806459.9019999998</v>
      </c>
      <c r="W92" s="511">
        <v>181002</v>
      </c>
      <c r="X92" s="485" t="s">
        <v>82</v>
      </c>
      <c r="Y92" s="486" t="s">
        <v>3</v>
      </c>
      <c r="Z92" s="504">
        <f>18+19.5+57+6.4+6.1</f>
        <v>107</v>
      </c>
      <c r="AA92" s="488">
        <v>42530</v>
      </c>
      <c r="AB92" s="476">
        <f t="shared" si="8"/>
        <v>4806459.9019999998</v>
      </c>
    </row>
    <row r="93" spans="1:28" x14ac:dyDescent="0.25">
      <c r="A93" s="90">
        <v>181008</v>
      </c>
      <c r="B93" s="50" t="s">
        <v>86</v>
      </c>
      <c r="C93" s="30" t="s">
        <v>1</v>
      </c>
      <c r="D93" s="53">
        <v>2</v>
      </c>
      <c r="E93" s="54">
        <v>7190</v>
      </c>
      <c r="F93" s="51">
        <f t="shared" si="10"/>
        <v>15188.156000000001</v>
      </c>
      <c r="I93" s="297">
        <v>130204</v>
      </c>
      <c r="J93" s="182" t="s">
        <v>8</v>
      </c>
      <c r="K93" s="177" t="s">
        <v>7</v>
      </c>
      <c r="L93" s="178">
        <v>4.8959999999999999</v>
      </c>
      <c r="M93" s="179">
        <v>931680</v>
      </c>
      <c r="N93" s="369">
        <f t="shared" si="7"/>
        <v>4817861.8767360002</v>
      </c>
      <c r="P93" s="448">
        <v>181005</v>
      </c>
      <c r="Q93" s="382" t="s">
        <v>85</v>
      </c>
      <c r="R93" s="383" t="s">
        <v>1</v>
      </c>
      <c r="S93" s="405">
        <v>16</v>
      </c>
      <c r="T93" s="408">
        <v>10680</v>
      </c>
      <c r="U93" s="169">
        <f t="shared" si="9"/>
        <v>180483.45600000001</v>
      </c>
      <c r="W93" s="484">
        <v>181005</v>
      </c>
      <c r="X93" s="485" t="s">
        <v>85</v>
      </c>
      <c r="Y93" s="486" t="s">
        <v>1</v>
      </c>
      <c r="Z93" s="503">
        <v>16</v>
      </c>
      <c r="AA93" s="530">
        <v>10680</v>
      </c>
      <c r="AB93" s="476">
        <f t="shared" si="8"/>
        <v>180483.45600000001</v>
      </c>
    </row>
    <row r="94" spans="1:28" x14ac:dyDescent="0.25">
      <c r="A94" s="91">
        <v>181014</v>
      </c>
      <c r="B94" s="50" t="s">
        <v>87</v>
      </c>
      <c r="C94" s="30" t="s">
        <v>1</v>
      </c>
      <c r="D94" s="53">
        <v>2</v>
      </c>
      <c r="E94" s="54">
        <v>18190</v>
      </c>
      <c r="F94" s="51">
        <f t="shared" si="10"/>
        <v>38424.556000000004</v>
      </c>
      <c r="I94" s="297">
        <v>130204</v>
      </c>
      <c r="J94" s="182" t="s">
        <v>78</v>
      </c>
      <c r="K94" s="177" t="s">
        <v>7</v>
      </c>
      <c r="L94" s="178">
        <v>3.97</v>
      </c>
      <c r="M94" s="179">
        <v>931680</v>
      </c>
      <c r="N94" s="369">
        <f t="shared" si="7"/>
        <v>3906640.4515200001</v>
      </c>
      <c r="P94" s="381">
        <v>181006</v>
      </c>
      <c r="Q94" s="382" t="s">
        <v>84</v>
      </c>
      <c r="R94" s="383" t="s">
        <v>1</v>
      </c>
      <c r="S94" s="405">
        <f>6+6+19+6+3</f>
        <v>40</v>
      </c>
      <c r="T94" s="408">
        <v>4880</v>
      </c>
      <c r="U94" s="169">
        <f t="shared" ref="U94:U119" si="11">(S94*T94)*+(1+5.62%)</f>
        <v>206170.24000000002</v>
      </c>
      <c r="W94" s="484">
        <v>181006</v>
      </c>
      <c r="X94" s="485" t="s">
        <v>84</v>
      </c>
      <c r="Y94" s="486" t="s">
        <v>1</v>
      </c>
      <c r="Z94" s="503">
        <f>6+6+19+6+3</f>
        <v>40</v>
      </c>
      <c r="AA94" s="530">
        <v>4880</v>
      </c>
      <c r="AB94" s="476">
        <f t="shared" si="8"/>
        <v>206170.24000000002</v>
      </c>
    </row>
    <row r="95" spans="1:28" x14ac:dyDescent="0.25">
      <c r="A95" s="90">
        <v>181018</v>
      </c>
      <c r="B95" s="50" t="s">
        <v>88</v>
      </c>
      <c r="C95" s="30" t="s">
        <v>1</v>
      </c>
      <c r="D95" s="53">
        <v>2</v>
      </c>
      <c r="E95" s="54">
        <v>8870</v>
      </c>
      <c r="F95" s="51">
        <f t="shared" si="10"/>
        <v>18736.988000000001</v>
      </c>
      <c r="I95" s="302">
        <v>130204</v>
      </c>
      <c r="J95" s="185" t="s">
        <v>135</v>
      </c>
      <c r="K95" s="186" t="s">
        <v>7</v>
      </c>
      <c r="L95" s="183">
        <v>1.62</v>
      </c>
      <c r="M95" s="187">
        <v>849360</v>
      </c>
      <c r="N95" s="369">
        <f t="shared" si="7"/>
        <v>1453292.3318400003</v>
      </c>
      <c r="P95" s="407">
        <v>181008</v>
      </c>
      <c r="Q95" s="382" t="s">
        <v>86</v>
      </c>
      <c r="R95" s="383" t="s">
        <v>1</v>
      </c>
      <c r="S95" s="405">
        <v>16</v>
      </c>
      <c r="T95" s="408">
        <v>7190</v>
      </c>
      <c r="U95" s="169">
        <f t="shared" si="11"/>
        <v>121505.24800000001</v>
      </c>
      <c r="W95" s="484">
        <v>181008</v>
      </c>
      <c r="X95" s="485" t="s">
        <v>86</v>
      </c>
      <c r="Y95" s="486" t="s">
        <v>1</v>
      </c>
      <c r="Z95" s="503">
        <v>16</v>
      </c>
      <c r="AA95" s="530">
        <v>7190</v>
      </c>
      <c r="AB95" s="476">
        <f t="shared" si="8"/>
        <v>121505.24800000001</v>
      </c>
    </row>
    <row r="96" spans="1:28" x14ac:dyDescent="0.25">
      <c r="A96" s="92">
        <v>320203</v>
      </c>
      <c r="B96" s="27" t="s">
        <v>26</v>
      </c>
      <c r="C96" s="93" t="s">
        <v>27</v>
      </c>
      <c r="D96" s="55">
        <v>8</v>
      </c>
      <c r="E96" s="94">
        <v>13980</v>
      </c>
      <c r="F96" s="51">
        <f t="shared" si="10"/>
        <v>118125.40800000001</v>
      </c>
      <c r="I96" s="291">
        <v>130204</v>
      </c>
      <c r="J96" s="197" t="s">
        <v>173</v>
      </c>
      <c r="K96" s="259" t="s">
        <v>7</v>
      </c>
      <c r="L96" s="178">
        <v>7.5</v>
      </c>
      <c r="M96" s="263">
        <v>931680</v>
      </c>
      <c r="N96" s="369">
        <f t="shared" si="7"/>
        <v>7380303.1200000001</v>
      </c>
      <c r="P96" s="452">
        <v>181014</v>
      </c>
      <c r="Q96" s="382" t="s">
        <v>87</v>
      </c>
      <c r="R96" s="383" t="s">
        <v>1</v>
      </c>
      <c r="S96" s="405">
        <v>15</v>
      </c>
      <c r="T96" s="408">
        <v>18190</v>
      </c>
      <c r="U96" s="169">
        <f t="shared" si="11"/>
        <v>288184.17</v>
      </c>
      <c r="W96" s="531">
        <v>181014</v>
      </c>
      <c r="X96" s="485" t="s">
        <v>87</v>
      </c>
      <c r="Y96" s="486" t="s">
        <v>1</v>
      </c>
      <c r="Z96" s="503">
        <v>15</v>
      </c>
      <c r="AA96" s="530">
        <v>18190</v>
      </c>
      <c r="AB96" s="476">
        <f t="shared" si="8"/>
        <v>288184.17</v>
      </c>
    </row>
    <row r="97" spans="1:28" x14ac:dyDescent="0.25">
      <c r="A97" s="22">
        <v>170659</v>
      </c>
      <c r="B97" s="32" t="s">
        <v>32</v>
      </c>
      <c r="C97" s="30" t="s">
        <v>1</v>
      </c>
      <c r="D97" s="4">
        <v>20</v>
      </c>
      <c r="E97" s="18">
        <v>62150</v>
      </c>
      <c r="F97" s="95">
        <f t="shared" ref="F97:F106" si="12">(D97*E97)*+(1+5.62%)</f>
        <v>1312856.6000000001</v>
      </c>
      <c r="I97" s="300">
        <v>130403</v>
      </c>
      <c r="J97" s="185" t="s">
        <v>13</v>
      </c>
      <c r="K97" s="186" t="s">
        <v>3</v>
      </c>
      <c r="L97" s="178">
        <v>39.950000000000003</v>
      </c>
      <c r="M97" s="187">
        <v>32120</v>
      </c>
      <c r="N97" s="369">
        <f t="shared" si="7"/>
        <v>1355309.5028000001</v>
      </c>
      <c r="P97" s="407">
        <v>181018</v>
      </c>
      <c r="Q97" s="382" t="s">
        <v>88</v>
      </c>
      <c r="R97" s="404" t="s">
        <v>1</v>
      </c>
      <c r="S97" s="405">
        <v>16</v>
      </c>
      <c r="T97" s="406">
        <v>8870</v>
      </c>
      <c r="U97" s="169">
        <f t="shared" si="11"/>
        <v>149895.90400000001</v>
      </c>
      <c r="W97" s="484">
        <v>181018</v>
      </c>
      <c r="X97" s="485" t="s">
        <v>88</v>
      </c>
      <c r="Y97" s="486" t="s">
        <v>1</v>
      </c>
      <c r="Z97" s="503">
        <v>16</v>
      </c>
      <c r="AA97" s="530">
        <v>8870</v>
      </c>
      <c r="AB97" s="476">
        <f t="shared" si="8"/>
        <v>149895.90400000001</v>
      </c>
    </row>
    <row r="98" spans="1:28" x14ac:dyDescent="0.25">
      <c r="A98" s="22">
        <v>170538</v>
      </c>
      <c r="B98" s="32" t="s">
        <v>33</v>
      </c>
      <c r="C98" s="30" t="s">
        <v>1</v>
      </c>
      <c r="D98" s="4">
        <v>6</v>
      </c>
      <c r="E98" s="18">
        <v>113280</v>
      </c>
      <c r="F98" s="95">
        <f t="shared" si="12"/>
        <v>717878.01600000006</v>
      </c>
      <c r="I98" s="300">
        <v>130403</v>
      </c>
      <c r="J98" s="185" t="s">
        <v>13</v>
      </c>
      <c r="K98" s="186" t="s">
        <v>3</v>
      </c>
      <c r="L98" s="178">
        <v>20</v>
      </c>
      <c r="M98" s="187">
        <v>32120</v>
      </c>
      <c r="N98" s="369">
        <f t="shared" si="7"/>
        <v>678502.88</v>
      </c>
      <c r="P98" s="436">
        <v>181210</v>
      </c>
      <c r="Q98" s="409" t="s">
        <v>57</v>
      </c>
      <c r="R98" s="168" t="s">
        <v>15</v>
      </c>
      <c r="S98" s="166">
        <f>159+84</f>
        <v>243</v>
      </c>
      <c r="T98" s="437">
        <v>12140</v>
      </c>
      <c r="U98" s="169">
        <f t="shared" si="11"/>
        <v>3115811.1240000003</v>
      </c>
      <c r="W98" s="515">
        <v>181210</v>
      </c>
      <c r="X98" s="499" t="s">
        <v>57</v>
      </c>
      <c r="Y98" s="473" t="s">
        <v>15</v>
      </c>
      <c r="Z98" s="474">
        <f>159+84</f>
        <v>243</v>
      </c>
      <c r="AA98" s="516">
        <v>12140</v>
      </c>
      <c r="AB98" s="476">
        <f t="shared" si="8"/>
        <v>3115811.1240000003</v>
      </c>
    </row>
    <row r="99" spans="1:28" x14ac:dyDescent="0.25">
      <c r="A99" s="22">
        <v>173306</v>
      </c>
      <c r="B99" s="32" t="s">
        <v>34</v>
      </c>
      <c r="C99" s="30" t="s">
        <v>3</v>
      </c>
      <c r="D99" s="4">
        <v>130</v>
      </c>
      <c r="E99" s="18">
        <v>20260</v>
      </c>
      <c r="F99" s="95">
        <f t="shared" si="12"/>
        <v>2781819.56</v>
      </c>
      <c r="I99" s="296">
        <v>130403</v>
      </c>
      <c r="J99" s="222" t="s">
        <v>151</v>
      </c>
      <c r="K99" s="203" t="s">
        <v>3</v>
      </c>
      <c r="L99" s="224">
        <v>34.6</v>
      </c>
      <c r="M99" s="210">
        <v>32000</v>
      </c>
      <c r="N99" s="369">
        <f t="shared" si="7"/>
        <v>1169424.6400000001</v>
      </c>
      <c r="P99" s="436">
        <v>181213</v>
      </c>
      <c r="Q99" s="409" t="s">
        <v>25</v>
      </c>
      <c r="R99" s="443" t="s">
        <v>3</v>
      </c>
      <c r="S99" s="166">
        <v>30</v>
      </c>
      <c r="T99" s="437">
        <v>26500</v>
      </c>
      <c r="U99" s="169">
        <f t="shared" si="11"/>
        <v>839679</v>
      </c>
      <c r="W99" s="515">
        <v>181213</v>
      </c>
      <c r="X99" s="499" t="s">
        <v>25</v>
      </c>
      <c r="Y99" s="500" t="s">
        <v>3</v>
      </c>
      <c r="Z99" s="474">
        <v>30</v>
      </c>
      <c r="AA99" s="516">
        <v>26500</v>
      </c>
      <c r="AB99" s="476">
        <f t="shared" si="8"/>
        <v>839679</v>
      </c>
    </row>
    <row r="100" spans="1:28" x14ac:dyDescent="0.25">
      <c r="A100" s="22">
        <v>170134</v>
      </c>
      <c r="B100" s="32" t="s">
        <v>35</v>
      </c>
      <c r="C100" s="30" t="s">
        <v>3</v>
      </c>
      <c r="D100" s="4">
        <v>130</v>
      </c>
      <c r="E100" s="18">
        <v>4650</v>
      </c>
      <c r="F100" s="95">
        <f t="shared" si="12"/>
        <v>638472.9</v>
      </c>
      <c r="I100" s="300">
        <v>130403</v>
      </c>
      <c r="J100" s="185" t="s">
        <v>13</v>
      </c>
      <c r="K100" s="186" t="s">
        <v>3</v>
      </c>
      <c r="L100" s="178">
        <v>50</v>
      </c>
      <c r="M100" s="187">
        <v>32120</v>
      </c>
      <c r="N100" s="369">
        <f t="shared" si="7"/>
        <v>1696257.2</v>
      </c>
      <c r="P100" s="167">
        <v>181219</v>
      </c>
      <c r="Q100" s="170" t="s">
        <v>54</v>
      </c>
      <c r="R100" s="168" t="s">
        <v>15</v>
      </c>
      <c r="S100" s="166">
        <f>1002+642</f>
        <v>1644</v>
      </c>
      <c r="T100" s="171">
        <v>1200</v>
      </c>
      <c r="U100" s="169">
        <f t="shared" si="11"/>
        <v>2083671.36</v>
      </c>
      <c r="W100" s="471">
        <v>181219</v>
      </c>
      <c r="X100" s="472" t="s">
        <v>54</v>
      </c>
      <c r="Y100" s="473" t="s">
        <v>15</v>
      </c>
      <c r="Z100" s="474">
        <f>1002+642</f>
        <v>1644</v>
      </c>
      <c r="AA100" s="475">
        <v>1200</v>
      </c>
      <c r="AB100" s="476">
        <f t="shared" si="8"/>
        <v>2083671.36</v>
      </c>
    </row>
    <row r="101" spans="1:28" x14ac:dyDescent="0.25">
      <c r="A101" s="16">
        <v>170722</v>
      </c>
      <c r="B101" s="136" t="s">
        <v>36</v>
      </c>
      <c r="C101" s="33" t="s">
        <v>1</v>
      </c>
      <c r="D101" s="4">
        <v>16</v>
      </c>
      <c r="E101" s="18">
        <v>82790</v>
      </c>
      <c r="F101" s="95">
        <f t="shared" si="12"/>
        <v>1399084.7679999999</v>
      </c>
      <c r="I101" s="184">
        <v>130411</v>
      </c>
      <c r="J101" s="185" t="s">
        <v>22</v>
      </c>
      <c r="K101" s="186" t="s">
        <v>7</v>
      </c>
      <c r="L101" s="178">
        <v>1.72</v>
      </c>
      <c r="M101" s="187">
        <v>917520</v>
      </c>
      <c r="N101" s="369">
        <f t="shared" si="7"/>
        <v>1666825.5532799999</v>
      </c>
      <c r="P101" s="189">
        <v>181219</v>
      </c>
      <c r="Q101" s="182" t="s">
        <v>178</v>
      </c>
      <c r="R101" s="190" t="s">
        <v>15</v>
      </c>
      <c r="S101" s="178">
        <v>137.81</v>
      </c>
      <c r="T101" s="191">
        <v>8770</v>
      </c>
      <c r="U101" s="369">
        <f t="shared" si="11"/>
        <v>1276516.66594</v>
      </c>
      <c r="W101" s="515">
        <v>181219</v>
      </c>
      <c r="X101" s="499" t="s">
        <v>178</v>
      </c>
      <c r="Y101" s="473" t="s">
        <v>15</v>
      </c>
      <c r="Z101" s="474">
        <v>137.81</v>
      </c>
      <c r="AA101" s="516">
        <v>8770</v>
      </c>
      <c r="AB101" s="476">
        <f t="shared" si="8"/>
        <v>1276516.66594</v>
      </c>
    </row>
    <row r="102" spans="1:28" x14ac:dyDescent="0.25">
      <c r="A102" s="28">
        <v>220313</v>
      </c>
      <c r="B102" s="29" t="s">
        <v>28</v>
      </c>
      <c r="C102" s="30" t="s">
        <v>15</v>
      </c>
      <c r="D102" s="4">
        <v>6.94</v>
      </c>
      <c r="E102" s="31">
        <v>251370</v>
      </c>
      <c r="F102" s="96">
        <f t="shared" si="12"/>
        <v>1842549.13836</v>
      </c>
      <c r="I102" s="184">
        <v>130411</v>
      </c>
      <c r="J102" s="185" t="s">
        <v>22</v>
      </c>
      <c r="K102" s="186" t="s">
        <v>7</v>
      </c>
      <c r="L102" s="178">
        <v>3.17</v>
      </c>
      <c r="M102" s="187">
        <v>917520</v>
      </c>
      <c r="N102" s="369">
        <f t="shared" si="7"/>
        <v>3071998.2580800001</v>
      </c>
      <c r="P102" s="189">
        <v>182114</v>
      </c>
      <c r="Q102" s="182" t="s">
        <v>160</v>
      </c>
      <c r="R102" s="190" t="s">
        <v>3</v>
      </c>
      <c r="S102" s="178">
        <v>24.4</v>
      </c>
      <c r="T102" s="191">
        <v>59930</v>
      </c>
      <c r="U102" s="369">
        <f t="shared" si="11"/>
        <v>1544472.8104000001</v>
      </c>
      <c r="W102" s="515">
        <v>182114</v>
      </c>
      <c r="X102" s="499" t="s">
        <v>160</v>
      </c>
      <c r="Y102" s="473" t="s">
        <v>3</v>
      </c>
      <c r="Z102" s="474">
        <v>24.4</v>
      </c>
      <c r="AA102" s="516">
        <v>59930</v>
      </c>
      <c r="AB102" s="476">
        <f t="shared" si="8"/>
        <v>1544472.8104000001</v>
      </c>
    </row>
    <row r="103" spans="1:28" x14ac:dyDescent="0.25">
      <c r="A103" s="28">
        <v>220405</v>
      </c>
      <c r="B103" s="29" t="s">
        <v>29</v>
      </c>
      <c r="C103" s="30" t="s">
        <v>1</v>
      </c>
      <c r="D103" s="4">
        <v>3</v>
      </c>
      <c r="E103" s="31">
        <v>162640</v>
      </c>
      <c r="F103" s="96">
        <f t="shared" si="12"/>
        <v>515341.10399999999</v>
      </c>
      <c r="I103" s="175">
        <v>130413</v>
      </c>
      <c r="J103" s="182" t="s">
        <v>9</v>
      </c>
      <c r="K103" s="177" t="s">
        <v>7</v>
      </c>
      <c r="L103" s="178">
        <v>9.6</v>
      </c>
      <c r="M103" s="179">
        <v>859250</v>
      </c>
      <c r="N103" s="369">
        <f t="shared" si="7"/>
        <v>8712382.5600000005</v>
      </c>
      <c r="P103" s="436">
        <v>182115</v>
      </c>
      <c r="Q103" s="409" t="s">
        <v>19</v>
      </c>
      <c r="R103" s="168" t="s">
        <v>3</v>
      </c>
      <c r="S103" s="166">
        <f>70+25.6+150</f>
        <v>245.6</v>
      </c>
      <c r="T103" s="437">
        <v>67990</v>
      </c>
      <c r="U103" s="169">
        <f t="shared" si="11"/>
        <v>17636790.932799999</v>
      </c>
      <c r="W103" s="515">
        <v>182115</v>
      </c>
      <c r="X103" s="499" t="s">
        <v>19</v>
      </c>
      <c r="Y103" s="473" t="s">
        <v>3</v>
      </c>
      <c r="Z103" s="474">
        <f>70+25.6+150</f>
        <v>245.6</v>
      </c>
      <c r="AA103" s="516">
        <v>67990</v>
      </c>
      <c r="AB103" s="476">
        <f t="shared" si="8"/>
        <v>17636790.932799999</v>
      </c>
    </row>
    <row r="104" spans="1:28" x14ac:dyDescent="0.25">
      <c r="A104" s="28">
        <v>220105</v>
      </c>
      <c r="B104" s="29" t="s">
        <v>89</v>
      </c>
      <c r="C104" s="30" t="s">
        <v>15</v>
      </c>
      <c r="D104" s="4">
        <v>23.11</v>
      </c>
      <c r="E104" s="97">
        <v>306410</v>
      </c>
      <c r="F104" s="96">
        <f t="shared" si="12"/>
        <v>7479094.8926200001</v>
      </c>
      <c r="I104" s="277">
        <v>130413</v>
      </c>
      <c r="J104" s="185" t="s">
        <v>136</v>
      </c>
      <c r="K104" s="183" t="s">
        <v>7</v>
      </c>
      <c r="L104" s="183">
        <v>2.3940000000000001</v>
      </c>
      <c r="M104" s="328">
        <v>859250</v>
      </c>
      <c r="N104" s="369">
        <f t="shared" si="7"/>
        <v>2172650.4009000002</v>
      </c>
      <c r="P104" s="436">
        <v>190106</v>
      </c>
      <c r="Q104" s="409" t="s">
        <v>81</v>
      </c>
      <c r="R104" s="168" t="s">
        <v>15</v>
      </c>
      <c r="S104" s="166">
        <f>443.352+397.5+20</f>
        <v>860.85199999999998</v>
      </c>
      <c r="T104" s="437">
        <v>22030</v>
      </c>
      <c r="U104" s="169">
        <f t="shared" si="11"/>
        <v>20030378.369271997</v>
      </c>
      <c r="W104" s="515">
        <v>190106</v>
      </c>
      <c r="X104" s="499" t="s">
        <v>81</v>
      </c>
      <c r="Y104" s="473" t="s">
        <v>15</v>
      </c>
      <c r="Z104" s="474">
        <f>443.352+397.5+20</f>
        <v>860.85199999999998</v>
      </c>
      <c r="AA104" s="516">
        <v>22030</v>
      </c>
      <c r="AB104" s="476">
        <f t="shared" si="8"/>
        <v>20030378.369271997</v>
      </c>
    </row>
    <row r="105" spans="1:28" x14ac:dyDescent="0.25">
      <c r="A105" s="98">
        <v>100608</v>
      </c>
      <c r="B105" s="29" t="s">
        <v>37</v>
      </c>
      <c r="C105" s="46" t="s">
        <v>7</v>
      </c>
      <c r="D105" s="4">
        <v>26.750041400000001</v>
      </c>
      <c r="E105" s="31">
        <v>16870</v>
      </c>
      <c r="F105" s="99">
        <f t="shared" si="12"/>
        <v>476634.7521690916</v>
      </c>
      <c r="I105" s="175">
        <v>130413</v>
      </c>
      <c r="J105" s="182" t="s">
        <v>174</v>
      </c>
      <c r="K105" s="177" t="s">
        <v>7</v>
      </c>
      <c r="L105" s="178">
        <v>4.0999999999999996</v>
      </c>
      <c r="M105" s="179">
        <v>859250</v>
      </c>
      <c r="N105" s="369">
        <f t="shared" si="7"/>
        <v>3720913.3849999998</v>
      </c>
      <c r="P105" s="175">
        <v>190107</v>
      </c>
      <c r="Q105" s="182" t="s">
        <v>81</v>
      </c>
      <c r="R105" s="218" t="s">
        <v>15</v>
      </c>
      <c r="S105" s="257">
        <v>20</v>
      </c>
      <c r="T105" s="219">
        <v>14330</v>
      </c>
      <c r="U105" s="369">
        <f t="shared" si="11"/>
        <v>302706.92</v>
      </c>
      <c r="W105" s="471">
        <v>190107</v>
      </c>
      <c r="X105" s="499" t="s">
        <v>81</v>
      </c>
      <c r="Y105" s="493" t="s">
        <v>15</v>
      </c>
      <c r="Z105" s="505">
        <v>20</v>
      </c>
      <c r="AA105" s="477">
        <v>14330</v>
      </c>
      <c r="AB105" s="476">
        <f t="shared" si="8"/>
        <v>302706.92</v>
      </c>
    </row>
    <row r="106" spans="1:28" x14ac:dyDescent="0.25">
      <c r="A106" s="100">
        <v>310105</v>
      </c>
      <c r="B106" s="101" t="s">
        <v>38</v>
      </c>
      <c r="C106" s="102" t="s">
        <v>15</v>
      </c>
      <c r="D106" s="4">
        <v>166.48864</v>
      </c>
      <c r="E106" s="97">
        <v>1780</v>
      </c>
      <c r="F106" s="99">
        <f t="shared" si="12"/>
        <v>313004.63679104001</v>
      </c>
      <c r="I106" s="260">
        <v>130622</v>
      </c>
      <c r="J106" s="261" t="s">
        <v>80</v>
      </c>
      <c r="K106" s="262" t="s">
        <v>15</v>
      </c>
      <c r="L106" s="178">
        <v>166.48</v>
      </c>
      <c r="M106" s="263">
        <v>129880</v>
      </c>
      <c r="N106" s="369">
        <f t="shared" si="7"/>
        <v>22837602.538879998</v>
      </c>
      <c r="P106" s="189">
        <v>190116</v>
      </c>
      <c r="Q106" s="182" t="s">
        <v>40</v>
      </c>
      <c r="R106" s="190" t="s">
        <v>15</v>
      </c>
      <c r="S106" s="178">
        <v>13.6</v>
      </c>
      <c r="T106" s="191">
        <v>30420</v>
      </c>
      <c r="U106" s="369">
        <f t="shared" si="11"/>
        <v>436962.61440000002</v>
      </c>
      <c r="W106" s="515">
        <v>190116</v>
      </c>
      <c r="X106" s="499" t="s">
        <v>40</v>
      </c>
      <c r="Y106" s="473" t="s">
        <v>15</v>
      </c>
      <c r="Z106" s="474">
        <v>13.6</v>
      </c>
      <c r="AA106" s="516">
        <v>30420</v>
      </c>
      <c r="AB106" s="476">
        <f t="shared" si="8"/>
        <v>436962.61440000002</v>
      </c>
    </row>
    <row r="107" spans="1:28" x14ac:dyDescent="0.25">
      <c r="A107" s="103">
        <v>100407</v>
      </c>
      <c r="B107" s="50" t="s">
        <v>98</v>
      </c>
      <c r="C107" s="30" t="s">
        <v>15</v>
      </c>
      <c r="D107" s="53">
        <v>67.5</v>
      </c>
      <c r="E107" s="54">
        <v>6490</v>
      </c>
      <c r="F107" s="104">
        <f t="shared" ref="F107:F138" si="13">(E107*D107)*+(1+5.62%)</f>
        <v>462694.815</v>
      </c>
      <c r="I107" s="299">
        <v>130622</v>
      </c>
      <c r="J107" s="222" t="s">
        <v>80</v>
      </c>
      <c r="K107" s="248" t="s">
        <v>15</v>
      </c>
      <c r="L107" s="178">
        <v>140.44999999999999</v>
      </c>
      <c r="M107" s="179">
        <v>129880</v>
      </c>
      <c r="N107" s="369">
        <f t="shared" si="7"/>
        <v>19266826.505200002</v>
      </c>
      <c r="P107" s="275">
        <v>190118</v>
      </c>
      <c r="Q107" s="222" t="s">
        <v>155</v>
      </c>
      <c r="R107" s="203" t="s">
        <v>15</v>
      </c>
      <c r="S107" s="209">
        <v>129.99</v>
      </c>
      <c r="T107" s="223">
        <v>29710</v>
      </c>
      <c r="U107" s="369">
        <f t="shared" si="11"/>
        <v>4079047.4629800003</v>
      </c>
      <c r="W107" s="502">
        <v>190118</v>
      </c>
      <c r="X107" s="485" t="s">
        <v>155</v>
      </c>
      <c r="Y107" s="486" t="s">
        <v>15</v>
      </c>
      <c r="Z107" s="504">
        <v>129.99</v>
      </c>
      <c r="AA107" s="488">
        <v>29710</v>
      </c>
      <c r="AB107" s="476">
        <f t="shared" si="8"/>
        <v>4079047.4629800003</v>
      </c>
    </row>
    <row r="108" spans="1:28" x14ac:dyDescent="0.25">
      <c r="A108" s="103">
        <v>100119</v>
      </c>
      <c r="B108" s="50" t="s">
        <v>59</v>
      </c>
      <c r="C108" s="30" t="s">
        <v>3</v>
      </c>
      <c r="D108" s="38">
        <v>40</v>
      </c>
      <c r="E108" s="51">
        <v>10250</v>
      </c>
      <c r="F108" s="104">
        <f t="shared" si="13"/>
        <v>433042</v>
      </c>
      <c r="I108" s="189">
        <v>140117</v>
      </c>
      <c r="J108" s="182" t="s">
        <v>17</v>
      </c>
      <c r="K108" s="190" t="s">
        <v>15</v>
      </c>
      <c r="L108" s="178">
        <v>42</v>
      </c>
      <c r="M108" s="191">
        <v>49900</v>
      </c>
      <c r="N108" s="369">
        <f t="shared" si="7"/>
        <v>2213583.96</v>
      </c>
      <c r="P108" s="175">
        <v>190301</v>
      </c>
      <c r="Q108" s="176" t="s">
        <v>55</v>
      </c>
      <c r="R108" s="177" t="s">
        <v>3</v>
      </c>
      <c r="S108" s="178">
        <v>143.7515799</v>
      </c>
      <c r="T108" s="179">
        <v>21450</v>
      </c>
      <c r="U108" s="369">
        <f t="shared" si="11"/>
        <v>3256762.4809086509</v>
      </c>
      <c r="W108" s="471">
        <v>190301</v>
      </c>
      <c r="X108" s="472" t="s">
        <v>55</v>
      </c>
      <c r="Y108" s="473" t="s">
        <v>3</v>
      </c>
      <c r="Z108" s="474">
        <v>143.7515799</v>
      </c>
      <c r="AA108" s="475">
        <v>21450</v>
      </c>
      <c r="AB108" s="476">
        <f t="shared" si="8"/>
        <v>3256762.4809086509</v>
      </c>
    </row>
    <row r="109" spans="1:28" x14ac:dyDescent="0.25">
      <c r="A109" s="89">
        <v>250807</v>
      </c>
      <c r="B109" s="50" t="s">
        <v>99</v>
      </c>
      <c r="C109" s="67" t="s">
        <v>1</v>
      </c>
      <c r="D109" s="68">
        <v>6</v>
      </c>
      <c r="E109" s="69">
        <v>23910</v>
      </c>
      <c r="F109" s="104">
        <f t="shared" si="13"/>
        <v>151522.45199999999</v>
      </c>
      <c r="I109" s="189">
        <v>140117</v>
      </c>
      <c r="J109" s="182" t="s">
        <v>17</v>
      </c>
      <c r="K109" s="190" t="s">
        <v>15</v>
      </c>
      <c r="L109" s="178">
        <v>6.8</v>
      </c>
      <c r="M109" s="191">
        <v>49900</v>
      </c>
      <c r="N109" s="369">
        <f t="shared" si="7"/>
        <v>358389.78399999999</v>
      </c>
      <c r="P109" s="264">
        <v>190515</v>
      </c>
      <c r="Q109" s="222" t="s">
        <v>103</v>
      </c>
      <c r="R109" s="239" t="s">
        <v>3</v>
      </c>
      <c r="S109" s="240">
        <v>4.7</v>
      </c>
      <c r="T109" s="241">
        <v>19590</v>
      </c>
      <c r="U109" s="369">
        <f t="shared" si="11"/>
        <v>97247.502600000007</v>
      </c>
      <c r="W109" s="511">
        <v>190515</v>
      </c>
      <c r="X109" s="485" t="s">
        <v>103</v>
      </c>
      <c r="Y109" s="517" t="s">
        <v>3</v>
      </c>
      <c r="Z109" s="518">
        <v>4.7</v>
      </c>
      <c r="AA109" s="519">
        <v>19590</v>
      </c>
      <c r="AB109" s="476">
        <f t="shared" si="8"/>
        <v>97247.502600000007</v>
      </c>
    </row>
    <row r="110" spans="1:28" x14ac:dyDescent="0.25">
      <c r="A110" s="103">
        <v>250517</v>
      </c>
      <c r="B110" s="50" t="s">
        <v>100</v>
      </c>
      <c r="C110" s="30" t="s">
        <v>1</v>
      </c>
      <c r="D110" s="38">
        <v>8</v>
      </c>
      <c r="E110" s="51">
        <v>35100</v>
      </c>
      <c r="F110" s="104">
        <f t="shared" si="13"/>
        <v>296580.96000000002</v>
      </c>
      <c r="I110" s="189">
        <v>140117</v>
      </c>
      <c r="J110" s="182" t="s">
        <v>17</v>
      </c>
      <c r="K110" s="190" t="s">
        <v>15</v>
      </c>
      <c r="L110" s="178">
        <v>44.7</v>
      </c>
      <c r="M110" s="191">
        <v>49900</v>
      </c>
      <c r="N110" s="369">
        <f t="shared" si="7"/>
        <v>2355885.7859999998</v>
      </c>
      <c r="P110" s="436">
        <v>190524</v>
      </c>
      <c r="Q110" s="409" t="s">
        <v>16</v>
      </c>
      <c r="R110" s="168" t="s">
        <v>15</v>
      </c>
      <c r="S110" s="166">
        <f>94+13.6+176.29+67.5+64.995+235.12+80+33+62</f>
        <v>826.505</v>
      </c>
      <c r="T110" s="437">
        <v>52040</v>
      </c>
      <c r="U110" s="169">
        <f t="shared" si="11"/>
        <v>45428556.395240001</v>
      </c>
      <c r="W110" s="515">
        <v>190524</v>
      </c>
      <c r="X110" s="499" t="s">
        <v>16</v>
      </c>
      <c r="Y110" s="473" t="s">
        <v>15</v>
      </c>
      <c r="Z110" s="474">
        <f>94+13.6+176.29+67.5+64.995+235.12+80+33+62</f>
        <v>826.505</v>
      </c>
      <c r="AA110" s="516">
        <v>52040</v>
      </c>
      <c r="AB110" s="476">
        <f t="shared" si="8"/>
        <v>45428556.395240001</v>
      </c>
    </row>
    <row r="111" spans="1:28" x14ac:dyDescent="0.25">
      <c r="A111" s="103">
        <v>250423</v>
      </c>
      <c r="B111" s="50" t="s">
        <v>47</v>
      </c>
      <c r="C111" s="30" t="s">
        <v>48</v>
      </c>
      <c r="D111" s="38">
        <v>7</v>
      </c>
      <c r="E111" s="51">
        <v>203970</v>
      </c>
      <c r="F111" s="104">
        <f t="shared" si="13"/>
        <v>1508031.798</v>
      </c>
      <c r="I111" s="189">
        <v>140117</v>
      </c>
      <c r="J111" s="182" t="s">
        <v>17</v>
      </c>
      <c r="K111" s="190" t="s">
        <v>15</v>
      </c>
      <c r="L111" s="178">
        <v>179.71</v>
      </c>
      <c r="M111" s="191">
        <v>49900</v>
      </c>
      <c r="N111" s="369">
        <f t="shared" si="7"/>
        <v>9471504.1298000012</v>
      </c>
      <c r="P111" s="442">
        <v>200102</v>
      </c>
      <c r="Q111" s="409" t="s">
        <v>14</v>
      </c>
      <c r="R111" s="168" t="s">
        <v>15</v>
      </c>
      <c r="S111" s="166">
        <f>94+176.29+235.12</f>
        <v>505.40999999999997</v>
      </c>
      <c r="T111" s="437">
        <v>27820</v>
      </c>
      <c r="U111" s="169">
        <f t="shared" si="11"/>
        <v>14850706.64844</v>
      </c>
      <c r="W111" s="515">
        <v>200102</v>
      </c>
      <c r="X111" s="499" t="s">
        <v>14</v>
      </c>
      <c r="Y111" s="473" t="s">
        <v>15</v>
      </c>
      <c r="Z111" s="474">
        <f>94+176.29+235.12</f>
        <v>505.40999999999997</v>
      </c>
      <c r="AA111" s="516">
        <v>27820</v>
      </c>
      <c r="AB111" s="476">
        <f t="shared" si="8"/>
        <v>14850706.64844</v>
      </c>
    </row>
    <row r="112" spans="1:28" x14ac:dyDescent="0.25">
      <c r="A112" s="28">
        <v>250113</v>
      </c>
      <c r="B112" s="29" t="s">
        <v>49</v>
      </c>
      <c r="C112" s="30" t="s">
        <v>48</v>
      </c>
      <c r="D112" s="4">
        <v>2</v>
      </c>
      <c r="E112" s="31">
        <v>105840</v>
      </c>
      <c r="F112" s="104">
        <f t="shared" si="13"/>
        <v>223576.416</v>
      </c>
      <c r="I112" s="175">
        <v>140217</v>
      </c>
      <c r="J112" s="182" t="s">
        <v>184</v>
      </c>
      <c r="K112" s="218" t="s">
        <v>15</v>
      </c>
      <c r="L112" s="257">
        <v>10</v>
      </c>
      <c r="M112" s="219">
        <v>53640</v>
      </c>
      <c r="N112" s="369">
        <f t="shared" si="7"/>
        <v>566545.68000000005</v>
      </c>
      <c r="P112" s="305">
        <v>200102</v>
      </c>
      <c r="Q112" s="182" t="s">
        <v>14</v>
      </c>
      <c r="R112" s="190" t="s">
        <v>15</v>
      </c>
      <c r="S112" s="190">
        <v>80</v>
      </c>
      <c r="T112" s="286">
        <v>26710</v>
      </c>
      <c r="U112" s="369">
        <f t="shared" si="11"/>
        <v>2256888.16</v>
      </c>
      <c r="W112" s="515">
        <v>200102</v>
      </c>
      <c r="X112" s="499" t="s">
        <v>14</v>
      </c>
      <c r="Y112" s="473" t="s">
        <v>15</v>
      </c>
      <c r="Z112" s="473">
        <v>80</v>
      </c>
      <c r="AA112" s="532">
        <v>26710</v>
      </c>
      <c r="AB112" s="476">
        <f t="shared" si="8"/>
        <v>2256888.16</v>
      </c>
    </row>
    <row r="113" spans="1:28" x14ac:dyDescent="0.25">
      <c r="A113" s="103">
        <v>250804</v>
      </c>
      <c r="B113" s="50" t="s">
        <v>101</v>
      </c>
      <c r="C113" s="30" t="s">
        <v>1</v>
      </c>
      <c r="D113" s="38">
        <v>7</v>
      </c>
      <c r="E113" s="51">
        <v>24140</v>
      </c>
      <c r="F113" s="104">
        <f t="shared" si="13"/>
        <v>178476.67600000001</v>
      </c>
      <c r="I113" s="270">
        <v>140217</v>
      </c>
      <c r="J113" s="202" t="s">
        <v>184</v>
      </c>
      <c r="K113" s="216" t="s">
        <v>15</v>
      </c>
      <c r="L113" s="217">
        <v>10</v>
      </c>
      <c r="M113" s="287">
        <v>53640</v>
      </c>
      <c r="N113" s="369">
        <f t="shared" si="7"/>
        <v>566545.68000000005</v>
      </c>
      <c r="P113" s="298">
        <v>200107</v>
      </c>
      <c r="Q113" s="222" t="s">
        <v>156</v>
      </c>
      <c r="R113" s="203" t="s">
        <v>15</v>
      </c>
      <c r="S113" s="209">
        <v>34</v>
      </c>
      <c r="T113" s="223">
        <v>32180</v>
      </c>
      <c r="U113" s="369">
        <f t="shared" si="11"/>
        <v>1155609.544</v>
      </c>
      <c r="W113" s="502">
        <v>200107</v>
      </c>
      <c r="X113" s="485" t="s">
        <v>156</v>
      </c>
      <c r="Y113" s="486" t="s">
        <v>15</v>
      </c>
      <c r="Z113" s="504">
        <v>34</v>
      </c>
      <c r="AA113" s="488">
        <v>32180</v>
      </c>
      <c r="AB113" s="476">
        <f t="shared" si="8"/>
        <v>1155609.544</v>
      </c>
    </row>
    <row r="114" spans="1:28" x14ac:dyDescent="0.25">
      <c r="A114" s="89">
        <v>140403</v>
      </c>
      <c r="B114" s="50" t="s">
        <v>102</v>
      </c>
      <c r="C114" s="67" t="s">
        <v>3</v>
      </c>
      <c r="D114" s="68">
        <v>4.7</v>
      </c>
      <c r="E114" s="69">
        <v>92950</v>
      </c>
      <c r="F114" s="104">
        <f t="shared" si="13"/>
        <v>461416.81300000002</v>
      </c>
      <c r="I114" s="277">
        <v>140219</v>
      </c>
      <c r="J114" s="185" t="s">
        <v>154</v>
      </c>
      <c r="K114" s="183" t="s">
        <v>15</v>
      </c>
      <c r="L114" s="183">
        <v>141.09</v>
      </c>
      <c r="M114" s="187">
        <v>55660</v>
      </c>
      <c r="N114" s="369">
        <f t="shared" si="7"/>
        <v>8294411.9002800006</v>
      </c>
      <c r="P114" s="275">
        <v>200108</v>
      </c>
      <c r="Q114" s="222" t="s">
        <v>118</v>
      </c>
      <c r="R114" s="203" t="s">
        <v>15</v>
      </c>
      <c r="S114" s="209">
        <v>67.5</v>
      </c>
      <c r="T114" s="223">
        <v>37600</v>
      </c>
      <c r="U114" s="369">
        <f t="shared" si="11"/>
        <v>2680635.6</v>
      </c>
      <c r="W114" s="502">
        <v>200108</v>
      </c>
      <c r="X114" s="485" t="s">
        <v>118</v>
      </c>
      <c r="Y114" s="486" t="s">
        <v>15</v>
      </c>
      <c r="Z114" s="504">
        <v>67.5</v>
      </c>
      <c r="AA114" s="488">
        <v>37600</v>
      </c>
      <c r="AB114" s="476">
        <f t="shared" si="8"/>
        <v>2680635.6</v>
      </c>
    </row>
    <row r="115" spans="1:28" x14ac:dyDescent="0.25">
      <c r="A115" s="89">
        <v>190515</v>
      </c>
      <c r="B115" s="50" t="s">
        <v>103</v>
      </c>
      <c r="C115" s="67" t="s">
        <v>3</v>
      </c>
      <c r="D115" s="68">
        <v>4.7</v>
      </c>
      <c r="E115" s="69">
        <v>19590</v>
      </c>
      <c r="F115" s="104">
        <f t="shared" si="13"/>
        <v>97247.502600000007</v>
      </c>
      <c r="I115" s="192">
        <v>140304</v>
      </c>
      <c r="J115" s="193" t="s">
        <v>176</v>
      </c>
      <c r="K115" s="194" t="s">
        <v>3</v>
      </c>
      <c r="L115" s="178">
        <v>42.76</v>
      </c>
      <c r="M115" s="188">
        <v>63950</v>
      </c>
      <c r="N115" s="369">
        <f t="shared" si="7"/>
        <v>2888181.0123999999</v>
      </c>
      <c r="P115" s="167">
        <v>200127</v>
      </c>
      <c r="Q115" s="409" t="s">
        <v>76</v>
      </c>
      <c r="R115" s="168" t="s">
        <v>15</v>
      </c>
      <c r="S115" s="166">
        <f>166.48+116.73</f>
        <v>283.20999999999998</v>
      </c>
      <c r="T115" s="171">
        <v>60710</v>
      </c>
      <c r="U115" s="169">
        <f t="shared" si="11"/>
        <v>18159963.865419999</v>
      </c>
      <c r="W115" s="471">
        <v>200127</v>
      </c>
      <c r="X115" s="499" t="s">
        <v>76</v>
      </c>
      <c r="Y115" s="473" t="s">
        <v>15</v>
      </c>
      <c r="Z115" s="474">
        <f>166.48+116.73</f>
        <v>283.20999999999998</v>
      </c>
      <c r="AA115" s="475">
        <v>60710</v>
      </c>
      <c r="AB115" s="476">
        <f t="shared" si="8"/>
        <v>18159963.865419999</v>
      </c>
    </row>
    <row r="116" spans="1:28" x14ac:dyDescent="0.25">
      <c r="A116" s="105">
        <v>150511</v>
      </c>
      <c r="B116" s="50" t="s">
        <v>104</v>
      </c>
      <c r="C116" s="30" t="s">
        <v>1</v>
      </c>
      <c r="D116" s="38">
        <v>4</v>
      </c>
      <c r="E116" s="51">
        <v>46940</v>
      </c>
      <c r="F116" s="104">
        <f t="shared" si="13"/>
        <v>198312.11199999999</v>
      </c>
      <c r="I116" s="264">
        <v>140403</v>
      </c>
      <c r="J116" s="222" t="s">
        <v>102</v>
      </c>
      <c r="K116" s="239" t="s">
        <v>3</v>
      </c>
      <c r="L116" s="240">
        <v>4.7</v>
      </c>
      <c r="M116" s="241">
        <v>92950</v>
      </c>
      <c r="N116" s="369">
        <f t="shared" si="7"/>
        <v>461416.81300000002</v>
      </c>
      <c r="P116" s="274">
        <v>200226</v>
      </c>
      <c r="Q116" s="222" t="s">
        <v>157</v>
      </c>
      <c r="R116" s="203" t="s">
        <v>15</v>
      </c>
      <c r="S116" s="209">
        <v>34</v>
      </c>
      <c r="T116" s="223">
        <v>50280</v>
      </c>
      <c r="U116" s="369">
        <f t="shared" si="11"/>
        <v>1805595.024</v>
      </c>
      <c r="W116" s="484">
        <v>200226</v>
      </c>
      <c r="X116" s="485" t="s">
        <v>157</v>
      </c>
      <c r="Y116" s="486" t="s">
        <v>15</v>
      </c>
      <c r="Z116" s="504">
        <v>34</v>
      </c>
      <c r="AA116" s="488">
        <v>50280</v>
      </c>
      <c r="AB116" s="476">
        <f t="shared" si="8"/>
        <v>1805595.024</v>
      </c>
    </row>
    <row r="117" spans="1:28" x14ac:dyDescent="0.25">
      <c r="A117" s="105">
        <v>150502</v>
      </c>
      <c r="B117" s="50" t="s">
        <v>105</v>
      </c>
      <c r="C117" s="30" t="s">
        <v>1</v>
      </c>
      <c r="D117" s="38">
        <v>9</v>
      </c>
      <c r="E117" s="51">
        <v>27300</v>
      </c>
      <c r="F117" s="104">
        <f t="shared" si="13"/>
        <v>259508.34</v>
      </c>
      <c r="I117" s="175">
        <v>140404</v>
      </c>
      <c r="J117" s="176" t="s">
        <v>39</v>
      </c>
      <c r="K117" s="177" t="s">
        <v>15</v>
      </c>
      <c r="L117" s="178">
        <v>1.52</v>
      </c>
      <c r="M117" s="179">
        <v>136700</v>
      </c>
      <c r="N117" s="369">
        <f t="shared" si="7"/>
        <v>219461.4608</v>
      </c>
      <c r="P117" s="394">
        <v>200808</v>
      </c>
      <c r="Q117" s="395" t="s">
        <v>18</v>
      </c>
      <c r="R117" s="392" t="s">
        <v>3</v>
      </c>
      <c r="S117" s="166">
        <f>43+170.52+159.47</f>
        <v>372.99</v>
      </c>
      <c r="T117" s="393">
        <v>14420</v>
      </c>
      <c r="U117" s="169">
        <f t="shared" si="11"/>
        <v>5680788.38796</v>
      </c>
      <c r="W117" s="489">
        <v>200808</v>
      </c>
      <c r="X117" s="490" t="s">
        <v>18</v>
      </c>
      <c r="Y117" s="491" t="s">
        <v>3</v>
      </c>
      <c r="Z117" s="474">
        <f>43+170.52+159.47</f>
        <v>372.99</v>
      </c>
      <c r="AA117" s="492">
        <v>14420</v>
      </c>
      <c r="AB117" s="476">
        <f t="shared" si="8"/>
        <v>5680788.38796</v>
      </c>
    </row>
    <row r="118" spans="1:28" x14ac:dyDescent="0.25">
      <c r="A118" s="106" t="s">
        <v>106</v>
      </c>
      <c r="B118" s="50" t="s">
        <v>107</v>
      </c>
      <c r="C118" s="70" t="s">
        <v>108</v>
      </c>
      <c r="D118" s="38">
        <v>18</v>
      </c>
      <c r="E118" s="51">
        <v>61640</v>
      </c>
      <c r="F118" s="104">
        <f t="shared" si="13"/>
        <v>1171875.024</v>
      </c>
      <c r="I118" s="189">
        <v>150205</v>
      </c>
      <c r="J118" s="182" t="s">
        <v>23</v>
      </c>
      <c r="K118" s="190" t="s">
        <v>3</v>
      </c>
      <c r="L118" s="178">
        <v>39.4</v>
      </c>
      <c r="M118" s="191">
        <v>46400</v>
      </c>
      <c r="N118" s="369">
        <f t="shared" si="7"/>
        <v>1930902.5919999999</v>
      </c>
      <c r="P118" s="440">
        <v>220105</v>
      </c>
      <c r="Q118" s="453" t="s">
        <v>89</v>
      </c>
      <c r="R118" s="404" t="s">
        <v>15</v>
      </c>
      <c r="S118" s="166">
        <f>23.11+47.6</f>
        <v>70.710000000000008</v>
      </c>
      <c r="T118" s="414">
        <v>306410</v>
      </c>
      <c r="U118" s="169">
        <f t="shared" si="11"/>
        <v>22883894.411820002</v>
      </c>
      <c r="W118" s="522">
        <v>220105</v>
      </c>
      <c r="X118" s="495" t="s">
        <v>89</v>
      </c>
      <c r="Y118" s="486" t="s">
        <v>15</v>
      </c>
      <c r="Z118" s="474">
        <f>23.11+47.6</f>
        <v>70.710000000000008</v>
      </c>
      <c r="AA118" s="508">
        <v>306410</v>
      </c>
      <c r="AB118" s="476">
        <f t="shared" si="8"/>
        <v>22883894.411820002</v>
      </c>
    </row>
    <row r="119" spans="1:28" x14ac:dyDescent="0.25">
      <c r="A119" s="105">
        <v>110301</v>
      </c>
      <c r="B119" s="50" t="s">
        <v>109</v>
      </c>
      <c r="C119" s="30" t="s">
        <v>3</v>
      </c>
      <c r="D119" s="38">
        <v>12</v>
      </c>
      <c r="E119" s="51">
        <v>13470</v>
      </c>
      <c r="F119" s="104">
        <f t="shared" si="13"/>
        <v>170724.16800000001</v>
      </c>
      <c r="I119" s="189">
        <v>150205</v>
      </c>
      <c r="J119" s="182" t="s">
        <v>23</v>
      </c>
      <c r="K119" s="190" t="s">
        <v>3</v>
      </c>
      <c r="L119" s="178">
        <v>32</v>
      </c>
      <c r="M119" s="191">
        <v>46400</v>
      </c>
      <c r="N119" s="369">
        <f t="shared" si="7"/>
        <v>1568245.76</v>
      </c>
      <c r="P119" s="270">
        <v>220301</v>
      </c>
      <c r="Q119" s="202" t="s">
        <v>193</v>
      </c>
      <c r="R119" s="216" t="s">
        <v>15</v>
      </c>
      <c r="S119" s="217">
        <v>1.4</v>
      </c>
      <c r="T119" s="287">
        <v>262700</v>
      </c>
      <c r="U119" s="369">
        <f t="shared" si="11"/>
        <v>388449.23600000003</v>
      </c>
      <c r="W119" s="494">
        <v>220301</v>
      </c>
      <c r="X119" s="495" t="s">
        <v>193</v>
      </c>
      <c r="Y119" s="496" t="s">
        <v>15</v>
      </c>
      <c r="Z119" s="497">
        <v>1.4</v>
      </c>
      <c r="AA119" s="498">
        <v>262700</v>
      </c>
      <c r="AB119" s="476">
        <f t="shared" si="8"/>
        <v>388449.23600000003</v>
      </c>
    </row>
    <row r="120" spans="1:28" x14ac:dyDescent="0.25">
      <c r="A120" s="105">
        <v>110303</v>
      </c>
      <c r="B120" s="50" t="s">
        <v>110</v>
      </c>
      <c r="C120" s="30" t="s">
        <v>3</v>
      </c>
      <c r="D120" s="38">
        <v>36</v>
      </c>
      <c r="E120" s="51">
        <v>27910</v>
      </c>
      <c r="F120" s="104">
        <f t="shared" si="13"/>
        <v>1061227.5120000001</v>
      </c>
      <c r="I120" s="275">
        <v>150502</v>
      </c>
      <c r="J120" s="222" t="s">
        <v>105</v>
      </c>
      <c r="K120" s="203" t="s">
        <v>1</v>
      </c>
      <c r="L120" s="209">
        <v>9</v>
      </c>
      <c r="M120" s="223">
        <v>27300</v>
      </c>
      <c r="N120" s="369">
        <f t="shared" si="7"/>
        <v>259508.34</v>
      </c>
      <c r="P120" s="201">
        <v>220312</v>
      </c>
      <c r="Q120" s="319" t="s">
        <v>42</v>
      </c>
      <c r="R120" s="203" t="s">
        <v>15</v>
      </c>
      <c r="S120" s="178">
        <v>7.5</v>
      </c>
      <c r="T120" s="204">
        <v>175240</v>
      </c>
      <c r="U120" s="369">
        <f t="shared" ref="U120:U156" si="14">(S120*T120)*+(1+5.62%)</f>
        <v>1388163.6600000001</v>
      </c>
      <c r="W120" s="522">
        <v>220312</v>
      </c>
      <c r="X120" s="495" t="s">
        <v>42</v>
      </c>
      <c r="Y120" s="486" t="s">
        <v>15</v>
      </c>
      <c r="Z120" s="474">
        <v>7.5</v>
      </c>
      <c r="AA120" s="508">
        <v>175240</v>
      </c>
      <c r="AB120" s="476">
        <f t="shared" si="8"/>
        <v>1388163.6600000001</v>
      </c>
    </row>
    <row r="121" spans="1:28" x14ac:dyDescent="0.25">
      <c r="A121" s="106" t="s">
        <v>111</v>
      </c>
      <c r="B121" s="50" t="s">
        <v>112</v>
      </c>
      <c r="C121" s="30" t="s">
        <v>1</v>
      </c>
      <c r="D121" s="38">
        <v>2</v>
      </c>
      <c r="E121" s="51">
        <v>301980</v>
      </c>
      <c r="F121" s="104">
        <f t="shared" si="13"/>
        <v>637902.55200000003</v>
      </c>
      <c r="I121" s="275">
        <v>150502</v>
      </c>
      <c r="J121" s="222" t="s">
        <v>105</v>
      </c>
      <c r="K121" s="203" t="s">
        <v>1</v>
      </c>
      <c r="L121" s="209">
        <v>8</v>
      </c>
      <c r="M121" s="223">
        <v>27300</v>
      </c>
      <c r="N121" s="369">
        <f t="shared" si="7"/>
        <v>230674.08000000002</v>
      </c>
      <c r="P121" s="440">
        <v>220313</v>
      </c>
      <c r="Q121" s="453" t="s">
        <v>28</v>
      </c>
      <c r="R121" s="383" t="s">
        <v>15</v>
      </c>
      <c r="S121" s="166">
        <f>3.5+6.94+7.8+8.4+8.8</f>
        <v>35.44</v>
      </c>
      <c r="T121" s="411">
        <v>251370</v>
      </c>
      <c r="U121" s="169">
        <f t="shared" si="14"/>
        <v>9409213.4673599992</v>
      </c>
      <c r="W121" s="522">
        <v>220313</v>
      </c>
      <c r="X121" s="495" t="s">
        <v>28</v>
      </c>
      <c r="Y121" s="486" t="s">
        <v>15</v>
      </c>
      <c r="Z121" s="474">
        <f>3.5+6.94+7.8+8.4+8.8</f>
        <v>35.44</v>
      </c>
      <c r="AA121" s="508">
        <v>251370</v>
      </c>
      <c r="AB121" s="476">
        <f t="shared" si="8"/>
        <v>9409213.4673599992</v>
      </c>
    </row>
    <row r="122" spans="1:28" x14ac:dyDescent="0.25">
      <c r="A122" s="105">
        <v>250611</v>
      </c>
      <c r="B122" s="50" t="s">
        <v>113</v>
      </c>
      <c r="C122" s="30" t="s">
        <v>1</v>
      </c>
      <c r="D122" s="38">
        <v>2</v>
      </c>
      <c r="E122" s="51">
        <v>14560</v>
      </c>
      <c r="F122" s="104">
        <f t="shared" si="13"/>
        <v>30756.544000000002</v>
      </c>
      <c r="I122" s="275">
        <v>150511</v>
      </c>
      <c r="J122" s="222" t="s">
        <v>104</v>
      </c>
      <c r="K122" s="203" t="s">
        <v>1</v>
      </c>
      <c r="L122" s="209">
        <v>4</v>
      </c>
      <c r="M122" s="223">
        <v>46940</v>
      </c>
      <c r="N122" s="369">
        <f t="shared" si="7"/>
        <v>198312.11199999999</v>
      </c>
      <c r="P122" s="440">
        <v>220405</v>
      </c>
      <c r="Q122" s="454" t="s">
        <v>29</v>
      </c>
      <c r="R122" s="404" t="s">
        <v>1</v>
      </c>
      <c r="S122" s="166">
        <v>14</v>
      </c>
      <c r="T122" s="414">
        <v>162640</v>
      </c>
      <c r="U122" s="169">
        <f t="shared" si="14"/>
        <v>2404925.1520000002</v>
      </c>
      <c r="W122" s="522">
        <v>220405</v>
      </c>
      <c r="X122" s="495" t="s">
        <v>29</v>
      </c>
      <c r="Y122" s="486" t="s">
        <v>1</v>
      </c>
      <c r="Z122" s="474">
        <v>14</v>
      </c>
      <c r="AA122" s="508">
        <v>162640</v>
      </c>
      <c r="AB122" s="476">
        <f t="shared" si="8"/>
        <v>2404925.1520000002</v>
      </c>
    </row>
    <row r="123" spans="1:28" x14ac:dyDescent="0.25">
      <c r="A123" s="106" t="s">
        <v>114</v>
      </c>
      <c r="B123" s="50" t="s">
        <v>115</v>
      </c>
      <c r="C123" s="70" t="s">
        <v>3</v>
      </c>
      <c r="D123" s="38">
        <v>20</v>
      </c>
      <c r="E123" s="51">
        <v>5880</v>
      </c>
      <c r="F123" s="104">
        <f t="shared" si="13"/>
        <v>124209.12000000001</v>
      </c>
      <c r="I123" s="275">
        <v>150511</v>
      </c>
      <c r="J123" s="222" t="s">
        <v>104</v>
      </c>
      <c r="K123" s="203" t="s">
        <v>1</v>
      </c>
      <c r="L123" s="209">
        <v>3</v>
      </c>
      <c r="M123" s="223">
        <v>46940</v>
      </c>
      <c r="N123" s="369">
        <f t="shared" si="7"/>
        <v>148734.084</v>
      </c>
      <c r="P123" s="201">
        <v>220606</v>
      </c>
      <c r="Q123" s="255" t="s">
        <v>180</v>
      </c>
      <c r="R123" s="256" t="s">
        <v>3</v>
      </c>
      <c r="S123" s="178">
        <v>30</v>
      </c>
      <c r="T123" s="204">
        <v>83650</v>
      </c>
      <c r="U123" s="369">
        <f t="shared" si="14"/>
        <v>2650533.9</v>
      </c>
      <c r="W123" s="522">
        <v>220606</v>
      </c>
      <c r="X123" s="529" t="s">
        <v>180</v>
      </c>
      <c r="Y123" s="533" t="s">
        <v>3</v>
      </c>
      <c r="Z123" s="474">
        <v>30</v>
      </c>
      <c r="AA123" s="508">
        <v>83650</v>
      </c>
      <c r="AB123" s="476">
        <f t="shared" si="8"/>
        <v>2650533.9</v>
      </c>
    </row>
    <row r="124" spans="1:28" x14ac:dyDescent="0.25">
      <c r="A124" s="105">
        <v>160505</v>
      </c>
      <c r="B124" s="50" t="s">
        <v>51</v>
      </c>
      <c r="C124" s="30" t="s">
        <v>3</v>
      </c>
      <c r="D124" s="38">
        <v>32</v>
      </c>
      <c r="E124" s="51">
        <v>6280</v>
      </c>
      <c r="F124" s="104">
        <f t="shared" si="13"/>
        <v>212253.95200000002</v>
      </c>
      <c r="I124" s="207">
        <v>160110</v>
      </c>
      <c r="J124" s="208" t="s">
        <v>53</v>
      </c>
      <c r="K124" s="203" t="s">
        <v>1</v>
      </c>
      <c r="L124" s="209">
        <v>6</v>
      </c>
      <c r="M124" s="210">
        <v>930</v>
      </c>
      <c r="N124" s="369">
        <f t="shared" si="7"/>
        <v>5893.5960000000005</v>
      </c>
      <c r="P124" s="175">
        <v>221012</v>
      </c>
      <c r="Q124" s="289" t="s">
        <v>185</v>
      </c>
      <c r="R124" s="206" t="s">
        <v>15</v>
      </c>
      <c r="S124" s="257">
        <v>4.5999999999999996</v>
      </c>
      <c r="T124" s="219">
        <v>264220</v>
      </c>
      <c r="U124" s="369">
        <f t="shared" si="14"/>
        <v>1283718.1544000001</v>
      </c>
      <c r="W124" s="471">
        <v>221012</v>
      </c>
      <c r="X124" s="499" t="s">
        <v>185</v>
      </c>
      <c r="Y124" s="493" t="s">
        <v>15</v>
      </c>
      <c r="Z124" s="505">
        <v>4.5999999999999996</v>
      </c>
      <c r="AA124" s="477">
        <v>264220</v>
      </c>
      <c r="AB124" s="476">
        <f t="shared" si="8"/>
        <v>1283718.1544000001</v>
      </c>
    </row>
    <row r="125" spans="1:28" x14ac:dyDescent="0.25">
      <c r="A125" s="105">
        <v>160801</v>
      </c>
      <c r="B125" s="50" t="s">
        <v>116</v>
      </c>
      <c r="C125" s="30" t="s">
        <v>1</v>
      </c>
      <c r="D125" s="38">
        <v>31</v>
      </c>
      <c r="E125" s="51">
        <v>42840</v>
      </c>
      <c r="F125" s="104">
        <f t="shared" si="13"/>
        <v>1402675.848</v>
      </c>
      <c r="I125" s="207">
        <v>160129</v>
      </c>
      <c r="J125" s="208" t="s">
        <v>52</v>
      </c>
      <c r="K125" s="203" t="s">
        <v>1</v>
      </c>
      <c r="L125" s="209">
        <v>4</v>
      </c>
      <c r="M125" s="210">
        <v>1460</v>
      </c>
      <c r="N125" s="369">
        <f t="shared" si="7"/>
        <v>6168.2080000000005</v>
      </c>
      <c r="P125" s="270">
        <v>221013</v>
      </c>
      <c r="Q125" s="202" t="s">
        <v>189</v>
      </c>
      <c r="R125" s="216" t="s">
        <v>15</v>
      </c>
      <c r="S125" s="217">
        <v>1.87</v>
      </c>
      <c r="T125" s="287">
        <v>319260</v>
      </c>
      <c r="U125" s="369">
        <f t="shared" si="14"/>
        <v>630568.5104400001</v>
      </c>
      <c r="W125" s="494">
        <v>221013</v>
      </c>
      <c r="X125" s="495" t="s">
        <v>189</v>
      </c>
      <c r="Y125" s="496" t="s">
        <v>15</v>
      </c>
      <c r="Z125" s="497">
        <v>1.87</v>
      </c>
      <c r="AA125" s="498">
        <v>319260</v>
      </c>
      <c r="AB125" s="476">
        <f t="shared" si="8"/>
        <v>630568.5104400001</v>
      </c>
    </row>
    <row r="126" spans="1:28" x14ac:dyDescent="0.25">
      <c r="A126" s="105">
        <v>160629</v>
      </c>
      <c r="B126" s="50" t="s">
        <v>117</v>
      </c>
      <c r="C126" s="30" t="s">
        <v>1</v>
      </c>
      <c r="D126" s="38">
        <v>2</v>
      </c>
      <c r="E126" s="51">
        <v>23480</v>
      </c>
      <c r="F126" s="104">
        <f t="shared" si="13"/>
        <v>49599.152000000002</v>
      </c>
      <c r="I126" s="207">
        <v>160505</v>
      </c>
      <c r="J126" s="208" t="s">
        <v>51</v>
      </c>
      <c r="K126" s="203" t="s">
        <v>3</v>
      </c>
      <c r="L126" s="209">
        <v>4.5</v>
      </c>
      <c r="M126" s="210">
        <v>6280</v>
      </c>
      <c r="N126" s="369">
        <f t="shared" si="7"/>
        <v>29848.212</v>
      </c>
      <c r="P126" s="201">
        <v>221804</v>
      </c>
      <c r="Q126" s="255" t="s">
        <v>181</v>
      </c>
      <c r="R126" s="256" t="s">
        <v>3</v>
      </c>
      <c r="S126" s="178">
        <v>33</v>
      </c>
      <c r="T126" s="204">
        <v>132700</v>
      </c>
      <c r="U126" s="369">
        <f t="shared" si="14"/>
        <v>4625205.42</v>
      </c>
      <c r="W126" s="522">
        <v>221804</v>
      </c>
      <c r="X126" s="529" t="s">
        <v>181</v>
      </c>
      <c r="Y126" s="533" t="s">
        <v>3</v>
      </c>
      <c r="Z126" s="474">
        <v>33</v>
      </c>
      <c r="AA126" s="508">
        <v>132700</v>
      </c>
      <c r="AB126" s="476">
        <f t="shared" si="8"/>
        <v>4625205.42</v>
      </c>
    </row>
    <row r="127" spans="1:28" x14ac:dyDescent="0.25">
      <c r="A127" s="105">
        <v>200108</v>
      </c>
      <c r="B127" s="50" t="s">
        <v>118</v>
      </c>
      <c r="C127" s="30" t="s">
        <v>15</v>
      </c>
      <c r="D127" s="38">
        <v>67.5</v>
      </c>
      <c r="E127" s="51">
        <v>37600</v>
      </c>
      <c r="F127" s="104">
        <f t="shared" si="13"/>
        <v>2680635.6</v>
      </c>
      <c r="I127" s="275">
        <v>160505</v>
      </c>
      <c r="J127" s="222" t="s">
        <v>51</v>
      </c>
      <c r="K127" s="203" t="s">
        <v>3</v>
      </c>
      <c r="L127" s="209">
        <v>32</v>
      </c>
      <c r="M127" s="223">
        <v>6280</v>
      </c>
      <c r="N127" s="369">
        <f t="shared" si="7"/>
        <v>212253.95200000002</v>
      </c>
      <c r="P127" s="270">
        <v>240202</v>
      </c>
      <c r="Q127" s="202" t="s">
        <v>188</v>
      </c>
      <c r="R127" s="216" t="s">
        <v>15</v>
      </c>
      <c r="S127" s="217">
        <v>3.5</v>
      </c>
      <c r="T127" s="287">
        <v>203360</v>
      </c>
      <c r="U127" s="369">
        <f t="shared" si="14"/>
        <v>751760.91200000001</v>
      </c>
      <c r="W127" s="494">
        <v>240202</v>
      </c>
      <c r="X127" s="495" t="s">
        <v>188</v>
      </c>
      <c r="Y127" s="496" t="s">
        <v>15</v>
      </c>
      <c r="Z127" s="497">
        <v>3.5</v>
      </c>
      <c r="AA127" s="498">
        <v>203360</v>
      </c>
      <c r="AB127" s="476">
        <f t="shared" si="8"/>
        <v>751760.91200000001</v>
      </c>
    </row>
    <row r="128" spans="1:28" x14ac:dyDescent="0.25">
      <c r="A128" s="16">
        <v>190524</v>
      </c>
      <c r="B128" s="136" t="s">
        <v>16</v>
      </c>
      <c r="C128" s="17" t="s">
        <v>15</v>
      </c>
      <c r="D128" s="38">
        <v>67.5</v>
      </c>
      <c r="E128" s="18">
        <v>52040</v>
      </c>
      <c r="F128" s="104">
        <f t="shared" si="13"/>
        <v>3710113.74</v>
      </c>
      <c r="I128" s="275">
        <v>160505</v>
      </c>
      <c r="J128" s="222" t="s">
        <v>51</v>
      </c>
      <c r="K128" s="203" t="s">
        <v>3</v>
      </c>
      <c r="L128" s="209">
        <v>40</v>
      </c>
      <c r="M128" s="223">
        <v>6280</v>
      </c>
      <c r="N128" s="369">
        <f t="shared" si="7"/>
        <v>265317.44</v>
      </c>
      <c r="P128" s="201">
        <v>240309</v>
      </c>
      <c r="Q128" s="202" t="s">
        <v>41</v>
      </c>
      <c r="R128" s="203" t="s">
        <v>15</v>
      </c>
      <c r="S128" s="178">
        <v>6.16</v>
      </c>
      <c r="T128" s="204">
        <v>675870</v>
      </c>
      <c r="U128" s="369">
        <f t="shared" si="14"/>
        <v>4397339.98704</v>
      </c>
      <c r="W128" s="522">
        <v>240309</v>
      </c>
      <c r="X128" s="495" t="s">
        <v>41</v>
      </c>
      <c r="Y128" s="486" t="s">
        <v>15</v>
      </c>
      <c r="Z128" s="474">
        <v>6.16</v>
      </c>
      <c r="AA128" s="508">
        <v>675870</v>
      </c>
      <c r="AB128" s="476">
        <f t="shared" si="8"/>
        <v>4397339.98704</v>
      </c>
    </row>
    <row r="129" spans="1:28" x14ac:dyDescent="0.25">
      <c r="A129" s="105">
        <v>170404</v>
      </c>
      <c r="B129" s="50" t="s">
        <v>119</v>
      </c>
      <c r="C129" s="30" t="s">
        <v>1</v>
      </c>
      <c r="D129" s="38">
        <v>8</v>
      </c>
      <c r="E129" s="51">
        <v>58010</v>
      </c>
      <c r="F129" s="104">
        <f t="shared" si="13"/>
        <v>490161.29600000003</v>
      </c>
      <c r="I129" s="201">
        <v>160629</v>
      </c>
      <c r="J129" s="202" t="s">
        <v>50</v>
      </c>
      <c r="K129" s="203" t="s">
        <v>1</v>
      </c>
      <c r="L129" s="178">
        <v>2</v>
      </c>
      <c r="M129" s="204">
        <v>23460</v>
      </c>
      <c r="N129" s="369">
        <f t="shared" si="7"/>
        <v>49556.904000000002</v>
      </c>
      <c r="P129" s="440">
        <v>250113</v>
      </c>
      <c r="Q129" s="399" t="s">
        <v>49</v>
      </c>
      <c r="R129" s="383" t="s">
        <v>48</v>
      </c>
      <c r="S129" s="166">
        <v>4</v>
      </c>
      <c r="T129" s="411">
        <v>105840</v>
      </c>
      <c r="U129" s="169">
        <f t="shared" si="14"/>
        <v>447152.83199999999</v>
      </c>
      <c r="W129" s="522">
        <v>250113</v>
      </c>
      <c r="X129" s="495" t="s">
        <v>49</v>
      </c>
      <c r="Y129" s="486" t="s">
        <v>48</v>
      </c>
      <c r="Z129" s="474">
        <v>4</v>
      </c>
      <c r="AA129" s="508">
        <v>105840</v>
      </c>
      <c r="AB129" s="476">
        <f t="shared" si="8"/>
        <v>447152.83199999999</v>
      </c>
    </row>
    <row r="130" spans="1:28" x14ac:dyDescent="0.25">
      <c r="A130" s="105">
        <v>170532</v>
      </c>
      <c r="B130" s="50" t="s">
        <v>120</v>
      </c>
      <c r="C130" s="30" t="s">
        <v>1</v>
      </c>
      <c r="D130" s="38">
        <v>14</v>
      </c>
      <c r="E130" s="51">
        <v>118310</v>
      </c>
      <c r="F130" s="104">
        <f t="shared" si="13"/>
        <v>1749426.308</v>
      </c>
      <c r="I130" s="275">
        <v>160629</v>
      </c>
      <c r="J130" s="222" t="s">
        <v>117</v>
      </c>
      <c r="K130" s="203" t="s">
        <v>1</v>
      </c>
      <c r="L130" s="209">
        <v>2</v>
      </c>
      <c r="M130" s="223">
        <v>23480</v>
      </c>
      <c r="N130" s="369">
        <f t="shared" si="7"/>
        <v>49599.152000000002</v>
      </c>
      <c r="P130" s="201">
        <v>250422</v>
      </c>
      <c r="Q130" s="202" t="s">
        <v>43</v>
      </c>
      <c r="R130" s="203" t="s">
        <v>1</v>
      </c>
      <c r="S130" s="178">
        <v>2</v>
      </c>
      <c r="T130" s="204">
        <v>177070</v>
      </c>
      <c r="U130" s="369">
        <f t="shared" si="14"/>
        <v>374042.66800000001</v>
      </c>
      <c r="W130" s="522">
        <v>250422</v>
      </c>
      <c r="X130" s="495" t="s">
        <v>43</v>
      </c>
      <c r="Y130" s="486" t="s">
        <v>1</v>
      </c>
      <c r="Z130" s="474">
        <v>2</v>
      </c>
      <c r="AA130" s="508">
        <v>177070</v>
      </c>
      <c r="AB130" s="476">
        <f t="shared" si="8"/>
        <v>374042.66800000001</v>
      </c>
    </row>
    <row r="131" spans="1:28" x14ac:dyDescent="0.25">
      <c r="A131" s="22">
        <v>170134</v>
      </c>
      <c r="B131" s="32" t="s">
        <v>35</v>
      </c>
      <c r="C131" s="30" t="s">
        <v>3</v>
      </c>
      <c r="D131" s="4">
        <v>50</v>
      </c>
      <c r="E131" s="18">
        <v>4650</v>
      </c>
      <c r="F131" s="104">
        <f t="shared" si="13"/>
        <v>245566.5</v>
      </c>
      <c r="I131" s="298">
        <v>160629</v>
      </c>
      <c r="J131" s="222" t="s">
        <v>117</v>
      </c>
      <c r="K131" s="203" t="s">
        <v>1</v>
      </c>
      <c r="L131" s="209">
        <v>2</v>
      </c>
      <c r="M131" s="223">
        <v>23480</v>
      </c>
      <c r="N131" s="369">
        <f t="shared" si="7"/>
        <v>49599.152000000002</v>
      </c>
      <c r="P131" s="440">
        <v>250423</v>
      </c>
      <c r="Q131" s="399" t="s">
        <v>47</v>
      </c>
      <c r="R131" s="383" t="s">
        <v>48</v>
      </c>
      <c r="S131" s="166">
        <v>10</v>
      </c>
      <c r="T131" s="411">
        <v>203970</v>
      </c>
      <c r="U131" s="169">
        <f t="shared" si="14"/>
        <v>2154331.14</v>
      </c>
      <c r="W131" s="522">
        <v>250423</v>
      </c>
      <c r="X131" s="495" t="s">
        <v>47</v>
      </c>
      <c r="Y131" s="486" t="s">
        <v>48</v>
      </c>
      <c r="Z131" s="474">
        <v>10</v>
      </c>
      <c r="AA131" s="508">
        <v>203970</v>
      </c>
      <c r="AB131" s="476">
        <f t="shared" si="8"/>
        <v>2154331.14</v>
      </c>
    </row>
    <row r="132" spans="1:28" x14ac:dyDescent="0.25">
      <c r="A132" s="22">
        <v>170659</v>
      </c>
      <c r="B132" s="32" t="s">
        <v>32</v>
      </c>
      <c r="C132" s="30" t="s">
        <v>1</v>
      </c>
      <c r="D132" s="4">
        <v>14</v>
      </c>
      <c r="E132" s="18">
        <v>62150</v>
      </c>
      <c r="F132" s="104">
        <f t="shared" si="13"/>
        <v>918999.62</v>
      </c>
      <c r="I132" s="298">
        <v>160801</v>
      </c>
      <c r="J132" s="222" t="s">
        <v>116</v>
      </c>
      <c r="K132" s="203" t="s">
        <v>1</v>
      </c>
      <c r="L132" s="209">
        <v>31</v>
      </c>
      <c r="M132" s="223">
        <v>42840</v>
      </c>
      <c r="N132" s="369">
        <f t="shared" ref="N132:N195" si="15">(L132*M132)*+(1+5.62%)</f>
        <v>1402675.848</v>
      </c>
      <c r="P132" s="304">
        <v>250446</v>
      </c>
      <c r="Q132" s="272" t="s">
        <v>45</v>
      </c>
      <c r="R132" s="322" t="s">
        <v>1</v>
      </c>
      <c r="S132" s="178">
        <v>6</v>
      </c>
      <c r="T132" s="269">
        <v>164220</v>
      </c>
      <c r="U132" s="369">
        <f t="shared" si="14"/>
        <v>1040694.9840000001</v>
      </c>
      <c r="W132" s="522">
        <v>250446</v>
      </c>
      <c r="X132" s="495" t="s">
        <v>45</v>
      </c>
      <c r="Y132" s="486" t="s">
        <v>1</v>
      </c>
      <c r="Z132" s="474">
        <v>6</v>
      </c>
      <c r="AA132" s="508">
        <v>164220</v>
      </c>
      <c r="AB132" s="476">
        <f t="shared" ref="AB132:AB170" si="16">(Z132*AA132)*+(1+5.62%)</f>
        <v>1040694.9840000001</v>
      </c>
    </row>
    <row r="133" spans="1:28" x14ac:dyDescent="0.25">
      <c r="A133" s="28">
        <v>220313</v>
      </c>
      <c r="B133" s="29" t="s">
        <v>28</v>
      </c>
      <c r="C133" s="30" t="s">
        <v>15</v>
      </c>
      <c r="D133" s="4">
        <v>7.8</v>
      </c>
      <c r="E133" s="31">
        <v>251370</v>
      </c>
      <c r="F133" s="104">
        <f t="shared" si="13"/>
        <v>2070876.5532</v>
      </c>
      <c r="I133" s="275">
        <v>160801</v>
      </c>
      <c r="J133" s="222" t="s">
        <v>116</v>
      </c>
      <c r="K133" s="203" t="s">
        <v>1</v>
      </c>
      <c r="L133" s="209">
        <v>16</v>
      </c>
      <c r="M133" s="223">
        <v>42840</v>
      </c>
      <c r="N133" s="369">
        <f t="shared" si="15"/>
        <v>723961.728</v>
      </c>
      <c r="P133" s="440">
        <v>250517</v>
      </c>
      <c r="Q133" s="399" t="s">
        <v>46</v>
      </c>
      <c r="R133" s="383" t="s">
        <v>1</v>
      </c>
      <c r="S133" s="166">
        <v>20</v>
      </c>
      <c r="T133" s="411">
        <v>35100</v>
      </c>
      <c r="U133" s="169">
        <f t="shared" si="14"/>
        <v>741452.4</v>
      </c>
      <c r="W133" s="522">
        <v>250517</v>
      </c>
      <c r="X133" s="495" t="s">
        <v>46</v>
      </c>
      <c r="Y133" s="486" t="s">
        <v>1</v>
      </c>
      <c r="Z133" s="474">
        <v>20</v>
      </c>
      <c r="AA133" s="508">
        <v>35100</v>
      </c>
      <c r="AB133" s="476">
        <f t="shared" si="16"/>
        <v>741452.4</v>
      </c>
    </row>
    <row r="134" spans="1:28" x14ac:dyDescent="0.25">
      <c r="A134" s="28">
        <v>220405</v>
      </c>
      <c r="B134" s="29" t="s">
        <v>29</v>
      </c>
      <c r="C134" s="30" t="s">
        <v>1</v>
      </c>
      <c r="D134" s="4">
        <v>4</v>
      </c>
      <c r="E134" s="31">
        <v>162640</v>
      </c>
      <c r="F134" s="104">
        <f t="shared" si="13"/>
        <v>687121.47200000007</v>
      </c>
      <c r="I134" s="189">
        <v>170134</v>
      </c>
      <c r="J134" s="205" t="s">
        <v>35</v>
      </c>
      <c r="K134" s="203" t="s">
        <v>3</v>
      </c>
      <c r="L134" s="178">
        <v>50</v>
      </c>
      <c r="M134" s="191">
        <v>4650</v>
      </c>
      <c r="N134" s="369">
        <f t="shared" si="15"/>
        <v>245566.5</v>
      </c>
      <c r="P134" s="201">
        <v>250520</v>
      </c>
      <c r="Q134" s="202" t="s">
        <v>44</v>
      </c>
      <c r="R134" s="203" t="s">
        <v>1</v>
      </c>
      <c r="S134" s="178">
        <v>2</v>
      </c>
      <c r="T134" s="204">
        <v>61710</v>
      </c>
      <c r="U134" s="369">
        <f t="shared" si="14"/>
        <v>130356.204</v>
      </c>
      <c r="W134" s="522">
        <v>250520</v>
      </c>
      <c r="X134" s="495" t="s">
        <v>44</v>
      </c>
      <c r="Y134" s="486" t="s">
        <v>1</v>
      </c>
      <c r="Z134" s="474">
        <v>2</v>
      </c>
      <c r="AA134" s="508">
        <v>61710</v>
      </c>
      <c r="AB134" s="476">
        <f t="shared" si="16"/>
        <v>130356.204</v>
      </c>
    </row>
    <row r="135" spans="1:28" x14ac:dyDescent="0.25">
      <c r="A135" s="28">
        <v>290407</v>
      </c>
      <c r="B135" s="29" t="s">
        <v>30</v>
      </c>
      <c r="C135" s="30" t="s">
        <v>15</v>
      </c>
      <c r="D135" s="4">
        <v>5</v>
      </c>
      <c r="E135" s="31">
        <v>10130</v>
      </c>
      <c r="F135" s="104">
        <f t="shared" si="13"/>
        <v>53496.53</v>
      </c>
      <c r="I135" s="189">
        <v>170134</v>
      </c>
      <c r="J135" s="205" t="s">
        <v>35</v>
      </c>
      <c r="K135" s="203" t="s">
        <v>3</v>
      </c>
      <c r="L135" s="178">
        <v>130</v>
      </c>
      <c r="M135" s="191">
        <v>4650</v>
      </c>
      <c r="N135" s="369">
        <f t="shared" si="15"/>
        <v>638472.9</v>
      </c>
      <c r="P135" s="413">
        <v>250611</v>
      </c>
      <c r="Q135" s="382" t="s">
        <v>113</v>
      </c>
      <c r="R135" s="383" t="s">
        <v>1</v>
      </c>
      <c r="S135" s="384">
        <v>5</v>
      </c>
      <c r="T135" s="385">
        <v>14560</v>
      </c>
      <c r="U135" s="169">
        <f t="shared" si="14"/>
        <v>76891.360000000001</v>
      </c>
      <c r="W135" s="502">
        <v>250611</v>
      </c>
      <c r="X135" s="485" t="s">
        <v>113</v>
      </c>
      <c r="Y135" s="486" t="s">
        <v>1</v>
      </c>
      <c r="Z135" s="504">
        <v>5</v>
      </c>
      <c r="AA135" s="488">
        <v>14560</v>
      </c>
      <c r="AB135" s="476">
        <f t="shared" si="16"/>
        <v>76891.360000000001</v>
      </c>
    </row>
    <row r="136" spans="1:28" x14ac:dyDescent="0.25">
      <c r="A136" s="28">
        <v>290417</v>
      </c>
      <c r="B136" s="29" t="s">
        <v>31</v>
      </c>
      <c r="C136" s="30" t="s">
        <v>1</v>
      </c>
      <c r="D136" s="4">
        <v>5</v>
      </c>
      <c r="E136" s="31">
        <v>21280</v>
      </c>
      <c r="F136" s="104">
        <f t="shared" si="13"/>
        <v>112379.68000000001</v>
      </c>
      <c r="I136" s="189">
        <v>170134</v>
      </c>
      <c r="J136" s="205" t="s">
        <v>35</v>
      </c>
      <c r="K136" s="203" t="s">
        <v>3</v>
      </c>
      <c r="L136" s="178">
        <v>50</v>
      </c>
      <c r="M136" s="191">
        <v>4650</v>
      </c>
      <c r="N136" s="369">
        <f t="shared" si="15"/>
        <v>245566.5</v>
      </c>
      <c r="P136" s="271">
        <v>250709</v>
      </c>
      <c r="Q136" s="272" t="s">
        <v>192</v>
      </c>
      <c r="R136" s="273" t="s">
        <v>1</v>
      </c>
      <c r="S136" s="217">
        <v>1</v>
      </c>
      <c r="T136" s="288">
        <v>105300</v>
      </c>
      <c r="U136" s="369">
        <f t="shared" si="14"/>
        <v>111217.86</v>
      </c>
      <c r="W136" s="494">
        <v>250709</v>
      </c>
      <c r="X136" s="495" t="s">
        <v>192</v>
      </c>
      <c r="Y136" s="496" t="s">
        <v>1</v>
      </c>
      <c r="Z136" s="497">
        <v>1</v>
      </c>
      <c r="AA136" s="498">
        <v>105300</v>
      </c>
      <c r="AB136" s="476">
        <f t="shared" si="16"/>
        <v>111217.86</v>
      </c>
    </row>
    <row r="137" spans="1:28" x14ac:dyDescent="0.25">
      <c r="A137" s="106" t="s">
        <v>121</v>
      </c>
      <c r="B137" s="50" t="s">
        <v>122</v>
      </c>
      <c r="C137" s="70" t="s">
        <v>15</v>
      </c>
      <c r="D137" s="38">
        <v>8</v>
      </c>
      <c r="E137" s="51">
        <v>24320</v>
      </c>
      <c r="F137" s="104">
        <f t="shared" si="13"/>
        <v>205494.272</v>
      </c>
      <c r="I137" s="280">
        <v>170134</v>
      </c>
      <c r="J137" s="244" t="s">
        <v>35</v>
      </c>
      <c r="K137" s="215" t="s">
        <v>3</v>
      </c>
      <c r="L137" s="231">
        <v>25</v>
      </c>
      <c r="M137" s="235">
        <v>4650</v>
      </c>
      <c r="N137" s="369">
        <f t="shared" si="15"/>
        <v>122783.25</v>
      </c>
      <c r="P137" s="407">
        <v>250804</v>
      </c>
      <c r="Q137" s="382" t="s">
        <v>101</v>
      </c>
      <c r="R137" s="383" t="s">
        <v>1</v>
      </c>
      <c r="S137" s="384">
        <v>15</v>
      </c>
      <c r="T137" s="385">
        <v>24140</v>
      </c>
      <c r="U137" s="169">
        <f t="shared" si="14"/>
        <v>382450.02</v>
      </c>
      <c r="W137" s="484">
        <v>250804</v>
      </c>
      <c r="X137" s="485" t="s">
        <v>101</v>
      </c>
      <c r="Y137" s="486" t="s">
        <v>1</v>
      </c>
      <c r="Z137" s="504">
        <v>15</v>
      </c>
      <c r="AA137" s="488">
        <v>24140</v>
      </c>
      <c r="AB137" s="476">
        <f t="shared" si="16"/>
        <v>382450.02</v>
      </c>
    </row>
    <row r="138" spans="1:28" x14ac:dyDescent="0.25">
      <c r="A138" s="105">
        <v>290710</v>
      </c>
      <c r="B138" s="50" t="s">
        <v>123</v>
      </c>
      <c r="C138" s="30" t="s">
        <v>15</v>
      </c>
      <c r="D138" s="38">
        <v>10</v>
      </c>
      <c r="E138" s="51">
        <v>11620</v>
      </c>
      <c r="F138" s="104">
        <f t="shared" si="13"/>
        <v>122730.44</v>
      </c>
      <c r="I138" s="189">
        <v>170134</v>
      </c>
      <c r="J138" s="205" t="s">
        <v>35</v>
      </c>
      <c r="K138" s="203" t="s">
        <v>3</v>
      </c>
      <c r="L138" s="178">
        <v>300</v>
      </c>
      <c r="M138" s="191">
        <v>4650</v>
      </c>
      <c r="N138" s="369">
        <f t="shared" si="15"/>
        <v>1473399</v>
      </c>
      <c r="P138" s="434">
        <v>250807</v>
      </c>
      <c r="Q138" s="382" t="s">
        <v>99</v>
      </c>
      <c r="R138" s="456" t="s">
        <v>1</v>
      </c>
      <c r="S138" s="457">
        <v>12</v>
      </c>
      <c r="T138" s="458">
        <v>23910</v>
      </c>
      <c r="U138" s="169">
        <f t="shared" si="14"/>
        <v>303044.90399999998</v>
      </c>
      <c r="W138" s="511">
        <v>250807</v>
      </c>
      <c r="X138" s="485" t="s">
        <v>99</v>
      </c>
      <c r="Y138" s="517" t="s">
        <v>1</v>
      </c>
      <c r="Z138" s="518">
        <v>12</v>
      </c>
      <c r="AA138" s="519">
        <v>23910</v>
      </c>
      <c r="AB138" s="476">
        <f t="shared" si="16"/>
        <v>303044.90399999998</v>
      </c>
    </row>
    <row r="139" spans="1:28" x14ac:dyDescent="0.25">
      <c r="A139" s="105">
        <v>290417</v>
      </c>
      <c r="B139" s="50" t="s">
        <v>124</v>
      </c>
      <c r="C139" s="30" t="s">
        <v>1</v>
      </c>
      <c r="D139" s="38">
        <v>4</v>
      </c>
      <c r="E139" s="51">
        <v>21280</v>
      </c>
      <c r="F139" s="104">
        <f t="shared" ref="F139:F156" si="17">(E139*D139)*+(1+5.62%)</f>
        <v>89903.744000000006</v>
      </c>
      <c r="I139" s="275">
        <v>170404</v>
      </c>
      <c r="J139" s="222" t="s">
        <v>119</v>
      </c>
      <c r="K139" s="203" t="s">
        <v>1</v>
      </c>
      <c r="L139" s="209">
        <v>8</v>
      </c>
      <c r="M139" s="223">
        <v>58010</v>
      </c>
      <c r="N139" s="369">
        <f t="shared" si="15"/>
        <v>490161.29600000003</v>
      </c>
      <c r="P139" s="271">
        <v>260105</v>
      </c>
      <c r="Q139" s="202" t="s">
        <v>187</v>
      </c>
      <c r="R139" s="216" t="s">
        <v>15</v>
      </c>
      <c r="S139" s="217">
        <v>160</v>
      </c>
      <c r="T139" s="287">
        <v>58510</v>
      </c>
      <c r="U139" s="369">
        <f t="shared" si="14"/>
        <v>9887721.9199999999</v>
      </c>
      <c r="W139" s="494">
        <v>260105</v>
      </c>
      <c r="X139" s="495" t="s">
        <v>187</v>
      </c>
      <c r="Y139" s="496" t="s">
        <v>15</v>
      </c>
      <c r="Z139" s="497">
        <v>160</v>
      </c>
      <c r="AA139" s="498">
        <v>58510</v>
      </c>
      <c r="AB139" s="476">
        <f t="shared" si="16"/>
        <v>9887721.9199999999</v>
      </c>
    </row>
    <row r="140" spans="1:28" x14ac:dyDescent="0.25">
      <c r="A140" s="11">
        <v>180410</v>
      </c>
      <c r="B140" s="12" t="s">
        <v>24</v>
      </c>
      <c r="C140" s="13" t="s">
        <v>15</v>
      </c>
      <c r="D140" s="10">
        <v>67.5</v>
      </c>
      <c r="E140" s="14">
        <v>49570</v>
      </c>
      <c r="F140" s="104">
        <f t="shared" si="17"/>
        <v>3534018.7949999999</v>
      </c>
      <c r="I140" s="275">
        <v>170404</v>
      </c>
      <c r="J140" s="222" t="s">
        <v>119</v>
      </c>
      <c r="K140" s="203" t="s">
        <v>1</v>
      </c>
      <c r="L140" s="209">
        <v>5</v>
      </c>
      <c r="M140" s="223">
        <v>58010</v>
      </c>
      <c r="N140" s="369">
        <f t="shared" si="15"/>
        <v>306350.81</v>
      </c>
      <c r="P140" s="444">
        <v>290109</v>
      </c>
      <c r="Q140" s="409" t="s">
        <v>125</v>
      </c>
      <c r="R140" s="168" t="s">
        <v>15</v>
      </c>
      <c r="S140" s="384">
        <f>150+397.5</f>
        <v>547.5</v>
      </c>
      <c r="T140" s="437">
        <v>16910</v>
      </c>
      <c r="U140" s="169">
        <f t="shared" si="14"/>
        <v>9778537.245000001</v>
      </c>
      <c r="W140" s="515">
        <v>290109</v>
      </c>
      <c r="X140" s="499" t="s">
        <v>125</v>
      </c>
      <c r="Y140" s="473" t="s">
        <v>15</v>
      </c>
      <c r="Z140" s="504">
        <f>150+397.5</f>
        <v>547.5</v>
      </c>
      <c r="AA140" s="516">
        <v>16910</v>
      </c>
      <c r="AB140" s="476">
        <f t="shared" si="16"/>
        <v>9778537.245000001</v>
      </c>
    </row>
    <row r="141" spans="1:28" x14ac:dyDescent="0.25">
      <c r="A141" s="89">
        <v>181002</v>
      </c>
      <c r="B141" s="50" t="s">
        <v>82</v>
      </c>
      <c r="C141" s="30" t="s">
        <v>3</v>
      </c>
      <c r="D141" s="38">
        <v>19.5</v>
      </c>
      <c r="E141" s="51">
        <v>42530</v>
      </c>
      <c r="F141" s="104">
        <f t="shared" si="17"/>
        <v>875943.62699999998</v>
      </c>
      <c r="I141" s="275">
        <v>170532</v>
      </c>
      <c r="J141" s="222" t="s">
        <v>120</v>
      </c>
      <c r="K141" s="203" t="s">
        <v>1</v>
      </c>
      <c r="L141" s="209">
        <v>14</v>
      </c>
      <c r="M141" s="223">
        <v>118310</v>
      </c>
      <c r="N141" s="369">
        <f t="shared" si="15"/>
        <v>1749426.308</v>
      </c>
      <c r="P141" s="195">
        <v>290109</v>
      </c>
      <c r="Q141" s="182" t="s">
        <v>125</v>
      </c>
      <c r="R141" s="190" t="s">
        <v>15</v>
      </c>
      <c r="S141" s="190">
        <v>23</v>
      </c>
      <c r="T141" s="286">
        <v>16810</v>
      </c>
      <c r="U141" s="369">
        <f t="shared" si="14"/>
        <v>408358.60600000003</v>
      </c>
      <c r="W141" s="515">
        <v>290109</v>
      </c>
      <c r="X141" s="499" t="s">
        <v>125</v>
      </c>
      <c r="Y141" s="473" t="s">
        <v>15</v>
      </c>
      <c r="Z141" s="473">
        <v>23</v>
      </c>
      <c r="AA141" s="532">
        <v>16810</v>
      </c>
      <c r="AB141" s="476">
        <f t="shared" si="16"/>
        <v>408358.60600000003</v>
      </c>
    </row>
    <row r="142" spans="1:28" x14ac:dyDescent="0.25">
      <c r="A142" s="89">
        <v>181001</v>
      </c>
      <c r="B142" s="50" t="s">
        <v>83</v>
      </c>
      <c r="C142" s="30" t="s">
        <v>3</v>
      </c>
      <c r="D142" s="52">
        <v>12</v>
      </c>
      <c r="E142" s="39">
        <v>39000</v>
      </c>
      <c r="F142" s="104">
        <f t="shared" si="17"/>
        <v>494301.60000000003</v>
      </c>
      <c r="I142" s="275">
        <v>170532</v>
      </c>
      <c r="J142" s="222" t="s">
        <v>120</v>
      </c>
      <c r="K142" s="203" t="s">
        <v>1</v>
      </c>
      <c r="L142" s="209">
        <v>3</v>
      </c>
      <c r="M142" s="223">
        <v>118310</v>
      </c>
      <c r="N142" s="369">
        <f t="shared" si="15"/>
        <v>374877.06599999999</v>
      </c>
      <c r="P142" s="271">
        <v>290115</v>
      </c>
      <c r="Q142" s="272" t="s">
        <v>194</v>
      </c>
      <c r="R142" s="273" t="s">
        <v>15</v>
      </c>
      <c r="S142" s="217">
        <v>247</v>
      </c>
      <c r="T142" s="288">
        <v>1840</v>
      </c>
      <c r="U142" s="369">
        <f t="shared" si="14"/>
        <v>480021.77600000001</v>
      </c>
      <c r="W142" s="494">
        <v>290115</v>
      </c>
      <c r="X142" s="495" t="s">
        <v>194</v>
      </c>
      <c r="Y142" s="496" t="s">
        <v>15</v>
      </c>
      <c r="Z142" s="497">
        <v>247</v>
      </c>
      <c r="AA142" s="498">
        <v>1840</v>
      </c>
      <c r="AB142" s="476">
        <f t="shared" si="16"/>
        <v>480021.77600000001</v>
      </c>
    </row>
    <row r="143" spans="1:28" x14ac:dyDescent="0.25">
      <c r="A143" s="90">
        <v>181006</v>
      </c>
      <c r="B143" s="50" t="s">
        <v>84</v>
      </c>
      <c r="C143" s="30" t="s">
        <v>1</v>
      </c>
      <c r="D143" s="53">
        <v>6</v>
      </c>
      <c r="E143" s="54">
        <v>4880</v>
      </c>
      <c r="F143" s="104">
        <f t="shared" si="17"/>
        <v>30925.536</v>
      </c>
      <c r="I143" s="305">
        <v>170538</v>
      </c>
      <c r="J143" s="205" t="s">
        <v>33</v>
      </c>
      <c r="K143" s="203" t="s">
        <v>1</v>
      </c>
      <c r="L143" s="178">
        <v>1</v>
      </c>
      <c r="M143" s="191">
        <v>113280</v>
      </c>
      <c r="N143" s="369">
        <f t="shared" si="15"/>
        <v>119646.33600000001</v>
      </c>
      <c r="P143" s="455">
        <v>290407</v>
      </c>
      <c r="Q143" s="459" t="s">
        <v>30</v>
      </c>
      <c r="R143" s="404" t="s">
        <v>15</v>
      </c>
      <c r="S143" s="166">
        <f>3.575641+5+9</f>
        <v>17.575641000000001</v>
      </c>
      <c r="T143" s="414">
        <v>10130</v>
      </c>
      <c r="U143" s="169">
        <f t="shared" si="14"/>
        <v>188047.161205146</v>
      </c>
      <c r="W143" s="522">
        <v>290407</v>
      </c>
      <c r="X143" s="495" t="s">
        <v>30</v>
      </c>
      <c r="Y143" s="486" t="s">
        <v>15</v>
      </c>
      <c r="Z143" s="474">
        <f>3.575641+5+9</f>
        <v>17.575641000000001</v>
      </c>
      <c r="AA143" s="508">
        <v>10130</v>
      </c>
      <c r="AB143" s="476">
        <f t="shared" si="16"/>
        <v>188047.161205146</v>
      </c>
    </row>
    <row r="144" spans="1:28" x14ac:dyDescent="0.25">
      <c r="A144" s="90">
        <v>181005</v>
      </c>
      <c r="B144" s="50" t="s">
        <v>85</v>
      </c>
      <c r="C144" s="30" t="s">
        <v>1</v>
      </c>
      <c r="D144" s="53">
        <v>4</v>
      </c>
      <c r="E144" s="54">
        <v>10680</v>
      </c>
      <c r="F144" s="104">
        <f t="shared" si="17"/>
        <v>45120.864000000001</v>
      </c>
      <c r="I144" s="305">
        <v>170538</v>
      </c>
      <c r="J144" s="205" t="s">
        <v>33</v>
      </c>
      <c r="K144" s="203" t="s">
        <v>1</v>
      </c>
      <c r="L144" s="178">
        <v>2</v>
      </c>
      <c r="M144" s="191">
        <v>113280</v>
      </c>
      <c r="N144" s="369">
        <f t="shared" si="15"/>
        <v>239292.67200000002</v>
      </c>
      <c r="P144" s="455">
        <v>290417</v>
      </c>
      <c r="Q144" s="399" t="s">
        <v>31</v>
      </c>
      <c r="R144" s="383" t="s">
        <v>1</v>
      </c>
      <c r="S144" s="166">
        <v>28</v>
      </c>
      <c r="T144" s="411">
        <v>21280</v>
      </c>
      <c r="U144" s="169">
        <f t="shared" si="14"/>
        <v>629326.20799999998</v>
      </c>
      <c r="W144" s="522">
        <v>290417</v>
      </c>
      <c r="X144" s="495" t="s">
        <v>31</v>
      </c>
      <c r="Y144" s="486" t="s">
        <v>1</v>
      </c>
      <c r="Z144" s="474">
        <v>28</v>
      </c>
      <c r="AA144" s="508">
        <v>21280</v>
      </c>
      <c r="AB144" s="476">
        <f t="shared" si="16"/>
        <v>629326.20799999998</v>
      </c>
    </row>
    <row r="145" spans="1:28" x14ac:dyDescent="0.25">
      <c r="A145" s="90">
        <v>181008</v>
      </c>
      <c r="B145" s="50" t="s">
        <v>86</v>
      </c>
      <c r="C145" s="30" t="s">
        <v>1</v>
      </c>
      <c r="D145" s="53">
        <v>4</v>
      </c>
      <c r="E145" s="54">
        <v>7190</v>
      </c>
      <c r="F145" s="104">
        <f t="shared" si="17"/>
        <v>30376.312000000002</v>
      </c>
      <c r="I145" s="305">
        <v>170538</v>
      </c>
      <c r="J145" s="205" t="s">
        <v>33</v>
      </c>
      <c r="K145" s="203" t="s">
        <v>1</v>
      </c>
      <c r="L145" s="178">
        <v>6</v>
      </c>
      <c r="M145" s="191">
        <v>113280</v>
      </c>
      <c r="N145" s="369">
        <f t="shared" si="15"/>
        <v>717878.01600000006</v>
      </c>
      <c r="P145" s="436">
        <v>290619</v>
      </c>
      <c r="Q145" s="382" t="s">
        <v>126</v>
      </c>
      <c r="R145" s="383" t="s">
        <v>15</v>
      </c>
      <c r="S145" s="384">
        <f>150+397.5+198</f>
        <v>745.5</v>
      </c>
      <c r="T145" s="385">
        <v>9260</v>
      </c>
      <c r="U145" s="169">
        <f t="shared" si="14"/>
        <v>7291297.1460000006</v>
      </c>
      <c r="W145" s="515">
        <v>290619</v>
      </c>
      <c r="X145" s="485" t="s">
        <v>126</v>
      </c>
      <c r="Y145" s="486" t="s">
        <v>15</v>
      </c>
      <c r="Z145" s="504">
        <f>150+397.5+198</f>
        <v>745.5</v>
      </c>
      <c r="AA145" s="488">
        <v>9260</v>
      </c>
      <c r="AB145" s="476">
        <f t="shared" si="16"/>
        <v>7291297.1460000006</v>
      </c>
    </row>
    <row r="146" spans="1:28" x14ac:dyDescent="0.25">
      <c r="A146" s="91">
        <v>181014</v>
      </c>
      <c r="B146" s="50" t="s">
        <v>87</v>
      </c>
      <c r="C146" s="30" t="s">
        <v>1</v>
      </c>
      <c r="D146" s="53">
        <v>4</v>
      </c>
      <c r="E146" s="54">
        <v>18190</v>
      </c>
      <c r="F146" s="104">
        <f t="shared" si="17"/>
        <v>76849.112000000008</v>
      </c>
      <c r="I146" s="335">
        <v>170538</v>
      </c>
      <c r="J146" s="244" t="s">
        <v>33</v>
      </c>
      <c r="K146" s="215" t="s">
        <v>1</v>
      </c>
      <c r="L146" s="231">
        <v>1</v>
      </c>
      <c r="M146" s="235">
        <v>113280</v>
      </c>
      <c r="N146" s="369">
        <f t="shared" si="15"/>
        <v>119646.33600000001</v>
      </c>
      <c r="P146" s="436">
        <v>290620</v>
      </c>
      <c r="Q146" s="409" t="s">
        <v>56</v>
      </c>
      <c r="R146" s="168" t="s">
        <v>15</v>
      </c>
      <c r="S146" s="166">
        <f>159+84</f>
        <v>243</v>
      </c>
      <c r="T146" s="437">
        <v>10250</v>
      </c>
      <c r="U146" s="169">
        <f t="shared" si="14"/>
        <v>2630730.15</v>
      </c>
      <c r="W146" s="515">
        <v>290620</v>
      </c>
      <c r="X146" s="499" t="s">
        <v>56</v>
      </c>
      <c r="Y146" s="473" t="s">
        <v>15</v>
      </c>
      <c r="Z146" s="474">
        <f>159+84</f>
        <v>243</v>
      </c>
      <c r="AA146" s="516">
        <v>10250</v>
      </c>
      <c r="AB146" s="476">
        <f t="shared" si="16"/>
        <v>2630730.15</v>
      </c>
    </row>
    <row r="147" spans="1:28" x14ac:dyDescent="0.25">
      <c r="A147" s="90">
        <v>181018</v>
      </c>
      <c r="B147" s="50" t="s">
        <v>88</v>
      </c>
      <c r="C147" s="30" t="s">
        <v>1</v>
      </c>
      <c r="D147" s="53">
        <v>4</v>
      </c>
      <c r="E147" s="54">
        <v>8870</v>
      </c>
      <c r="F147" s="104">
        <f t="shared" si="17"/>
        <v>37473.976000000002</v>
      </c>
      <c r="I147" s="305">
        <v>170538</v>
      </c>
      <c r="J147" s="205" t="s">
        <v>33</v>
      </c>
      <c r="K147" s="203" t="s">
        <v>1</v>
      </c>
      <c r="L147" s="178">
        <v>6</v>
      </c>
      <c r="M147" s="191">
        <v>113280</v>
      </c>
      <c r="N147" s="369">
        <f t="shared" si="15"/>
        <v>717878.01600000006</v>
      </c>
      <c r="P147" s="333">
        <v>290710</v>
      </c>
      <c r="Q147" s="342" t="s">
        <v>123</v>
      </c>
      <c r="R147" s="323" t="s">
        <v>15</v>
      </c>
      <c r="S147" s="209">
        <v>10</v>
      </c>
      <c r="T147" s="330">
        <v>11620</v>
      </c>
      <c r="U147" s="369">
        <f t="shared" si="14"/>
        <v>122730.44</v>
      </c>
      <c r="W147" s="502">
        <v>290710</v>
      </c>
      <c r="X147" s="485" t="s">
        <v>123</v>
      </c>
      <c r="Y147" s="486" t="s">
        <v>15</v>
      </c>
      <c r="Z147" s="504">
        <v>10</v>
      </c>
      <c r="AA147" s="488">
        <v>11620</v>
      </c>
      <c r="AB147" s="476">
        <f t="shared" si="16"/>
        <v>122730.44</v>
      </c>
    </row>
    <row r="148" spans="1:28" x14ac:dyDescent="0.25">
      <c r="A148" s="16">
        <v>290109</v>
      </c>
      <c r="B148" s="136" t="s">
        <v>125</v>
      </c>
      <c r="C148" s="17" t="s">
        <v>15</v>
      </c>
      <c r="D148" s="38">
        <v>150</v>
      </c>
      <c r="E148" s="18">
        <v>16910</v>
      </c>
      <c r="F148" s="104">
        <f t="shared" si="17"/>
        <v>2679051.3000000003</v>
      </c>
      <c r="I148" s="189">
        <v>170659</v>
      </c>
      <c r="J148" s="205" t="s">
        <v>32</v>
      </c>
      <c r="K148" s="203" t="s">
        <v>1</v>
      </c>
      <c r="L148" s="178">
        <v>6</v>
      </c>
      <c r="M148" s="191">
        <v>62150</v>
      </c>
      <c r="N148" s="369">
        <f t="shared" si="15"/>
        <v>393856.98</v>
      </c>
      <c r="P148" s="334">
        <v>291005</v>
      </c>
      <c r="Q148" s="345" t="s">
        <v>197</v>
      </c>
      <c r="R148" s="352" t="s">
        <v>15</v>
      </c>
      <c r="S148" s="214">
        <v>150</v>
      </c>
      <c r="T148" s="362">
        <v>15840</v>
      </c>
      <c r="U148" s="369">
        <f t="shared" si="14"/>
        <v>2509531.2000000002</v>
      </c>
      <c r="W148" s="471">
        <v>291005</v>
      </c>
      <c r="X148" s="499" t="s">
        <v>197</v>
      </c>
      <c r="Y148" s="500" t="s">
        <v>15</v>
      </c>
      <c r="Z148" s="500">
        <v>150</v>
      </c>
      <c r="AA148" s="501">
        <v>15840</v>
      </c>
      <c r="AB148" s="476">
        <f t="shared" si="16"/>
        <v>2509531.2000000002</v>
      </c>
    </row>
    <row r="149" spans="1:28" x14ac:dyDescent="0.25">
      <c r="A149" s="16">
        <v>290619</v>
      </c>
      <c r="B149" s="50" t="s">
        <v>126</v>
      </c>
      <c r="C149" s="30" t="s">
        <v>15</v>
      </c>
      <c r="D149" s="38">
        <v>150</v>
      </c>
      <c r="E149" s="51">
        <v>9260</v>
      </c>
      <c r="F149" s="104">
        <f t="shared" si="17"/>
        <v>1467061.8</v>
      </c>
      <c r="I149" s="189">
        <v>170659</v>
      </c>
      <c r="J149" s="205" t="s">
        <v>32</v>
      </c>
      <c r="K149" s="203" t="s">
        <v>1</v>
      </c>
      <c r="L149" s="178">
        <v>4</v>
      </c>
      <c r="M149" s="191">
        <v>62150</v>
      </c>
      <c r="N149" s="369">
        <f t="shared" si="15"/>
        <v>262571.32</v>
      </c>
      <c r="P149" s="270">
        <v>291103</v>
      </c>
      <c r="Q149" s="202" t="s">
        <v>195</v>
      </c>
      <c r="R149" s="216" t="s">
        <v>15</v>
      </c>
      <c r="S149" s="217">
        <v>3440</v>
      </c>
      <c r="T149" s="287">
        <v>5220</v>
      </c>
      <c r="U149" s="369">
        <f t="shared" si="14"/>
        <v>18965972.16</v>
      </c>
      <c r="W149" s="494">
        <v>291103</v>
      </c>
      <c r="X149" s="495" t="s">
        <v>195</v>
      </c>
      <c r="Y149" s="496" t="s">
        <v>15</v>
      </c>
      <c r="Z149" s="497">
        <v>3440</v>
      </c>
      <c r="AA149" s="498">
        <v>5220</v>
      </c>
      <c r="AB149" s="476">
        <f t="shared" si="16"/>
        <v>18965972.16</v>
      </c>
    </row>
    <row r="150" spans="1:28" x14ac:dyDescent="0.25">
      <c r="A150" s="105">
        <v>100608</v>
      </c>
      <c r="B150" s="50" t="s">
        <v>97</v>
      </c>
      <c r="C150" s="30" t="s">
        <v>7</v>
      </c>
      <c r="D150" s="38">
        <v>5</v>
      </c>
      <c r="E150" s="51">
        <v>16870</v>
      </c>
      <c r="F150" s="104">
        <f t="shared" si="17"/>
        <v>89090.47</v>
      </c>
      <c r="I150" s="189">
        <v>170659</v>
      </c>
      <c r="J150" s="205" t="s">
        <v>32</v>
      </c>
      <c r="K150" s="203" t="s">
        <v>1</v>
      </c>
      <c r="L150" s="178">
        <v>20</v>
      </c>
      <c r="M150" s="191">
        <v>62150</v>
      </c>
      <c r="N150" s="369">
        <f t="shared" si="15"/>
        <v>1312856.6000000001</v>
      </c>
      <c r="P150" s="301">
        <v>300211</v>
      </c>
      <c r="Q150" s="261" t="s">
        <v>130</v>
      </c>
      <c r="R150" s="322" t="s">
        <v>1</v>
      </c>
      <c r="S150" s="225">
        <v>12</v>
      </c>
      <c r="T150" s="329">
        <v>22040</v>
      </c>
      <c r="U150" s="369">
        <f t="shared" si="14"/>
        <v>279343.77600000001</v>
      </c>
      <c r="W150" s="484">
        <v>300211</v>
      </c>
      <c r="X150" s="485" t="s">
        <v>130</v>
      </c>
      <c r="Y150" s="486" t="s">
        <v>1</v>
      </c>
      <c r="Z150" s="503">
        <v>12</v>
      </c>
      <c r="AA150" s="530">
        <v>22040</v>
      </c>
      <c r="AB150" s="476">
        <f t="shared" si="16"/>
        <v>279343.77600000001</v>
      </c>
    </row>
    <row r="151" spans="1:28" x14ac:dyDescent="0.25">
      <c r="A151" s="105">
        <v>310105</v>
      </c>
      <c r="B151" s="50" t="s">
        <v>38</v>
      </c>
      <c r="C151" s="30" t="s">
        <v>15</v>
      </c>
      <c r="D151" s="38">
        <v>65.309600000000003</v>
      </c>
      <c r="E151" s="51">
        <v>1780</v>
      </c>
      <c r="F151" s="104">
        <f t="shared" si="17"/>
        <v>122784.39914560001</v>
      </c>
      <c r="I151" s="189">
        <v>170659</v>
      </c>
      <c r="J151" s="205" t="s">
        <v>32</v>
      </c>
      <c r="K151" s="203" t="s">
        <v>1</v>
      </c>
      <c r="L151" s="178">
        <v>14</v>
      </c>
      <c r="M151" s="191">
        <v>62150</v>
      </c>
      <c r="N151" s="369">
        <f t="shared" si="15"/>
        <v>918999.62</v>
      </c>
      <c r="P151" s="274">
        <v>300220</v>
      </c>
      <c r="Q151" s="311" t="s">
        <v>128</v>
      </c>
      <c r="R151" s="203" t="s">
        <v>7</v>
      </c>
      <c r="S151" s="225">
        <v>22.596</v>
      </c>
      <c r="T151" s="226">
        <v>64490</v>
      </c>
      <c r="U151" s="369">
        <f t="shared" si="14"/>
        <v>1539111.5814480002</v>
      </c>
      <c r="W151" s="484">
        <v>300220</v>
      </c>
      <c r="X151" s="485" t="s">
        <v>128</v>
      </c>
      <c r="Y151" s="486" t="s">
        <v>7</v>
      </c>
      <c r="Z151" s="503">
        <v>22.596</v>
      </c>
      <c r="AA151" s="530">
        <v>64490</v>
      </c>
      <c r="AB151" s="476">
        <f t="shared" si="16"/>
        <v>1539111.5814480002</v>
      </c>
    </row>
    <row r="152" spans="1:28" x14ac:dyDescent="0.25">
      <c r="A152" s="103">
        <v>300229</v>
      </c>
      <c r="B152" s="50" t="s">
        <v>127</v>
      </c>
      <c r="C152" s="30" t="s">
        <v>15</v>
      </c>
      <c r="D152" s="53">
        <v>165</v>
      </c>
      <c r="E152" s="54">
        <v>2980</v>
      </c>
      <c r="F152" s="104">
        <f t="shared" si="17"/>
        <v>519333.54000000004</v>
      </c>
      <c r="I152" s="280">
        <v>170659</v>
      </c>
      <c r="J152" s="244" t="s">
        <v>32</v>
      </c>
      <c r="K152" s="215" t="s">
        <v>1</v>
      </c>
      <c r="L152" s="231">
        <v>4</v>
      </c>
      <c r="M152" s="235">
        <v>62150</v>
      </c>
      <c r="N152" s="369">
        <f t="shared" si="15"/>
        <v>262571.32</v>
      </c>
      <c r="P152" s="274">
        <v>300222</v>
      </c>
      <c r="Q152" s="311" t="s">
        <v>129</v>
      </c>
      <c r="R152" s="203" t="s">
        <v>1</v>
      </c>
      <c r="S152" s="225">
        <v>12</v>
      </c>
      <c r="T152" s="226">
        <v>13030</v>
      </c>
      <c r="U152" s="369">
        <f t="shared" si="14"/>
        <v>165147.432</v>
      </c>
      <c r="W152" s="484">
        <v>300222</v>
      </c>
      <c r="X152" s="485" t="s">
        <v>129</v>
      </c>
      <c r="Y152" s="486" t="s">
        <v>1</v>
      </c>
      <c r="Z152" s="503">
        <v>12</v>
      </c>
      <c r="AA152" s="530">
        <v>13030</v>
      </c>
      <c r="AB152" s="476">
        <f t="shared" si="16"/>
        <v>165147.432</v>
      </c>
    </row>
    <row r="153" spans="1:28" x14ac:dyDescent="0.25">
      <c r="A153" s="103">
        <v>300220</v>
      </c>
      <c r="B153" s="50" t="s">
        <v>128</v>
      </c>
      <c r="C153" s="30" t="s">
        <v>7</v>
      </c>
      <c r="D153" s="53">
        <v>22.596</v>
      </c>
      <c r="E153" s="54">
        <v>64490</v>
      </c>
      <c r="F153" s="104">
        <f t="shared" si="17"/>
        <v>1539111.5814480002</v>
      </c>
      <c r="I153" s="189">
        <v>170659</v>
      </c>
      <c r="J153" s="205" t="s">
        <v>32</v>
      </c>
      <c r="K153" s="203" t="s">
        <v>1</v>
      </c>
      <c r="L153" s="178">
        <v>28</v>
      </c>
      <c r="M153" s="191">
        <v>62150</v>
      </c>
      <c r="N153" s="369">
        <f t="shared" si="15"/>
        <v>1837999.24</v>
      </c>
      <c r="P153" s="274">
        <v>300229</v>
      </c>
      <c r="Q153" s="311" t="s">
        <v>127</v>
      </c>
      <c r="R153" s="322" t="s">
        <v>15</v>
      </c>
      <c r="S153" s="326">
        <v>165</v>
      </c>
      <c r="T153" s="329">
        <v>2980</v>
      </c>
      <c r="U153" s="369">
        <f t="shared" si="14"/>
        <v>519333.54000000004</v>
      </c>
      <c r="W153" s="484">
        <v>300229</v>
      </c>
      <c r="X153" s="485" t="s">
        <v>127</v>
      </c>
      <c r="Y153" s="486" t="s">
        <v>15</v>
      </c>
      <c r="Z153" s="503">
        <v>165</v>
      </c>
      <c r="AA153" s="530">
        <v>2980</v>
      </c>
      <c r="AB153" s="476">
        <f t="shared" si="16"/>
        <v>519333.54000000004</v>
      </c>
    </row>
    <row r="154" spans="1:28" x14ac:dyDescent="0.25">
      <c r="A154" s="103">
        <v>300222</v>
      </c>
      <c r="B154" s="50" t="s">
        <v>129</v>
      </c>
      <c r="C154" s="30" t="s">
        <v>1</v>
      </c>
      <c r="D154" s="53">
        <v>12</v>
      </c>
      <c r="E154" s="54">
        <v>13030</v>
      </c>
      <c r="F154" s="104">
        <f t="shared" si="17"/>
        <v>165147.432</v>
      </c>
      <c r="I154" s="175">
        <v>170659</v>
      </c>
      <c r="J154" s="182" t="s">
        <v>32</v>
      </c>
      <c r="K154" s="206" t="s">
        <v>1</v>
      </c>
      <c r="L154" s="257">
        <v>3</v>
      </c>
      <c r="M154" s="219">
        <v>62150</v>
      </c>
      <c r="N154" s="369">
        <f t="shared" si="15"/>
        <v>196928.49</v>
      </c>
      <c r="P154" s="301">
        <v>300229</v>
      </c>
      <c r="Q154" s="316" t="s">
        <v>131</v>
      </c>
      <c r="R154" s="322" t="s">
        <v>1</v>
      </c>
      <c r="S154" s="326">
        <v>40</v>
      </c>
      <c r="T154" s="332">
        <v>2200</v>
      </c>
      <c r="U154" s="369">
        <f t="shared" si="14"/>
        <v>92945.600000000006</v>
      </c>
      <c r="W154" s="484">
        <v>300229</v>
      </c>
      <c r="X154" s="485" t="s">
        <v>131</v>
      </c>
      <c r="Y154" s="486" t="s">
        <v>1</v>
      </c>
      <c r="Z154" s="503">
        <v>40</v>
      </c>
      <c r="AA154" s="530">
        <v>2200</v>
      </c>
      <c r="AB154" s="476">
        <f t="shared" si="16"/>
        <v>92945.600000000006</v>
      </c>
    </row>
    <row r="155" spans="1:28" x14ac:dyDescent="0.25">
      <c r="A155" s="103">
        <v>300211</v>
      </c>
      <c r="B155" s="50" t="s">
        <v>130</v>
      </c>
      <c r="C155" s="30" t="s">
        <v>1</v>
      </c>
      <c r="D155" s="53">
        <v>12</v>
      </c>
      <c r="E155" s="54">
        <v>22040</v>
      </c>
      <c r="F155" s="104">
        <f t="shared" si="17"/>
        <v>279343.77600000001</v>
      </c>
      <c r="I155" s="175">
        <v>170659</v>
      </c>
      <c r="J155" s="182" t="s">
        <v>32</v>
      </c>
      <c r="K155" s="214" t="s">
        <v>1</v>
      </c>
      <c r="L155" s="214">
        <v>93</v>
      </c>
      <c r="M155" s="292">
        <v>62150</v>
      </c>
      <c r="N155" s="369">
        <f t="shared" si="15"/>
        <v>6104783.1900000004</v>
      </c>
      <c r="P155" s="211">
        <v>301201</v>
      </c>
      <c r="Q155" s="193" t="s">
        <v>161</v>
      </c>
      <c r="R155" s="324" t="s">
        <v>15</v>
      </c>
      <c r="S155" s="359">
        <v>40.057560000000002</v>
      </c>
      <c r="T155" s="213">
        <v>31050</v>
      </c>
      <c r="U155" s="369">
        <f t="shared" si="14"/>
        <v>1313688.0807756002</v>
      </c>
      <c r="W155" s="489">
        <v>301201</v>
      </c>
      <c r="X155" s="490" t="s">
        <v>161</v>
      </c>
      <c r="Y155" s="491" t="s">
        <v>15</v>
      </c>
      <c r="Z155" s="534">
        <v>40.057560000000002</v>
      </c>
      <c r="AA155" s="492">
        <v>31050</v>
      </c>
      <c r="AB155" s="476">
        <f t="shared" si="16"/>
        <v>1313688.0807756002</v>
      </c>
    </row>
    <row r="156" spans="1:28" x14ac:dyDescent="0.25">
      <c r="A156" s="103">
        <v>300229</v>
      </c>
      <c r="B156" s="50" t="s">
        <v>131</v>
      </c>
      <c r="C156" s="30" t="s">
        <v>1</v>
      </c>
      <c r="D156" s="53">
        <v>40</v>
      </c>
      <c r="E156" s="54">
        <v>2200</v>
      </c>
      <c r="F156" s="104">
        <f t="shared" si="17"/>
        <v>92945.600000000006</v>
      </c>
      <c r="I156" s="189">
        <v>170722</v>
      </c>
      <c r="J156" s="182" t="s">
        <v>36</v>
      </c>
      <c r="K156" s="206" t="s">
        <v>1</v>
      </c>
      <c r="L156" s="178">
        <v>4</v>
      </c>
      <c r="M156" s="191">
        <v>82790</v>
      </c>
      <c r="N156" s="369">
        <f t="shared" si="15"/>
        <v>349771.19199999998</v>
      </c>
      <c r="P156" s="390">
        <v>310105</v>
      </c>
      <c r="Q156" s="460" t="s">
        <v>38</v>
      </c>
      <c r="R156" s="392" t="s">
        <v>15</v>
      </c>
      <c r="S156" s="461">
        <v>905.13400000000001</v>
      </c>
      <c r="T156" s="393">
        <v>1780</v>
      </c>
      <c r="U156" s="169">
        <f t="shared" si="14"/>
        <v>1701684.5048240002</v>
      </c>
      <c r="W156" s="489">
        <v>310105</v>
      </c>
      <c r="X156" s="535" t="s">
        <v>38</v>
      </c>
      <c r="Y156" s="491" t="s">
        <v>15</v>
      </c>
      <c r="Z156" s="536">
        <v>905.13400000000001</v>
      </c>
      <c r="AA156" s="492">
        <v>1780</v>
      </c>
      <c r="AB156" s="476">
        <f t="shared" si="16"/>
        <v>1701684.5048240002</v>
      </c>
    </row>
    <row r="157" spans="1:28" x14ac:dyDescent="0.25">
      <c r="A157" s="107">
        <v>181219</v>
      </c>
      <c r="B157" s="57" t="s">
        <v>54</v>
      </c>
      <c r="C157" s="58" t="s">
        <v>15</v>
      </c>
      <c r="D157" s="59">
        <v>642</v>
      </c>
      <c r="E157" s="60">
        <v>1200</v>
      </c>
      <c r="F157" s="114">
        <f t="shared" ref="F157:F175" si="18">(D157*E157)*+(1+5.62%)</f>
        <v>813696.48</v>
      </c>
      <c r="I157" s="189">
        <v>170722</v>
      </c>
      <c r="J157" s="182" t="s">
        <v>36</v>
      </c>
      <c r="K157" s="206" t="s">
        <v>1</v>
      </c>
      <c r="L157" s="178">
        <v>16</v>
      </c>
      <c r="M157" s="191">
        <v>82790</v>
      </c>
      <c r="N157" s="369">
        <f t="shared" si="15"/>
        <v>1399084.7679999999</v>
      </c>
      <c r="P157" s="211">
        <v>310105</v>
      </c>
      <c r="Q157" s="341" t="s">
        <v>38</v>
      </c>
      <c r="R157" s="324" t="s">
        <v>15</v>
      </c>
      <c r="S157" s="357">
        <v>35</v>
      </c>
      <c r="T157" s="328">
        <v>16720</v>
      </c>
      <c r="U157" s="369">
        <f t="shared" ref="U157:U170" si="19">(S157*T157)*+(1+5.62%)</f>
        <v>618088.24</v>
      </c>
      <c r="W157" s="489">
        <v>310105</v>
      </c>
      <c r="X157" s="535" t="s">
        <v>38</v>
      </c>
      <c r="Y157" s="491" t="s">
        <v>15</v>
      </c>
      <c r="Z157" s="537">
        <v>35</v>
      </c>
      <c r="AA157" s="492">
        <v>16720</v>
      </c>
      <c r="AB157" s="476">
        <f t="shared" si="16"/>
        <v>618088.24</v>
      </c>
    </row>
    <row r="158" spans="1:28" x14ac:dyDescent="0.25">
      <c r="A158" s="113">
        <v>290620</v>
      </c>
      <c r="B158" s="61" t="s">
        <v>56</v>
      </c>
      <c r="C158" s="62" t="s">
        <v>15</v>
      </c>
      <c r="D158" s="59">
        <v>84</v>
      </c>
      <c r="E158" s="63">
        <v>10250</v>
      </c>
      <c r="F158" s="114">
        <f t="shared" si="18"/>
        <v>909388.20000000007</v>
      </c>
      <c r="I158" s="195">
        <v>170722</v>
      </c>
      <c r="J158" s="182" t="s">
        <v>36</v>
      </c>
      <c r="K158" s="206" t="s">
        <v>1</v>
      </c>
      <c r="L158" s="178">
        <v>24</v>
      </c>
      <c r="M158" s="191">
        <v>82790</v>
      </c>
      <c r="N158" s="369">
        <f t="shared" si="15"/>
        <v>2098627.1520000002</v>
      </c>
      <c r="P158" s="436">
        <v>320203</v>
      </c>
      <c r="Q158" s="409" t="s">
        <v>26</v>
      </c>
      <c r="R158" s="443" t="s">
        <v>27</v>
      </c>
      <c r="S158" s="166">
        <v>68</v>
      </c>
      <c r="T158" s="437">
        <v>13980</v>
      </c>
      <c r="U158" s="169">
        <f t="shared" si="19"/>
        <v>1004065.968</v>
      </c>
      <c r="W158" s="515">
        <v>320203</v>
      </c>
      <c r="X158" s="499" t="s">
        <v>26</v>
      </c>
      <c r="Y158" s="500" t="s">
        <v>27</v>
      </c>
      <c r="Z158" s="474">
        <v>68</v>
      </c>
      <c r="AA158" s="516">
        <v>13980</v>
      </c>
      <c r="AB158" s="476">
        <f t="shared" si="16"/>
        <v>1004065.968</v>
      </c>
    </row>
    <row r="159" spans="1:28" x14ac:dyDescent="0.25">
      <c r="A159" s="113">
        <v>181210</v>
      </c>
      <c r="B159" s="61" t="s">
        <v>57</v>
      </c>
      <c r="C159" s="62" t="s">
        <v>15</v>
      </c>
      <c r="D159" s="59">
        <v>84</v>
      </c>
      <c r="E159" s="63">
        <v>12140</v>
      </c>
      <c r="F159" s="114">
        <f t="shared" si="18"/>
        <v>1077070.5120000001</v>
      </c>
      <c r="I159" s="278">
        <v>170723</v>
      </c>
      <c r="J159" s="233" t="s">
        <v>141</v>
      </c>
      <c r="K159" s="245" t="s">
        <v>1</v>
      </c>
      <c r="L159" s="231">
        <v>2</v>
      </c>
      <c r="M159" s="235">
        <v>124470</v>
      </c>
      <c r="N159" s="369">
        <f t="shared" si="15"/>
        <v>262930.42800000001</v>
      </c>
      <c r="P159" s="386">
        <v>330602</v>
      </c>
      <c r="Q159" s="463" t="s">
        <v>4</v>
      </c>
      <c r="R159" s="464" t="s">
        <v>5</v>
      </c>
      <c r="S159" s="462">
        <v>164</v>
      </c>
      <c r="T159" s="465">
        <v>15990</v>
      </c>
      <c r="U159" s="169">
        <f t="shared" si="19"/>
        <v>2769736.6320000002</v>
      </c>
      <c r="W159" s="471">
        <v>330602</v>
      </c>
      <c r="X159" s="523" t="s">
        <v>4</v>
      </c>
      <c r="Y159" s="493" t="s">
        <v>5</v>
      </c>
      <c r="Z159" s="474">
        <v>164</v>
      </c>
      <c r="AA159" s="477">
        <v>15990</v>
      </c>
      <c r="AB159" s="476">
        <f t="shared" si="16"/>
        <v>2769736.6320000002</v>
      </c>
    </row>
    <row r="160" spans="1:28" x14ac:dyDescent="0.25">
      <c r="A160" s="107">
        <v>100543</v>
      </c>
      <c r="B160" s="57" t="s">
        <v>90</v>
      </c>
      <c r="C160" s="58" t="s">
        <v>15</v>
      </c>
      <c r="D160" s="59">
        <v>144.29</v>
      </c>
      <c r="E160" s="60">
        <v>4450</v>
      </c>
      <c r="F160" s="114">
        <f t="shared" si="18"/>
        <v>678175.98609999998</v>
      </c>
      <c r="I160" s="283">
        <v>172414</v>
      </c>
      <c r="J160" s="182" t="s">
        <v>69</v>
      </c>
      <c r="K160" s="218" t="s">
        <v>1</v>
      </c>
      <c r="L160" s="178">
        <v>6</v>
      </c>
      <c r="M160" s="219">
        <v>5180</v>
      </c>
      <c r="N160" s="369">
        <f t="shared" si="15"/>
        <v>32826.696000000004</v>
      </c>
      <c r="P160" s="303" t="s">
        <v>111</v>
      </c>
      <c r="Q160" s="261" t="s">
        <v>112</v>
      </c>
      <c r="R160" s="322" t="s">
        <v>1</v>
      </c>
      <c r="S160" s="327">
        <v>2</v>
      </c>
      <c r="T160" s="330">
        <v>301980</v>
      </c>
      <c r="U160" s="369">
        <f t="shared" si="19"/>
        <v>637902.55200000003</v>
      </c>
      <c r="W160" s="538" t="s">
        <v>111</v>
      </c>
      <c r="X160" s="485" t="s">
        <v>112</v>
      </c>
      <c r="Y160" s="486" t="s">
        <v>1</v>
      </c>
      <c r="Z160" s="504">
        <v>2</v>
      </c>
      <c r="AA160" s="488">
        <v>301980</v>
      </c>
      <c r="AB160" s="476">
        <f t="shared" si="16"/>
        <v>637902.55200000003</v>
      </c>
    </row>
    <row r="161" spans="1:28" x14ac:dyDescent="0.25">
      <c r="A161" s="105" t="s">
        <v>91</v>
      </c>
      <c r="B161" s="64" t="s">
        <v>92</v>
      </c>
      <c r="C161" s="45" t="s">
        <v>1</v>
      </c>
      <c r="D161" s="53">
        <v>2</v>
      </c>
      <c r="E161" s="54">
        <v>230000</v>
      </c>
      <c r="F161" s="114">
        <f t="shared" si="18"/>
        <v>485852</v>
      </c>
      <c r="I161" s="283">
        <v>172414</v>
      </c>
      <c r="J161" s="182" t="s">
        <v>69</v>
      </c>
      <c r="K161" s="218" t="s">
        <v>1</v>
      </c>
      <c r="L161" s="178">
        <v>8</v>
      </c>
      <c r="M161" s="219">
        <v>5180</v>
      </c>
      <c r="N161" s="369">
        <f t="shared" si="15"/>
        <v>43768.928</v>
      </c>
      <c r="P161" s="303" t="s">
        <v>106</v>
      </c>
      <c r="Q161" s="261" t="s">
        <v>107</v>
      </c>
      <c r="R161" s="351" t="s">
        <v>108</v>
      </c>
      <c r="S161" s="327">
        <v>26</v>
      </c>
      <c r="T161" s="330">
        <v>61640</v>
      </c>
      <c r="U161" s="369">
        <f t="shared" si="19"/>
        <v>1692708.368</v>
      </c>
      <c r="W161" s="538" t="s">
        <v>106</v>
      </c>
      <c r="X161" s="485" t="s">
        <v>107</v>
      </c>
      <c r="Y161" s="539" t="s">
        <v>108</v>
      </c>
      <c r="Z161" s="504">
        <v>26</v>
      </c>
      <c r="AA161" s="488">
        <v>61640</v>
      </c>
      <c r="AB161" s="476">
        <f t="shared" si="16"/>
        <v>1692708.368</v>
      </c>
    </row>
    <row r="162" spans="1:28" x14ac:dyDescent="0.25">
      <c r="A162" s="105" t="s">
        <v>91</v>
      </c>
      <c r="B162" s="64" t="s">
        <v>93</v>
      </c>
      <c r="C162" s="45" t="s">
        <v>1</v>
      </c>
      <c r="D162" s="53">
        <v>1</v>
      </c>
      <c r="E162" s="54">
        <v>230000</v>
      </c>
      <c r="F162" s="114">
        <f t="shared" si="18"/>
        <v>242926</v>
      </c>
      <c r="I162" s="283">
        <v>172414</v>
      </c>
      <c r="J162" s="182" t="s">
        <v>69</v>
      </c>
      <c r="K162" s="218" t="s">
        <v>1</v>
      </c>
      <c r="L162" s="257">
        <v>3</v>
      </c>
      <c r="M162" s="219">
        <v>5180</v>
      </c>
      <c r="N162" s="369">
        <f t="shared" si="15"/>
        <v>16413.348000000002</v>
      </c>
      <c r="P162" s="303" t="s">
        <v>114</v>
      </c>
      <c r="Q162" s="261" t="s">
        <v>115</v>
      </c>
      <c r="R162" s="351" t="s">
        <v>3</v>
      </c>
      <c r="S162" s="327">
        <v>50</v>
      </c>
      <c r="T162" s="330">
        <v>5880</v>
      </c>
      <c r="U162" s="369">
        <f t="shared" si="19"/>
        <v>310522.8</v>
      </c>
      <c r="W162" s="538" t="s">
        <v>114</v>
      </c>
      <c r="X162" s="485" t="s">
        <v>115</v>
      </c>
      <c r="Y162" s="539" t="s">
        <v>3</v>
      </c>
      <c r="Z162" s="504">
        <v>50</v>
      </c>
      <c r="AA162" s="488">
        <v>5880</v>
      </c>
      <c r="AB162" s="476">
        <f t="shared" si="16"/>
        <v>310522.8</v>
      </c>
    </row>
    <row r="163" spans="1:28" x14ac:dyDescent="0.25">
      <c r="A163" s="105" t="s">
        <v>91</v>
      </c>
      <c r="B163" s="64" t="s">
        <v>94</v>
      </c>
      <c r="C163" s="45" t="s">
        <v>1</v>
      </c>
      <c r="D163" s="53">
        <v>1</v>
      </c>
      <c r="E163" s="54">
        <v>50000</v>
      </c>
      <c r="F163" s="114">
        <f t="shared" si="18"/>
        <v>52810</v>
      </c>
      <c r="I163" s="270">
        <v>172414</v>
      </c>
      <c r="J163" s="252" t="s">
        <v>69</v>
      </c>
      <c r="K163" s="216" t="s">
        <v>1</v>
      </c>
      <c r="L163" s="217">
        <v>93</v>
      </c>
      <c r="M163" s="287">
        <v>5180</v>
      </c>
      <c r="N163" s="369">
        <f t="shared" si="15"/>
        <v>508813.788</v>
      </c>
      <c r="P163" s="303" t="s">
        <v>158</v>
      </c>
      <c r="Q163" s="261" t="s">
        <v>159</v>
      </c>
      <c r="R163" s="322" t="s">
        <v>1</v>
      </c>
      <c r="S163" s="327">
        <v>5</v>
      </c>
      <c r="T163" s="330">
        <v>29250</v>
      </c>
      <c r="U163" s="369">
        <f t="shared" si="19"/>
        <v>154469.25</v>
      </c>
      <c r="W163" s="538" t="s">
        <v>158</v>
      </c>
      <c r="X163" s="485" t="s">
        <v>159</v>
      </c>
      <c r="Y163" s="486" t="s">
        <v>1</v>
      </c>
      <c r="Z163" s="504">
        <v>5</v>
      </c>
      <c r="AA163" s="488">
        <v>29250</v>
      </c>
      <c r="AB163" s="476">
        <f t="shared" si="16"/>
        <v>154469.25</v>
      </c>
    </row>
    <row r="164" spans="1:28" x14ac:dyDescent="0.25">
      <c r="A164" s="105" t="s">
        <v>91</v>
      </c>
      <c r="B164" s="64" t="s">
        <v>95</v>
      </c>
      <c r="C164" s="45" t="s">
        <v>1</v>
      </c>
      <c r="D164" s="53">
        <v>4</v>
      </c>
      <c r="E164" s="54">
        <v>360000</v>
      </c>
      <c r="F164" s="114">
        <f t="shared" si="18"/>
        <v>1520928</v>
      </c>
      <c r="I164" s="189">
        <v>173306</v>
      </c>
      <c r="J164" s="205" t="s">
        <v>34</v>
      </c>
      <c r="K164" s="203" t="s">
        <v>3</v>
      </c>
      <c r="L164" s="178">
        <v>30</v>
      </c>
      <c r="M164" s="191">
        <v>20260</v>
      </c>
      <c r="N164" s="369">
        <f t="shared" si="15"/>
        <v>641958.36</v>
      </c>
      <c r="P164" s="303" t="s">
        <v>96</v>
      </c>
      <c r="Q164" s="343" t="s">
        <v>32</v>
      </c>
      <c r="R164" s="321" t="s">
        <v>1</v>
      </c>
      <c r="S164" s="326">
        <v>26</v>
      </c>
      <c r="T164" s="329">
        <v>62150</v>
      </c>
      <c r="U164" s="369">
        <f t="shared" si="19"/>
        <v>1706713.58</v>
      </c>
      <c r="W164" s="538" t="s">
        <v>96</v>
      </c>
      <c r="X164" s="540" t="s">
        <v>32</v>
      </c>
      <c r="Y164" s="487" t="s">
        <v>1</v>
      </c>
      <c r="Z164" s="503">
        <v>26</v>
      </c>
      <c r="AA164" s="530">
        <v>62150</v>
      </c>
      <c r="AB164" s="476">
        <f t="shared" si="16"/>
        <v>1706713.58</v>
      </c>
    </row>
    <row r="165" spans="1:28" x14ac:dyDescent="0.25">
      <c r="A165" s="106" t="s">
        <v>96</v>
      </c>
      <c r="B165" s="65" t="s">
        <v>32</v>
      </c>
      <c r="C165" s="45" t="s">
        <v>1</v>
      </c>
      <c r="D165" s="53">
        <v>26</v>
      </c>
      <c r="E165" s="54">
        <v>62150</v>
      </c>
      <c r="F165" s="114">
        <f t="shared" si="18"/>
        <v>1706713.58</v>
      </c>
      <c r="I165" s="189">
        <v>173306</v>
      </c>
      <c r="J165" s="205" t="s">
        <v>34</v>
      </c>
      <c r="K165" s="203" t="s">
        <v>3</v>
      </c>
      <c r="L165" s="178">
        <v>6</v>
      </c>
      <c r="M165" s="191">
        <v>20260</v>
      </c>
      <c r="N165" s="369">
        <f t="shared" si="15"/>
        <v>128391.67200000001</v>
      </c>
      <c r="P165" s="303" t="s">
        <v>121</v>
      </c>
      <c r="Q165" s="261" t="s">
        <v>122</v>
      </c>
      <c r="R165" s="351" t="s">
        <v>15</v>
      </c>
      <c r="S165" s="327">
        <v>8</v>
      </c>
      <c r="T165" s="330">
        <v>24320</v>
      </c>
      <c r="U165" s="369">
        <f t="shared" si="19"/>
        <v>205494.272</v>
      </c>
      <c r="W165" s="538" t="s">
        <v>121</v>
      </c>
      <c r="X165" s="485" t="s">
        <v>122</v>
      </c>
      <c r="Y165" s="539" t="s">
        <v>15</v>
      </c>
      <c r="Z165" s="504">
        <v>8</v>
      </c>
      <c r="AA165" s="488">
        <v>24320</v>
      </c>
      <c r="AB165" s="476">
        <f t="shared" si="16"/>
        <v>205494.272</v>
      </c>
    </row>
    <row r="166" spans="1:28" x14ac:dyDescent="0.25">
      <c r="A166" s="36">
        <v>181002</v>
      </c>
      <c r="B166" s="65" t="s">
        <v>82</v>
      </c>
      <c r="C166" s="45" t="s">
        <v>3</v>
      </c>
      <c r="D166" s="52">
        <v>57</v>
      </c>
      <c r="E166" s="66">
        <v>42530</v>
      </c>
      <c r="F166" s="114">
        <f t="shared" si="18"/>
        <v>2560450.602</v>
      </c>
      <c r="I166" s="189">
        <v>173306</v>
      </c>
      <c r="J166" s="205" t="s">
        <v>34</v>
      </c>
      <c r="K166" s="203" t="s">
        <v>3</v>
      </c>
      <c r="L166" s="178">
        <v>130</v>
      </c>
      <c r="M166" s="191">
        <v>20260</v>
      </c>
      <c r="N166" s="369">
        <f t="shared" si="15"/>
        <v>2781819.56</v>
      </c>
      <c r="P166" s="290" t="s">
        <v>163</v>
      </c>
      <c r="Q166" s="312" t="s">
        <v>164</v>
      </c>
      <c r="R166" s="259" t="s">
        <v>1</v>
      </c>
      <c r="S166" s="212">
        <v>1</v>
      </c>
      <c r="T166" s="181">
        <v>2000000</v>
      </c>
      <c r="U166" s="369">
        <f t="shared" si="19"/>
        <v>2112400</v>
      </c>
      <c r="W166" s="527" t="s">
        <v>163</v>
      </c>
      <c r="X166" s="472" t="s">
        <v>164</v>
      </c>
      <c r="Y166" s="473" t="s">
        <v>1</v>
      </c>
      <c r="Z166" s="474">
        <v>1</v>
      </c>
      <c r="AA166" s="477">
        <v>2000000</v>
      </c>
      <c r="AB166" s="476">
        <f t="shared" si="16"/>
        <v>2112400</v>
      </c>
    </row>
    <row r="167" spans="1:28" x14ac:dyDescent="0.25">
      <c r="A167" s="36">
        <v>181001</v>
      </c>
      <c r="B167" s="65" t="s">
        <v>83</v>
      </c>
      <c r="C167" s="45" t="s">
        <v>3</v>
      </c>
      <c r="D167" s="52">
        <v>17.09</v>
      </c>
      <c r="E167" s="66">
        <v>39000</v>
      </c>
      <c r="F167" s="114">
        <f t="shared" si="18"/>
        <v>703967.86199999996</v>
      </c>
      <c r="I167" s="280">
        <v>173306</v>
      </c>
      <c r="J167" s="244" t="s">
        <v>34</v>
      </c>
      <c r="K167" s="215" t="s">
        <v>3</v>
      </c>
      <c r="L167" s="231">
        <v>25</v>
      </c>
      <c r="M167" s="235">
        <v>20260</v>
      </c>
      <c r="N167" s="369">
        <f t="shared" si="15"/>
        <v>534965.30000000005</v>
      </c>
      <c r="P167" s="275" t="s">
        <v>91</v>
      </c>
      <c r="Q167" s="236" t="s">
        <v>92</v>
      </c>
      <c r="R167" s="215" t="s">
        <v>1</v>
      </c>
      <c r="S167" s="225">
        <v>2</v>
      </c>
      <c r="T167" s="226">
        <v>230000</v>
      </c>
      <c r="U167" s="369">
        <f t="shared" si="19"/>
        <v>485852</v>
      </c>
      <c r="W167" s="502" t="s">
        <v>91</v>
      </c>
      <c r="X167" s="541" t="s">
        <v>92</v>
      </c>
      <c r="Y167" s="487" t="s">
        <v>1</v>
      </c>
      <c r="Z167" s="503">
        <v>2</v>
      </c>
      <c r="AA167" s="530">
        <v>230000</v>
      </c>
      <c r="AB167" s="476">
        <f t="shared" si="16"/>
        <v>485852</v>
      </c>
    </row>
    <row r="168" spans="1:28" x14ac:dyDescent="0.25">
      <c r="A168" s="116">
        <v>181006</v>
      </c>
      <c r="B168" s="121" t="s">
        <v>84</v>
      </c>
      <c r="C168" s="45" t="s">
        <v>1</v>
      </c>
      <c r="D168" s="53">
        <v>19</v>
      </c>
      <c r="E168" s="54">
        <v>4880</v>
      </c>
      <c r="F168" s="114">
        <f t="shared" si="18"/>
        <v>97930.864000000001</v>
      </c>
      <c r="I168" s="305">
        <v>173306</v>
      </c>
      <c r="J168" s="348" t="s">
        <v>34</v>
      </c>
      <c r="K168" s="203" t="s">
        <v>3</v>
      </c>
      <c r="L168" s="178">
        <v>300</v>
      </c>
      <c r="M168" s="191">
        <v>20260</v>
      </c>
      <c r="N168" s="369">
        <f t="shared" si="15"/>
        <v>6419583.6000000006</v>
      </c>
      <c r="P168" s="215" t="s">
        <v>91</v>
      </c>
      <c r="Q168" s="236" t="s">
        <v>93</v>
      </c>
      <c r="R168" s="215" t="s">
        <v>1</v>
      </c>
      <c r="S168" s="225">
        <v>1</v>
      </c>
      <c r="T168" s="226">
        <v>230000</v>
      </c>
      <c r="U168" s="369">
        <f t="shared" si="19"/>
        <v>242926</v>
      </c>
      <c r="W168" s="502" t="s">
        <v>91</v>
      </c>
      <c r="X168" s="541" t="s">
        <v>93</v>
      </c>
      <c r="Y168" s="487" t="s">
        <v>1</v>
      </c>
      <c r="Z168" s="503">
        <v>1</v>
      </c>
      <c r="AA168" s="530">
        <v>230000</v>
      </c>
      <c r="AB168" s="476">
        <f t="shared" si="16"/>
        <v>242926</v>
      </c>
    </row>
    <row r="169" spans="1:28" x14ac:dyDescent="0.25">
      <c r="A169" s="116">
        <v>181005</v>
      </c>
      <c r="B169" s="121" t="s">
        <v>85</v>
      </c>
      <c r="C169" s="45" t="s">
        <v>1</v>
      </c>
      <c r="D169" s="53">
        <v>4</v>
      </c>
      <c r="E169" s="54">
        <v>10680</v>
      </c>
      <c r="F169" s="114">
        <f t="shared" si="18"/>
        <v>45120.864000000001</v>
      </c>
      <c r="I169" s="302">
        <v>180101</v>
      </c>
      <c r="J169" s="344" t="s">
        <v>139</v>
      </c>
      <c r="K169" s="186" t="s">
        <v>27</v>
      </c>
      <c r="L169" s="183">
        <v>264.8</v>
      </c>
      <c r="M169" s="187">
        <v>7290</v>
      </c>
      <c r="N169" s="369">
        <f t="shared" si="15"/>
        <v>2038880.0304</v>
      </c>
      <c r="P169" s="215" t="s">
        <v>91</v>
      </c>
      <c r="Q169" s="236" t="s">
        <v>94</v>
      </c>
      <c r="R169" s="215" t="s">
        <v>1</v>
      </c>
      <c r="S169" s="225">
        <v>1</v>
      </c>
      <c r="T169" s="226">
        <v>50000</v>
      </c>
      <c r="U169" s="369">
        <f t="shared" si="19"/>
        <v>52810</v>
      </c>
      <c r="W169" s="502" t="s">
        <v>91</v>
      </c>
      <c r="X169" s="541" t="s">
        <v>94</v>
      </c>
      <c r="Y169" s="487" t="s">
        <v>1</v>
      </c>
      <c r="Z169" s="503">
        <v>1</v>
      </c>
      <c r="AA169" s="530">
        <v>50000</v>
      </c>
      <c r="AB169" s="476">
        <f t="shared" si="16"/>
        <v>52810</v>
      </c>
    </row>
    <row r="170" spans="1:28" x14ac:dyDescent="0.25">
      <c r="A170" s="116">
        <v>181008</v>
      </c>
      <c r="B170" s="121" t="s">
        <v>86</v>
      </c>
      <c r="C170" s="45" t="s">
        <v>1</v>
      </c>
      <c r="D170" s="53">
        <v>4</v>
      </c>
      <c r="E170" s="54">
        <v>7190</v>
      </c>
      <c r="F170" s="114">
        <f t="shared" si="18"/>
        <v>30376.312000000002</v>
      </c>
      <c r="I170" s="305">
        <v>180410</v>
      </c>
      <c r="J170" s="317" t="s">
        <v>24</v>
      </c>
      <c r="K170" s="214" t="s">
        <v>15</v>
      </c>
      <c r="L170" s="178">
        <v>94</v>
      </c>
      <c r="M170" s="191">
        <v>49570</v>
      </c>
      <c r="N170" s="369">
        <f t="shared" si="15"/>
        <v>4921448.3959999997</v>
      </c>
      <c r="P170" s="215" t="s">
        <v>91</v>
      </c>
      <c r="Q170" s="236" t="s">
        <v>95</v>
      </c>
      <c r="R170" s="215" t="s">
        <v>1</v>
      </c>
      <c r="S170" s="225">
        <v>4</v>
      </c>
      <c r="T170" s="226">
        <v>360000</v>
      </c>
      <c r="U170" s="369">
        <f t="shared" si="19"/>
        <v>1520928</v>
      </c>
      <c r="W170" s="502" t="s">
        <v>91</v>
      </c>
      <c r="X170" s="541" t="s">
        <v>95</v>
      </c>
      <c r="Y170" s="487" t="s">
        <v>1</v>
      </c>
      <c r="Z170" s="503">
        <v>4</v>
      </c>
      <c r="AA170" s="530">
        <v>360000</v>
      </c>
      <c r="AB170" s="476">
        <f t="shared" si="16"/>
        <v>1520928</v>
      </c>
    </row>
    <row r="171" spans="1:28" ht="15.75" thickBot="1" x14ac:dyDescent="0.3">
      <c r="A171" s="117">
        <v>181014</v>
      </c>
      <c r="B171" s="121" t="s">
        <v>87</v>
      </c>
      <c r="C171" s="45" t="s">
        <v>1</v>
      </c>
      <c r="D171" s="53">
        <v>4</v>
      </c>
      <c r="E171" s="54">
        <v>18190</v>
      </c>
      <c r="F171" s="114">
        <f t="shared" si="18"/>
        <v>76849.112000000008</v>
      </c>
      <c r="I171" s="305">
        <v>180410</v>
      </c>
      <c r="J171" s="317" t="s">
        <v>24</v>
      </c>
      <c r="K171" s="214" t="s">
        <v>15</v>
      </c>
      <c r="L171" s="178">
        <v>22.42</v>
      </c>
      <c r="M171" s="191">
        <v>49570</v>
      </c>
      <c r="N171" s="369">
        <f t="shared" si="15"/>
        <v>1173817.7982800002</v>
      </c>
      <c r="P171" s="250"/>
      <c r="Q171" s="293" t="s">
        <v>198</v>
      </c>
      <c r="R171" s="294" t="s">
        <v>1</v>
      </c>
      <c r="S171" s="294">
        <v>2</v>
      </c>
      <c r="T171" s="295">
        <v>3076923</v>
      </c>
      <c r="U171" s="369">
        <f>(S171*T171)</f>
        <v>6153846</v>
      </c>
      <c r="W171" s="542"/>
      <c r="X171" s="543" t="s">
        <v>198</v>
      </c>
      <c r="Y171" s="544" t="s">
        <v>1</v>
      </c>
      <c r="Z171" s="544">
        <v>2</v>
      </c>
      <c r="AA171" s="545">
        <v>3076923</v>
      </c>
      <c r="AB171" s="546">
        <f>(Z171*AA171)</f>
        <v>6153846</v>
      </c>
    </row>
    <row r="172" spans="1:28" x14ac:dyDescent="0.25">
      <c r="A172" s="113">
        <v>180410</v>
      </c>
      <c r="B172" s="122" t="s">
        <v>24</v>
      </c>
      <c r="C172" s="123" t="s">
        <v>15</v>
      </c>
      <c r="D172" s="59">
        <v>144.29</v>
      </c>
      <c r="E172" s="124">
        <v>49570</v>
      </c>
      <c r="F172" s="114">
        <f t="shared" si="18"/>
        <v>7554423.2878599996</v>
      </c>
      <c r="I172" s="300">
        <v>180410</v>
      </c>
      <c r="J172" s="314" t="s">
        <v>24</v>
      </c>
      <c r="K172" s="320" t="s">
        <v>15</v>
      </c>
      <c r="L172" s="183">
        <v>67.5</v>
      </c>
      <c r="M172" s="328">
        <v>49570</v>
      </c>
      <c r="N172" s="369">
        <f t="shared" si="15"/>
        <v>3534018.7949999999</v>
      </c>
      <c r="P172" s="174"/>
      <c r="Q172" s="174"/>
      <c r="R172" s="174"/>
      <c r="S172" s="174"/>
      <c r="T172" s="174"/>
      <c r="U172" s="254">
        <f>SUM(U2:U171)</f>
        <v>627106678.83490443</v>
      </c>
      <c r="W172" s="174"/>
      <c r="X172" s="174"/>
      <c r="Y172" s="174"/>
      <c r="Z172" s="174"/>
      <c r="AA172" s="174"/>
      <c r="AB172" s="254">
        <f>SUM(AB2:AB171)</f>
        <v>627106678.83490443</v>
      </c>
    </row>
    <row r="173" spans="1:28" x14ac:dyDescent="0.25">
      <c r="A173" s="116">
        <v>181018</v>
      </c>
      <c r="B173" s="121" t="s">
        <v>88</v>
      </c>
      <c r="C173" s="45" t="s">
        <v>1</v>
      </c>
      <c r="D173" s="53">
        <v>4</v>
      </c>
      <c r="E173" s="54">
        <v>8870</v>
      </c>
      <c r="F173" s="114">
        <f t="shared" si="18"/>
        <v>37473.976000000002</v>
      </c>
      <c r="I173" s="335">
        <v>180410</v>
      </c>
      <c r="J173" s="346" t="s">
        <v>24</v>
      </c>
      <c r="K173" s="247" t="s">
        <v>15</v>
      </c>
      <c r="L173" s="231">
        <v>144.29</v>
      </c>
      <c r="M173" s="235">
        <v>49570</v>
      </c>
      <c r="N173" s="369">
        <f t="shared" si="15"/>
        <v>7554423.2878599996</v>
      </c>
      <c r="P173" s="174"/>
      <c r="Q173" s="174"/>
      <c r="R173" s="174"/>
      <c r="S173" s="174"/>
      <c r="T173" s="174"/>
      <c r="U173" s="254">
        <f>U172*30%</f>
        <v>188132003.65047133</v>
      </c>
      <c r="W173" s="174"/>
      <c r="X173" s="174"/>
      <c r="Y173" s="174"/>
      <c r="Z173" s="174"/>
      <c r="AA173" s="174"/>
      <c r="AB173" s="254">
        <f>AB172*30%</f>
        <v>188132003.65047133</v>
      </c>
    </row>
    <row r="174" spans="1:28" x14ac:dyDescent="0.25">
      <c r="A174" s="105">
        <v>100608</v>
      </c>
      <c r="B174" s="12" t="s">
        <v>97</v>
      </c>
      <c r="C174" s="45" t="s">
        <v>7</v>
      </c>
      <c r="D174" s="53">
        <v>2</v>
      </c>
      <c r="E174" s="54">
        <v>16870</v>
      </c>
      <c r="F174" s="114">
        <f t="shared" si="18"/>
        <v>35636.188000000002</v>
      </c>
      <c r="I174" s="189">
        <v>180410</v>
      </c>
      <c r="J174" s="182" t="s">
        <v>24</v>
      </c>
      <c r="K174" s="214" t="s">
        <v>15</v>
      </c>
      <c r="L174" s="178">
        <v>236.13</v>
      </c>
      <c r="M174" s="191">
        <v>49570</v>
      </c>
      <c r="N174" s="369">
        <f t="shared" si="15"/>
        <v>12362783.082420001</v>
      </c>
      <c r="P174" s="174"/>
      <c r="Q174" s="174"/>
      <c r="R174" s="174"/>
      <c r="S174" s="174"/>
      <c r="T174" s="174"/>
      <c r="U174" s="254">
        <f>U173+U172</f>
        <v>815238682.48537576</v>
      </c>
      <c r="W174" s="174"/>
      <c r="X174" s="174"/>
      <c r="Y174" s="174"/>
      <c r="Z174" s="174"/>
      <c r="AA174" s="174"/>
      <c r="AB174" s="254">
        <f>AB173+AB172</f>
        <v>815238682.48537576</v>
      </c>
    </row>
    <row r="175" spans="1:28" x14ac:dyDescent="0.25">
      <c r="A175" s="105">
        <v>310105</v>
      </c>
      <c r="B175" s="12" t="s">
        <v>38</v>
      </c>
      <c r="C175" s="45" t="s">
        <v>15</v>
      </c>
      <c r="D175" s="53">
        <v>144.279</v>
      </c>
      <c r="E175" s="54">
        <v>1780</v>
      </c>
      <c r="F175" s="114">
        <f t="shared" si="18"/>
        <v>271249.71404400002</v>
      </c>
      <c r="I175" s="189">
        <v>180803</v>
      </c>
      <c r="J175" s="196" t="s">
        <v>21</v>
      </c>
      <c r="K175" s="190" t="s">
        <v>3</v>
      </c>
      <c r="L175" s="178">
        <v>12.6</v>
      </c>
      <c r="M175" s="191">
        <v>42110</v>
      </c>
      <c r="N175" s="369">
        <f t="shared" si="15"/>
        <v>560404.93319999997</v>
      </c>
    </row>
    <row r="176" spans="1:28" x14ac:dyDescent="0.25">
      <c r="A176" s="107">
        <v>10114</v>
      </c>
      <c r="B176" s="57" t="s">
        <v>2</v>
      </c>
      <c r="C176" s="58" t="s">
        <v>3</v>
      </c>
      <c r="D176" s="59">
        <v>26.4</v>
      </c>
      <c r="E176" s="60">
        <v>2010</v>
      </c>
      <c r="F176" s="108">
        <f t="shared" ref="F176:F187" si="20">(E176*D176)*+(1+5.62%)</f>
        <v>56046.196799999998</v>
      </c>
      <c r="I176" s="280">
        <v>180803</v>
      </c>
      <c r="J176" s="242" t="s">
        <v>21</v>
      </c>
      <c r="K176" s="234" t="s">
        <v>3</v>
      </c>
      <c r="L176" s="231">
        <v>3.2</v>
      </c>
      <c r="M176" s="235">
        <v>42110</v>
      </c>
      <c r="N176" s="369">
        <f t="shared" si="15"/>
        <v>142325.0624</v>
      </c>
    </row>
    <row r="177" spans="1:14" x14ac:dyDescent="0.25">
      <c r="A177" s="107">
        <v>60810</v>
      </c>
      <c r="B177" s="57" t="s">
        <v>73</v>
      </c>
      <c r="C177" s="58" t="s">
        <v>7</v>
      </c>
      <c r="D177" s="59">
        <v>4.194</v>
      </c>
      <c r="E177" s="60">
        <v>13690</v>
      </c>
      <c r="F177" s="108">
        <f t="shared" si="20"/>
        <v>60642.631332000004</v>
      </c>
      <c r="I177" s="184">
        <v>180815</v>
      </c>
      <c r="J177" s="185" t="s">
        <v>140</v>
      </c>
      <c r="K177" s="186" t="s">
        <v>15</v>
      </c>
      <c r="L177" s="183">
        <v>34.880000000000003</v>
      </c>
      <c r="M177" s="187">
        <v>32680</v>
      </c>
      <c r="N177" s="369">
        <f t="shared" si="15"/>
        <v>1203939.5660800003</v>
      </c>
    </row>
    <row r="178" spans="1:14" x14ac:dyDescent="0.25">
      <c r="A178" s="107">
        <v>10215</v>
      </c>
      <c r="B178" s="57" t="s">
        <v>132</v>
      </c>
      <c r="C178" s="109" t="s">
        <v>15</v>
      </c>
      <c r="D178" s="59">
        <v>32</v>
      </c>
      <c r="E178" s="110">
        <v>750</v>
      </c>
      <c r="F178" s="108">
        <f t="shared" si="20"/>
        <v>25348.799999999999</v>
      </c>
      <c r="I178" s="184">
        <v>180818</v>
      </c>
      <c r="J178" s="185" t="s">
        <v>20</v>
      </c>
      <c r="K178" s="320" t="s">
        <v>15</v>
      </c>
      <c r="L178" s="183">
        <v>43.37</v>
      </c>
      <c r="M178" s="328">
        <v>55250</v>
      </c>
      <c r="N178" s="369">
        <f t="shared" si="15"/>
        <v>2530858.5185000002</v>
      </c>
    </row>
    <row r="179" spans="1:14" x14ac:dyDescent="0.25">
      <c r="A179" s="107">
        <v>120211</v>
      </c>
      <c r="B179" s="154" t="s">
        <v>74</v>
      </c>
      <c r="C179" s="58" t="s">
        <v>15</v>
      </c>
      <c r="D179" s="59">
        <v>6</v>
      </c>
      <c r="E179" s="60">
        <v>31250</v>
      </c>
      <c r="F179" s="108">
        <f t="shared" si="20"/>
        <v>198037.5</v>
      </c>
      <c r="I179" s="373">
        <v>180820</v>
      </c>
      <c r="J179" s="374" t="s">
        <v>20</v>
      </c>
      <c r="K179" s="370" t="s">
        <v>15</v>
      </c>
      <c r="L179" s="371">
        <v>73.709999999999994</v>
      </c>
      <c r="M179" s="372">
        <v>55250</v>
      </c>
      <c r="N179" s="369">
        <f t="shared" si="15"/>
        <v>4301350.7354999995</v>
      </c>
    </row>
    <row r="180" spans="1:14" x14ac:dyDescent="0.25">
      <c r="A180" s="19">
        <v>120212</v>
      </c>
      <c r="B180" s="111" t="s">
        <v>133</v>
      </c>
      <c r="C180" s="19" t="s">
        <v>7</v>
      </c>
      <c r="D180" s="10">
        <v>1.8</v>
      </c>
      <c r="E180" s="14">
        <v>931680</v>
      </c>
      <c r="F180" s="108">
        <f t="shared" si="20"/>
        <v>1771272.7487999999</v>
      </c>
      <c r="I180" s="189">
        <v>180820</v>
      </c>
      <c r="J180" s="340" t="s">
        <v>177</v>
      </c>
      <c r="K180" s="189" t="s">
        <v>15</v>
      </c>
      <c r="L180" s="178">
        <v>73.709999999999994</v>
      </c>
      <c r="M180" s="191">
        <v>140080</v>
      </c>
      <c r="N180" s="369">
        <f t="shared" si="15"/>
        <v>10905578.48016</v>
      </c>
    </row>
    <row r="181" spans="1:14" x14ac:dyDescent="0.25">
      <c r="A181" s="11">
        <v>120303</v>
      </c>
      <c r="B181" s="12" t="s">
        <v>134</v>
      </c>
      <c r="C181" s="13" t="s">
        <v>7</v>
      </c>
      <c r="D181" s="10">
        <v>2.3940000000000001</v>
      </c>
      <c r="E181" s="14">
        <v>657170</v>
      </c>
      <c r="F181" s="108">
        <f t="shared" si="20"/>
        <v>1661682.4718760001</v>
      </c>
      <c r="I181" s="189">
        <v>180822</v>
      </c>
      <c r="J181" s="196" t="s">
        <v>179</v>
      </c>
      <c r="K181" s="190" t="s">
        <v>3</v>
      </c>
      <c r="L181" s="178">
        <v>12.6</v>
      </c>
      <c r="M181" s="191">
        <v>36560</v>
      </c>
      <c r="N181" s="369">
        <f t="shared" si="15"/>
        <v>486544.86720000004</v>
      </c>
    </row>
    <row r="182" spans="1:14" x14ac:dyDescent="0.25">
      <c r="A182" s="11">
        <v>130204</v>
      </c>
      <c r="B182" s="12" t="s">
        <v>135</v>
      </c>
      <c r="C182" s="13" t="s">
        <v>7</v>
      </c>
      <c r="D182" s="10">
        <v>1.62</v>
      </c>
      <c r="E182" s="14">
        <v>849360</v>
      </c>
      <c r="F182" s="108">
        <f t="shared" si="20"/>
        <v>1453292.3318400003</v>
      </c>
      <c r="I182" s="264">
        <v>181001</v>
      </c>
      <c r="J182" s="222" t="s">
        <v>83</v>
      </c>
      <c r="K182" s="203" t="s">
        <v>3</v>
      </c>
      <c r="L182" s="224">
        <v>6</v>
      </c>
      <c r="M182" s="210">
        <v>39000</v>
      </c>
      <c r="N182" s="369">
        <f t="shared" si="15"/>
        <v>247150.80000000002</v>
      </c>
    </row>
    <row r="183" spans="1:14" x14ac:dyDescent="0.25">
      <c r="A183" s="112">
        <v>130413</v>
      </c>
      <c r="B183" s="12" t="s">
        <v>136</v>
      </c>
      <c r="C183" s="10" t="s">
        <v>7</v>
      </c>
      <c r="D183" s="10">
        <v>2.3940000000000001</v>
      </c>
      <c r="E183" s="14">
        <v>859250</v>
      </c>
      <c r="F183" s="108">
        <f t="shared" si="20"/>
        <v>2172650.4009000002</v>
      </c>
      <c r="I183" s="264">
        <v>181001</v>
      </c>
      <c r="J183" s="222" t="s">
        <v>83</v>
      </c>
      <c r="K183" s="203" t="s">
        <v>3</v>
      </c>
      <c r="L183" s="224">
        <v>12</v>
      </c>
      <c r="M183" s="210">
        <v>39000</v>
      </c>
      <c r="N183" s="369">
        <f t="shared" si="15"/>
        <v>494301.60000000003</v>
      </c>
    </row>
    <row r="184" spans="1:14" x14ac:dyDescent="0.25">
      <c r="A184" s="112">
        <v>120101</v>
      </c>
      <c r="B184" s="12" t="s">
        <v>137</v>
      </c>
      <c r="C184" s="10" t="s">
        <v>27</v>
      </c>
      <c r="D184" s="10">
        <v>550</v>
      </c>
      <c r="E184" s="14">
        <v>5330</v>
      </c>
      <c r="F184" s="108">
        <f t="shared" si="20"/>
        <v>3096250.3000000003</v>
      </c>
      <c r="I184" s="207">
        <v>181001</v>
      </c>
      <c r="J184" s="237" t="s">
        <v>83</v>
      </c>
      <c r="K184" s="215" t="s">
        <v>3</v>
      </c>
      <c r="L184" s="224">
        <v>17.09</v>
      </c>
      <c r="M184" s="238">
        <v>39000</v>
      </c>
      <c r="N184" s="369">
        <f t="shared" si="15"/>
        <v>703967.86199999996</v>
      </c>
    </row>
    <row r="185" spans="1:14" x14ac:dyDescent="0.25">
      <c r="A185" s="11">
        <v>120102</v>
      </c>
      <c r="B185" s="12" t="s">
        <v>138</v>
      </c>
      <c r="C185" s="13" t="s">
        <v>27</v>
      </c>
      <c r="D185" s="10">
        <v>1050</v>
      </c>
      <c r="E185" s="14">
        <v>4890</v>
      </c>
      <c r="F185" s="108">
        <f t="shared" si="20"/>
        <v>5423058.9000000004</v>
      </c>
      <c r="I185" s="207">
        <v>181001</v>
      </c>
      <c r="J185" s="185" t="s">
        <v>83</v>
      </c>
      <c r="K185" s="215" t="s">
        <v>3</v>
      </c>
      <c r="L185" s="243">
        <v>12</v>
      </c>
      <c r="M185" s="238">
        <v>39000</v>
      </c>
      <c r="N185" s="369">
        <f t="shared" si="15"/>
        <v>494301.60000000003</v>
      </c>
    </row>
    <row r="186" spans="1:14" x14ac:dyDescent="0.25">
      <c r="A186" s="113">
        <v>182115</v>
      </c>
      <c r="B186" s="61" t="s">
        <v>19</v>
      </c>
      <c r="C186" s="62" t="s">
        <v>3</v>
      </c>
      <c r="D186" s="59">
        <v>25.6</v>
      </c>
      <c r="E186" s="63">
        <v>67990</v>
      </c>
      <c r="F186" s="108">
        <f t="shared" si="20"/>
        <v>1838362.5728</v>
      </c>
      <c r="I186" s="296">
        <v>181001</v>
      </c>
      <c r="J186" s="222" t="s">
        <v>83</v>
      </c>
      <c r="K186" s="203" t="s">
        <v>3</v>
      </c>
      <c r="L186" s="224">
        <v>5</v>
      </c>
      <c r="M186" s="210">
        <v>39000</v>
      </c>
      <c r="N186" s="369">
        <f t="shared" si="15"/>
        <v>205959</v>
      </c>
    </row>
    <row r="187" spans="1:14" x14ac:dyDescent="0.25">
      <c r="A187" s="11">
        <v>180101</v>
      </c>
      <c r="B187" s="12" t="s">
        <v>139</v>
      </c>
      <c r="C187" s="13" t="s">
        <v>27</v>
      </c>
      <c r="D187" s="10">
        <v>264.8</v>
      </c>
      <c r="E187" s="14">
        <v>7290</v>
      </c>
      <c r="F187" s="108">
        <f t="shared" si="20"/>
        <v>2038880.0304</v>
      </c>
      <c r="I187" s="264">
        <v>181002</v>
      </c>
      <c r="J187" s="222" t="s">
        <v>82</v>
      </c>
      <c r="K187" s="203" t="s">
        <v>3</v>
      </c>
      <c r="L187" s="209">
        <v>18</v>
      </c>
      <c r="M187" s="223">
        <v>42530</v>
      </c>
      <c r="N187" s="369">
        <f t="shared" si="15"/>
        <v>808563.348</v>
      </c>
    </row>
    <row r="188" spans="1:14" x14ac:dyDescent="0.25">
      <c r="A188" s="113">
        <v>180803</v>
      </c>
      <c r="B188" s="71" t="s">
        <v>21</v>
      </c>
      <c r="C188" s="62" t="s">
        <v>3</v>
      </c>
      <c r="D188" s="59">
        <v>3.2</v>
      </c>
      <c r="E188" s="63">
        <v>42110</v>
      </c>
      <c r="F188" s="114">
        <f>(D188*E188)*+(1+5.62%)</f>
        <v>142325.0624</v>
      </c>
      <c r="I188" s="296">
        <v>181002</v>
      </c>
      <c r="J188" s="222" t="s">
        <v>82</v>
      </c>
      <c r="K188" s="203" t="s">
        <v>3</v>
      </c>
      <c r="L188" s="209">
        <v>19.5</v>
      </c>
      <c r="M188" s="223">
        <v>42530</v>
      </c>
      <c r="N188" s="369">
        <f t="shared" si="15"/>
        <v>875943.62699999998</v>
      </c>
    </row>
    <row r="189" spans="1:14" x14ac:dyDescent="0.25">
      <c r="A189" s="11">
        <v>180815</v>
      </c>
      <c r="B189" s="12" t="s">
        <v>140</v>
      </c>
      <c r="C189" s="13" t="s">
        <v>15</v>
      </c>
      <c r="D189" s="10">
        <v>34.880000000000003</v>
      </c>
      <c r="E189" s="14">
        <v>32680</v>
      </c>
      <c r="F189" s="115">
        <f t="shared" ref="F189:F196" si="21">(E189*D189)*+(1+5.62%)</f>
        <v>1203939.5660800003</v>
      </c>
      <c r="I189" s="207">
        <v>181002</v>
      </c>
      <c r="J189" s="237" t="s">
        <v>82</v>
      </c>
      <c r="K189" s="215" t="s">
        <v>3</v>
      </c>
      <c r="L189" s="224">
        <v>57</v>
      </c>
      <c r="M189" s="238">
        <v>42530</v>
      </c>
      <c r="N189" s="369">
        <f t="shared" si="15"/>
        <v>2560450.602</v>
      </c>
    </row>
    <row r="190" spans="1:14" x14ac:dyDescent="0.25">
      <c r="A190" s="36">
        <v>181002</v>
      </c>
      <c r="B190" s="12" t="s">
        <v>82</v>
      </c>
      <c r="C190" s="45" t="s">
        <v>3</v>
      </c>
      <c r="D190" s="53">
        <v>6.4</v>
      </c>
      <c r="E190" s="54">
        <v>42530</v>
      </c>
      <c r="F190" s="108">
        <f t="shared" si="21"/>
        <v>287489.19040000002</v>
      </c>
      <c r="I190" s="207">
        <v>181002</v>
      </c>
      <c r="J190" s="185" t="s">
        <v>82</v>
      </c>
      <c r="K190" s="215" t="s">
        <v>3</v>
      </c>
      <c r="L190" s="225">
        <v>6.4</v>
      </c>
      <c r="M190" s="226">
        <v>42530</v>
      </c>
      <c r="N190" s="369">
        <f t="shared" si="15"/>
        <v>287489.19040000002</v>
      </c>
    </row>
    <row r="191" spans="1:14" x14ac:dyDescent="0.25">
      <c r="A191" s="36">
        <v>181001</v>
      </c>
      <c r="B191" s="12" t="s">
        <v>83</v>
      </c>
      <c r="C191" s="45" t="s">
        <v>3</v>
      </c>
      <c r="D191" s="72">
        <v>12</v>
      </c>
      <c r="E191" s="66">
        <v>39000</v>
      </c>
      <c r="F191" s="108">
        <f t="shared" si="21"/>
        <v>494301.60000000003</v>
      </c>
      <c r="I191" s="264">
        <v>181002</v>
      </c>
      <c r="J191" s="222" t="s">
        <v>82</v>
      </c>
      <c r="K191" s="203" t="s">
        <v>3</v>
      </c>
      <c r="L191" s="209">
        <v>6.1</v>
      </c>
      <c r="M191" s="223">
        <v>42530</v>
      </c>
      <c r="N191" s="369">
        <f t="shared" si="15"/>
        <v>274013.13459999999</v>
      </c>
    </row>
    <row r="192" spans="1:14" x14ac:dyDescent="0.25">
      <c r="A192" s="116">
        <v>181006</v>
      </c>
      <c r="B192" s="12" t="s">
        <v>84</v>
      </c>
      <c r="C192" s="45" t="s">
        <v>1</v>
      </c>
      <c r="D192" s="53">
        <v>6</v>
      </c>
      <c r="E192" s="54">
        <v>4880</v>
      </c>
      <c r="F192" s="108">
        <f t="shared" si="21"/>
        <v>30925.536</v>
      </c>
      <c r="I192" s="265">
        <v>181005</v>
      </c>
      <c r="J192" s="222" t="s">
        <v>85</v>
      </c>
      <c r="K192" s="203" t="s">
        <v>1</v>
      </c>
      <c r="L192" s="225">
        <v>2</v>
      </c>
      <c r="M192" s="226">
        <v>10680</v>
      </c>
      <c r="N192" s="369">
        <f t="shared" si="15"/>
        <v>22560.432000000001</v>
      </c>
    </row>
    <row r="193" spans="1:14" x14ac:dyDescent="0.25">
      <c r="A193" s="116">
        <v>181005</v>
      </c>
      <c r="B193" s="12" t="s">
        <v>85</v>
      </c>
      <c r="C193" s="45" t="s">
        <v>1</v>
      </c>
      <c r="D193" s="53">
        <v>4</v>
      </c>
      <c r="E193" s="54">
        <v>10680</v>
      </c>
      <c r="F193" s="108">
        <f t="shared" si="21"/>
        <v>45120.864000000001</v>
      </c>
      <c r="I193" s="265">
        <v>181005</v>
      </c>
      <c r="J193" s="222" t="s">
        <v>85</v>
      </c>
      <c r="K193" s="203" t="s">
        <v>1</v>
      </c>
      <c r="L193" s="225">
        <v>4</v>
      </c>
      <c r="M193" s="226">
        <v>10680</v>
      </c>
      <c r="N193" s="369">
        <f t="shared" si="15"/>
        <v>45120.864000000001</v>
      </c>
    </row>
    <row r="194" spans="1:14" x14ac:dyDescent="0.25">
      <c r="A194" s="116">
        <v>181008</v>
      </c>
      <c r="B194" s="12" t="s">
        <v>86</v>
      </c>
      <c r="C194" s="45" t="s">
        <v>1</v>
      </c>
      <c r="D194" s="53">
        <v>4</v>
      </c>
      <c r="E194" s="54">
        <v>7190</v>
      </c>
      <c r="F194" s="108">
        <f t="shared" si="21"/>
        <v>30376.312000000002</v>
      </c>
      <c r="I194" s="279">
        <v>181005</v>
      </c>
      <c r="J194" s="236" t="s">
        <v>85</v>
      </c>
      <c r="K194" s="215" t="s">
        <v>1</v>
      </c>
      <c r="L194" s="225">
        <v>4</v>
      </c>
      <c r="M194" s="226">
        <v>10680</v>
      </c>
      <c r="N194" s="369">
        <f t="shared" si="15"/>
        <v>45120.864000000001</v>
      </c>
    </row>
    <row r="195" spans="1:14" x14ac:dyDescent="0.25">
      <c r="A195" s="117">
        <v>181014</v>
      </c>
      <c r="B195" s="12" t="s">
        <v>87</v>
      </c>
      <c r="C195" s="45" t="s">
        <v>1</v>
      </c>
      <c r="D195" s="53">
        <v>4</v>
      </c>
      <c r="E195" s="54">
        <v>18190</v>
      </c>
      <c r="F195" s="108">
        <f t="shared" si="21"/>
        <v>76849.112000000008</v>
      </c>
      <c r="I195" s="279">
        <v>181005</v>
      </c>
      <c r="J195" s="185" t="s">
        <v>85</v>
      </c>
      <c r="K195" s="215" t="s">
        <v>1</v>
      </c>
      <c r="L195" s="225">
        <v>4</v>
      </c>
      <c r="M195" s="226">
        <v>10680</v>
      </c>
      <c r="N195" s="369">
        <f t="shared" si="15"/>
        <v>45120.864000000001</v>
      </c>
    </row>
    <row r="196" spans="1:14" x14ac:dyDescent="0.25">
      <c r="A196" s="116">
        <v>181018</v>
      </c>
      <c r="B196" s="12" t="s">
        <v>88</v>
      </c>
      <c r="C196" s="45" t="s">
        <v>1</v>
      </c>
      <c r="D196" s="53">
        <v>4</v>
      </c>
      <c r="E196" s="54">
        <v>8870</v>
      </c>
      <c r="F196" s="108">
        <f t="shared" si="21"/>
        <v>37473.976000000002</v>
      </c>
      <c r="I196" s="265">
        <v>181005</v>
      </c>
      <c r="J196" s="222" t="s">
        <v>85</v>
      </c>
      <c r="K196" s="203" t="s">
        <v>1</v>
      </c>
      <c r="L196" s="225">
        <v>2</v>
      </c>
      <c r="M196" s="226">
        <v>10680</v>
      </c>
      <c r="N196" s="369">
        <f t="shared" ref="N196:N259" si="22">(L196*M196)*+(1+5.62%)</f>
        <v>22560.432000000001</v>
      </c>
    </row>
    <row r="197" spans="1:14" x14ac:dyDescent="0.25">
      <c r="A197" s="113">
        <v>170659</v>
      </c>
      <c r="B197" s="73" t="s">
        <v>32</v>
      </c>
      <c r="C197" s="45" t="s">
        <v>1</v>
      </c>
      <c r="D197" s="59">
        <v>4</v>
      </c>
      <c r="E197" s="63">
        <v>62150</v>
      </c>
      <c r="F197" s="118">
        <f>(D197*E197)*+(1+5.62%)</f>
        <v>262571.32</v>
      </c>
      <c r="I197" s="301">
        <v>181006</v>
      </c>
      <c r="J197" s="222" t="s">
        <v>84</v>
      </c>
      <c r="K197" s="203" t="s">
        <v>1</v>
      </c>
      <c r="L197" s="225">
        <v>6</v>
      </c>
      <c r="M197" s="226">
        <v>4880</v>
      </c>
      <c r="N197" s="369">
        <f t="shared" si="22"/>
        <v>30925.536</v>
      </c>
    </row>
    <row r="198" spans="1:14" x14ac:dyDescent="0.25">
      <c r="A198" s="113">
        <v>170538</v>
      </c>
      <c r="B198" s="73" t="s">
        <v>33</v>
      </c>
      <c r="C198" s="45" t="s">
        <v>1</v>
      </c>
      <c r="D198" s="59">
        <v>1</v>
      </c>
      <c r="E198" s="63">
        <v>113280</v>
      </c>
      <c r="F198" s="118">
        <f>(D198*E198)*+(1+5.62%)</f>
        <v>119646.33600000001</v>
      </c>
      <c r="I198" s="301">
        <v>181006</v>
      </c>
      <c r="J198" s="222" t="s">
        <v>84</v>
      </c>
      <c r="K198" s="203" t="s">
        <v>1</v>
      </c>
      <c r="L198" s="225">
        <v>6</v>
      </c>
      <c r="M198" s="226">
        <v>4880</v>
      </c>
      <c r="N198" s="369">
        <f t="shared" si="22"/>
        <v>30925.536</v>
      </c>
    </row>
    <row r="199" spans="1:14" x14ac:dyDescent="0.25">
      <c r="A199" s="113">
        <v>173306</v>
      </c>
      <c r="B199" s="73" t="s">
        <v>34</v>
      </c>
      <c r="C199" s="45" t="s">
        <v>3</v>
      </c>
      <c r="D199" s="59">
        <v>25</v>
      </c>
      <c r="E199" s="63">
        <v>20260</v>
      </c>
      <c r="F199" s="118">
        <f>(D199*E199)*+(1+5.62%)</f>
        <v>534965.30000000005</v>
      </c>
      <c r="I199" s="298">
        <v>181006</v>
      </c>
      <c r="J199" s="236" t="s">
        <v>84</v>
      </c>
      <c r="K199" s="215" t="s">
        <v>1</v>
      </c>
      <c r="L199" s="225">
        <v>19</v>
      </c>
      <c r="M199" s="226">
        <v>4880</v>
      </c>
      <c r="N199" s="369">
        <f t="shared" si="22"/>
        <v>97930.864000000001</v>
      </c>
    </row>
    <row r="200" spans="1:14" x14ac:dyDescent="0.25">
      <c r="A200" s="113">
        <v>170134</v>
      </c>
      <c r="B200" s="73" t="s">
        <v>35</v>
      </c>
      <c r="C200" s="45" t="s">
        <v>3</v>
      </c>
      <c r="D200" s="59">
        <v>25</v>
      </c>
      <c r="E200" s="63">
        <v>4650</v>
      </c>
      <c r="F200" s="118">
        <f>(D200*E200)*+(1+5.62%)</f>
        <v>122783.25</v>
      </c>
      <c r="I200" s="298">
        <v>181006</v>
      </c>
      <c r="J200" s="185" t="s">
        <v>84</v>
      </c>
      <c r="K200" s="215" t="s">
        <v>1</v>
      </c>
      <c r="L200" s="225">
        <v>6</v>
      </c>
      <c r="M200" s="226">
        <v>4880</v>
      </c>
      <c r="N200" s="369">
        <f t="shared" si="22"/>
        <v>30925.536</v>
      </c>
    </row>
    <row r="201" spans="1:14" x14ac:dyDescent="0.25">
      <c r="A201" s="119">
        <v>170723</v>
      </c>
      <c r="B201" s="61" t="s">
        <v>141</v>
      </c>
      <c r="C201" s="74" t="s">
        <v>1</v>
      </c>
      <c r="D201" s="59">
        <v>2</v>
      </c>
      <c r="E201" s="63">
        <v>124470</v>
      </c>
      <c r="F201" s="118">
        <f>(D201*E201)*+(1+5.62%)</f>
        <v>262930.42800000001</v>
      </c>
      <c r="I201" s="274">
        <v>181006</v>
      </c>
      <c r="J201" s="222" t="s">
        <v>84</v>
      </c>
      <c r="K201" s="203" t="s">
        <v>1</v>
      </c>
      <c r="L201" s="225">
        <v>3</v>
      </c>
      <c r="M201" s="226">
        <v>4880</v>
      </c>
      <c r="N201" s="369">
        <f t="shared" si="22"/>
        <v>15462.768</v>
      </c>
    </row>
    <row r="202" spans="1:14" x14ac:dyDescent="0.25">
      <c r="A202" s="11">
        <v>100608</v>
      </c>
      <c r="B202" s="12" t="s">
        <v>37</v>
      </c>
      <c r="C202" s="13" t="s">
        <v>7</v>
      </c>
      <c r="D202" s="10">
        <v>4.9676758999999997</v>
      </c>
      <c r="E202" s="14">
        <v>16720</v>
      </c>
      <c r="F202" s="108">
        <f t="shared" ref="F202:F233" si="23">(E202*D202)*+(1+5.62%)</f>
        <v>87727.487254897598</v>
      </c>
      <c r="I202" s="274">
        <v>181008</v>
      </c>
      <c r="J202" s="222" t="s">
        <v>86</v>
      </c>
      <c r="K202" s="203" t="s">
        <v>1</v>
      </c>
      <c r="L202" s="225">
        <v>2</v>
      </c>
      <c r="M202" s="226">
        <v>7190</v>
      </c>
      <c r="N202" s="369">
        <f t="shared" si="22"/>
        <v>15188.156000000001</v>
      </c>
    </row>
    <row r="203" spans="1:14" x14ac:dyDescent="0.25">
      <c r="A203" s="19">
        <v>310105</v>
      </c>
      <c r="B203" s="34" t="s">
        <v>38</v>
      </c>
      <c r="C203" s="19" t="s">
        <v>15</v>
      </c>
      <c r="D203" s="75">
        <v>35</v>
      </c>
      <c r="E203" s="14">
        <v>16720</v>
      </c>
      <c r="F203" s="108">
        <f t="shared" si="23"/>
        <v>618088.24</v>
      </c>
      <c r="I203" s="274">
        <v>181008</v>
      </c>
      <c r="J203" s="315" t="s">
        <v>86</v>
      </c>
      <c r="K203" s="274" t="s">
        <v>1</v>
      </c>
      <c r="L203" s="225">
        <v>4</v>
      </c>
      <c r="M203" s="226">
        <v>7190</v>
      </c>
      <c r="N203" s="369">
        <f t="shared" si="22"/>
        <v>30376.312000000002</v>
      </c>
    </row>
    <row r="204" spans="1:14" x14ac:dyDescent="0.25">
      <c r="A204" s="103">
        <v>100501</v>
      </c>
      <c r="B204" s="50" t="s">
        <v>142</v>
      </c>
      <c r="C204" s="30" t="s">
        <v>1</v>
      </c>
      <c r="D204" s="38">
        <v>14</v>
      </c>
      <c r="E204" s="51">
        <v>25710</v>
      </c>
      <c r="F204" s="120">
        <f t="shared" si="23"/>
        <v>380168.62800000003</v>
      </c>
      <c r="I204" s="275">
        <v>181008</v>
      </c>
      <c r="J204" s="236" t="s">
        <v>86</v>
      </c>
      <c r="K204" s="215" t="s">
        <v>1</v>
      </c>
      <c r="L204" s="225">
        <v>4</v>
      </c>
      <c r="M204" s="226">
        <v>7190</v>
      </c>
      <c r="N204" s="369">
        <f t="shared" si="22"/>
        <v>30376.312000000002</v>
      </c>
    </row>
    <row r="205" spans="1:14" x14ac:dyDescent="0.25">
      <c r="A205" s="103">
        <v>100540</v>
      </c>
      <c r="B205" s="50" t="s">
        <v>143</v>
      </c>
      <c r="C205" s="30" t="s">
        <v>1</v>
      </c>
      <c r="D205" s="38">
        <v>14</v>
      </c>
      <c r="E205" s="51">
        <v>18740</v>
      </c>
      <c r="F205" s="120">
        <f t="shared" si="23"/>
        <v>277104.63199999998</v>
      </c>
      <c r="I205" s="275">
        <v>181008</v>
      </c>
      <c r="J205" s="185" t="s">
        <v>86</v>
      </c>
      <c r="K205" s="215" t="s">
        <v>1</v>
      </c>
      <c r="L205" s="225">
        <v>4</v>
      </c>
      <c r="M205" s="226">
        <v>7190</v>
      </c>
      <c r="N205" s="369">
        <f t="shared" si="22"/>
        <v>30376.312000000002</v>
      </c>
    </row>
    <row r="206" spans="1:14" x14ac:dyDescent="0.25">
      <c r="A206" s="103">
        <v>100532</v>
      </c>
      <c r="B206" s="50" t="s">
        <v>144</v>
      </c>
      <c r="C206" s="30" t="s">
        <v>3</v>
      </c>
      <c r="D206" s="38">
        <v>12</v>
      </c>
      <c r="E206" s="51">
        <v>2700</v>
      </c>
      <c r="F206" s="120">
        <f t="shared" si="23"/>
        <v>34220.879999999997</v>
      </c>
      <c r="I206" s="274">
        <v>181008</v>
      </c>
      <c r="J206" s="222" t="s">
        <v>86</v>
      </c>
      <c r="K206" s="203" t="s">
        <v>1</v>
      </c>
      <c r="L206" s="225">
        <v>2</v>
      </c>
      <c r="M206" s="226">
        <v>7190</v>
      </c>
      <c r="N206" s="369">
        <f t="shared" si="22"/>
        <v>15188.156000000001</v>
      </c>
    </row>
    <row r="207" spans="1:14" x14ac:dyDescent="0.25">
      <c r="A207" s="103">
        <v>100515</v>
      </c>
      <c r="B207" s="50" t="s">
        <v>145</v>
      </c>
      <c r="C207" s="30" t="s">
        <v>1</v>
      </c>
      <c r="D207" s="38">
        <v>2</v>
      </c>
      <c r="E207" s="51">
        <v>18230</v>
      </c>
      <c r="F207" s="120">
        <f t="shared" si="23"/>
        <v>38509.052000000003</v>
      </c>
      <c r="I207" s="307">
        <v>181014</v>
      </c>
      <c r="J207" s="222" t="s">
        <v>87</v>
      </c>
      <c r="K207" s="203" t="s">
        <v>1</v>
      </c>
      <c r="L207" s="225">
        <v>2</v>
      </c>
      <c r="M207" s="226">
        <v>18190</v>
      </c>
      <c r="N207" s="369">
        <f t="shared" si="22"/>
        <v>38424.556000000004</v>
      </c>
    </row>
    <row r="208" spans="1:14" x14ac:dyDescent="0.25">
      <c r="A208" s="103">
        <v>100407</v>
      </c>
      <c r="B208" s="50" t="s">
        <v>98</v>
      </c>
      <c r="C208" s="30" t="s">
        <v>15</v>
      </c>
      <c r="D208" s="53">
        <v>34.94</v>
      </c>
      <c r="E208" s="54">
        <v>6490</v>
      </c>
      <c r="F208" s="120">
        <f t="shared" si="23"/>
        <v>239504.54571999999</v>
      </c>
      <c r="I208" s="307">
        <v>181014</v>
      </c>
      <c r="J208" s="222" t="s">
        <v>87</v>
      </c>
      <c r="K208" s="203" t="s">
        <v>1</v>
      </c>
      <c r="L208" s="225">
        <v>4</v>
      </c>
      <c r="M208" s="226">
        <v>18190</v>
      </c>
      <c r="N208" s="369">
        <f t="shared" si="22"/>
        <v>76849.112000000008</v>
      </c>
    </row>
    <row r="209" spans="1:14" x14ac:dyDescent="0.25">
      <c r="A209" s="105">
        <v>100413</v>
      </c>
      <c r="B209" s="50" t="s">
        <v>146</v>
      </c>
      <c r="C209" s="30" t="s">
        <v>15</v>
      </c>
      <c r="D209" s="53">
        <v>39.479999999999997</v>
      </c>
      <c r="E209" s="51">
        <v>30160</v>
      </c>
      <c r="F209" s="120">
        <f t="shared" si="23"/>
        <v>1257635.0841599999</v>
      </c>
      <c r="I209" s="308">
        <v>181014</v>
      </c>
      <c r="J209" s="236" t="s">
        <v>87</v>
      </c>
      <c r="K209" s="215" t="s">
        <v>1</v>
      </c>
      <c r="L209" s="225">
        <v>4</v>
      </c>
      <c r="M209" s="226">
        <v>18190</v>
      </c>
      <c r="N209" s="369">
        <f t="shared" si="22"/>
        <v>76849.112000000008</v>
      </c>
    </row>
    <row r="210" spans="1:14" x14ac:dyDescent="0.25">
      <c r="A210" s="11">
        <v>100505</v>
      </c>
      <c r="B210" s="12" t="s">
        <v>147</v>
      </c>
      <c r="C210" s="13" t="s">
        <v>15</v>
      </c>
      <c r="D210" s="53">
        <v>39.479999999999997</v>
      </c>
      <c r="E210" s="14">
        <v>5120</v>
      </c>
      <c r="F210" s="120">
        <f t="shared" si="23"/>
        <v>213497.73311999999</v>
      </c>
      <c r="I210" s="308">
        <v>181014</v>
      </c>
      <c r="J210" s="185" t="s">
        <v>87</v>
      </c>
      <c r="K210" s="215" t="s">
        <v>1</v>
      </c>
      <c r="L210" s="225">
        <v>4</v>
      </c>
      <c r="M210" s="226">
        <v>18190</v>
      </c>
      <c r="N210" s="369">
        <f t="shared" si="22"/>
        <v>76849.112000000008</v>
      </c>
    </row>
    <row r="211" spans="1:14" x14ac:dyDescent="0.25">
      <c r="A211" s="103">
        <v>100113</v>
      </c>
      <c r="B211" s="50" t="s">
        <v>148</v>
      </c>
      <c r="C211" s="30" t="s">
        <v>15</v>
      </c>
      <c r="D211" s="10">
        <v>34.94</v>
      </c>
      <c r="E211" s="51">
        <v>3980</v>
      </c>
      <c r="F211" s="120">
        <f t="shared" si="23"/>
        <v>146876.43943999999</v>
      </c>
      <c r="I211" s="307">
        <v>181014</v>
      </c>
      <c r="J211" s="222" t="s">
        <v>87</v>
      </c>
      <c r="K211" s="203" t="s">
        <v>1</v>
      </c>
      <c r="L211" s="225">
        <v>1</v>
      </c>
      <c r="M211" s="226">
        <v>18190</v>
      </c>
      <c r="N211" s="369">
        <f t="shared" si="22"/>
        <v>19212.278000000002</v>
      </c>
    </row>
    <row r="212" spans="1:14" x14ac:dyDescent="0.25">
      <c r="A212" s="140">
        <v>100219</v>
      </c>
      <c r="B212" s="2" t="s">
        <v>149</v>
      </c>
      <c r="C212" s="7" t="s">
        <v>3</v>
      </c>
      <c r="D212" s="4">
        <v>30.13</v>
      </c>
      <c r="E212" s="8">
        <v>20470</v>
      </c>
      <c r="F212" s="120">
        <f t="shared" si="23"/>
        <v>651423.07382000005</v>
      </c>
      <c r="I212" s="274">
        <v>181018</v>
      </c>
      <c r="J212" s="222" t="s">
        <v>88</v>
      </c>
      <c r="K212" s="322" t="s">
        <v>1</v>
      </c>
      <c r="L212" s="225">
        <v>2</v>
      </c>
      <c r="M212" s="329">
        <v>8870</v>
      </c>
      <c r="N212" s="369">
        <f t="shared" si="22"/>
        <v>18736.988000000001</v>
      </c>
    </row>
    <row r="213" spans="1:14" x14ac:dyDescent="0.25">
      <c r="A213" s="140">
        <v>10215</v>
      </c>
      <c r="B213" s="2" t="s">
        <v>132</v>
      </c>
      <c r="C213" s="7" t="s">
        <v>15</v>
      </c>
      <c r="D213" s="4">
        <v>43</v>
      </c>
      <c r="E213" s="8">
        <v>750</v>
      </c>
      <c r="F213" s="120">
        <f t="shared" si="23"/>
        <v>34062.450000000004</v>
      </c>
      <c r="I213" s="274">
        <v>181018</v>
      </c>
      <c r="J213" s="222" t="s">
        <v>88</v>
      </c>
      <c r="K213" s="322" t="s">
        <v>1</v>
      </c>
      <c r="L213" s="225">
        <v>4</v>
      </c>
      <c r="M213" s="329">
        <v>8870</v>
      </c>
      <c r="N213" s="369">
        <f t="shared" si="22"/>
        <v>37473.976000000002</v>
      </c>
    </row>
    <row r="214" spans="1:14" x14ac:dyDescent="0.25">
      <c r="A214" s="19">
        <v>120301</v>
      </c>
      <c r="B214" s="111" t="s">
        <v>150</v>
      </c>
      <c r="C214" s="19" t="s">
        <v>7</v>
      </c>
      <c r="D214" s="10">
        <v>2.4700000000000002</v>
      </c>
      <c r="E214" s="14">
        <v>638480</v>
      </c>
      <c r="F214" s="120">
        <f t="shared" si="23"/>
        <v>1665675.56272</v>
      </c>
      <c r="I214" s="275">
        <v>181018</v>
      </c>
      <c r="J214" s="281" t="s">
        <v>88</v>
      </c>
      <c r="K214" s="275" t="s">
        <v>1</v>
      </c>
      <c r="L214" s="225">
        <v>4</v>
      </c>
      <c r="M214" s="226">
        <v>8870</v>
      </c>
      <c r="N214" s="369">
        <f t="shared" si="22"/>
        <v>37473.976000000002</v>
      </c>
    </row>
    <row r="215" spans="1:14" x14ac:dyDescent="0.25">
      <c r="A215" s="89">
        <v>130403</v>
      </c>
      <c r="B215" s="50" t="s">
        <v>151</v>
      </c>
      <c r="C215" s="30" t="s">
        <v>3</v>
      </c>
      <c r="D215" s="52">
        <v>34.6</v>
      </c>
      <c r="E215" s="39">
        <v>32000</v>
      </c>
      <c r="F215" s="120">
        <f t="shared" si="23"/>
        <v>1169424.6400000001</v>
      </c>
      <c r="I215" s="275">
        <v>181018</v>
      </c>
      <c r="J215" s="185" t="s">
        <v>88</v>
      </c>
      <c r="K215" s="215" t="s">
        <v>1</v>
      </c>
      <c r="L215" s="225">
        <v>4</v>
      </c>
      <c r="M215" s="226">
        <v>8870</v>
      </c>
      <c r="N215" s="369">
        <f t="shared" si="22"/>
        <v>37473.976000000002</v>
      </c>
    </row>
    <row r="216" spans="1:14" x14ac:dyDescent="0.25">
      <c r="A216" s="89">
        <v>130201</v>
      </c>
      <c r="B216" s="50" t="s">
        <v>152</v>
      </c>
      <c r="C216" s="30" t="s">
        <v>3</v>
      </c>
      <c r="D216" s="52">
        <v>31</v>
      </c>
      <c r="E216" s="39">
        <v>39120</v>
      </c>
      <c r="F216" s="120">
        <f t="shared" si="23"/>
        <v>1280874.8640000001</v>
      </c>
      <c r="I216" s="274">
        <v>181018</v>
      </c>
      <c r="J216" s="222" t="s">
        <v>88</v>
      </c>
      <c r="K216" s="203" t="s">
        <v>1</v>
      </c>
      <c r="L216" s="225">
        <v>2</v>
      </c>
      <c r="M216" s="226">
        <v>8870</v>
      </c>
      <c r="N216" s="369">
        <f t="shared" si="22"/>
        <v>18736.988000000001</v>
      </c>
    </row>
    <row r="217" spans="1:14" x14ac:dyDescent="0.25">
      <c r="A217" s="89">
        <v>130102</v>
      </c>
      <c r="B217" s="50" t="s">
        <v>153</v>
      </c>
      <c r="C217" s="30" t="s">
        <v>27</v>
      </c>
      <c r="D217" s="52">
        <f>209+123.25</f>
        <v>332.25</v>
      </c>
      <c r="E217" s="39">
        <v>5330</v>
      </c>
      <c r="F217" s="120">
        <f t="shared" si="23"/>
        <v>1870416.6585000001</v>
      </c>
      <c r="I217" s="189">
        <v>181210</v>
      </c>
      <c r="J217" s="182" t="s">
        <v>57</v>
      </c>
      <c r="K217" s="190" t="s">
        <v>15</v>
      </c>
      <c r="L217" s="178">
        <v>159</v>
      </c>
      <c r="M217" s="191">
        <v>12140</v>
      </c>
      <c r="N217" s="369">
        <f t="shared" si="22"/>
        <v>2038740.612</v>
      </c>
    </row>
    <row r="218" spans="1:14" x14ac:dyDescent="0.25">
      <c r="A218" s="11">
        <v>120102</v>
      </c>
      <c r="B218" s="12" t="s">
        <v>138</v>
      </c>
      <c r="C218" s="13" t="s">
        <v>27</v>
      </c>
      <c r="D218" s="10">
        <v>450</v>
      </c>
      <c r="E218" s="14">
        <v>4890</v>
      </c>
      <c r="F218" s="120">
        <f t="shared" si="23"/>
        <v>2324168.1</v>
      </c>
      <c r="I218" s="280">
        <v>181210</v>
      </c>
      <c r="J218" s="233" t="s">
        <v>57</v>
      </c>
      <c r="K218" s="234" t="s">
        <v>15</v>
      </c>
      <c r="L218" s="231">
        <v>84</v>
      </c>
      <c r="M218" s="235">
        <v>12140</v>
      </c>
      <c r="N218" s="369">
        <f t="shared" si="22"/>
        <v>1077070.5120000001</v>
      </c>
    </row>
    <row r="219" spans="1:14" x14ac:dyDescent="0.25">
      <c r="A219" s="112">
        <v>140219</v>
      </c>
      <c r="B219" s="12" t="s">
        <v>154</v>
      </c>
      <c r="C219" s="10" t="s">
        <v>15</v>
      </c>
      <c r="D219" s="10">
        <f>119.49+21.6</f>
        <v>141.09</v>
      </c>
      <c r="E219" s="14">
        <v>55660</v>
      </c>
      <c r="F219" s="120">
        <f t="shared" si="23"/>
        <v>8294411.9002800006</v>
      </c>
      <c r="I219" s="189">
        <v>181213</v>
      </c>
      <c r="J219" s="182" t="s">
        <v>25</v>
      </c>
      <c r="K219" s="214" t="s">
        <v>3</v>
      </c>
      <c r="L219" s="178">
        <v>12</v>
      </c>
      <c r="M219" s="191">
        <v>26500</v>
      </c>
      <c r="N219" s="369">
        <f t="shared" si="22"/>
        <v>335871.60000000003</v>
      </c>
    </row>
    <row r="220" spans="1:14" x14ac:dyDescent="0.25">
      <c r="A220" s="103">
        <v>250804</v>
      </c>
      <c r="B220" s="50" t="s">
        <v>101</v>
      </c>
      <c r="C220" s="30" t="s">
        <v>1</v>
      </c>
      <c r="D220" s="53">
        <v>8</v>
      </c>
      <c r="E220" s="54">
        <v>24140</v>
      </c>
      <c r="F220" s="120">
        <f t="shared" si="23"/>
        <v>203973.34400000001</v>
      </c>
      <c r="I220" s="189">
        <v>181213</v>
      </c>
      <c r="J220" s="182" t="s">
        <v>25</v>
      </c>
      <c r="K220" s="214" t="s">
        <v>3</v>
      </c>
      <c r="L220" s="178">
        <v>18</v>
      </c>
      <c r="M220" s="191">
        <v>26500</v>
      </c>
      <c r="N220" s="369">
        <f t="shared" si="22"/>
        <v>503807.4</v>
      </c>
    </row>
    <row r="221" spans="1:14" x14ac:dyDescent="0.25">
      <c r="A221" s="89">
        <v>250807</v>
      </c>
      <c r="B221" s="50" t="s">
        <v>99</v>
      </c>
      <c r="C221" s="67" t="s">
        <v>1</v>
      </c>
      <c r="D221" s="68">
        <v>6</v>
      </c>
      <c r="E221" s="69">
        <v>23910</v>
      </c>
      <c r="F221" s="120">
        <f t="shared" si="23"/>
        <v>151522.45199999999</v>
      </c>
      <c r="I221" s="175">
        <v>181219</v>
      </c>
      <c r="J221" s="176" t="s">
        <v>54</v>
      </c>
      <c r="K221" s="177" t="s">
        <v>15</v>
      </c>
      <c r="L221" s="178">
        <v>1002</v>
      </c>
      <c r="M221" s="179">
        <v>1200</v>
      </c>
      <c r="N221" s="369">
        <f t="shared" si="22"/>
        <v>1269974.8800000001</v>
      </c>
    </row>
    <row r="222" spans="1:14" x14ac:dyDescent="0.25">
      <c r="A222" s="103">
        <v>250517</v>
      </c>
      <c r="B222" s="50" t="s">
        <v>100</v>
      </c>
      <c r="C222" s="30" t="s">
        <v>1</v>
      </c>
      <c r="D222" s="38">
        <v>6</v>
      </c>
      <c r="E222" s="51">
        <v>35100</v>
      </c>
      <c r="F222" s="120">
        <f t="shared" si="23"/>
        <v>222435.72</v>
      </c>
      <c r="I222" s="276">
        <v>181219</v>
      </c>
      <c r="J222" s="229" t="s">
        <v>54</v>
      </c>
      <c r="K222" s="230" t="s">
        <v>15</v>
      </c>
      <c r="L222" s="231">
        <v>642</v>
      </c>
      <c r="M222" s="232">
        <v>1200</v>
      </c>
      <c r="N222" s="369">
        <f t="shared" si="22"/>
        <v>813696.48</v>
      </c>
    </row>
    <row r="223" spans="1:14" x14ac:dyDescent="0.25">
      <c r="A223" s="105">
        <v>150511</v>
      </c>
      <c r="B223" s="50" t="s">
        <v>104</v>
      </c>
      <c r="C223" s="30" t="s">
        <v>1</v>
      </c>
      <c r="D223" s="38">
        <v>3</v>
      </c>
      <c r="E223" s="51">
        <v>46940</v>
      </c>
      <c r="F223" s="120">
        <f t="shared" si="23"/>
        <v>148734.084</v>
      </c>
      <c r="I223" s="189">
        <v>181219</v>
      </c>
      <c r="J223" s="182" t="s">
        <v>178</v>
      </c>
      <c r="K223" s="190" t="s">
        <v>15</v>
      </c>
      <c r="L223" s="178">
        <v>137.81</v>
      </c>
      <c r="M223" s="191">
        <v>8770</v>
      </c>
      <c r="N223" s="369">
        <f t="shared" si="22"/>
        <v>1276516.66594</v>
      </c>
    </row>
    <row r="224" spans="1:14" x14ac:dyDescent="0.25">
      <c r="A224" s="105">
        <v>150502</v>
      </c>
      <c r="B224" s="50" t="s">
        <v>105</v>
      </c>
      <c r="C224" s="30" t="s">
        <v>1</v>
      </c>
      <c r="D224" s="38">
        <v>8</v>
      </c>
      <c r="E224" s="51">
        <v>27300</v>
      </c>
      <c r="F224" s="120">
        <f t="shared" si="23"/>
        <v>230674.08000000002</v>
      </c>
      <c r="I224" s="189">
        <v>182114</v>
      </c>
      <c r="J224" s="182" t="s">
        <v>160</v>
      </c>
      <c r="K224" s="190" t="s">
        <v>3</v>
      </c>
      <c r="L224" s="178">
        <v>24.4</v>
      </c>
      <c r="M224" s="191">
        <v>59930</v>
      </c>
      <c r="N224" s="369">
        <f t="shared" si="22"/>
        <v>1544472.8104000001</v>
      </c>
    </row>
    <row r="225" spans="1:14" x14ac:dyDescent="0.25">
      <c r="A225" s="106" t="s">
        <v>106</v>
      </c>
      <c r="B225" s="50" t="s">
        <v>107</v>
      </c>
      <c r="C225" s="70" t="s">
        <v>108</v>
      </c>
      <c r="D225" s="38">
        <v>8</v>
      </c>
      <c r="E225" s="51">
        <v>61640</v>
      </c>
      <c r="F225" s="120">
        <f t="shared" si="23"/>
        <v>520833.34400000004</v>
      </c>
      <c r="I225" s="189">
        <v>182115</v>
      </c>
      <c r="J225" s="182" t="s">
        <v>19</v>
      </c>
      <c r="K225" s="190" t="s">
        <v>3</v>
      </c>
      <c r="L225" s="178">
        <v>70</v>
      </c>
      <c r="M225" s="191">
        <v>67990</v>
      </c>
      <c r="N225" s="369">
        <f t="shared" si="22"/>
        <v>5026772.66</v>
      </c>
    </row>
    <row r="226" spans="1:14" x14ac:dyDescent="0.25">
      <c r="A226" s="105">
        <v>110301</v>
      </c>
      <c r="B226" s="50" t="s">
        <v>109</v>
      </c>
      <c r="C226" s="30" t="s">
        <v>3</v>
      </c>
      <c r="D226" s="38">
        <v>15</v>
      </c>
      <c r="E226" s="51">
        <v>13470</v>
      </c>
      <c r="F226" s="120">
        <f t="shared" si="23"/>
        <v>213405.21</v>
      </c>
      <c r="I226" s="280">
        <v>182115</v>
      </c>
      <c r="J226" s="233" t="s">
        <v>19</v>
      </c>
      <c r="K226" s="234" t="s">
        <v>3</v>
      </c>
      <c r="L226" s="231">
        <v>25.6</v>
      </c>
      <c r="M226" s="235">
        <v>67990</v>
      </c>
      <c r="N226" s="369">
        <f t="shared" si="22"/>
        <v>1838362.5728</v>
      </c>
    </row>
    <row r="227" spans="1:14" x14ac:dyDescent="0.25">
      <c r="A227" s="105">
        <v>110303</v>
      </c>
      <c r="B227" s="50" t="s">
        <v>110</v>
      </c>
      <c r="C227" s="30" t="s">
        <v>3</v>
      </c>
      <c r="D227" s="38">
        <v>32</v>
      </c>
      <c r="E227" s="51">
        <v>27910</v>
      </c>
      <c r="F227" s="120">
        <f t="shared" si="23"/>
        <v>943313.34400000004</v>
      </c>
      <c r="I227" s="189">
        <v>182115</v>
      </c>
      <c r="J227" s="182" t="s">
        <v>19</v>
      </c>
      <c r="K227" s="190" t="s">
        <v>3</v>
      </c>
      <c r="L227" s="178">
        <v>150</v>
      </c>
      <c r="M227" s="191">
        <v>67990</v>
      </c>
      <c r="N227" s="369">
        <f t="shared" si="22"/>
        <v>10771655.700000001</v>
      </c>
    </row>
    <row r="228" spans="1:14" x14ac:dyDescent="0.25">
      <c r="A228" s="105">
        <v>250611</v>
      </c>
      <c r="B228" s="50" t="s">
        <v>113</v>
      </c>
      <c r="C228" s="30" t="s">
        <v>1</v>
      </c>
      <c r="D228" s="38">
        <v>3</v>
      </c>
      <c r="E228" s="51">
        <v>14560</v>
      </c>
      <c r="F228" s="120">
        <f t="shared" si="23"/>
        <v>46134.815999999999</v>
      </c>
      <c r="I228" s="189">
        <v>190106</v>
      </c>
      <c r="J228" s="182" t="s">
        <v>81</v>
      </c>
      <c r="K228" s="190" t="s">
        <v>15</v>
      </c>
      <c r="L228" s="178">
        <v>443.35199999999998</v>
      </c>
      <c r="M228" s="191">
        <v>22030</v>
      </c>
      <c r="N228" s="369">
        <f t="shared" si="22"/>
        <v>10315952.464271998</v>
      </c>
    </row>
    <row r="229" spans="1:14" x14ac:dyDescent="0.25">
      <c r="A229" s="106" t="s">
        <v>114</v>
      </c>
      <c r="B229" s="50" t="s">
        <v>115</v>
      </c>
      <c r="C229" s="70" t="s">
        <v>3</v>
      </c>
      <c r="D229" s="38">
        <v>30</v>
      </c>
      <c r="E229" s="51">
        <v>5880</v>
      </c>
      <c r="F229" s="120">
        <f t="shared" si="23"/>
        <v>186313.68</v>
      </c>
      <c r="I229" s="189">
        <v>190106</v>
      </c>
      <c r="J229" s="182" t="s">
        <v>81</v>
      </c>
      <c r="K229" s="190" t="s">
        <v>15</v>
      </c>
      <c r="L229" s="178">
        <v>397.5</v>
      </c>
      <c r="M229" s="191">
        <v>22030</v>
      </c>
      <c r="N229" s="369">
        <f t="shared" si="22"/>
        <v>9249064.1850000005</v>
      </c>
    </row>
    <row r="230" spans="1:14" x14ac:dyDescent="0.25">
      <c r="A230" s="105">
        <v>160505</v>
      </c>
      <c r="B230" s="50" t="s">
        <v>51</v>
      </c>
      <c r="C230" s="30" t="s">
        <v>3</v>
      </c>
      <c r="D230" s="38">
        <v>40</v>
      </c>
      <c r="E230" s="51">
        <v>6280</v>
      </c>
      <c r="F230" s="120">
        <f t="shared" si="23"/>
        <v>265317.44</v>
      </c>
      <c r="I230" s="270">
        <v>190106</v>
      </c>
      <c r="J230" s="202" t="s">
        <v>81</v>
      </c>
      <c r="K230" s="216" t="s">
        <v>15</v>
      </c>
      <c r="L230" s="217">
        <v>20</v>
      </c>
      <c r="M230" s="287">
        <v>21440</v>
      </c>
      <c r="N230" s="369">
        <f t="shared" si="22"/>
        <v>452898.56</v>
      </c>
    </row>
    <row r="231" spans="1:14" x14ac:dyDescent="0.25">
      <c r="A231" s="105">
        <v>160801</v>
      </c>
      <c r="B231" s="50" t="s">
        <v>116</v>
      </c>
      <c r="C231" s="30" t="s">
        <v>1</v>
      </c>
      <c r="D231" s="38">
        <v>16</v>
      </c>
      <c r="E231" s="51">
        <v>42840</v>
      </c>
      <c r="F231" s="120">
        <f t="shared" si="23"/>
        <v>723961.728</v>
      </c>
      <c r="I231" s="175">
        <v>190107</v>
      </c>
      <c r="J231" s="182" t="s">
        <v>81</v>
      </c>
      <c r="K231" s="218" t="s">
        <v>15</v>
      </c>
      <c r="L231" s="257">
        <v>20</v>
      </c>
      <c r="M231" s="219">
        <v>14330</v>
      </c>
      <c r="N231" s="369">
        <f t="shared" si="22"/>
        <v>302706.92</v>
      </c>
    </row>
    <row r="232" spans="1:14" x14ac:dyDescent="0.25">
      <c r="A232" s="105">
        <v>160629</v>
      </c>
      <c r="B232" s="50" t="s">
        <v>117</v>
      </c>
      <c r="C232" s="30" t="s">
        <v>1</v>
      </c>
      <c r="D232" s="38">
        <v>2</v>
      </c>
      <c r="E232" s="51">
        <v>23480</v>
      </c>
      <c r="F232" s="120">
        <f t="shared" si="23"/>
        <v>49599.152000000002</v>
      </c>
      <c r="I232" s="189">
        <v>190116</v>
      </c>
      <c r="J232" s="182" t="s">
        <v>40</v>
      </c>
      <c r="K232" s="190" t="s">
        <v>15</v>
      </c>
      <c r="L232" s="178">
        <v>13.6</v>
      </c>
      <c r="M232" s="191">
        <v>30420</v>
      </c>
      <c r="N232" s="369">
        <f t="shared" si="22"/>
        <v>436962.61440000002</v>
      </c>
    </row>
    <row r="233" spans="1:14" x14ac:dyDescent="0.25">
      <c r="A233" s="105">
        <v>190118</v>
      </c>
      <c r="B233" s="50" t="s">
        <v>155</v>
      </c>
      <c r="C233" s="30" t="s">
        <v>15</v>
      </c>
      <c r="D233" s="38">
        <f>108.39+21.6</f>
        <v>129.99</v>
      </c>
      <c r="E233" s="51">
        <v>29710</v>
      </c>
      <c r="F233" s="120">
        <f t="shared" si="23"/>
        <v>4079047.4629800003</v>
      </c>
      <c r="I233" s="275">
        <v>190118</v>
      </c>
      <c r="J233" s="222" t="s">
        <v>155</v>
      </c>
      <c r="K233" s="203" t="s">
        <v>15</v>
      </c>
      <c r="L233" s="209">
        <v>129.99</v>
      </c>
      <c r="M233" s="223">
        <v>29710</v>
      </c>
      <c r="N233" s="369">
        <f t="shared" si="22"/>
        <v>4079047.4629800003</v>
      </c>
    </row>
    <row r="234" spans="1:14" x14ac:dyDescent="0.25">
      <c r="A234" s="105">
        <v>190524</v>
      </c>
      <c r="B234" s="50" t="s">
        <v>16</v>
      </c>
      <c r="C234" s="30" t="s">
        <v>15</v>
      </c>
      <c r="D234" s="38">
        <v>64.995000000000005</v>
      </c>
      <c r="E234" s="51">
        <v>52040</v>
      </c>
      <c r="F234" s="120">
        <f t="shared" ref="F234:F253" si="24">(E234*D234)*+(1+5.62%)</f>
        <v>3572427.2967600003</v>
      </c>
      <c r="I234" s="175">
        <v>190301</v>
      </c>
      <c r="J234" s="176" t="s">
        <v>55</v>
      </c>
      <c r="K234" s="177" t="s">
        <v>3</v>
      </c>
      <c r="L234" s="178">
        <v>143.7515799</v>
      </c>
      <c r="M234" s="179">
        <v>21450</v>
      </c>
      <c r="N234" s="369">
        <f t="shared" si="22"/>
        <v>3256762.4809086509</v>
      </c>
    </row>
    <row r="235" spans="1:14" x14ac:dyDescent="0.25">
      <c r="A235" s="105">
        <v>200107</v>
      </c>
      <c r="B235" s="50" t="s">
        <v>156</v>
      </c>
      <c r="C235" s="30" t="s">
        <v>15</v>
      </c>
      <c r="D235" s="38">
        <v>34</v>
      </c>
      <c r="E235" s="51">
        <v>32180</v>
      </c>
      <c r="F235" s="120">
        <f t="shared" si="24"/>
        <v>1155609.544</v>
      </c>
      <c r="I235" s="264">
        <v>190515</v>
      </c>
      <c r="J235" s="222" t="s">
        <v>103</v>
      </c>
      <c r="K235" s="239" t="s">
        <v>3</v>
      </c>
      <c r="L235" s="240">
        <v>4.7</v>
      </c>
      <c r="M235" s="241">
        <v>19590</v>
      </c>
      <c r="N235" s="369">
        <f t="shared" si="22"/>
        <v>97247.502600000007</v>
      </c>
    </row>
    <row r="236" spans="1:14" x14ac:dyDescent="0.25">
      <c r="A236" s="103">
        <v>200226</v>
      </c>
      <c r="B236" s="50" t="s">
        <v>157</v>
      </c>
      <c r="C236" s="30" t="s">
        <v>15</v>
      </c>
      <c r="D236" s="38">
        <v>34</v>
      </c>
      <c r="E236" s="51">
        <v>50280</v>
      </c>
      <c r="F236" s="120">
        <f t="shared" si="24"/>
        <v>1805595.024</v>
      </c>
      <c r="I236" s="189">
        <v>190524</v>
      </c>
      <c r="J236" s="182" t="s">
        <v>16</v>
      </c>
      <c r="K236" s="190" t="s">
        <v>15</v>
      </c>
      <c r="L236" s="178">
        <v>94</v>
      </c>
      <c r="M236" s="191">
        <v>52040</v>
      </c>
      <c r="N236" s="369">
        <f t="shared" si="22"/>
        <v>5166676.9120000005</v>
      </c>
    </row>
    <row r="237" spans="1:14" x14ac:dyDescent="0.25">
      <c r="A237" s="105">
        <v>170404</v>
      </c>
      <c r="B237" s="50" t="s">
        <v>119</v>
      </c>
      <c r="C237" s="30" t="s">
        <v>1</v>
      </c>
      <c r="D237" s="38">
        <v>5</v>
      </c>
      <c r="E237" s="51">
        <v>58010</v>
      </c>
      <c r="F237" s="120">
        <f t="shared" si="24"/>
        <v>306350.81</v>
      </c>
      <c r="I237" s="189">
        <v>190524</v>
      </c>
      <c r="J237" s="182" t="s">
        <v>16</v>
      </c>
      <c r="K237" s="190" t="s">
        <v>15</v>
      </c>
      <c r="L237" s="178">
        <v>13.6</v>
      </c>
      <c r="M237" s="191">
        <v>52040</v>
      </c>
      <c r="N237" s="369">
        <f t="shared" si="22"/>
        <v>747519.21279999998</v>
      </c>
    </row>
    <row r="238" spans="1:14" x14ac:dyDescent="0.25">
      <c r="A238" s="106" t="s">
        <v>158</v>
      </c>
      <c r="B238" s="50" t="s">
        <v>159</v>
      </c>
      <c r="C238" s="30" t="s">
        <v>1</v>
      </c>
      <c r="D238" s="38">
        <v>5</v>
      </c>
      <c r="E238" s="51">
        <v>29250</v>
      </c>
      <c r="F238" s="120">
        <f t="shared" si="24"/>
        <v>154469.25</v>
      </c>
      <c r="I238" s="189">
        <v>190524</v>
      </c>
      <c r="J238" s="182" t="s">
        <v>16</v>
      </c>
      <c r="K238" s="190" t="s">
        <v>15</v>
      </c>
      <c r="L238" s="178">
        <v>176.29</v>
      </c>
      <c r="M238" s="191">
        <v>52040</v>
      </c>
      <c r="N238" s="369">
        <f t="shared" si="22"/>
        <v>9689717.7959199995</v>
      </c>
    </row>
    <row r="239" spans="1:14" x14ac:dyDescent="0.25">
      <c r="A239" s="105">
        <v>170532</v>
      </c>
      <c r="B239" s="50" t="s">
        <v>120</v>
      </c>
      <c r="C239" s="30" t="s">
        <v>1</v>
      </c>
      <c r="D239" s="38">
        <v>3</v>
      </c>
      <c r="E239" s="51">
        <v>118310</v>
      </c>
      <c r="F239" s="120">
        <f t="shared" si="24"/>
        <v>374877.06599999999</v>
      </c>
      <c r="I239" s="189">
        <v>190524</v>
      </c>
      <c r="J239" s="182" t="s">
        <v>16</v>
      </c>
      <c r="K239" s="190" t="s">
        <v>15</v>
      </c>
      <c r="L239" s="209">
        <v>67.5</v>
      </c>
      <c r="M239" s="191">
        <v>52040</v>
      </c>
      <c r="N239" s="369">
        <f t="shared" si="22"/>
        <v>3710113.74</v>
      </c>
    </row>
    <row r="240" spans="1:14" x14ac:dyDescent="0.25">
      <c r="A240" s="28">
        <v>220313</v>
      </c>
      <c r="B240" s="29" t="s">
        <v>28</v>
      </c>
      <c r="C240" s="30" t="s">
        <v>15</v>
      </c>
      <c r="D240" s="4">
        <v>8.4</v>
      </c>
      <c r="E240" s="31">
        <v>251370</v>
      </c>
      <c r="F240" s="120">
        <f t="shared" si="24"/>
        <v>2230174.7496000002</v>
      </c>
      <c r="I240" s="275">
        <v>190524</v>
      </c>
      <c r="J240" s="222" t="s">
        <v>16</v>
      </c>
      <c r="K240" s="203" t="s">
        <v>15</v>
      </c>
      <c r="L240" s="209">
        <v>64.995000000000005</v>
      </c>
      <c r="M240" s="223">
        <v>52040</v>
      </c>
      <c r="N240" s="369">
        <f t="shared" si="22"/>
        <v>3572427.2967600003</v>
      </c>
    </row>
    <row r="241" spans="1:14" x14ac:dyDescent="0.25">
      <c r="A241" s="28">
        <v>220405</v>
      </c>
      <c r="B241" s="29" t="s">
        <v>29</v>
      </c>
      <c r="C241" s="30" t="s">
        <v>1</v>
      </c>
      <c r="D241" s="4">
        <v>3</v>
      </c>
      <c r="E241" s="31">
        <v>162640</v>
      </c>
      <c r="F241" s="120">
        <f t="shared" si="24"/>
        <v>515341.10399999999</v>
      </c>
      <c r="I241" s="189">
        <v>190524</v>
      </c>
      <c r="J241" s="182" t="s">
        <v>16</v>
      </c>
      <c r="K241" s="190" t="s">
        <v>15</v>
      </c>
      <c r="L241" s="178">
        <v>235.12</v>
      </c>
      <c r="M241" s="191">
        <v>52040</v>
      </c>
      <c r="N241" s="369">
        <f t="shared" si="22"/>
        <v>12923288.037760001</v>
      </c>
    </row>
    <row r="242" spans="1:14" x14ac:dyDescent="0.25">
      <c r="A242" s="89">
        <v>181002</v>
      </c>
      <c r="B242" s="50" t="s">
        <v>82</v>
      </c>
      <c r="C242" s="30" t="s">
        <v>3</v>
      </c>
      <c r="D242" s="38">
        <v>6.1</v>
      </c>
      <c r="E242" s="51">
        <v>42530</v>
      </c>
      <c r="F242" s="120">
        <f t="shared" si="24"/>
        <v>274013.13459999999</v>
      </c>
      <c r="I242" s="189">
        <v>190524</v>
      </c>
      <c r="J242" s="182" t="s">
        <v>16</v>
      </c>
      <c r="K242" s="190" t="s">
        <v>15</v>
      </c>
      <c r="L242" s="190">
        <v>80</v>
      </c>
      <c r="M242" s="286">
        <v>52040</v>
      </c>
      <c r="N242" s="369">
        <f t="shared" si="22"/>
        <v>4397171.84</v>
      </c>
    </row>
    <row r="243" spans="1:14" x14ac:dyDescent="0.25">
      <c r="A243" s="89">
        <v>181001</v>
      </c>
      <c r="B243" s="50" t="s">
        <v>83</v>
      </c>
      <c r="C243" s="30" t="s">
        <v>3</v>
      </c>
      <c r="D243" s="52">
        <v>5</v>
      </c>
      <c r="E243" s="39">
        <v>39000</v>
      </c>
      <c r="F243" s="120">
        <f t="shared" si="24"/>
        <v>205959</v>
      </c>
      <c r="I243" s="270">
        <v>190524</v>
      </c>
      <c r="J243" s="202" t="s">
        <v>16</v>
      </c>
      <c r="K243" s="216" t="s">
        <v>15</v>
      </c>
      <c r="L243" s="217">
        <v>33</v>
      </c>
      <c r="M243" s="287">
        <v>52040</v>
      </c>
      <c r="N243" s="369">
        <f t="shared" si="22"/>
        <v>1813833.3840000001</v>
      </c>
    </row>
    <row r="244" spans="1:14" x14ac:dyDescent="0.25">
      <c r="A244" s="90">
        <v>181006</v>
      </c>
      <c r="B244" s="50" t="s">
        <v>84</v>
      </c>
      <c r="C244" s="30" t="s">
        <v>1</v>
      </c>
      <c r="D244" s="53">
        <v>3</v>
      </c>
      <c r="E244" s="54">
        <v>4880</v>
      </c>
      <c r="F244" s="120">
        <f t="shared" si="24"/>
        <v>15462.768</v>
      </c>
      <c r="I244" s="297">
        <v>190524</v>
      </c>
      <c r="J244" s="182" t="s">
        <v>16</v>
      </c>
      <c r="K244" s="214" t="s">
        <v>15</v>
      </c>
      <c r="L244" s="214">
        <v>62</v>
      </c>
      <c r="M244" s="292">
        <v>52040</v>
      </c>
      <c r="N244" s="369">
        <f t="shared" si="22"/>
        <v>3407808.176</v>
      </c>
    </row>
    <row r="245" spans="1:14" x14ac:dyDescent="0.25">
      <c r="A245" s="90">
        <v>181005</v>
      </c>
      <c r="B245" s="50" t="s">
        <v>85</v>
      </c>
      <c r="C245" s="30" t="s">
        <v>1</v>
      </c>
      <c r="D245" s="53">
        <v>2</v>
      </c>
      <c r="E245" s="54">
        <v>10680</v>
      </c>
      <c r="F245" s="120">
        <f t="shared" si="24"/>
        <v>22560.432000000001</v>
      </c>
      <c r="I245" s="305">
        <v>200102</v>
      </c>
      <c r="J245" s="182" t="s">
        <v>14</v>
      </c>
      <c r="K245" s="190" t="s">
        <v>15</v>
      </c>
      <c r="L245" s="178">
        <v>94</v>
      </c>
      <c r="M245" s="191">
        <v>27820</v>
      </c>
      <c r="N245" s="369">
        <f t="shared" si="22"/>
        <v>2762047.4960000003</v>
      </c>
    </row>
    <row r="246" spans="1:14" x14ac:dyDescent="0.25">
      <c r="A246" s="90">
        <v>181008</v>
      </c>
      <c r="B246" s="50" t="s">
        <v>86</v>
      </c>
      <c r="C246" s="30" t="s">
        <v>1</v>
      </c>
      <c r="D246" s="53">
        <v>2</v>
      </c>
      <c r="E246" s="54">
        <v>7190</v>
      </c>
      <c r="F246" s="120">
        <f t="shared" si="24"/>
        <v>15188.156000000001</v>
      </c>
      <c r="I246" s="305">
        <v>200102</v>
      </c>
      <c r="J246" s="182" t="s">
        <v>14</v>
      </c>
      <c r="K246" s="190" t="s">
        <v>15</v>
      </c>
      <c r="L246" s="178">
        <v>176.29</v>
      </c>
      <c r="M246" s="191">
        <v>27820</v>
      </c>
      <c r="N246" s="369">
        <f t="shared" si="22"/>
        <v>5180014.3943600003</v>
      </c>
    </row>
    <row r="247" spans="1:14" x14ac:dyDescent="0.25">
      <c r="A247" s="91">
        <v>181014</v>
      </c>
      <c r="B247" s="50" t="s">
        <v>87</v>
      </c>
      <c r="C247" s="30" t="s">
        <v>1</v>
      </c>
      <c r="D247" s="53">
        <v>1</v>
      </c>
      <c r="E247" s="54">
        <v>18190</v>
      </c>
      <c r="F247" s="120">
        <f t="shared" si="24"/>
        <v>19212.278000000002</v>
      </c>
      <c r="I247" s="305">
        <v>200102</v>
      </c>
      <c r="J247" s="253" t="s">
        <v>14</v>
      </c>
      <c r="K247" s="190" t="s">
        <v>15</v>
      </c>
      <c r="L247" s="178">
        <v>235.12</v>
      </c>
      <c r="M247" s="191">
        <v>27820</v>
      </c>
      <c r="N247" s="369">
        <f t="shared" si="22"/>
        <v>6908644.758080001</v>
      </c>
    </row>
    <row r="248" spans="1:14" x14ac:dyDescent="0.25">
      <c r="A248" s="90">
        <v>181018</v>
      </c>
      <c r="B248" s="50" t="s">
        <v>88</v>
      </c>
      <c r="C248" s="30" t="s">
        <v>1</v>
      </c>
      <c r="D248" s="53">
        <v>2</v>
      </c>
      <c r="E248" s="54">
        <v>8870</v>
      </c>
      <c r="F248" s="120">
        <f t="shared" si="24"/>
        <v>18736.988000000001</v>
      </c>
      <c r="I248" s="305">
        <v>200102</v>
      </c>
      <c r="J248" s="182" t="s">
        <v>14</v>
      </c>
      <c r="K248" s="190" t="s">
        <v>15</v>
      </c>
      <c r="L248" s="190">
        <v>80</v>
      </c>
      <c r="M248" s="286">
        <v>26710</v>
      </c>
      <c r="N248" s="369">
        <f t="shared" si="22"/>
        <v>2256888.16</v>
      </c>
    </row>
    <row r="249" spans="1:14" x14ac:dyDescent="0.25">
      <c r="A249" s="22">
        <v>182114</v>
      </c>
      <c r="B249" s="136" t="s">
        <v>160</v>
      </c>
      <c r="C249" s="17" t="s">
        <v>3</v>
      </c>
      <c r="D249" s="4">
        <v>24.4</v>
      </c>
      <c r="E249" s="18">
        <v>59930</v>
      </c>
      <c r="F249" s="120">
        <f t="shared" si="24"/>
        <v>1544472.8104000001</v>
      </c>
      <c r="I249" s="298">
        <v>200107</v>
      </c>
      <c r="J249" s="222" t="s">
        <v>156</v>
      </c>
      <c r="K249" s="203" t="s">
        <v>15</v>
      </c>
      <c r="L249" s="209">
        <v>34</v>
      </c>
      <c r="M249" s="223">
        <v>32180</v>
      </c>
      <c r="N249" s="369">
        <f t="shared" si="22"/>
        <v>1155609.544</v>
      </c>
    </row>
    <row r="250" spans="1:14" x14ac:dyDescent="0.25">
      <c r="A250" s="11">
        <v>180818</v>
      </c>
      <c r="B250" s="12" t="s">
        <v>20</v>
      </c>
      <c r="C250" s="13" t="s">
        <v>15</v>
      </c>
      <c r="D250" s="10">
        <v>43.37</v>
      </c>
      <c r="E250" s="14">
        <v>55250</v>
      </c>
      <c r="F250" s="120">
        <f t="shared" si="24"/>
        <v>2530858.5185000002</v>
      </c>
      <c r="I250" s="275">
        <v>200108</v>
      </c>
      <c r="J250" s="222" t="s">
        <v>118</v>
      </c>
      <c r="K250" s="203" t="s">
        <v>15</v>
      </c>
      <c r="L250" s="209">
        <v>67.5</v>
      </c>
      <c r="M250" s="223">
        <v>37600</v>
      </c>
      <c r="N250" s="369">
        <f t="shared" si="22"/>
        <v>2680635.6</v>
      </c>
    </row>
    <row r="251" spans="1:14" x14ac:dyDescent="0.25">
      <c r="A251" s="105">
        <v>100608</v>
      </c>
      <c r="B251" s="50" t="s">
        <v>97</v>
      </c>
      <c r="C251" s="30" t="s">
        <v>7</v>
      </c>
      <c r="D251" s="38">
        <v>15</v>
      </c>
      <c r="E251" s="51">
        <v>16870</v>
      </c>
      <c r="F251" s="120">
        <f t="shared" si="24"/>
        <v>267271.41000000003</v>
      </c>
      <c r="I251" s="175">
        <v>200127</v>
      </c>
      <c r="J251" s="182" t="s">
        <v>76</v>
      </c>
      <c r="K251" s="177" t="s">
        <v>15</v>
      </c>
      <c r="L251" s="178">
        <v>166.48</v>
      </c>
      <c r="M251" s="179">
        <v>60710</v>
      </c>
      <c r="N251" s="369">
        <f t="shared" si="22"/>
        <v>10675014.244959999</v>
      </c>
    </row>
    <row r="252" spans="1:14" x14ac:dyDescent="0.25">
      <c r="A252" s="105">
        <v>310105</v>
      </c>
      <c r="B252" s="50" t="s">
        <v>38</v>
      </c>
      <c r="C252" s="30" t="s">
        <v>15</v>
      </c>
      <c r="D252" s="38">
        <v>33</v>
      </c>
      <c r="E252" s="51">
        <v>1780</v>
      </c>
      <c r="F252" s="120">
        <f t="shared" si="24"/>
        <v>62041.188000000002</v>
      </c>
      <c r="I252" s="175">
        <v>200127</v>
      </c>
      <c r="J252" s="182" t="s">
        <v>76</v>
      </c>
      <c r="K252" s="177" t="s">
        <v>15</v>
      </c>
      <c r="L252" s="178">
        <v>116.73</v>
      </c>
      <c r="M252" s="179">
        <v>60710</v>
      </c>
      <c r="N252" s="369">
        <f t="shared" si="22"/>
        <v>7484949.6204599999</v>
      </c>
    </row>
    <row r="253" spans="1:14" x14ac:dyDescent="0.25">
      <c r="A253" s="19">
        <v>301201</v>
      </c>
      <c r="B253" s="20" t="s">
        <v>161</v>
      </c>
      <c r="C253" s="21" t="s">
        <v>15</v>
      </c>
      <c r="D253" s="76">
        <v>40.057560000000002</v>
      </c>
      <c r="E253" s="15">
        <v>31050</v>
      </c>
      <c r="F253" s="120">
        <f t="shared" si="24"/>
        <v>1313688.0807756002</v>
      </c>
      <c r="I253" s="274">
        <v>200226</v>
      </c>
      <c r="J253" s="222" t="s">
        <v>157</v>
      </c>
      <c r="K253" s="203" t="s">
        <v>15</v>
      </c>
      <c r="L253" s="209">
        <v>34</v>
      </c>
      <c r="M253" s="223">
        <v>50280</v>
      </c>
      <c r="N253" s="369">
        <f t="shared" si="22"/>
        <v>1805595.024</v>
      </c>
    </row>
    <row r="254" spans="1:14" x14ac:dyDescent="0.25">
      <c r="A254" s="140">
        <v>100505</v>
      </c>
      <c r="B254" s="2" t="s">
        <v>60</v>
      </c>
      <c r="C254" s="83" t="s">
        <v>15</v>
      </c>
      <c r="D254" s="4">
        <v>181.68</v>
      </c>
      <c r="E254" s="8">
        <v>5120</v>
      </c>
      <c r="F254" s="125">
        <f t="shared" ref="F254:F285" si="25">(D254*E254)*+(1+5.62%)</f>
        <v>982478.92992000014</v>
      </c>
      <c r="I254" s="192">
        <v>200808</v>
      </c>
      <c r="J254" s="193" t="s">
        <v>18</v>
      </c>
      <c r="K254" s="324" t="s">
        <v>3</v>
      </c>
      <c r="L254" s="178">
        <v>43</v>
      </c>
      <c r="M254" s="213">
        <v>14420</v>
      </c>
      <c r="N254" s="369">
        <f t="shared" si="22"/>
        <v>654907.37199999997</v>
      </c>
    </row>
    <row r="255" spans="1:14" x14ac:dyDescent="0.25">
      <c r="A255" s="140">
        <v>100536</v>
      </c>
      <c r="B255" s="136" t="s">
        <v>61</v>
      </c>
      <c r="C255" s="83" t="s">
        <v>62</v>
      </c>
      <c r="D255" s="4">
        <v>156</v>
      </c>
      <c r="E255" s="8">
        <v>1800</v>
      </c>
      <c r="F255" s="125">
        <f t="shared" si="25"/>
        <v>296580.96000000002</v>
      </c>
      <c r="I255" s="192">
        <v>200808</v>
      </c>
      <c r="J255" s="193" t="s">
        <v>18</v>
      </c>
      <c r="K255" s="324" t="s">
        <v>3</v>
      </c>
      <c r="L255" s="178">
        <v>170.52</v>
      </c>
      <c r="M255" s="213">
        <v>14420</v>
      </c>
      <c r="N255" s="369">
        <f t="shared" si="22"/>
        <v>2597088.4900800004</v>
      </c>
    </row>
    <row r="256" spans="1:14" x14ac:dyDescent="0.25">
      <c r="A256" s="140">
        <v>100314</v>
      </c>
      <c r="B256" s="81" t="s">
        <v>67</v>
      </c>
      <c r="C256" s="83" t="s">
        <v>15</v>
      </c>
      <c r="D256" s="4">
        <v>233.6</v>
      </c>
      <c r="E256" s="8">
        <v>5050</v>
      </c>
      <c r="F256" s="125">
        <f t="shared" si="25"/>
        <v>1245978.0160000001</v>
      </c>
      <c r="I256" s="192">
        <v>200808</v>
      </c>
      <c r="J256" s="349" t="s">
        <v>18</v>
      </c>
      <c r="K256" s="324" t="s">
        <v>3</v>
      </c>
      <c r="L256" s="178">
        <v>159.47</v>
      </c>
      <c r="M256" s="213">
        <v>14420</v>
      </c>
      <c r="N256" s="369">
        <f t="shared" si="22"/>
        <v>2428792.5258800001</v>
      </c>
    </row>
    <row r="257" spans="1:14" x14ac:dyDescent="0.25">
      <c r="A257" s="140">
        <v>100401</v>
      </c>
      <c r="B257" s="81" t="s">
        <v>162</v>
      </c>
      <c r="C257" s="83" t="s">
        <v>15</v>
      </c>
      <c r="D257" s="4">
        <v>113.11</v>
      </c>
      <c r="E257" s="8">
        <v>4640</v>
      </c>
      <c r="F257" s="125">
        <f t="shared" si="25"/>
        <v>554325.86848000006</v>
      </c>
      <c r="I257" s="201">
        <v>220105</v>
      </c>
      <c r="J257" s="319" t="s">
        <v>89</v>
      </c>
      <c r="K257" s="322" t="s">
        <v>15</v>
      </c>
      <c r="L257" s="178">
        <v>23.11</v>
      </c>
      <c r="M257" s="269">
        <v>306410</v>
      </c>
      <c r="N257" s="369">
        <f t="shared" si="22"/>
        <v>7479094.8926200001</v>
      </c>
    </row>
    <row r="258" spans="1:14" x14ac:dyDescent="0.25">
      <c r="A258" s="11">
        <v>100214</v>
      </c>
      <c r="B258" s="12" t="s">
        <v>70</v>
      </c>
      <c r="C258" s="13" t="s">
        <v>3</v>
      </c>
      <c r="D258" s="4">
        <v>59.86</v>
      </c>
      <c r="E258" s="14">
        <v>6170</v>
      </c>
      <c r="F258" s="125">
        <f t="shared" si="25"/>
        <v>390092.89444</v>
      </c>
      <c r="I258" s="201">
        <v>220105</v>
      </c>
      <c r="J258" s="202" t="s">
        <v>89</v>
      </c>
      <c r="K258" s="203" t="s">
        <v>15</v>
      </c>
      <c r="L258" s="178">
        <v>47.6</v>
      </c>
      <c r="M258" s="204">
        <v>306410</v>
      </c>
      <c r="N258" s="369">
        <f t="shared" si="22"/>
        <v>15404799.519200001</v>
      </c>
    </row>
    <row r="259" spans="1:14" x14ac:dyDescent="0.25">
      <c r="A259" s="11">
        <v>100308</v>
      </c>
      <c r="B259" s="12" t="s">
        <v>72</v>
      </c>
      <c r="C259" s="13" t="s">
        <v>3</v>
      </c>
      <c r="D259" s="4">
        <v>58.23</v>
      </c>
      <c r="E259" s="14">
        <v>2270</v>
      </c>
      <c r="F259" s="125">
        <f t="shared" si="25"/>
        <v>139610.73402</v>
      </c>
      <c r="I259" s="270">
        <v>220301</v>
      </c>
      <c r="J259" s="202" t="s">
        <v>193</v>
      </c>
      <c r="K259" s="216" t="s">
        <v>15</v>
      </c>
      <c r="L259" s="217">
        <v>1.4</v>
      </c>
      <c r="M259" s="287">
        <v>262700</v>
      </c>
      <c r="N259" s="369">
        <f t="shared" si="22"/>
        <v>388449.23600000003</v>
      </c>
    </row>
    <row r="260" spans="1:14" x14ac:dyDescent="0.25">
      <c r="A260" s="126" t="s">
        <v>163</v>
      </c>
      <c r="B260" s="81" t="s">
        <v>164</v>
      </c>
      <c r="C260" s="3" t="s">
        <v>1</v>
      </c>
      <c r="D260" s="4">
        <v>1</v>
      </c>
      <c r="E260" s="48">
        <v>2000000</v>
      </c>
      <c r="F260" s="125">
        <f t="shared" si="25"/>
        <v>2112400</v>
      </c>
      <c r="I260" s="201">
        <v>220312</v>
      </c>
      <c r="J260" s="319" t="s">
        <v>42</v>
      </c>
      <c r="K260" s="203" t="s">
        <v>15</v>
      </c>
      <c r="L260" s="178">
        <v>7.5</v>
      </c>
      <c r="M260" s="204">
        <v>175240</v>
      </c>
      <c r="N260" s="369">
        <f t="shared" ref="N260:N323" si="26">(L260*M260)*+(1+5.62%)</f>
        <v>1388163.6600000001</v>
      </c>
    </row>
    <row r="261" spans="1:14" x14ac:dyDescent="0.25">
      <c r="A261" s="140">
        <v>100119</v>
      </c>
      <c r="B261" s="81" t="s">
        <v>59</v>
      </c>
      <c r="C261" s="3" t="s">
        <v>3</v>
      </c>
      <c r="D261" s="4">
        <v>170</v>
      </c>
      <c r="E261" s="49">
        <v>10250</v>
      </c>
      <c r="F261" s="125">
        <f t="shared" si="25"/>
        <v>1840428.5</v>
      </c>
      <c r="I261" s="201">
        <v>220313</v>
      </c>
      <c r="J261" s="319" t="s">
        <v>28</v>
      </c>
      <c r="K261" s="203" t="s">
        <v>15</v>
      </c>
      <c r="L261" s="178">
        <v>3.5</v>
      </c>
      <c r="M261" s="204">
        <v>251370</v>
      </c>
      <c r="N261" s="369">
        <f t="shared" si="26"/>
        <v>929239.47900000005</v>
      </c>
    </row>
    <row r="262" spans="1:14" x14ac:dyDescent="0.25">
      <c r="A262" s="140">
        <v>100103</v>
      </c>
      <c r="B262" s="81" t="s">
        <v>165</v>
      </c>
      <c r="C262" s="3" t="s">
        <v>1</v>
      </c>
      <c r="D262" s="4">
        <v>1</v>
      </c>
      <c r="E262" s="49">
        <v>2344980</v>
      </c>
      <c r="F262" s="125">
        <f t="shared" si="25"/>
        <v>2476767.8760000002</v>
      </c>
      <c r="I262" s="201">
        <v>220313</v>
      </c>
      <c r="J262" s="319" t="s">
        <v>28</v>
      </c>
      <c r="K262" s="203" t="s">
        <v>15</v>
      </c>
      <c r="L262" s="178">
        <v>6.94</v>
      </c>
      <c r="M262" s="204">
        <v>251370</v>
      </c>
      <c r="N262" s="369">
        <f t="shared" si="26"/>
        <v>1842549.13836</v>
      </c>
    </row>
    <row r="263" spans="1:14" x14ac:dyDescent="0.25">
      <c r="A263" s="140">
        <v>10115</v>
      </c>
      <c r="B263" s="81" t="s">
        <v>166</v>
      </c>
      <c r="C263" s="3" t="s">
        <v>15</v>
      </c>
      <c r="D263" s="4">
        <v>116.735</v>
      </c>
      <c r="E263" s="48">
        <v>2550</v>
      </c>
      <c r="F263" s="125">
        <f t="shared" si="25"/>
        <v>314403.54285000003</v>
      </c>
      <c r="I263" s="201">
        <v>220313</v>
      </c>
      <c r="J263" s="319" t="s">
        <v>28</v>
      </c>
      <c r="K263" s="203" t="s">
        <v>15</v>
      </c>
      <c r="L263" s="178">
        <v>7.8</v>
      </c>
      <c r="M263" s="204">
        <v>251370</v>
      </c>
      <c r="N263" s="369">
        <f t="shared" si="26"/>
        <v>2070876.5532</v>
      </c>
    </row>
    <row r="264" spans="1:14" x14ac:dyDescent="0.25">
      <c r="A264" s="140">
        <v>110904</v>
      </c>
      <c r="B264" s="81" t="s">
        <v>167</v>
      </c>
      <c r="C264" s="3" t="s">
        <v>15</v>
      </c>
      <c r="D264" s="4">
        <v>116.735</v>
      </c>
      <c r="E264" s="48">
        <v>4540</v>
      </c>
      <c r="F264" s="125">
        <f t="shared" si="25"/>
        <v>559761.60178000003</v>
      </c>
      <c r="I264" s="201">
        <v>220313</v>
      </c>
      <c r="J264" s="319" t="s">
        <v>28</v>
      </c>
      <c r="K264" s="203" t="s">
        <v>15</v>
      </c>
      <c r="L264" s="178">
        <v>8.4</v>
      </c>
      <c r="M264" s="204">
        <v>251370</v>
      </c>
      <c r="N264" s="369">
        <f t="shared" si="26"/>
        <v>2230174.7496000002</v>
      </c>
    </row>
    <row r="265" spans="1:14" ht="15.75" thickBot="1" x14ac:dyDescent="0.3">
      <c r="A265" s="140">
        <v>10207</v>
      </c>
      <c r="B265" s="2" t="s">
        <v>168</v>
      </c>
      <c r="C265" s="127" t="s">
        <v>169</v>
      </c>
      <c r="D265" s="4">
        <v>20</v>
      </c>
      <c r="E265" s="128">
        <v>30550</v>
      </c>
      <c r="F265" s="125">
        <f t="shared" si="25"/>
        <v>645338.20000000007</v>
      </c>
      <c r="I265" s="201">
        <v>220313</v>
      </c>
      <c r="J265" s="202" t="s">
        <v>28</v>
      </c>
      <c r="K265" s="353" t="s">
        <v>15</v>
      </c>
      <c r="L265" s="178">
        <v>8.8000000000000007</v>
      </c>
      <c r="M265" s="363">
        <v>251370</v>
      </c>
      <c r="N265" s="369">
        <f t="shared" si="26"/>
        <v>2336373.5471999999</v>
      </c>
    </row>
    <row r="266" spans="1:14" x14ac:dyDescent="0.25">
      <c r="A266" s="140">
        <v>330602</v>
      </c>
      <c r="B266" s="153" t="s">
        <v>4</v>
      </c>
      <c r="C266" s="7" t="s">
        <v>5</v>
      </c>
      <c r="D266" s="4">
        <v>150</v>
      </c>
      <c r="E266" s="8">
        <v>15990</v>
      </c>
      <c r="F266" s="125">
        <f t="shared" si="25"/>
        <v>2533295.7000000002</v>
      </c>
      <c r="I266" s="201">
        <v>220405</v>
      </c>
      <c r="J266" s="338" t="s">
        <v>29</v>
      </c>
      <c r="K266" s="322" t="s">
        <v>1</v>
      </c>
      <c r="L266" s="178">
        <v>1</v>
      </c>
      <c r="M266" s="269">
        <v>162640</v>
      </c>
      <c r="N266" s="369">
        <f t="shared" si="26"/>
        <v>171780.36800000002</v>
      </c>
    </row>
    <row r="267" spans="1:14" x14ac:dyDescent="0.25">
      <c r="A267" s="140">
        <v>10215</v>
      </c>
      <c r="B267" s="2" t="s">
        <v>132</v>
      </c>
      <c r="C267" s="7" t="s">
        <v>15</v>
      </c>
      <c r="D267" s="4">
        <v>116.735</v>
      </c>
      <c r="E267" s="8">
        <v>750</v>
      </c>
      <c r="F267" s="125">
        <f t="shared" si="25"/>
        <v>92471.630250000002</v>
      </c>
      <c r="I267" s="201">
        <v>220405</v>
      </c>
      <c r="J267" s="202" t="s">
        <v>29</v>
      </c>
      <c r="K267" s="322" t="s">
        <v>1</v>
      </c>
      <c r="L267" s="178">
        <v>3</v>
      </c>
      <c r="M267" s="269">
        <v>162640</v>
      </c>
      <c r="N267" s="369">
        <f t="shared" si="26"/>
        <v>515341.10399999999</v>
      </c>
    </row>
    <row r="268" spans="1:14" x14ac:dyDescent="0.25">
      <c r="A268" s="140">
        <v>100619</v>
      </c>
      <c r="B268" s="2" t="s">
        <v>170</v>
      </c>
      <c r="C268" s="7" t="s">
        <v>7</v>
      </c>
      <c r="D268" s="4">
        <v>21</v>
      </c>
      <c r="E268" s="8">
        <v>25400</v>
      </c>
      <c r="F268" s="125">
        <f t="shared" si="25"/>
        <v>563377.07999999996</v>
      </c>
      <c r="I268" s="201">
        <v>220405</v>
      </c>
      <c r="J268" s="202" t="s">
        <v>29</v>
      </c>
      <c r="K268" s="322" t="s">
        <v>1</v>
      </c>
      <c r="L268" s="178">
        <v>4</v>
      </c>
      <c r="M268" s="269">
        <v>162640</v>
      </c>
      <c r="N268" s="369">
        <f t="shared" si="26"/>
        <v>687121.47200000007</v>
      </c>
    </row>
    <row r="269" spans="1:14" x14ac:dyDescent="0.25">
      <c r="A269" s="142">
        <v>172414</v>
      </c>
      <c r="B269" s="141" t="s">
        <v>69</v>
      </c>
      <c r="C269" s="7" t="s">
        <v>1</v>
      </c>
      <c r="D269" s="4">
        <v>8</v>
      </c>
      <c r="E269" s="84">
        <v>5180</v>
      </c>
      <c r="F269" s="125">
        <f t="shared" si="25"/>
        <v>43768.928</v>
      </c>
      <c r="I269" s="304">
        <v>220405</v>
      </c>
      <c r="J269" s="338" t="s">
        <v>29</v>
      </c>
      <c r="K269" s="322" t="s">
        <v>1</v>
      </c>
      <c r="L269" s="178">
        <v>3</v>
      </c>
      <c r="M269" s="361">
        <v>162640</v>
      </c>
      <c r="N269" s="369">
        <f t="shared" si="26"/>
        <v>515341.10399999999</v>
      </c>
    </row>
    <row r="270" spans="1:14" x14ac:dyDescent="0.25">
      <c r="A270" s="140">
        <v>10114</v>
      </c>
      <c r="B270" s="2" t="s">
        <v>2</v>
      </c>
      <c r="C270" s="3" t="s">
        <v>3</v>
      </c>
      <c r="D270" s="4">
        <v>72</v>
      </c>
      <c r="E270" s="5">
        <v>2010</v>
      </c>
      <c r="F270" s="125">
        <f t="shared" si="25"/>
        <v>152853.264</v>
      </c>
      <c r="I270" s="201">
        <v>220405</v>
      </c>
      <c r="J270" s="202" t="s">
        <v>29</v>
      </c>
      <c r="K270" s="203" t="s">
        <v>1</v>
      </c>
      <c r="L270" s="178">
        <v>4</v>
      </c>
      <c r="M270" s="204">
        <v>162640</v>
      </c>
      <c r="N270" s="369">
        <f t="shared" si="26"/>
        <v>687121.47200000007</v>
      </c>
    </row>
    <row r="271" spans="1:14" x14ac:dyDescent="0.25">
      <c r="A271" s="140">
        <v>60810</v>
      </c>
      <c r="B271" s="2" t="s">
        <v>73</v>
      </c>
      <c r="C271" s="3" t="s">
        <v>7</v>
      </c>
      <c r="D271" s="4">
        <f>7.19+11.64</f>
        <v>18.830000000000002</v>
      </c>
      <c r="E271" s="5">
        <v>13690</v>
      </c>
      <c r="F271" s="125">
        <f t="shared" si="25"/>
        <v>272270.08774000005</v>
      </c>
      <c r="I271" s="201">
        <v>220606</v>
      </c>
      <c r="J271" s="255" t="s">
        <v>180</v>
      </c>
      <c r="K271" s="256" t="s">
        <v>3</v>
      </c>
      <c r="L271" s="178">
        <v>30</v>
      </c>
      <c r="M271" s="204">
        <v>83650</v>
      </c>
      <c r="N271" s="369">
        <f t="shared" si="26"/>
        <v>2650533.9</v>
      </c>
    </row>
    <row r="272" spans="1:14" x14ac:dyDescent="0.25">
      <c r="A272" s="140">
        <v>120211</v>
      </c>
      <c r="B272" s="141" t="s">
        <v>74</v>
      </c>
      <c r="C272" s="3" t="s">
        <v>15</v>
      </c>
      <c r="D272" s="4">
        <v>8.32</v>
      </c>
      <c r="E272" s="5">
        <v>31250</v>
      </c>
      <c r="F272" s="125">
        <f t="shared" si="25"/>
        <v>274612</v>
      </c>
      <c r="I272" s="175">
        <v>221012</v>
      </c>
      <c r="J272" s="289" t="s">
        <v>185</v>
      </c>
      <c r="K272" s="206" t="s">
        <v>15</v>
      </c>
      <c r="L272" s="257">
        <v>4.5999999999999996</v>
      </c>
      <c r="M272" s="219">
        <v>264220</v>
      </c>
      <c r="N272" s="369">
        <f t="shared" si="26"/>
        <v>1283718.1544000001</v>
      </c>
    </row>
    <row r="273" spans="1:14" x14ac:dyDescent="0.25">
      <c r="A273" s="140">
        <v>120401</v>
      </c>
      <c r="B273" s="136" t="s">
        <v>171</v>
      </c>
      <c r="C273" s="3" t="s">
        <v>7</v>
      </c>
      <c r="D273" s="4">
        <v>2.86</v>
      </c>
      <c r="E273" s="5">
        <v>480430</v>
      </c>
      <c r="F273" s="125">
        <f t="shared" si="25"/>
        <v>1451250.2747600002</v>
      </c>
      <c r="I273" s="270">
        <v>221013</v>
      </c>
      <c r="J273" s="202" t="s">
        <v>189</v>
      </c>
      <c r="K273" s="216" t="s">
        <v>15</v>
      </c>
      <c r="L273" s="217">
        <v>1.87</v>
      </c>
      <c r="M273" s="287">
        <v>319260</v>
      </c>
      <c r="N273" s="369">
        <f t="shared" si="26"/>
        <v>630568.5104400001</v>
      </c>
    </row>
    <row r="274" spans="1:14" x14ac:dyDescent="0.25">
      <c r="A274" s="140">
        <v>120213</v>
      </c>
      <c r="B274" s="136" t="s">
        <v>75</v>
      </c>
      <c r="C274" s="3" t="s">
        <v>7</v>
      </c>
      <c r="D274" s="4">
        <v>2.5</v>
      </c>
      <c r="E274" s="5">
        <v>427970</v>
      </c>
      <c r="F274" s="125">
        <f t="shared" si="25"/>
        <v>1130054.7849999999</v>
      </c>
      <c r="I274" s="201">
        <v>221804</v>
      </c>
      <c r="J274" s="255" t="s">
        <v>181</v>
      </c>
      <c r="K274" s="256" t="s">
        <v>3</v>
      </c>
      <c r="L274" s="178">
        <v>33</v>
      </c>
      <c r="M274" s="204">
        <v>132700</v>
      </c>
      <c r="N274" s="369">
        <f t="shared" si="26"/>
        <v>4625205.42</v>
      </c>
    </row>
    <row r="275" spans="1:14" x14ac:dyDescent="0.25">
      <c r="A275" s="140">
        <v>200127</v>
      </c>
      <c r="B275" s="136" t="s">
        <v>76</v>
      </c>
      <c r="C275" s="3" t="s">
        <v>15</v>
      </c>
      <c r="D275" s="4">
        <v>116.73</v>
      </c>
      <c r="E275" s="5">
        <v>60710</v>
      </c>
      <c r="F275" s="125">
        <f t="shared" si="25"/>
        <v>7484949.6204599999</v>
      </c>
      <c r="I275" s="270">
        <v>240202</v>
      </c>
      <c r="J275" s="202" t="s">
        <v>188</v>
      </c>
      <c r="K275" s="216" t="s">
        <v>15</v>
      </c>
      <c r="L275" s="217">
        <v>3.5</v>
      </c>
      <c r="M275" s="287">
        <v>203360</v>
      </c>
      <c r="N275" s="369">
        <f t="shared" si="26"/>
        <v>751760.91200000001</v>
      </c>
    </row>
    <row r="276" spans="1:14" x14ac:dyDescent="0.25">
      <c r="A276" s="140">
        <v>120303</v>
      </c>
      <c r="B276" s="136" t="s">
        <v>172</v>
      </c>
      <c r="C276" s="3" t="s">
        <v>7</v>
      </c>
      <c r="D276" s="4">
        <f>2.62+4.84</f>
        <v>7.46</v>
      </c>
      <c r="E276" s="5">
        <v>657170</v>
      </c>
      <c r="F276" s="125">
        <f t="shared" si="25"/>
        <v>5178008.0368400002</v>
      </c>
      <c r="I276" s="201">
        <v>240309</v>
      </c>
      <c r="J276" s="202" t="s">
        <v>41</v>
      </c>
      <c r="K276" s="203" t="s">
        <v>15</v>
      </c>
      <c r="L276" s="178">
        <v>6.16</v>
      </c>
      <c r="M276" s="204">
        <v>675870</v>
      </c>
      <c r="N276" s="369">
        <f t="shared" si="26"/>
        <v>4397339.98704</v>
      </c>
    </row>
    <row r="277" spans="1:14" x14ac:dyDescent="0.25">
      <c r="A277" s="140">
        <v>130204</v>
      </c>
      <c r="B277" s="136" t="s">
        <v>173</v>
      </c>
      <c r="C277" s="3" t="s">
        <v>7</v>
      </c>
      <c r="D277" s="4">
        <v>7.5</v>
      </c>
      <c r="E277" s="5">
        <v>931680</v>
      </c>
      <c r="F277" s="125">
        <f t="shared" si="25"/>
        <v>7380303.1200000001</v>
      </c>
      <c r="I277" s="201">
        <v>250113</v>
      </c>
      <c r="J277" s="202" t="s">
        <v>49</v>
      </c>
      <c r="K277" s="203" t="s">
        <v>48</v>
      </c>
      <c r="L277" s="178">
        <v>2</v>
      </c>
      <c r="M277" s="204">
        <v>105840</v>
      </c>
      <c r="N277" s="369">
        <f t="shared" si="26"/>
        <v>223576.416</v>
      </c>
    </row>
    <row r="278" spans="1:14" x14ac:dyDescent="0.25">
      <c r="A278" s="140">
        <v>130413</v>
      </c>
      <c r="B278" s="141" t="s">
        <v>174</v>
      </c>
      <c r="C278" s="3" t="s">
        <v>7</v>
      </c>
      <c r="D278" s="4">
        <v>4.0999999999999996</v>
      </c>
      <c r="E278" s="5">
        <v>859250</v>
      </c>
      <c r="F278" s="125">
        <f t="shared" si="25"/>
        <v>3720913.3849999998</v>
      </c>
      <c r="I278" s="201">
        <v>250113</v>
      </c>
      <c r="J278" s="338" t="s">
        <v>49</v>
      </c>
      <c r="K278" s="203" t="s">
        <v>48</v>
      </c>
      <c r="L278" s="178">
        <v>2</v>
      </c>
      <c r="M278" s="204">
        <v>105840</v>
      </c>
      <c r="N278" s="369">
        <f t="shared" si="26"/>
        <v>223576.416</v>
      </c>
    </row>
    <row r="279" spans="1:14" x14ac:dyDescent="0.25">
      <c r="A279" s="140">
        <v>130102</v>
      </c>
      <c r="B279" s="2" t="s">
        <v>10</v>
      </c>
      <c r="C279" s="3" t="s">
        <v>11</v>
      </c>
      <c r="D279" s="4">
        <v>3350</v>
      </c>
      <c r="E279" s="5">
        <v>5330</v>
      </c>
      <c r="F279" s="125">
        <f t="shared" si="25"/>
        <v>18858979.100000001</v>
      </c>
      <c r="I279" s="201">
        <v>250422</v>
      </c>
      <c r="J279" s="202" t="s">
        <v>43</v>
      </c>
      <c r="K279" s="203" t="s">
        <v>1</v>
      </c>
      <c r="L279" s="178">
        <v>2</v>
      </c>
      <c r="M279" s="204">
        <v>177070</v>
      </c>
      <c r="N279" s="369">
        <f t="shared" si="26"/>
        <v>374042.66800000001</v>
      </c>
    </row>
    <row r="280" spans="1:14" x14ac:dyDescent="0.25">
      <c r="A280" s="140">
        <v>130109</v>
      </c>
      <c r="B280" s="2" t="s">
        <v>12</v>
      </c>
      <c r="C280" s="3" t="s">
        <v>11</v>
      </c>
      <c r="D280" s="4">
        <v>3907</v>
      </c>
      <c r="E280" s="5">
        <v>4890</v>
      </c>
      <c r="F280" s="125">
        <f t="shared" si="25"/>
        <v>20178943.925999999</v>
      </c>
      <c r="I280" s="201">
        <v>250423</v>
      </c>
      <c r="J280" s="202" t="s">
        <v>47</v>
      </c>
      <c r="K280" s="203" t="s">
        <v>48</v>
      </c>
      <c r="L280" s="178">
        <v>3</v>
      </c>
      <c r="M280" s="204">
        <v>203970</v>
      </c>
      <c r="N280" s="369">
        <f t="shared" si="26"/>
        <v>646299.34200000006</v>
      </c>
    </row>
    <row r="281" spans="1:14" x14ac:dyDescent="0.25">
      <c r="A281" s="140">
        <v>130111</v>
      </c>
      <c r="B281" s="2" t="s">
        <v>79</v>
      </c>
      <c r="C281" s="3" t="s">
        <v>11</v>
      </c>
      <c r="D281" s="4">
        <v>95.2</v>
      </c>
      <c r="E281" s="5">
        <v>6880</v>
      </c>
      <c r="F281" s="125">
        <f t="shared" si="25"/>
        <v>691785.65119999996</v>
      </c>
      <c r="I281" s="274">
        <v>250423</v>
      </c>
      <c r="J281" s="222" t="s">
        <v>47</v>
      </c>
      <c r="K281" s="203" t="s">
        <v>48</v>
      </c>
      <c r="L281" s="209">
        <v>7</v>
      </c>
      <c r="M281" s="223">
        <v>203970</v>
      </c>
      <c r="N281" s="369">
        <f t="shared" si="26"/>
        <v>1508031.798</v>
      </c>
    </row>
    <row r="282" spans="1:14" x14ac:dyDescent="0.25">
      <c r="A282" s="85">
        <v>130622</v>
      </c>
      <c r="B282" s="86" t="s">
        <v>80</v>
      </c>
      <c r="C282" s="87" t="s">
        <v>15</v>
      </c>
      <c r="D282" s="4">
        <v>140.44999999999999</v>
      </c>
      <c r="E282" s="88">
        <v>129880</v>
      </c>
      <c r="F282" s="125">
        <f t="shared" si="25"/>
        <v>19266826.505200002</v>
      </c>
      <c r="I282" s="304">
        <v>250446</v>
      </c>
      <c r="J282" s="272" t="s">
        <v>45</v>
      </c>
      <c r="K282" s="322" t="s">
        <v>1</v>
      </c>
      <c r="L282" s="178">
        <v>6</v>
      </c>
      <c r="M282" s="269">
        <v>164220</v>
      </c>
      <c r="N282" s="369">
        <f t="shared" si="26"/>
        <v>1040694.9840000001</v>
      </c>
    </row>
    <row r="283" spans="1:14" x14ac:dyDescent="0.25">
      <c r="A283" s="11">
        <v>130403</v>
      </c>
      <c r="B283" s="12" t="s">
        <v>13</v>
      </c>
      <c r="C283" s="13" t="s">
        <v>3</v>
      </c>
      <c r="D283" s="4">
        <f>34+16</f>
        <v>50</v>
      </c>
      <c r="E283" s="14">
        <v>32120</v>
      </c>
      <c r="F283" s="125">
        <f t="shared" si="25"/>
        <v>1696257.2</v>
      </c>
      <c r="I283" s="201">
        <v>250517</v>
      </c>
      <c r="J283" s="202" t="s">
        <v>46</v>
      </c>
      <c r="K283" s="203" t="s">
        <v>1</v>
      </c>
      <c r="L283" s="178">
        <v>6</v>
      </c>
      <c r="M283" s="204">
        <v>35100</v>
      </c>
      <c r="N283" s="369">
        <f t="shared" si="26"/>
        <v>222435.72</v>
      </c>
    </row>
    <row r="284" spans="1:14" x14ac:dyDescent="0.25">
      <c r="A284" s="16">
        <v>200102</v>
      </c>
      <c r="B284" s="78" t="s">
        <v>14</v>
      </c>
      <c r="C284" s="17" t="s">
        <v>15</v>
      </c>
      <c r="D284" s="4">
        <v>235.12</v>
      </c>
      <c r="E284" s="18">
        <v>27820</v>
      </c>
      <c r="F284" s="125">
        <f t="shared" si="25"/>
        <v>6908644.758080001</v>
      </c>
      <c r="I284" s="274">
        <v>250517</v>
      </c>
      <c r="J284" s="222" t="s">
        <v>100</v>
      </c>
      <c r="K284" s="203" t="s">
        <v>1</v>
      </c>
      <c r="L284" s="209">
        <v>8</v>
      </c>
      <c r="M284" s="223">
        <v>35100</v>
      </c>
      <c r="N284" s="369">
        <f t="shared" si="26"/>
        <v>296580.96000000002</v>
      </c>
    </row>
    <row r="285" spans="1:14" x14ac:dyDescent="0.25">
      <c r="A285" s="16">
        <v>190524</v>
      </c>
      <c r="B285" s="136" t="s">
        <v>16</v>
      </c>
      <c r="C285" s="17" t="s">
        <v>15</v>
      </c>
      <c r="D285" s="4">
        <v>235.12</v>
      </c>
      <c r="E285" s="18">
        <v>52040</v>
      </c>
      <c r="F285" s="125">
        <f t="shared" si="25"/>
        <v>12923288.037760001</v>
      </c>
      <c r="I285" s="274">
        <v>250517</v>
      </c>
      <c r="J285" s="222" t="s">
        <v>100</v>
      </c>
      <c r="K285" s="203" t="s">
        <v>1</v>
      </c>
      <c r="L285" s="209">
        <v>6</v>
      </c>
      <c r="M285" s="223">
        <v>35100</v>
      </c>
      <c r="N285" s="369">
        <f t="shared" si="26"/>
        <v>222435.72</v>
      </c>
    </row>
    <row r="286" spans="1:14" x14ac:dyDescent="0.25">
      <c r="A286" s="16">
        <v>140117</v>
      </c>
      <c r="B286" s="136" t="s">
        <v>17</v>
      </c>
      <c r="C286" s="17" t="s">
        <v>15</v>
      </c>
      <c r="D286" s="4">
        <f>198.75-19.04</f>
        <v>179.71</v>
      </c>
      <c r="E286" s="18">
        <v>49900</v>
      </c>
      <c r="F286" s="125">
        <f t="shared" ref="F286:F317" si="27">(D286*E286)*+(1+5.62%)</f>
        <v>9471504.1298000012</v>
      </c>
      <c r="I286" s="201">
        <v>250520</v>
      </c>
      <c r="J286" s="202" t="s">
        <v>44</v>
      </c>
      <c r="K286" s="203" t="s">
        <v>1</v>
      </c>
      <c r="L286" s="178">
        <v>2</v>
      </c>
      <c r="M286" s="204">
        <v>61710</v>
      </c>
      <c r="N286" s="369">
        <f t="shared" si="26"/>
        <v>130356.204</v>
      </c>
    </row>
    <row r="287" spans="1:14" x14ac:dyDescent="0.25">
      <c r="A287" s="16">
        <v>190106</v>
      </c>
      <c r="B287" s="136" t="s">
        <v>81</v>
      </c>
      <c r="C287" s="17" t="s">
        <v>15</v>
      </c>
      <c r="D287" s="4">
        <v>397.5</v>
      </c>
      <c r="E287" s="18">
        <v>22030</v>
      </c>
      <c r="F287" s="125">
        <f t="shared" si="27"/>
        <v>9249064.1850000005</v>
      </c>
      <c r="I287" s="275">
        <v>250611</v>
      </c>
      <c r="J287" s="222" t="s">
        <v>113</v>
      </c>
      <c r="K287" s="203" t="s">
        <v>1</v>
      </c>
      <c r="L287" s="209">
        <v>2</v>
      </c>
      <c r="M287" s="223">
        <v>14560</v>
      </c>
      <c r="N287" s="369">
        <f t="shared" si="26"/>
        <v>30756.544000000002</v>
      </c>
    </row>
    <row r="288" spans="1:14" x14ac:dyDescent="0.25">
      <c r="A288" s="16">
        <v>290109</v>
      </c>
      <c r="B288" s="136" t="s">
        <v>125</v>
      </c>
      <c r="C288" s="17" t="s">
        <v>15</v>
      </c>
      <c r="D288" s="4">
        <v>397.5</v>
      </c>
      <c r="E288" s="18">
        <v>16910</v>
      </c>
      <c r="F288" s="125">
        <f t="shared" si="27"/>
        <v>7099485.9450000003</v>
      </c>
      <c r="I288" s="275">
        <v>250611</v>
      </c>
      <c r="J288" s="222" t="s">
        <v>113</v>
      </c>
      <c r="K288" s="203" t="s">
        <v>1</v>
      </c>
      <c r="L288" s="209">
        <v>3</v>
      </c>
      <c r="M288" s="223">
        <v>14560</v>
      </c>
      <c r="N288" s="369">
        <f t="shared" si="26"/>
        <v>46134.815999999999</v>
      </c>
    </row>
    <row r="289" spans="1:14" x14ac:dyDescent="0.25">
      <c r="A289" s="22">
        <v>290619</v>
      </c>
      <c r="B289" s="143" t="s">
        <v>175</v>
      </c>
      <c r="C289" s="129" t="s">
        <v>15</v>
      </c>
      <c r="D289" s="4">
        <v>397.5</v>
      </c>
      <c r="E289" s="26">
        <v>9260</v>
      </c>
      <c r="F289" s="125">
        <f t="shared" si="27"/>
        <v>3887713.77</v>
      </c>
      <c r="I289" s="271">
        <v>250709</v>
      </c>
      <c r="J289" s="272" t="s">
        <v>192</v>
      </c>
      <c r="K289" s="273" t="s">
        <v>1</v>
      </c>
      <c r="L289" s="217">
        <v>1</v>
      </c>
      <c r="M289" s="288">
        <v>105300</v>
      </c>
      <c r="N289" s="369">
        <f t="shared" si="26"/>
        <v>111217.86</v>
      </c>
    </row>
    <row r="290" spans="1:14" x14ac:dyDescent="0.25">
      <c r="A290" s="19">
        <v>140304</v>
      </c>
      <c r="B290" s="20" t="s">
        <v>176</v>
      </c>
      <c r="C290" s="21" t="s">
        <v>3</v>
      </c>
      <c r="D290" s="4">
        <f>8.76+34</f>
        <v>42.76</v>
      </c>
      <c r="E290" s="15">
        <v>63950</v>
      </c>
      <c r="F290" s="125">
        <f t="shared" si="27"/>
        <v>2888181.0123999999</v>
      </c>
      <c r="I290" s="274">
        <v>250804</v>
      </c>
      <c r="J290" s="222" t="s">
        <v>101</v>
      </c>
      <c r="K290" s="203" t="s">
        <v>1</v>
      </c>
      <c r="L290" s="209">
        <v>7</v>
      </c>
      <c r="M290" s="223">
        <v>24140</v>
      </c>
      <c r="N290" s="369">
        <f t="shared" si="26"/>
        <v>178476.67600000001</v>
      </c>
    </row>
    <row r="291" spans="1:14" x14ac:dyDescent="0.25">
      <c r="A291" s="19">
        <v>200808</v>
      </c>
      <c r="B291" s="20" t="s">
        <v>18</v>
      </c>
      <c r="C291" s="21" t="s">
        <v>3</v>
      </c>
      <c r="D291" s="4">
        <v>159.47</v>
      </c>
      <c r="E291" s="15">
        <v>14420</v>
      </c>
      <c r="F291" s="125">
        <f t="shared" si="27"/>
        <v>2428792.5258800001</v>
      </c>
      <c r="I291" s="274">
        <v>250804</v>
      </c>
      <c r="J291" s="222" t="s">
        <v>101</v>
      </c>
      <c r="K291" s="203" t="s">
        <v>1</v>
      </c>
      <c r="L291" s="225">
        <v>8</v>
      </c>
      <c r="M291" s="226">
        <v>24140</v>
      </c>
      <c r="N291" s="369">
        <f t="shared" si="26"/>
        <v>203973.34400000001</v>
      </c>
    </row>
    <row r="292" spans="1:14" x14ac:dyDescent="0.25">
      <c r="A292" s="22">
        <v>182115</v>
      </c>
      <c r="B292" s="136" t="s">
        <v>19</v>
      </c>
      <c r="C292" s="17" t="s">
        <v>3</v>
      </c>
      <c r="D292" s="4">
        <v>150</v>
      </c>
      <c r="E292" s="18">
        <v>67990</v>
      </c>
      <c r="F292" s="125">
        <f t="shared" si="27"/>
        <v>10771655.700000001</v>
      </c>
      <c r="I292" s="296">
        <v>250807</v>
      </c>
      <c r="J292" s="222" t="s">
        <v>99</v>
      </c>
      <c r="K292" s="239" t="s">
        <v>1</v>
      </c>
      <c r="L292" s="240">
        <v>6</v>
      </c>
      <c r="M292" s="241">
        <v>23910</v>
      </c>
      <c r="N292" s="369">
        <f t="shared" si="26"/>
        <v>151522.45199999999</v>
      </c>
    </row>
    <row r="293" spans="1:14" x14ac:dyDescent="0.25">
      <c r="A293" s="22">
        <v>180820</v>
      </c>
      <c r="B293" s="23" t="s">
        <v>177</v>
      </c>
      <c r="C293" s="17" t="s">
        <v>15</v>
      </c>
      <c r="D293" s="4">
        <v>73.709999999999994</v>
      </c>
      <c r="E293" s="18">
        <v>140080</v>
      </c>
      <c r="F293" s="125">
        <f t="shared" si="27"/>
        <v>10905578.48016</v>
      </c>
      <c r="I293" s="296">
        <v>250807</v>
      </c>
      <c r="J293" s="222" t="s">
        <v>99</v>
      </c>
      <c r="K293" s="239" t="s">
        <v>1</v>
      </c>
      <c r="L293" s="240">
        <v>6</v>
      </c>
      <c r="M293" s="241">
        <v>23910</v>
      </c>
      <c r="N293" s="369">
        <f t="shared" si="26"/>
        <v>151522.45199999999</v>
      </c>
    </row>
    <row r="294" spans="1:14" x14ac:dyDescent="0.25">
      <c r="A294" s="22">
        <v>181219</v>
      </c>
      <c r="B294" s="136" t="s">
        <v>178</v>
      </c>
      <c r="C294" s="17" t="s">
        <v>15</v>
      </c>
      <c r="D294" s="4">
        <v>137.81</v>
      </c>
      <c r="E294" s="18">
        <v>8770</v>
      </c>
      <c r="F294" s="125">
        <f t="shared" si="27"/>
        <v>1276516.66594</v>
      </c>
      <c r="I294" s="271">
        <v>260105</v>
      </c>
      <c r="J294" s="202" t="s">
        <v>187</v>
      </c>
      <c r="K294" s="216" t="s">
        <v>15</v>
      </c>
      <c r="L294" s="217">
        <v>160</v>
      </c>
      <c r="M294" s="287">
        <v>58510</v>
      </c>
      <c r="N294" s="369">
        <f t="shared" si="26"/>
        <v>9887721.9199999999</v>
      </c>
    </row>
    <row r="295" spans="1:14" x14ac:dyDescent="0.25">
      <c r="A295" s="22">
        <v>180822</v>
      </c>
      <c r="B295" s="24" t="s">
        <v>179</v>
      </c>
      <c r="C295" s="17" t="s">
        <v>3</v>
      </c>
      <c r="D295" s="4">
        <v>12.6</v>
      </c>
      <c r="E295" s="18">
        <v>36560</v>
      </c>
      <c r="F295" s="125">
        <f t="shared" si="27"/>
        <v>486544.86720000004</v>
      </c>
      <c r="I295" s="195">
        <v>290109</v>
      </c>
      <c r="J295" s="182" t="s">
        <v>125</v>
      </c>
      <c r="K295" s="190" t="s">
        <v>15</v>
      </c>
      <c r="L295" s="209">
        <v>150</v>
      </c>
      <c r="M295" s="191">
        <v>16910</v>
      </c>
      <c r="N295" s="369">
        <f t="shared" si="26"/>
        <v>2679051.3000000003</v>
      </c>
    </row>
    <row r="296" spans="1:14" x14ac:dyDescent="0.25">
      <c r="A296" s="11">
        <v>130411</v>
      </c>
      <c r="B296" s="12" t="s">
        <v>22</v>
      </c>
      <c r="C296" s="13" t="s">
        <v>7</v>
      </c>
      <c r="D296" s="4">
        <v>3.17</v>
      </c>
      <c r="E296" s="14">
        <v>917520</v>
      </c>
      <c r="F296" s="125">
        <f t="shared" si="27"/>
        <v>3071998.2580800001</v>
      </c>
      <c r="I296" s="189">
        <v>290109</v>
      </c>
      <c r="J296" s="182" t="s">
        <v>125</v>
      </c>
      <c r="K296" s="190" t="s">
        <v>15</v>
      </c>
      <c r="L296" s="178">
        <v>397.5</v>
      </c>
      <c r="M296" s="191">
        <v>16910</v>
      </c>
      <c r="N296" s="369">
        <f t="shared" si="26"/>
        <v>7099485.9450000003</v>
      </c>
    </row>
    <row r="297" spans="1:14" x14ac:dyDescent="0.25">
      <c r="A297" s="22">
        <v>150205</v>
      </c>
      <c r="B297" s="136" t="s">
        <v>23</v>
      </c>
      <c r="C297" s="17" t="s">
        <v>3</v>
      </c>
      <c r="D297" s="4">
        <v>32</v>
      </c>
      <c r="E297" s="18">
        <v>46400</v>
      </c>
      <c r="F297" s="125">
        <f t="shared" si="27"/>
        <v>1568245.76</v>
      </c>
      <c r="I297" s="195">
        <v>290109</v>
      </c>
      <c r="J297" s="182" t="s">
        <v>125</v>
      </c>
      <c r="K297" s="190" t="s">
        <v>15</v>
      </c>
      <c r="L297" s="190">
        <v>23</v>
      </c>
      <c r="M297" s="286">
        <v>16810</v>
      </c>
      <c r="N297" s="369">
        <f t="shared" si="26"/>
        <v>408358.60600000003</v>
      </c>
    </row>
    <row r="298" spans="1:14" x14ac:dyDescent="0.25">
      <c r="A298" s="22">
        <v>180410</v>
      </c>
      <c r="B298" s="143" t="s">
        <v>24</v>
      </c>
      <c r="C298" s="25" t="s">
        <v>15</v>
      </c>
      <c r="D298" s="4">
        <f>129.78+106.35</f>
        <v>236.13</v>
      </c>
      <c r="E298" s="26">
        <v>49570</v>
      </c>
      <c r="F298" s="125">
        <f t="shared" si="27"/>
        <v>12362783.082420001</v>
      </c>
      <c r="I298" s="271">
        <v>290115</v>
      </c>
      <c r="J298" s="272" t="s">
        <v>194</v>
      </c>
      <c r="K298" s="273" t="s">
        <v>15</v>
      </c>
      <c r="L298" s="217">
        <v>247</v>
      </c>
      <c r="M298" s="288">
        <v>1840</v>
      </c>
      <c r="N298" s="369">
        <f t="shared" si="26"/>
        <v>480021.77600000001</v>
      </c>
    </row>
    <row r="299" spans="1:14" x14ac:dyDescent="0.25">
      <c r="A299" s="22">
        <v>181213</v>
      </c>
      <c r="B299" s="143" t="s">
        <v>25</v>
      </c>
      <c r="C299" s="25" t="s">
        <v>3</v>
      </c>
      <c r="D299" s="4">
        <v>18</v>
      </c>
      <c r="E299" s="26">
        <v>26500</v>
      </c>
      <c r="F299" s="125">
        <f t="shared" si="27"/>
        <v>503807.4</v>
      </c>
      <c r="I299" s="304">
        <v>290407</v>
      </c>
      <c r="J299" s="272" t="s">
        <v>30</v>
      </c>
      <c r="K299" s="322" t="s">
        <v>15</v>
      </c>
      <c r="L299" s="178">
        <v>3.5756410000000001</v>
      </c>
      <c r="M299" s="269">
        <v>10130</v>
      </c>
      <c r="N299" s="369">
        <f t="shared" si="26"/>
        <v>38256.877205145996</v>
      </c>
    </row>
    <row r="300" spans="1:14" x14ac:dyDescent="0.25">
      <c r="A300" s="22">
        <v>320203</v>
      </c>
      <c r="B300" s="143" t="s">
        <v>26</v>
      </c>
      <c r="C300" s="25" t="s">
        <v>27</v>
      </c>
      <c r="D300" s="4">
        <v>10</v>
      </c>
      <c r="E300" s="26">
        <v>13980</v>
      </c>
      <c r="F300" s="125">
        <f t="shared" si="27"/>
        <v>147656.76</v>
      </c>
      <c r="I300" s="304">
        <v>290407</v>
      </c>
      <c r="J300" s="272" t="s">
        <v>30</v>
      </c>
      <c r="K300" s="322" t="s">
        <v>15</v>
      </c>
      <c r="L300" s="178">
        <v>5</v>
      </c>
      <c r="M300" s="269">
        <v>10130</v>
      </c>
      <c r="N300" s="369">
        <f t="shared" si="26"/>
        <v>53496.53</v>
      </c>
    </row>
    <row r="301" spans="1:14" x14ac:dyDescent="0.25">
      <c r="A301" s="22">
        <v>170659</v>
      </c>
      <c r="B301" s="32" t="s">
        <v>32</v>
      </c>
      <c r="C301" s="30" t="s">
        <v>1</v>
      </c>
      <c r="D301" s="4">
        <v>28</v>
      </c>
      <c r="E301" s="18">
        <v>62150</v>
      </c>
      <c r="F301" s="125">
        <f t="shared" si="27"/>
        <v>1837999.24</v>
      </c>
      <c r="I301" s="304">
        <v>290407</v>
      </c>
      <c r="J301" s="202" t="s">
        <v>30</v>
      </c>
      <c r="K301" s="203" t="s">
        <v>15</v>
      </c>
      <c r="L301" s="178">
        <v>9</v>
      </c>
      <c r="M301" s="204">
        <v>10130</v>
      </c>
      <c r="N301" s="369">
        <f t="shared" si="26"/>
        <v>96293.754000000001</v>
      </c>
    </row>
    <row r="302" spans="1:14" x14ac:dyDescent="0.25">
      <c r="A302" s="22">
        <v>170538</v>
      </c>
      <c r="B302" s="32" t="s">
        <v>33</v>
      </c>
      <c r="C302" s="30" t="s">
        <v>1</v>
      </c>
      <c r="D302" s="4">
        <v>6</v>
      </c>
      <c r="E302" s="18">
        <v>113280</v>
      </c>
      <c r="F302" s="125">
        <f t="shared" si="27"/>
        <v>717878.01600000006</v>
      </c>
      <c r="I302" s="304">
        <v>290417</v>
      </c>
      <c r="J302" s="202" t="s">
        <v>31</v>
      </c>
      <c r="K302" s="203" t="s">
        <v>1</v>
      </c>
      <c r="L302" s="178">
        <v>4</v>
      </c>
      <c r="M302" s="204">
        <v>21280</v>
      </c>
      <c r="N302" s="369">
        <f t="shared" si="26"/>
        <v>89903.744000000006</v>
      </c>
    </row>
    <row r="303" spans="1:14" x14ac:dyDescent="0.25">
      <c r="A303" s="22">
        <v>173306</v>
      </c>
      <c r="B303" s="32" t="s">
        <v>34</v>
      </c>
      <c r="C303" s="30" t="s">
        <v>3</v>
      </c>
      <c r="D303" s="4">
        <v>300</v>
      </c>
      <c r="E303" s="18">
        <v>20260</v>
      </c>
      <c r="F303" s="125">
        <f t="shared" si="27"/>
        <v>6419583.6000000006</v>
      </c>
      <c r="I303" s="304">
        <v>290417</v>
      </c>
      <c r="J303" s="202" t="s">
        <v>31</v>
      </c>
      <c r="K303" s="203" t="s">
        <v>1</v>
      </c>
      <c r="L303" s="178">
        <v>5</v>
      </c>
      <c r="M303" s="204">
        <v>21280</v>
      </c>
      <c r="N303" s="369">
        <f t="shared" si="26"/>
        <v>112379.68000000001</v>
      </c>
    </row>
    <row r="304" spans="1:14" x14ac:dyDescent="0.25">
      <c r="A304" s="22">
        <v>170134</v>
      </c>
      <c r="B304" s="32" t="s">
        <v>35</v>
      </c>
      <c r="C304" s="30" t="s">
        <v>3</v>
      </c>
      <c r="D304" s="4">
        <v>300</v>
      </c>
      <c r="E304" s="18">
        <v>4650</v>
      </c>
      <c r="F304" s="125">
        <f t="shared" si="27"/>
        <v>1473399</v>
      </c>
      <c r="I304" s="298">
        <v>290417</v>
      </c>
      <c r="J304" s="222" t="s">
        <v>124</v>
      </c>
      <c r="K304" s="203" t="s">
        <v>1</v>
      </c>
      <c r="L304" s="209">
        <v>4</v>
      </c>
      <c r="M304" s="223">
        <v>21280</v>
      </c>
      <c r="N304" s="369">
        <f t="shared" si="26"/>
        <v>89903.744000000006</v>
      </c>
    </row>
    <row r="305" spans="1:14" x14ac:dyDescent="0.25">
      <c r="A305" s="16">
        <v>170722</v>
      </c>
      <c r="B305" s="136" t="s">
        <v>36</v>
      </c>
      <c r="C305" s="33" t="s">
        <v>1</v>
      </c>
      <c r="D305" s="4">
        <v>24</v>
      </c>
      <c r="E305" s="18">
        <v>82790</v>
      </c>
      <c r="F305" s="125">
        <f t="shared" si="27"/>
        <v>2098627.1520000002</v>
      </c>
      <c r="I305" s="201">
        <v>290417</v>
      </c>
      <c r="J305" s="202" t="s">
        <v>31</v>
      </c>
      <c r="K305" s="203" t="s">
        <v>1</v>
      </c>
      <c r="L305" s="178">
        <v>15</v>
      </c>
      <c r="M305" s="204">
        <v>21280</v>
      </c>
      <c r="N305" s="369">
        <f t="shared" si="26"/>
        <v>337139.04000000004</v>
      </c>
    </row>
    <row r="306" spans="1:14" x14ac:dyDescent="0.25">
      <c r="A306" s="28">
        <v>220313</v>
      </c>
      <c r="B306" s="29" t="s">
        <v>28</v>
      </c>
      <c r="C306" s="30" t="s">
        <v>15</v>
      </c>
      <c r="D306" s="4">
        <v>8.8000000000000007</v>
      </c>
      <c r="E306" s="31">
        <v>251370</v>
      </c>
      <c r="F306" s="125">
        <f t="shared" si="27"/>
        <v>2336373.5471999999</v>
      </c>
      <c r="I306" s="189">
        <v>290619</v>
      </c>
      <c r="J306" s="222" t="s">
        <v>126</v>
      </c>
      <c r="K306" s="203" t="s">
        <v>15</v>
      </c>
      <c r="L306" s="209">
        <v>150</v>
      </c>
      <c r="M306" s="223">
        <v>9260</v>
      </c>
      <c r="N306" s="369">
        <f t="shared" si="26"/>
        <v>1467061.8</v>
      </c>
    </row>
    <row r="307" spans="1:14" x14ac:dyDescent="0.25">
      <c r="A307" s="28">
        <v>220405</v>
      </c>
      <c r="B307" s="29" t="s">
        <v>29</v>
      </c>
      <c r="C307" s="30" t="s">
        <v>1</v>
      </c>
      <c r="D307" s="4">
        <v>4</v>
      </c>
      <c r="E307" s="31">
        <v>162640</v>
      </c>
      <c r="F307" s="125">
        <f t="shared" si="27"/>
        <v>687121.47200000007</v>
      </c>
      <c r="I307" s="189">
        <v>290619</v>
      </c>
      <c r="J307" s="182" t="s">
        <v>175</v>
      </c>
      <c r="K307" s="190" t="s">
        <v>15</v>
      </c>
      <c r="L307" s="178">
        <v>397.5</v>
      </c>
      <c r="M307" s="191">
        <v>9260</v>
      </c>
      <c r="N307" s="369">
        <f t="shared" si="26"/>
        <v>3887713.77</v>
      </c>
    </row>
    <row r="308" spans="1:14" x14ac:dyDescent="0.25">
      <c r="A308" s="28">
        <v>290407</v>
      </c>
      <c r="B308" s="29" t="s">
        <v>30</v>
      </c>
      <c r="C308" s="30" t="s">
        <v>15</v>
      </c>
      <c r="D308" s="4">
        <v>9</v>
      </c>
      <c r="E308" s="31">
        <v>10130</v>
      </c>
      <c r="F308" s="125">
        <f t="shared" si="27"/>
        <v>96293.754000000001</v>
      </c>
      <c r="I308" s="189">
        <v>290619</v>
      </c>
      <c r="J308" s="182" t="s">
        <v>175</v>
      </c>
      <c r="K308" s="190" t="s">
        <v>15</v>
      </c>
      <c r="L308" s="190">
        <v>198</v>
      </c>
      <c r="M308" s="286">
        <v>9260</v>
      </c>
      <c r="N308" s="369">
        <f t="shared" si="26"/>
        <v>1936521.5760000001</v>
      </c>
    </row>
    <row r="309" spans="1:14" x14ac:dyDescent="0.25">
      <c r="A309" s="28">
        <v>290417</v>
      </c>
      <c r="B309" s="29" t="s">
        <v>31</v>
      </c>
      <c r="C309" s="30" t="s">
        <v>1</v>
      </c>
      <c r="D309" s="4">
        <v>15</v>
      </c>
      <c r="E309" s="31">
        <v>21280</v>
      </c>
      <c r="F309" s="125">
        <f t="shared" si="27"/>
        <v>337139.04000000004</v>
      </c>
      <c r="I309" s="189">
        <v>290620</v>
      </c>
      <c r="J309" s="182" t="s">
        <v>56</v>
      </c>
      <c r="K309" s="190" t="s">
        <v>15</v>
      </c>
      <c r="L309" s="178">
        <v>159</v>
      </c>
      <c r="M309" s="191">
        <v>10250</v>
      </c>
      <c r="N309" s="369">
        <f t="shared" si="26"/>
        <v>1721341.95</v>
      </c>
    </row>
    <row r="310" spans="1:14" x14ac:dyDescent="0.25">
      <c r="A310" s="28">
        <v>220105</v>
      </c>
      <c r="B310" s="29" t="s">
        <v>89</v>
      </c>
      <c r="C310" s="30" t="s">
        <v>15</v>
      </c>
      <c r="D310" s="4">
        <v>47.6</v>
      </c>
      <c r="E310" s="97">
        <v>306410</v>
      </c>
      <c r="F310" s="125">
        <f t="shared" si="27"/>
        <v>15404799.519200001</v>
      </c>
      <c r="I310" s="280">
        <v>290620</v>
      </c>
      <c r="J310" s="233" t="s">
        <v>56</v>
      </c>
      <c r="K310" s="234" t="s">
        <v>15</v>
      </c>
      <c r="L310" s="231">
        <v>84</v>
      </c>
      <c r="M310" s="282">
        <v>10250</v>
      </c>
      <c r="N310" s="369">
        <f t="shared" si="26"/>
        <v>909388.20000000007</v>
      </c>
    </row>
    <row r="311" spans="1:14" x14ac:dyDescent="0.25">
      <c r="A311" s="130">
        <v>220606</v>
      </c>
      <c r="B311" s="131" t="s">
        <v>180</v>
      </c>
      <c r="C311" s="132" t="s">
        <v>3</v>
      </c>
      <c r="D311" s="4">
        <v>30</v>
      </c>
      <c r="E311" s="97">
        <v>83650</v>
      </c>
      <c r="F311" s="125">
        <f t="shared" si="27"/>
        <v>2650533.9</v>
      </c>
      <c r="I311" s="333">
        <v>290710</v>
      </c>
      <c r="J311" s="342" t="s">
        <v>123</v>
      </c>
      <c r="K311" s="323" t="s">
        <v>15</v>
      </c>
      <c r="L311" s="209">
        <v>10</v>
      </c>
      <c r="M311" s="330">
        <v>11620</v>
      </c>
      <c r="N311" s="369">
        <f t="shared" si="26"/>
        <v>122730.44</v>
      </c>
    </row>
    <row r="312" spans="1:14" x14ac:dyDescent="0.25">
      <c r="A312" s="130">
        <v>221804</v>
      </c>
      <c r="B312" s="131" t="s">
        <v>181</v>
      </c>
      <c r="C312" s="132" t="s">
        <v>3</v>
      </c>
      <c r="D312" s="4">
        <v>33</v>
      </c>
      <c r="E312" s="97">
        <v>132700</v>
      </c>
      <c r="F312" s="125">
        <f t="shared" si="27"/>
        <v>4625205.42</v>
      </c>
      <c r="I312" s="334">
        <v>291005</v>
      </c>
      <c r="J312" s="345" t="s">
        <v>197</v>
      </c>
      <c r="K312" s="352" t="s">
        <v>15</v>
      </c>
      <c r="L312" s="214">
        <v>150</v>
      </c>
      <c r="M312" s="362">
        <v>15840</v>
      </c>
      <c r="N312" s="369">
        <f t="shared" si="26"/>
        <v>2509531.2000000002</v>
      </c>
    </row>
    <row r="313" spans="1:14" x14ac:dyDescent="0.25">
      <c r="A313" s="98">
        <v>100608</v>
      </c>
      <c r="B313" s="29" t="s">
        <v>37</v>
      </c>
      <c r="C313" s="46" t="s">
        <v>7</v>
      </c>
      <c r="D313" s="4">
        <v>60.24</v>
      </c>
      <c r="E313" s="31">
        <v>16870</v>
      </c>
      <c r="F313" s="125">
        <f t="shared" si="27"/>
        <v>1073361.9825600001</v>
      </c>
      <c r="I313" s="270">
        <v>291103</v>
      </c>
      <c r="J313" s="202" t="s">
        <v>195</v>
      </c>
      <c r="K313" s="216" t="s">
        <v>15</v>
      </c>
      <c r="L313" s="217">
        <v>3440</v>
      </c>
      <c r="M313" s="287">
        <v>5220</v>
      </c>
      <c r="N313" s="369">
        <f t="shared" si="26"/>
        <v>18965972.16</v>
      </c>
    </row>
    <row r="314" spans="1:14" x14ac:dyDescent="0.25">
      <c r="A314" s="100">
        <v>310105</v>
      </c>
      <c r="B314" s="101" t="s">
        <v>38</v>
      </c>
      <c r="C314" s="102" t="s">
        <v>15</v>
      </c>
      <c r="D314" s="4">
        <v>295.72522300000003</v>
      </c>
      <c r="E314" s="97">
        <v>1780</v>
      </c>
      <c r="F314" s="125">
        <f t="shared" si="27"/>
        <v>555974.06534802797</v>
      </c>
      <c r="I314" s="301">
        <v>300211</v>
      </c>
      <c r="J314" s="261" t="s">
        <v>130</v>
      </c>
      <c r="K314" s="322" t="s">
        <v>1</v>
      </c>
      <c r="L314" s="225">
        <v>12</v>
      </c>
      <c r="M314" s="329">
        <v>22040</v>
      </c>
      <c r="N314" s="369">
        <f t="shared" si="26"/>
        <v>279343.77600000001</v>
      </c>
    </row>
    <row r="315" spans="1:14" x14ac:dyDescent="0.25">
      <c r="A315" s="140">
        <v>100119</v>
      </c>
      <c r="B315" s="81" t="s">
        <v>59</v>
      </c>
      <c r="C315" s="3" t="s">
        <v>3</v>
      </c>
      <c r="D315" s="80">
        <v>20</v>
      </c>
      <c r="E315" s="49">
        <v>10250</v>
      </c>
      <c r="F315" s="6">
        <f t="shared" si="27"/>
        <v>216521</v>
      </c>
      <c r="I315" s="274">
        <v>300220</v>
      </c>
      <c r="J315" s="311" t="s">
        <v>128</v>
      </c>
      <c r="K315" s="203" t="s">
        <v>7</v>
      </c>
      <c r="L315" s="225">
        <v>22.596</v>
      </c>
      <c r="M315" s="226">
        <v>64490</v>
      </c>
      <c r="N315" s="369">
        <f t="shared" si="26"/>
        <v>1539111.5814480002</v>
      </c>
    </row>
    <row r="316" spans="1:14" x14ac:dyDescent="0.25">
      <c r="A316" s="140">
        <v>100537</v>
      </c>
      <c r="B316" s="81" t="s">
        <v>182</v>
      </c>
      <c r="C316" s="47" t="s">
        <v>15</v>
      </c>
      <c r="D316" s="80">
        <v>9.6</v>
      </c>
      <c r="E316" s="49">
        <v>9160</v>
      </c>
      <c r="F316" s="6">
        <f t="shared" si="27"/>
        <v>92878.003200000006</v>
      </c>
      <c r="I316" s="274">
        <v>300222</v>
      </c>
      <c r="J316" s="311" t="s">
        <v>129</v>
      </c>
      <c r="K316" s="203" t="s">
        <v>1</v>
      </c>
      <c r="L316" s="225">
        <v>12</v>
      </c>
      <c r="M316" s="226">
        <v>13030</v>
      </c>
      <c r="N316" s="369">
        <f t="shared" si="26"/>
        <v>165147.432</v>
      </c>
    </row>
    <row r="317" spans="1:14" x14ac:dyDescent="0.25">
      <c r="A317" s="140">
        <v>100314</v>
      </c>
      <c r="B317" s="81" t="s">
        <v>183</v>
      </c>
      <c r="C317" s="83" t="s">
        <v>15</v>
      </c>
      <c r="D317" s="133">
        <v>52</v>
      </c>
      <c r="E317" s="8">
        <v>5050</v>
      </c>
      <c r="F317" s="6">
        <f t="shared" si="27"/>
        <v>277358.12</v>
      </c>
      <c r="I317" s="274">
        <v>300229</v>
      </c>
      <c r="J317" s="311" t="s">
        <v>127</v>
      </c>
      <c r="K317" s="322" t="s">
        <v>15</v>
      </c>
      <c r="L317" s="326">
        <v>165</v>
      </c>
      <c r="M317" s="329">
        <v>2980</v>
      </c>
      <c r="N317" s="369">
        <f t="shared" si="26"/>
        <v>519333.54000000004</v>
      </c>
    </row>
    <row r="318" spans="1:14" x14ac:dyDescent="0.25">
      <c r="A318" s="142">
        <v>172414</v>
      </c>
      <c r="B318" s="141" t="s">
        <v>69</v>
      </c>
      <c r="C318" s="7" t="s">
        <v>1</v>
      </c>
      <c r="D318" s="133">
        <v>3</v>
      </c>
      <c r="E318" s="84">
        <v>5180</v>
      </c>
      <c r="F318" s="6">
        <f t="shared" ref="F318:F348" si="28">(D318*E318)*+(1+5.62%)</f>
        <v>16413.348000000002</v>
      </c>
      <c r="I318" s="301">
        <v>300229</v>
      </c>
      <c r="J318" s="316" t="s">
        <v>131</v>
      </c>
      <c r="K318" s="322" t="s">
        <v>1</v>
      </c>
      <c r="L318" s="326">
        <v>40</v>
      </c>
      <c r="M318" s="332">
        <v>2200</v>
      </c>
      <c r="N318" s="369">
        <f t="shared" si="26"/>
        <v>92945.600000000006</v>
      </c>
    </row>
    <row r="319" spans="1:14" x14ac:dyDescent="0.25">
      <c r="A319" s="145">
        <v>100515</v>
      </c>
      <c r="B319" s="136" t="s">
        <v>145</v>
      </c>
      <c r="C319" s="7" t="s">
        <v>1</v>
      </c>
      <c r="D319" s="133">
        <v>1</v>
      </c>
      <c r="E319" s="8">
        <v>18230</v>
      </c>
      <c r="F319" s="6">
        <f t="shared" si="28"/>
        <v>19254.526000000002</v>
      </c>
      <c r="I319" s="211">
        <v>301201</v>
      </c>
      <c r="J319" s="193" t="s">
        <v>161</v>
      </c>
      <c r="K319" s="324" t="s">
        <v>15</v>
      </c>
      <c r="L319" s="359">
        <v>40.057560000000002</v>
      </c>
      <c r="M319" s="213">
        <v>31050</v>
      </c>
      <c r="N319" s="369">
        <f t="shared" si="26"/>
        <v>1313688.0807756002</v>
      </c>
    </row>
    <row r="320" spans="1:14" x14ac:dyDescent="0.25">
      <c r="A320" s="145">
        <v>140217</v>
      </c>
      <c r="B320" s="136" t="s">
        <v>184</v>
      </c>
      <c r="C320" s="7" t="s">
        <v>15</v>
      </c>
      <c r="D320" s="133">
        <v>10</v>
      </c>
      <c r="E320" s="8">
        <v>53640</v>
      </c>
      <c r="F320" s="6">
        <f t="shared" si="28"/>
        <v>566545.68000000005</v>
      </c>
      <c r="I320" s="211">
        <v>310105</v>
      </c>
      <c r="J320" s="220" t="s">
        <v>38</v>
      </c>
      <c r="K320" s="324" t="s">
        <v>15</v>
      </c>
      <c r="L320" s="355">
        <v>94</v>
      </c>
      <c r="M320" s="213">
        <v>1780</v>
      </c>
      <c r="N320" s="369">
        <f t="shared" si="26"/>
        <v>176723.38399999999</v>
      </c>
    </row>
    <row r="321" spans="1:14" x14ac:dyDescent="0.25">
      <c r="A321" s="145">
        <v>190107</v>
      </c>
      <c r="B321" s="136" t="s">
        <v>81</v>
      </c>
      <c r="C321" s="7" t="s">
        <v>15</v>
      </c>
      <c r="D321" s="133">
        <v>20</v>
      </c>
      <c r="E321" s="8">
        <v>14330</v>
      </c>
      <c r="F321" s="6">
        <f t="shared" si="28"/>
        <v>302706.92</v>
      </c>
      <c r="I321" s="211">
        <v>310105</v>
      </c>
      <c r="J321" s="220" t="s">
        <v>38</v>
      </c>
      <c r="K321" s="324" t="s">
        <v>15</v>
      </c>
      <c r="L321" s="212">
        <v>20.654599999999999</v>
      </c>
      <c r="M321" s="213">
        <v>1780</v>
      </c>
      <c r="N321" s="369">
        <f t="shared" si="26"/>
        <v>38831.391565599995</v>
      </c>
    </row>
    <row r="322" spans="1:14" x14ac:dyDescent="0.25">
      <c r="A322" s="140">
        <v>330602</v>
      </c>
      <c r="B322" s="32" t="s">
        <v>4</v>
      </c>
      <c r="C322" s="7" t="s">
        <v>5</v>
      </c>
      <c r="D322" s="133">
        <v>4</v>
      </c>
      <c r="E322" s="8">
        <v>15990</v>
      </c>
      <c r="F322" s="6">
        <f t="shared" si="28"/>
        <v>67554.551999999996</v>
      </c>
      <c r="I322" s="270">
        <v>310105</v>
      </c>
      <c r="J322" s="202" t="s">
        <v>38</v>
      </c>
      <c r="K322" s="273" t="s">
        <v>15</v>
      </c>
      <c r="L322" s="212">
        <v>166.48864</v>
      </c>
      <c r="M322" s="269">
        <v>1780</v>
      </c>
      <c r="N322" s="369">
        <f t="shared" si="26"/>
        <v>313004.63679104001</v>
      </c>
    </row>
    <row r="323" spans="1:14" x14ac:dyDescent="0.25">
      <c r="A323" s="16">
        <v>200102</v>
      </c>
      <c r="B323" s="136" t="s">
        <v>14</v>
      </c>
      <c r="C323" s="17" t="s">
        <v>15</v>
      </c>
      <c r="D323" s="17">
        <v>80</v>
      </c>
      <c r="E323" s="137">
        <v>26710</v>
      </c>
      <c r="F323" s="6">
        <f t="shared" si="28"/>
        <v>2256888.16</v>
      </c>
      <c r="I323" s="275">
        <v>310105</v>
      </c>
      <c r="J323" s="222" t="s">
        <v>38</v>
      </c>
      <c r="K323" s="203" t="s">
        <v>15</v>
      </c>
      <c r="L323" s="209">
        <v>65.309600000000003</v>
      </c>
      <c r="M323" s="223">
        <v>1780</v>
      </c>
      <c r="N323" s="369">
        <f t="shared" si="26"/>
        <v>122784.39914560001</v>
      </c>
    </row>
    <row r="324" spans="1:14" x14ac:dyDescent="0.25">
      <c r="A324" s="16">
        <v>190524</v>
      </c>
      <c r="B324" s="136" t="s">
        <v>16</v>
      </c>
      <c r="C324" s="17" t="s">
        <v>15</v>
      </c>
      <c r="D324" s="17">
        <v>80</v>
      </c>
      <c r="E324" s="137">
        <v>52040</v>
      </c>
      <c r="F324" s="6">
        <f t="shared" si="28"/>
        <v>4397171.84</v>
      </c>
      <c r="I324" s="275">
        <v>310105</v>
      </c>
      <c r="J324" s="185" t="s">
        <v>38</v>
      </c>
      <c r="K324" s="215" t="s">
        <v>15</v>
      </c>
      <c r="L324" s="225">
        <v>144.279</v>
      </c>
      <c r="M324" s="226">
        <v>1780</v>
      </c>
      <c r="N324" s="369">
        <f t="shared" ref="N324:N348" si="29">(L324*M324)*+(1+5.62%)</f>
        <v>271249.71404400002</v>
      </c>
    </row>
    <row r="325" spans="1:14" x14ac:dyDescent="0.25">
      <c r="A325" s="145">
        <v>221012</v>
      </c>
      <c r="B325" s="143" t="s">
        <v>185</v>
      </c>
      <c r="C325" s="134" t="s">
        <v>15</v>
      </c>
      <c r="D325" s="133">
        <v>4.5999999999999996</v>
      </c>
      <c r="E325" s="8">
        <v>264220</v>
      </c>
      <c r="F325" s="6">
        <f t="shared" si="28"/>
        <v>1283718.1544000001</v>
      </c>
      <c r="I325" s="211">
        <v>310105</v>
      </c>
      <c r="J325" s="341" t="s">
        <v>38</v>
      </c>
      <c r="K325" s="324" t="s">
        <v>15</v>
      </c>
      <c r="L325" s="357">
        <v>35</v>
      </c>
      <c r="M325" s="328">
        <v>16720</v>
      </c>
      <c r="N325" s="369">
        <f t="shared" si="29"/>
        <v>618088.24</v>
      </c>
    </row>
    <row r="326" spans="1:14" x14ac:dyDescent="0.25">
      <c r="A326" s="140">
        <v>170659</v>
      </c>
      <c r="B326" s="136" t="s">
        <v>32</v>
      </c>
      <c r="C326" s="33" t="s">
        <v>1</v>
      </c>
      <c r="D326" s="80">
        <v>3</v>
      </c>
      <c r="E326" s="48">
        <v>62150</v>
      </c>
      <c r="F326" s="6">
        <f t="shared" si="28"/>
        <v>196928.49</v>
      </c>
      <c r="I326" s="275">
        <v>310105</v>
      </c>
      <c r="J326" s="222" t="s">
        <v>38</v>
      </c>
      <c r="K326" s="203" t="s">
        <v>15</v>
      </c>
      <c r="L326" s="209">
        <v>33</v>
      </c>
      <c r="M326" s="223">
        <v>1780</v>
      </c>
      <c r="N326" s="369">
        <f t="shared" si="29"/>
        <v>62041.188000000002</v>
      </c>
    </row>
    <row r="327" spans="1:14" x14ac:dyDescent="0.25">
      <c r="A327" s="16">
        <v>290109</v>
      </c>
      <c r="B327" s="136" t="s">
        <v>125</v>
      </c>
      <c r="C327" s="17" t="s">
        <v>15</v>
      </c>
      <c r="D327" s="17">
        <v>23</v>
      </c>
      <c r="E327" s="137">
        <v>16810</v>
      </c>
      <c r="F327" s="6">
        <f t="shared" si="28"/>
        <v>408358.60600000003</v>
      </c>
      <c r="I327" s="270">
        <v>310105</v>
      </c>
      <c r="J327" s="202" t="s">
        <v>38</v>
      </c>
      <c r="K327" s="216" t="s">
        <v>15</v>
      </c>
      <c r="L327" s="178">
        <v>295.72522300000003</v>
      </c>
      <c r="M327" s="204">
        <v>1780</v>
      </c>
      <c r="N327" s="369">
        <f t="shared" si="29"/>
        <v>555974.06534802797</v>
      </c>
    </row>
    <row r="328" spans="1:14" x14ac:dyDescent="0.25">
      <c r="A328" s="22">
        <v>290619</v>
      </c>
      <c r="B328" s="143" t="s">
        <v>175</v>
      </c>
      <c r="C328" s="129" t="s">
        <v>15</v>
      </c>
      <c r="D328" s="129">
        <v>198</v>
      </c>
      <c r="E328" s="144">
        <v>9260</v>
      </c>
      <c r="F328" s="6">
        <f t="shared" si="28"/>
        <v>1936521.5760000001</v>
      </c>
      <c r="I328" s="271">
        <v>310105</v>
      </c>
      <c r="J328" s="272" t="s">
        <v>38</v>
      </c>
      <c r="K328" s="273" t="s">
        <v>15</v>
      </c>
      <c r="L328" s="285">
        <v>80</v>
      </c>
      <c r="M328" s="288">
        <v>1780</v>
      </c>
      <c r="N328" s="369">
        <f t="shared" si="29"/>
        <v>150402.88</v>
      </c>
    </row>
    <row r="329" spans="1:14" x14ac:dyDescent="0.25">
      <c r="A329" s="98">
        <v>100608</v>
      </c>
      <c r="B329" s="29" t="s">
        <v>37</v>
      </c>
      <c r="C329" s="46" t="s">
        <v>7</v>
      </c>
      <c r="D329" s="46">
        <v>2</v>
      </c>
      <c r="E329" s="138">
        <v>16870</v>
      </c>
      <c r="F329" s="6">
        <f t="shared" si="28"/>
        <v>35636.188000000002</v>
      </c>
      <c r="I329" s="189">
        <v>320203</v>
      </c>
      <c r="J329" s="196" t="s">
        <v>26</v>
      </c>
      <c r="K329" s="214" t="s">
        <v>27</v>
      </c>
      <c r="L329" s="178">
        <v>10</v>
      </c>
      <c r="M329" s="191">
        <v>13980</v>
      </c>
      <c r="N329" s="369">
        <f t="shared" si="29"/>
        <v>147656.76</v>
      </c>
    </row>
    <row r="330" spans="1:14" x14ac:dyDescent="0.25">
      <c r="A330" s="100">
        <v>310105</v>
      </c>
      <c r="B330" s="101" t="s">
        <v>38</v>
      </c>
      <c r="C330" s="102" t="s">
        <v>15</v>
      </c>
      <c r="D330" s="135">
        <v>80</v>
      </c>
      <c r="E330" s="139">
        <v>1780</v>
      </c>
      <c r="F330" s="6">
        <f t="shared" si="28"/>
        <v>150402.88</v>
      </c>
      <c r="I330" s="195">
        <v>320203</v>
      </c>
      <c r="J330" s="197" t="s">
        <v>26</v>
      </c>
      <c r="K330" s="198" t="s">
        <v>27</v>
      </c>
      <c r="L330" s="212">
        <v>40</v>
      </c>
      <c r="M330" s="199">
        <v>13980</v>
      </c>
      <c r="N330" s="369">
        <f t="shared" si="29"/>
        <v>590627.04</v>
      </c>
    </row>
    <row r="331" spans="1:14" x14ac:dyDescent="0.25">
      <c r="A331" s="100">
        <v>100521</v>
      </c>
      <c r="B331" s="101" t="s">
        <v>186</v>
      </c>
      <c r="C331" s="102" t="s">
        <v>15</v>
      </c>
      <c r="D331" s="135">
        <v>160</v>
      </c>
      <c r="E331" s="139">
        <v>2720</v>
      </c>
      <c r="F331" s="6">
        <f t="shared" si="28"/>
        <v>459658.23999999999</v>
      </c>
      <c r="I331" s="266">
        <v>320203</v>
      </c>
      <c r="J331" s="200" t="s">
        <v>26</v>
      </c>
      <c r="K331" s="267" t="s">
        <v>27</v>
      </c>
      <c r="L331" s="358">
        <v>8</v>
      </c>
      <c r="M331" s="268">
        <v>13980</v>
      </c>
      <c r="N331" s="369">
        <f t="shared" si="29"/>
        <v>118125.40800000001</v>
      </c>
    </row>
    <row r="332" spans="1:14" x14ac:dyDescent="0.25">
      <c r="A332" s="100">
        <v>260105</v>
      </c>
      <c r="B332" s="101" t="s">
        <v>187</v>
      </c>
      <c r="C332" s="102" t="s">
        <v>15</v>
      </c>
      <c r="D332" s="135">
        <v>160</v>
      </c>
      <c r="E332" s="139">
        <v>58510</v>
      </c>
      <c r="F332" s="6">
        <f t="shared" si="28"/>
        <v>9887721.9199999999</v>
      </c>
      <c r="I332" s="195">
        <v>320203</v>
      </c>
      <c r="J332" s="197" t="s">
        <v>26</v>
      </c>
      <c r="K332" s="198" t="s">
        <v>27</v>
      </c>
      <c r="L332" s="212">
        <v>10</v>
      </c>
      <c r="M332" s="199">
        <v>13980</v>
      </c>
      <c r="N332" s="369">
        <f t="shared" si="29"/>
        <v>147656.76</v>
      </c>
    </row>
    <row r="333" spans="1:14" x14ac:dyDescent="0.25">
      <c r="A333" s="100">
        <v>240202</v>
      </c>
      <c r="B333" s="101" t="s">
        <v>188</v>
      </c>
      <c r="C333" s="102" t="s">
        <v>15</v>
      </c>
      <c r="D333" s="135">
        <v>3.5</v>
      </c>
      <c r="E333" s="139">
        <v>203360</v>
      </c>
      <c r="F333" s="6">
        <f t="shared" si="28"/>
        <v>751760.91200000001</v>
      </c>
      <c r="I333" s="291">
        <v>330602</v>
      </c>
      <c r="J333" s="318" t="s">
        <v>4</v>
      </c>
      <c r="K333" s="180" t="s">
        <v>5</v>
      </c>
      <c r="L333" s="212">
        <v>10</v>
      </c>
      <c r="M333" s="181">
        <v>15990</v>
      </c>
      <c r="N333" s="369">
        <f t="shared" si="29"/>
        <v>168886.38</v>
      </c>
    </row>
    <row r="334" spans="1:14" x14ac:dyDescent="0.25">
      <c r="A334" s="100">
        <v>221013</v>
      </c>
      <c r="B334" s="101" t="s">
        <v>189</v>
      </c>
      <c r="C334" s="102" t="s">
        <v>15</v>
      </c>
      <c r="D334" s="135">
        <v>1.87</v>
      </c>
      <c r="E334" s="139">
        <v>319260</v>
      </c>
      <c r="F334" s="6">
        <f t="shared" si="28"/>
        <v>630568.5104400001</v>
      </c>
      <c r="I334" s="291">
        <v>330602</v>
      </c>
      <c r="J334" s="318" t="s">
        <v>4</v>
      </c>
      <c r="K334" s="180" t="s">
        <v>5</v>
      </c>
      <c r="L334" s="212">
        <v>150</v>
      </c>
      <c r="M334" s="181">
        <v>15990</v>
      </c>
      <c r="N334" s="369">
        <f t="shared" si="29"/>
        <v>2533295.7000000002</v>
      </c>
    </row>
    <row r="335" spans="1:14" x14ac:dyDescent="0.25">
      <c r="A335" s="100">
        <v>100305</v>
      </c>
      <c r="B335" s="101" t="s">
        <v>190</v>
      </c>
      <c r="C335" s="102" t="s">
        <v>15</v>
      </c>
      <c r="D335" s="135">
        <v>31.5</v>
      </c>
      <c r="E335" s="139">
        <v>8230</v>
      </c>
      <c r="F335" s="6">
        <f t="shared" si="28"/>
        <v>273814.56900000002</v>
      </c>
      <c r="I335" s="291">
        <v>330602</v>
      </c>
      <c r="J335" s="318" t="s">
        <v>4</v>
      </c>
      <c r="K335" s="180" t="s">
        <v>5</v>
      </c>
      <c r="L335" s="284">
        <v>4</v>
      </c>
      <c r="M335" s="181">
        <v>15990</v>
      </c>
      <c r="N335" s="369">
        <f t="shared" si="29"/>
        <v>67554.551999999996</v>
      </c>
    </row>
    <row r="336" spans="1:14" x14ac:dyDescent="0.25">
      <c r="A336" s="100">
        <v>190524</v>
      </c>
      <c r="B336" s="101" t="s">
        <v>16</v>
      </c>
      <c r="C336" s="102" t="s">
        <v>15</v>
      </c>
      <c r="D336" s="135">
        <v>33</v>
      </c>
      <c r="E336" s="139">
        <v>52040</v>
      </c>
      <c r="F336" s="6">
        <f t="shared" si="28"/>
        <v>1813833.3840000001</v>
      </c>
      <c r="I336" s="303" t="s">
        <v>111</v>
      </c>
      <c r="J336" s="261" t="s">
        <v>112</v>
      </c>
      <c r="K336" s="322" t="s">
        <v>1</v>
      </c>
      <c r="L336" s="327">
        <v>2</v>
      </c>
      <c r="M336" s="330">
        <v>301980</v>
      </c>
      <c r="N336" s="369">
        <f t="shared" si="29"/>
        <v>637902.55200000003</v>
      </c>
    </row>
    <row r="337" spans="1:14" x14ac:dyDescent="0.25">
      <c r="A337" s="100">
        <v>100314</v>
      </c>
      <c r="B337" s="101" t="s">
        <v>191</v>
      </c>
      <c r="C337" s="102" t="s">
        <v>15</v>
      </c>
      <c r="D337" s="135">
        <v>12</v>
      </c>
      <c r="E337" s="139">
        <v>5050</v>
      </c>
      <c r="F337" s="6">
        <f t="shared" si="28"/>
        <v>64005.72</v>
      </c>
      <c r="I337" s="303" t="s">
        <v>106</v>
      </c>
      <c r="J337" s="261" t="s">
        <v>107</v>
      </c>
      <c r="K337" s="351" t="s">
        <v>108</v>
      </c>
      <c r="L337" s="327">
        <v>18</v>
      </c>
      <c r="M337" s="330">
        <v>61640</v>
      </c>
      <c r="N337" s="369">
        <f t="shared" si="29"/>
        <v>1171875.024</v>
      </c>
    </row>
    <row r="338" spans="1:14" x14ac:dyDescent="0.25">
      <c r="A338" s="100">
        <v>140217</v>
      </c>
      <c r="B338" s="101" t="s">
        <v>184</v>
      </c>
      <c r="C338" s="102" t="s">
        <v>15</v>
      </c>
      <c r="D338" s="135">
        <v>10</v>
      </c>
      <c r="E338" s="139">
        <v>53640</v>
      </c>
      <c r="F338" s="6">
        <f t="shared" si="28"/>
        <v>566545.68000000005</v>
      </c>
      <c r="I338" s="303" t="s">
        <v>106</v>
      </c>
      <c r="J338" s="261" t="s">
        <v>107</v>
      </c>
      <c r="K338" s="351" t="s">
        <v>108</v>
      </c>
      <c r="L338" s="327">
        <v>8</v>
      </c>
      <c r="M338" s="330">
        <v>61640</v>
      </c>
      <c r="N338" s="369">
        <f t="shared" si="29"/>
        <v>520833.34400000004</v>
      </c>
    </row>
    <row r="339" spans="1:14" x14ac:dyDescent="0.25">
      <c r="A339" s="100">
        <v>190106</v>
      </c>
      <c r="B339" s="101" t="s">
        <v>81</v>
      </c>
      <c r="C339" s="102" t="s">
        <v>15</v>
      </c>
      <c r="D339" s="135">
        <v>20</v>
      </c>
      <c r="E339" s="139">
        <v>21440</v>
      </c>
      <c r="F339" s="6">
        <f t="shared" si="28"/>
        <v>452898.56</v>
      </c>
      <c r="I339" s="303" t="s">
        <v>114</v>
      </c>
      <c r="J339" s="261" t="s">
        <v>115</v>
      </c>
      <c r="K339" s="351" t="s">
        <v>3</v>
      </c>
      <c r="L339" s="327">
        <v>20</v>
      </c>
      <c r="M339" s="330">
        <v>5880</v>
      </c>
      <c r="N339" s="369">
        <f t="shared" si="29"/>
        <v>124209.12000000001</v>
      </c>
    </row>
    <row r="340" spans="1:14" x14ac:dyDescent="0.25">
      <c r="A340" s="100">
        <v>250709</v>
      </c>
      <c r="B340" s="101" t="s">
        <v>192</v>
      </c>
      <c r="C340" s="102" t="s">
        <v>1</v>
      </c>
      <c r="D340" s="135">
        <v>1</v>
      </c>
      <c r="E340" s="139">
        <v>105300</v>
      </c>
      <c r="F340" s="6">
        <f t="shared" si="28"/>
        <v>111217.86</v>
      </c>
      <c r="I340" s="303" t="s">
        <v>114</v>
      </c>
      <c r="J340" s="261" t="s">
        <v>115</v>
      </c>
      <c r="K340" s="351" t="s">
        <v>3</v>
      </c>
      <c r="L340" s="327">
        <v>30</v>
      </c>
      <c r="M340" s="330">
        <v>5880</v>
      </c>
      <c r="N340" s="369">
        <f t="shared" si="29"/>
        <v>186313.68</v>
      </c>
    </row>
    <row r="341" spans="1:14" x14ac:dyDescent="0.25">
      <c r="A341" s="100">
        <v>220301</v>
      </c>
      <c r="B341" s="101" t="s">
        <v>193</v>
      </c>
      <c r="C341" s="102" t="s">
        <v>15</v>
      </c>
      <c r="D341" s="135">
        <v>1.4</v>
      </c>
      <c r="E341" s="139">
        <v>262700</v>
      </c>
      <c r="F341" s="6">
        <f t="shared" si="28"/>
        <v>388449.23600000003</v>
      </c>
      <c r="I341" s="303" t="s">
        <v>158</v>
      </c>
      <c r="J341" s="261" t="s">
        <v>159</v>
      </c>
      <c r="K341" s="322" t="s">
        <v>1</v>
      </c>
      <c r="L341" s="327">
        <v>5</v>
      </c>
      <c r="M341" s="330">
        <v>29250</v>
      </c>
      <c r="N341" s="369">
        <f t="shared" si="29"/>
        <v>154469.25</v>
      </c>
    </row>
    <row r="342" spans="1:14" x14ac:dyDescent="0.25">
      <c r="A342" s="100">
        <v>290115</v>
      </c>
      <c r="B342" s="101" t="s">
        <v>194</v>
      </c>
      <c r="C342" s="102" t="s">
        <v>15</v>
      </c>
      <c r="D342" s="135">
        <v>247</v>
      </c>
      <c r="E342" s="139">
        <v>1840</v>
      </c>
      <c r="F342" s="6">
        <f t="shared" si="28"/>
        <v>480021.77600000001</v>
      </c>
      <c r="I342" s="303" t="s">
        <v>96</v>
      </c>
      <c r="J342" s="343" t="s">
        <v>32</v>
      </c>
      <c r="K342" s="321" t="s">
        <v>1</v>
      </c>
      <c r="L342" s="326">
        <v>26</v>
      </c>
      <c r="M342" s="329">
        <v>62150</v>
      </c>
      <c r="N342" s="369">
        <f t="shared" si="29"/>
        <v>1706713.58</v>
      </c>
    </row>
    <row r="343" spans="1:14" x14ac:dyDescent="0.25">
      <c r="A343" s="100">
        <v>291103</v>
      </c>
      <c r="B343" s="101" t="s">
        <v>195</v>
      </c>
      <c r="C343" s="102" t="s">
        <v>15</v>
      </c>
      <c r="D343" s="135">
        <v>3440</v>
      </c>
      <c r="E343" s="139">
        <v>5220</v>
      </c>
      <c r="F343" s="6">
        <f t="shared" si="28"/>
        <v>18965972.16</v>
      </c>
      <c r="I343" s="303" t="s">
        <v>121</v>
      </c>
      <c r="J343" s="261" t="s">
        <v>122</v>
      </c>
      <c r="K343" s="351" t="s">
        <v>15</v>
      </c>
      <c r="L343" s="327">
        <v>8</v>
      </c>
      <c r="M343" s="330">
        <v>24320</v>
      </c>
      <c r="N343" s="369">
        <f t="shared" si="29"/>
        <v>205494.272</v>
      </c>
    </row>
    <row r="344" spans="1:14" x14ac:dyDescent="0.25">
      <c r="A344" s="100">
        <v>172414</v>
      </c>
      <c r="B344" s="148" t="s">
        <v>69</v>
      </c>
      <c r="C344" s="102" t="s">
        <v>1</v>
      </c>
      <c r="D344" s="135">
        <v>93</v>
      </c>
      <c r="E344" s="139">
        <v>5180</v>
      </c>
      <c r="F344" s="6">
        <f t="shared" si="28"/>
        <v>508813.788</v>
      </c>
      <c r="I344" s="290" t="s">
        <v>163</v>
      </c>
      <c r="J344" s="312" t="s">
        <v>164</v>
      </c>
      <c r="K344" s="259" t="s">
        <v>1</v>
      </c>
      <c r="L344" s="212">
        <v>1</v>
      </c>
      <c r="M344" s="181">
        <v>2000000</v>
      </c>
      <c r="N344" s="369">
        <f t="shared" si="29"/>
        <v>2112400</v>
      </c>
    </row>
    <row r="345" spans="1:14" x14ac:dyDescent="0.25">
      <c r="A345" s="140">
        <v>170659</v>
      </c>
      <c r="B345" s="136" t="s">
        <v>32</v>
      </c>
      <c r="C345" s="147" t="s">
        <v>1</v>
      </c>
      <c r="D345" s="147">
        <v>93</v>
      </c>
      <c r="E345" s="146">
        <v>62150</v>
      </c>
      <c r="F345" s="6">
        <f t="shared" si="28"/>
        <v>6104783.1900000004</v>
      </c>
      <c r="I345" s="275" t="s">
        <v>91</v>
      </c>
      <c r="J345" s="236" t="s">
        <v>92</v>
      </c>
      <c r="K345" s="215" t="s">
        <v>1</v>
      </c>
      <c r="L345" s="225">
        <v>2</v>
      </c>
      <c r="M345" s="226">
        <v>230000</v>
      </c>
      <c r="N345" s="369">
        <f t="shared" si="29"/>
        <v>485852</v>
      </c>
    </row>
    <row r="346" spans="1:14" x14ac:dyDescent="0.25">
      <c r="A346" s="147">
        <v>100408</v>
      </c>
      <c r="B346" s="136" t="s">
        <v>196</v>
      </c>
      <c r="C346" s="147" t="s">
        <v>15</v>
      </c>
      <c r="D346" s="147">
        <v>150</v>
      </c>
      <c r="E346" s="146">
        <v>4590</v>
      </c>
      <c r="F346" s="6">
        <f t="shared" si="28"/>
        <v>727193.70000000007</v>
      </c>
      <c r="I346" s="215" t="s">
        <v>91</v>
      </c>
      <c r="J346" s="236" t="s">
        <v>93</v>
      </c>
      <c r="K346" s="215" t="s">
        <v>1</v>
      </c>
      <c r="L346" s="225">
        <v>1</v>
      </c>
      <c r="M346" s="226">
        <v>230000</v>
      </c>
      <c r="N346" s="369">
        <f t="shared" si="29"/>
        <v>242926</v>
      </c>
    </row>
    <row r="347" spans="1:14" x14ac:dyDescent="0.25">
      <c r="A347" s="147">
        <v>291005</v>
      </c>
      <c r="B347" s="136" t="s">
        <v>197</v>
      </c>
      <c r="C347" s="147" t="s">
        <v>15</v>
      </c>
      <c r="D347" s="147">
        <v>150</v>
      </c>
      <c r="E347" s="146">
        <v>15840</v>
      </c>
      <c r="F347" s="6">
        <f t="shared" si="28"/>
        <v>2509531.2000000002</v>
      </c>
      <c r="I347" s="215" t="s">
        <v>91</v>
      </c>
      <c r="J347" s="236" t="s">
        <v>94</v>
      </c>
      <c r="K347" s="215" t="s">
        <v>1</v>
      </c>
      <c r="L347" s="225">
        <v>1</v>
      </c>
      <c r="M347" s="226">
        <v>50000</v>
      </c>
      <c r="N347" s="369">
        <f t="shared" si="29"/>
        <v>52810</v>
      </c>
    </row>
    <row r="348" spans="1:14" x14ac:dyDescent="0.25">
      <c r="A348" s="147">
        <v>190524</v>
      </c>
      <c r="B348" s="136" t="s">
        <v>16</v>
      </c>
      <c r="C348" s="147" t="s">
        <v>15</v>
      </c>
      <c r="D348" s="147">
        <v>62</v>
      </c>
      <c r="E348" s="146">
        <v>52040</v>
      </c>
      <c r="F348" s="6">
        <f t="shared" si="28"/>
        <v>3407808.176</v>
      </c>
      <c r="I348" s="215" t="s">
        <v>91</v>
      </c>
      <c r="J348" s="236" t="s">
        <v>95</v>
      </c>
      <c r="K348" s="215" t="s">
        <v>1</v>
      </c>
      <c r="L348" s="225">
        <v>4</v>
      </c>
      <c r="M348" s="226">
        <v>360000</v>
      </c>
      <c r="N348" s="369">
        <f t="shared" si="29"/>
        <v>1520928</v>
      </c>
    </row>
    <row r="349" spans="1:14" x14ac:dyDescent="0.25">
      <c r="A349" s="77"/>
      <c r="B349" s="150" t="s">
        <v>198</v>
      </c>
      <c r="C349" s="151" t="s">
        <v>1</v>
      </c>
      <c r="D349" s="151">
        <v>2</v>
      </c>
      <c r="E349" s="152">
        <v>3076923</v>
      </c>
      <c r="F349" s="155">
        <f>(D349*E349)</f>
        <v>6153846</v>
      </c>
      <c r="I349" s="250"/>
      <c r="J349" s="293" t="s">
        <v>198</v>
      </c>
      <c r="K349" s="294" t="s">
        <v>1</v>
      </c>
      <c r="L349" s="294">
        <v>2</v>
      </c>
      <c r="M349" s="295">
        <v>3076923</v>
      </c>
      <c r="N349" s="369">
        <f>(L349*M349)</f>
        <v>6153846</v>
      </c>
    </row>
    <row r="350" spans="1:14" x14ac:dyDescent="0.25">
      <c r="F350" s="79">
        <f>SUM(F2:F349)</f>
        <v>627106678.73154438</v>
      </c>
      <c r="N350" s="254">
        <f>SUM(N2:N349)</f>
        <v>627106678.73154426</v>
      </c>
    </row>
    <row r="351" spans="1:14" x14ac:dyDescent="0.25">
      <c r="F351" s="79">
        <f>F350*30%</f>
        <v>188132003.61946329</v>
      </c>
      <c r="N351" s="254">
        <f>N350*30%</f>
        <v>188132003.61946326</v>
      </c>
    </row>
    <row r="352" spans="1:14" x14ac:dyDescent="0.25">
      <c r="F352" s="149">
        <f>F351+F350</f>
        <v>815238682.3510077</v>
      </c>
      <c r="N352" s="254">
        <f>N351+N350</f>
        <v>815238682.35100746</v>
      </c>
    </row>
  </sheetData>
  <sortState xmlns:xlrd2="http://schemas.microsoft.com/office/spreadsheetml/2017/richdata2" ref="I3:N350">
    <sortCondition ref="I2:I35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OTROOOO</vt:lpstr>
      <vt:lpstr>BIENES RELEVANTES</vt:lpstr>
      <vt:lpstr>TODAS NEW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Windows 10</cp:lastModifiedBy>
  <dcterms:created xsi:type="dcterms:W3CDTF">2022-04-05T15:06:51Z</dcterms:created>
  <dcterms:modified xsi:type="dcterms:W3CDTF">2022-05-12T00:51:20Z</dcterms:modified>
</cp:coreProperties>
</file>