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comments5.xml" ContentType="application/vnd.openxmlformats-officedocument.spreadsheetml.comments+xml"/>
  <Override PartName="/xl/drawings/drawing7.xml" ContentType="application/vnd.openxmlformats-officedocument.drawing+xml"/>
  <Override PartName="/xl/comments6.xml" ContentType="application/vnd.openxmlformats-officedocument.spreadsheetml.comments+xml"/>
  <Override PartName="/xl/drawings/drawing8.xml" ContentType="application/vnd.openxmlformats-officedocument.drawing+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66925"/>
  <mc:AlternateContent xmlns:mc="http://schemas.openxmlformats.org/markup-compatibility/2006">
    <mc:Choice Requires="x15">
      <x15ac:absPath xmlns:x15ac="http://schemas.microsoft.com/office/spreadsheetml/2010/11/ac" url="C:\Users\lina.bejarano\Desktop\FDL BOSA\FDL BOSA\BOG DATA\2022\EVALUACION FINANCIERA\"/>
    </mc:Choice>
  </mc:AlternateContent>
  <xr:revisionPtr revIDLastSave="0" documentId="13_ncr:1_{F50DA173-FCFC-4E34-B619-A79B219EFA92}" xr6:coauthVersionLast="47" xr6:coauthVersionMax="47" xr10:uidLastSave="{00000000-0000-0000-0000-000000000000}"/>
  <bookViews>
    <workbookView xWindow="-120" yWindow="-120" windowWidth="29040" windowHeight="15840" activeTab="4" xr2:uid="{E82D949D-9CB2-461A-B243-D7F7DBD02B95}"/>
  </bookViews>
  <sheets>
    <sheet name="Indicadores_Generales" sheetId="1" r:id="rId1"/>
    <sheet name="GCO-GCI-107_1 a 15" sheetId="6" r:id="rId2"/>
    <sheet name="GCO-GCI-107_16 a 30" sheetId="8" r:id="rId3"/>
    <sheet name="GCO-GCI-107_31 a 45" sheetId="9" r:id="rId4"/>
    <sheet name="GCO-GCI-107_46 a 60" sheetId="10" r:id="rId5"/>
    <sheet name="GCO-GCI-107_61 a 75" sheetId="11" r:id="rId6"/>
    <sheet name="GCO-GCI-107_76 a 90" sheetId="12" r:id="rId7"/>
    <sheet name="GCO-GCI-107_91 a 105" sheetId="13" r:id="rId8"/>
  </sheets>
  <externalReferences>
    <externalReference r:id="rId9"/>
  </externalReferences>
  <definedNames>
    <definedName name="_xlnm._FilterDatabase" localSheetId="0" hidden="1">Indicadores_Generales!$A$17:$AG$180</definedName>
    <definedName name="_xlnm.Print_Area" localSheetId="1">'GCO-GCI-107_1 a 15'!$B$2:$Q$54</definedName>
    <definedName name="_xlnm.Print_Area" localSheetId="2">'GCO-GCI-107_16 a 30'!$B$2:$Q$54</definedName>
    <definedName name="_xlnm.Print_Area" localSheetId="3">'GCO-GCI-107_31 a 45'!$B$2:$Q$54</definedName>
    <definedName name="_xlnm.Print_Area" localSheetId="4">'GCO-GCI-107_46 a 60'!$B$2:$Q$54</definedName>
    <definedName name="_xlnm.Print_Area" localSheetId="5">'GCO-GCI-107_61 a 75'!$B$2:$Q$54</definedName>
    <definedName name="_xlnm.Print_Area" localSheetId="6">'GCO-GCI-107_76 a 90'!$B$2:$Q$54</definedName>
    <definedName name="_xlnm.Print_Area" localSheetId="7">'GCO-GCI-107_91 a 105'!$B$2:$Q$54</definedName>
    <definedName name="frmMainForm_tblFormContainer_trContentRow_tdLeftColumn_divViewProfilePerspective_tblProfileDetails_trIsGroupContentRow_tdTitleCell_rptIsGroupRepeater_rpteIsGroupConditionalElements_lnkIsGroupConditionalSpan_0" localSheetId="0">Indicadores_Generales!$C$55</definedName>
    <definedName name="frmMainForm_tblFormContainer_trContentRow_tdLeftColumn_divViewProfilePerspective_tblProfileDetails_trIsGroupContentRow_tdTitleCell_rptIsGroupRepeater_rpteIsGroupConditionalElements_lnkIsGroupConditionalSpan_1" localSheetId="0">Indicadores_Generales!$C$19</definedName>
    <definedName name="frmMainForm_tblFormContainer_trContentRow_tdLeftColumn_divViewProfilePerspective_tblProfileDetails_trIsGroupContentRow_tdTitleCell_rptIsGroupRepeater_rpteIsGroupConditionalElements_lnkIsGroupConditionalSpan_2" localSheetId="0">Indicadores_Generales!$C$22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D68" i="1" l="1"/>
  <c r="AD69" i="1"/>
  <c r="AD173" i="1"/>
  <c r="AD174" i="1"/>
  <c r="AD175" i="1"/>
  <c r="AD176" i="1"/>
  <c r="AD177" i="1"/>
  <c r="AD178" i="1"/>
  <c r="AD179" i="1"/>
  <c r="AD180" i="1"/>
  <c r="AB68" i="1"/>
  <c r="AB69" i="1"/>
  <c r="AB173" i="1"/>
  <c r="AB174" i="1"/>
  <c r="AB175" i="1"/>
  <c r="AB176" i="1"/>
  <c r="AB177" i="1"/>
  <c r="AB178" i="1"/>
  <c r="AB179" i="1"/>
  <c r="AB180" i="1"/>
  <c r="B53" i="13"/>
  <c r="B40" i="13"/>
  <c r="B38" i="13"/>
  <c r="B35" i="13"/>
  <c r="B34" i="13"/>
  <c r="B32" i="13"/>
  <c r="B30" i="13"/>
  <c r="B28" i="13"/>
  <c r="Q8" i="13"/>
  <c r="Q15" i="13" s="1"/>
  <c r="P8" i="13"/>
  <c r="P20" i="13" s="1"/>
  <c r="O8" i="13"/>
  <c r="O20" i="13" s="1"/>
  <c r="N8" i="13"/>
  <c r="N35" i="13" s="1"/>
  <c r="M8" i="13"/>
  <c r="M20" i="13" s="1"/>
  <c r="L8" i="13"/>
  <c r="L29" i="13" s="1"/>
  <c r="K8" i="13"/>
  <c r="K35" i="13" s="1"/>
  <c r="J8" i="13"/>
  <c r="J14" i="13" s="1"/>
  <c r="I8" i="13"/>
  <c r="I14" i="13" s="1"/>
  <c r="H8" i="13"/>
  <c r="H10" i="13" s="1"/>
  <c r="G8" i="13"/>
  <c r="F8" i="13"/>
  <c r="F23" i="13" s="1"/>
  <c r="E8" i="13"/>
  <c r="E23" i="13" s="1"/>
  <c r="D8" i="13"/>
  <c r="D12" i="13" s="1"/>
  <c r="C8" i="13"/>
  <c r="C12" i="13" s="1"/>
  <c r="B7" i="13"/>
  <c r="B6" i="13"/>
  <c r="Q8" i="12"/>
  <c r="Q10" i="12" s="1"/>
  <c r="P8" i="12"/>
  <c r="P10" i="12" s="1"/>
  <c r="O8" i="12"/>
  <c r="O10" i="12" s="1"/>
  <c r="N8" i="12"/>
  <c r="N10" i="12" s="1"/>
  <c r="M8" i="12"/>
  <c r="M10" i="12" s="1"/>
  <c r="L8" i="12"/>
  <c r="L10" i="12" s="1"/>
  <c r="K8" i="12"/>
  <c r="K10" i="12" s="1"/>
  <c r="J8" i="12"/>
  <c r="J10" i="12" s="1"/>
  <c r="I8" i="12"/>
  <c r="I10" i="12" s="1"/>
  <c r="H8" i="12"/>
  <c r="H10" i="12" s="1"/>
  <c r="G8" i="12"/>
  <c r="G10" i="12" s="1"/>
  <c r="F8" i="12"/>
  <c r="F10" i="12" s="1"/>
  <c r="E8" i="12"/>
  <c r="E10" i="12" s="1"/>
  <c r="D8" i="12"/>
  <c r="D10" i="12" s="1"/>
  <c r="C8" i="12"/>
  <c r="C10" i="12" s="1"/>
  <c r="B53" i="12"/>
  <c r="B40" i="12"/>
  <c r="B38" i="12"/>
  <c r="B35" i="12"/>
  <c r="B34" i="12"/>
  <c r="B32" i="12"/>
  <c r="B30" i="12"/>
  <c r="B28" i="12"/>
  <c r="B7" i="12"/>
  <c r="B6" i="12"/>
  <c r="K29" i="13" l="1"/>
  <c r="Q29" i="13"/>
  <c r="J29" i="13"/>
  <c r="M29" i="13"/>
  <c r="I29" i="13"/>
  <c r="N29" i="13"/>
  <c r="O29" i="13"/>
  <c r="P29" i="13"/>
  <c r="P16" i="13"/>
  <c r="O16" i="13"/>
  <c r="Q23" i="13"/>
  <c r="J10" i="13"/>
  <c r="N12" i="13"/>
  <c r="I10" i="13"/>
  <c r="N16" i="13"/>
  <c r="G23" i="13"/>
  <c r="O12" i="13"/>
  <c r="P12" i="13"/>
  <c r="Q19" i="13"/>
  <c r="N20" i="13"/>
  <c r="M35" i="13"/>
  <c r="K41" i="13"/>
  <c r="K40" i="13" s="1"/>
  <c r="K10" i="13"/>
  <c r="K11" i="13" s="1"/>
  <c r="H11" i="13"/>
  <c r="E12" i="13"/>
  <c r="Q12" i="13"/>
  <c r="N13" i="13"/>
  <c r="K14" i="13"/>
  <c r="Q16" i="13"/>
  <c r="Q31" i="13" s="1"/>
  <c r="Q30" i="13" s="1"/>
  <c r="N17" i="13"/>
  <c r="K18" i="13"/>
  <c r="Q20" i="13"/>
  <c r="H23" i="13"/>
  <c r="K33" i="13"/>
  <c r="K32" i="13" s="1"/>
  <c r="O35" i="13"/>
  <c r="L10" i="13"/>
  <c r="I11" i="13"/>
  <c r="F12" i="13"/>
  <c r="O13" i="13"/>
  <c r="O28" i="13" s="1"/>
  <c r="L14" i="13"/>
  <c r="I15" i="13"/>
  <c r="O17" i="13"/>
  <c r="I19" i="13"/>
  <c r="O21" i="13"/>
  <c r="I23" i="13"/>
  <c r="P35" i="13"/>
  <c r="L38" i="13"/>
  <c r="I39" i="13"/>
  <c r="I38" i="13" s="1"/>
  <c r="K13" i="13"/>
  <c r="L17" i="13"/>
  <c r="M10" i="13"/>
  <c r="J11" i="13"/>
  <c r="G12" i="13"/>
  <c r="P13" i="13"/>
  <c r="P28" i="13" s="1"/>
  <c r="M14" i="13"/>
  <c r="J15" i="13"/>
  <c r="P17" i="13"/>
  <c r="J19" i="13"/>
  <c r="P21" i="13"/>
  <c r="M22" i="13"/>
  <c r="J23" i="13"/>
  <c r="Q35" i="13"/>
  <c r="M38" i="13"/>
  <c r="J39" i="13"/>
  <c r="J38" i="13" s="1"/>
  <c r="N10" i="13"/>
  <c r="H12" i="13"/>
  <c r="Q13" i="13"/>
  <c r="Q28" i="13" s="1"/>
  <c r="N14" i="13"/>
  <c r="N28" i="13" s="1"/>
  <c r="K15" i="13"/>
  <c r="Q17" i="13"/>
  <c r="Q39" i="13" s="1"/>
  <c r="Q38" i="13" s="1"/>
  <c r="K19" i="13"/>
  <c r="K22" i="13" s="1"/>
  <c r="Q21" i="13"/>
  <c r="K23" i="13"/>
  <c r="K34" i="13" s="1"/>
  <c r="K39" i="13"/>
  <c r="K38" i="13" s="1"/>
  <c r="L13" i="13"/>
  <c r="L28" i="13" s="1"/>
  <c r="C10" i="13"/>
  <c r="C11" i="13" s="1"/>
  <c r="O10" i="13"/>
  <c r="L11" i="13"/>
  <c r="I12" i="13"/>
  <c r="O14" i="13"/>
  <c r="L15" i="13"/>
  <c r="L31" i="13" s="1"/>
  <c r="L30" i="13" s="1"/>
  <c r="I16" i="13"/>
  <c r="I31" i="13" s="1"/>
  <c r="I30" i="13" s="1"/>
  <c r="L19" i="13"/>
  <c r="L33" i="13" s="1"/>
  <c r="L32" i="13" s="1"/>
  <c r="I20" i="13"/>
  <c r="L23" i="13"/>
  <c r="J31" i="13"/>
  <c r="J30" i="13" s="1"/>
  <c r="O33" i="13"/>
  <c r="O32" i="13" s="1"/>
  <c r="L39" i="13"/>
  <c r="Q41" i="13"/>
  <c r="Q40" i="13" s="1"/>
  <c r="L35" i="13"/>
  <c r="D10" i="13"/>
  <c r="D11" i="13" s="1"/>
  <c r="P10" i="13"/>
  <c r="M11" i="13"/>
  <c r="J12" i="13"/>
  <c r="P14" i="13"/>
  <c r="M15" i="13"/>
  <c r="M18" i="13" s="1"/>
  <c r="J16" i="13"/>
  <c r="M19" i="13"/>
  <c r="M21" i="13" s="1"/>
  <c r="J20" i="13"/>
  <c r="P22" i="13"/>
  <c r="M23" i="13"/>
  <c r="K31" i="13"/>
  <c r="K30" i="13" s="1"/>
  <c r="M39" i="13"/>
  <c r="K17" i="13"/>
  <c r="K21" i="13" s="1"/>
  <c r="M13" i="13"/>
  <c r="M28" i="13" s="1"/>
  <c r="E10" i="13"/>
  <c r="E11" i="13" s="1"/>
  <c r="Q10" i="13"/>
  <c r="Q11" i="13" s="1"/>
  <c r="N11" i="13"/>
  <c r="K12" i="13"/>
  <c r="Q14" i="13"/>
  <c r="N15" i="13"/>
  <c r="N31" i="13" s="1"/>
  <c r="N30" i="13" s="1"/>
  <c r="K16" i="13"/>
  <c r="Q18" i="13"/>
  <c r="N19" i="13"/>
  <c r="N21" i="13" s="1"/>
  <c r="K20" i="13"/>
  <c r="Q22" i="13"/>
  <c r="N23" i="13"/>
  <c r="N34" i="13" s="1"/>
  <c r="J28" i="13"/>
  <c r="Q33" i="13"/>
  <c r="Q32" i="13" s="1"/>
  <c r="I35" i="13"/>
  <c r="N39" i="13"/>
  <c r="N38" i="13" s="1"/>
  <c r="M17" i="13"/>
  <c r="F10" i="13"/>
  <c r="F11" i="13" s="1"/>
  <c r="O11" i="13"/>
  <c r="L12" i="13"/>
  <c r="I13" i="13"/>
  <c r="I28" i="13" s="1"/>
  <c r="O15" i="13"/>
  <c r="O31" i="13" s="1"/>
  <c r="O30" i="13" s="1"/>
  <c r="L16" i="13"/>
  <c r="I17" i="13"/>
  <c r="O19" i="13"/>
  <c r="O41" i="13" s="1"/>
  <c r="O40" i="13" s="1"/>
  <c r="L20" i="13"/>
  <c r="I21" i="13"/>
  <c r="C23" i="13"/>
  <c r="O23" i="13"/>
  <c r="K28" i="13"/>
  <c r="K42" i="13" s="1"/>
  <c r="J35" i="13"/>
  <c r="L21" i="13"/>
  <c r="G10" i="13"/>
  <c r="G11" i="13" s="1"/>
  <c r="P11" i="13"/>
  <c r="M12" i="13"/>
  <c r="J13" i="13"/>
  <c r="P15" i="13"/>
  <c r="P31" i="13" s="1"/>
  <c r="P30" i="13" s="1"/>
  <c r="M16" i="13"/>
  <c r="M31" i="13" s="1"/>
  <c r="M30" i="13" s="1"/>
  <c r="J17" i="13"/>
  <c r="J21" i="13" s="1"/>
  <c r="P19" i="13"/>
  <c r="P41" i="13" s="1"/>
  <c r="P40" i="13" s="1"/>
  <c r="D23" i="13"/>
  <c r="P23" i="13"/>
  <c r="H11" i="12"/>
  <c r="N12" i="12"/>
  <c r="E23" i="12"/>
  <c r="Q23" i="12"/>
  <c r="I11" i="12"/>
  <c r="C12" i="12"/>
  <c r="O12" i="12"/>
  <c r="F23" i="12"/>
  <c r="D12" i="12"/>
  <c r="P12" i="12"/>
  <c r="G23" i="12"/>
  <c r="K11" i="12"/>
  <c r="E12" i="12"/>
  <c r="Q12" i="12"/>
  <c r="H23" i="12"/>
  <c r="L11" i="12"/>
  <c r="F12" i="12"/>
  <c r="I23" i="12"/>
  <c r="J11" i="12"/>
  <c r="G12" i="12"/>
  <c r="J23" i="12"/>
  <c r="H12" i="12"/>
  <c r="K23" i="12"/>
  <c r="C11" i="12"/>
  <c r="I12" i="12"/>
  <c r="L23" i="12"/>
  <c r="D11" i="12"/>
  <c r="M11" i="12"/>
  <c r="J12" i="12"/>
  <c r="M23" i="12"/>
  <c r="E11" i="12"/>
  <c r="Q11" i="12"/>
  <c r="N11" i="12"/>
  <c r="K12" i="12"/>
  <c r="N23" i="12"/>
  <c r="F11" i="12"/>
  <c r="O11" i="12"/>
  <c r="L12" i="12"/>
  <c r="C23" i="12"/>
  <c r="O23" i="12"/>
  <c r="G11" i="12"/>
  <c r="P11" i="12"/>
  <c r="M12" i="12"/>
  <c r="D23" i="12"/>
  <c r="P23" i="12"/>
  <c r="AF180" i="1"/>
  <c r="AE180" i="1"/>
  <c r="AC180" i="1"/>
  <c r="AA180" i="1"/>
  <c r="Z180" i="1"/>
  <c r="Y180" i="1"/>
  <c r="X180" i="1"/>
  <c r="W180" i="1"/>
  <c r="V180" i="1"/>
  <c r="U180" i="1"/>
  <c r="T180" i="1"/>
  <c r="AG180" i="1" s="1"/>
  <c r="S180" i="1"/>
  <c r="R180" i="1"/>
  <c r="Q180" i="1"/>
  <c r="P180" i="1"/>
  <c r="O180" i="1"/>
  <c r="AF179" i="1"/>
  <c r="AE179" i="1"/>
  <c r="AC179" i="1"/>
  <c r="AA179" i="1"/>
  <c r="Z179" i="1"/>
  <c r="Y179" i="1"/>
  <c r="X179" i="1"/>
  <c r="W179" i="1"/>
  <c r="V179" i="1"/>
  <c r="U179" i="1"/>
  <c r="T179" i="1"/>
  <c r="AG179" i="1" s="1"/>
  <c r="S179" i="1"/>
  <c r="R179" i="1"/>
  <c r="Q179" i="1"/>
  <c r="P179" i="1"/>
  <c r="O179" i="1"/>
  <c r="AF178" i="1"/>
  <c r="AE178" i="1"/>
  <c r="AC178" i="1"/>
  <c r="AA178" i="1"/>
  <c r="Z178" i="1"/>
  <c r="Y178" i="1"/>
  <c r="X178" i="1"/>
  <c r="W178" i="1"/>
  <c r="V178" i="1"/>
  <c r="U178" i="1"/>
  <c r="T178" i="1"/>
  <c r="AG178" i="1" s="1"/>
  <c r="S178" i="1"/>
  <c r="R178" i="1"/>
  <c r="Q178" i="1"/>
  <c r="P178" i="1"/>
  <c r="O178" i="1"/>
  <c r="AF177" i="1"/>
  <c r="AE177" i="1"/>
  <c r="AC177" i="1"/>
  <c r="AA177" i="1"/>
  <c r="Z177" i="1"/>
  <c r="Y177" i="1"/>
  <c r="X177" i="1"/>
  <c r="W177" i="1"/>
  <c r="V177" i="1"/>
  <c r="U177" i="1"/>
  <c r="T177" i="1"/>
  <c r="AG177" i="1" s="1"/>
  <c r="S177" i="1"/>
  <c r="R177" i="1"/>
  <c r="Q177" i="1"/>
  <c r="P177" i="1"/>
  <c r="O177" i="1"/>
  <c r="AF176" i="1"/>
  <c r="AE176" i="1"/>
  <c r="AC176" i="1"/>
  <c r="AA176" i="1"/>
  <c r="Z176" i="1"/>
  <c r="Y176" i="1"/>
  <c r="X176" i="1"/>
  <c r="W176" i="1"/>
  <c r="V176" i="1"/>
  <c r="U176" i="1"/>
  <c r="T176" i="1"/>
  <c r="AG176" i="1" s="1"/>
  <c r="S176" i="1"/>
  <c r="R176" i="1"/>
  <c r="Q176" i="1"/>
  <c r="P176" i="1"/>
  <c r="O176" i="1"/>
  <c r="AF175" i="1"/>
  <c r="AE175" i="1"/>
  <c r="AC175" i="1"/>
  <c r="AA175" i="1"/>
  <c r="Z175" i="1"/>
  <c r="Y175" i="1"/>
  <c r="X175" i="1"/>
  <c r="W175" i="1"/>
  <c r="V175" i="1"/>
  <c r="U175" i="1"/>
  <c r="T175" i="1"/>
  <c r="AG175" i="1" s="1"/>
  <c r="S175" i="1"/>
  <c r="R175" i="1"/>
  <c r="Q175" i="1"/>
  <c r="P175" i="1"/>
  <c r="O175" i="1"/>
  <c r="AF174" i="1"/>
  <c r="AE174" i="1"/>
  <c r="AC174" i="1"/>
  <c r="AA174" i="1"/>
  <c r="Z174" i="1"/>
  <c r="Y174" i="1"/>
  <c r="X174" i="1"/>
  <c r="W174" i="1"/>
  <c r="V174" i="1"/>
  <c r="U174" i="1"/>
  <c r="T174" i="1"/>
  <c r="AG174" i="1" s="1"/>
  <c r="S174" i="1"/>
  <c r="R174" i="1"/>
  <c r="Q174" i="1"/>
  <c r="P174" i="1"/>
  <c r="O174" i="1"/>
  <c r="AG173" i="1"/>
  <c r="AF173" i="1"/>
  <c r="AE173" i="1"/>
  <c r="AC173" i="1"/>
  <c r="AA173" i="1"/>
  <c r="Z173" i="1"/>
  <c r="Y173" i="1"/>
  <c r="X173" i="1"/>
  <c r="W173" i="1"/>
  <c r="V173" i="1"/>
  <c r="U173" i="1"/>
  <c r="T173" i="1"/>
  <c r="S173" i="1"/>
  <c r="R173" i="1"/>
  <c r="Q173" i="1"/>
  <c r="P173" i="1"/>
  <c r="O173" i="1"/>
  <c r="AA172" i="1"/>
  <c r="H20" i="13" s="1"/>
  <c r="Z172" i="1"/>
  <c r="H19" i="13" s="1"/>
  <c r="Y172" i="1"/>
  <c r="H17" i="13" s="1"/>
  <c r="X172" i="1"/>
  <c r="W172" i="1"/>
  <c r="H15" i="13" s="1"/>
  <c r="V172" i="1"/>
  <c r="H14" i="13" s="1"/>
  <c r="U172" i="1"/>
  <c r="H13" i="13" s="1"/>
  <c r="T172" i="1"/>
  <c r="AG172" i="1" s="1"/>
  <c r="S172" i="1"/>
  <c r="R172" i="1"/>
  <c r="Q172" i="1"/>
  <c r="P172" i="1"/>
  <c r="O172" i="1"/>
  <c r="AA171" i="1"/>
  <c r="Z171" i="1"/>
  <c r="Y171" i="1"/>
  <c r="X171" i="1"/>
  <c r="W171" i="1"/>
  <c r="V171" i="1"/>
  <c r="U171" i="1"/>
  <c r="T171" i="1"/>
  <c r="S171" i="1"/>
  <c r="R171" i="1"/>
  <c r="Q171" i="1"/>
  <c r="P171" i="1"/>
  <c r="O171" i="1"/>
  <c r="AA170" i="1"/>
  <c r="Z170" i="1"/>
  <c r="Y170" i="1"/>
  <c r="X170" i="1"/>
  <c r="W170" i="1"/>
  <c r="V170" i="1"/>
  <c r="U170" i="1"/>
  <c r="T170" i="1"/>
  <c r="AG170" i="1" s="1"/>
  <c r="S170" i="1"/>
  <c r="R170" i="1"/>
  <c r="Q170" i="1"/>
  <c r="P170" i="1"/>
  <c r="O170" i="1"/>
  <c r="AA169" i="1"/>
  <c r="F20" i="13" s="1"/>
  <c r="Z169" i="1"/>
  <c r="Y169" i="1"/>
  <c r="F17" i="13" s="1"/>
  <c r="X169" i="1"/>
  <c r="F16" i="13" s="1"/>
  <c r="W169" i="1"/>
  <c r="F15" i="13" s="1"/>
  <c r="V169" i="1"/>
  <c r="U169" i="1"/>
  <c r="F13" i="13" s="1"/>
  <c r="T169" i="1"/>
  <c r="AG169" i="1" s="1"/>
  <c r="S169" i="1"/>
  <c r="R169" i="1"/>
  <c r="Q169" i="1"/>
  <c r="P169" i="1"/>
  <c r="O169" i="1"/>
  <c r="AA168" i="1"/>
  <c r="Z168" i="1"/>
  <c r="Y168" i="1"/>
  <c r="X168" i="1"/>
  <c r="W168" i="1"/>
  <c r="V168" i="1"/>
  <c r="U168" i="1"/>
  <c r="T168" i="1"/>
  <c r="S168" i="1"/>
  <c r="R168" i="1"/>
  <c r="Q168" i="1"/>
  <c r="P168" i="1"/>
  <c r="O168" i="1"/>
  <c r="AA167" i="1"/>
  <c r="E20" i="13" s="1"/>
  <c r="Z167" i="1"/>
  <c r="Y167" i="1"/>
  <c r="X167" i="1"/>
  <c r="W167" i="1"/>
  <c r="V167" i="1"/>
  <c r="U167" i="1"/>
  <c r="E13" i="13" s="1"/>
  <c r="T167" i="1"/>
  <c r="E35" i="13" s="1"/>
  <c r="E34" i="13" s="1"/>
  <c r="S167" i="1"/>
  <c r="R167" i="1"/>
  <c r="Q167" i="1"/>
  <c r="P167" i="1"/>
  <c r="O167" i="1"/>
  <c r="AA166" i="1"/>
  <c r="D20" i="13" s="1"/>
  <c r="Z166" i="1"/>
  <c r="Y166" i="1"/>
  <c r="D17" i="13" s="1"/>
  <c r="X166" i="1"/>
  <c r="D16" i="13" s="1"/>
  <c r="W166" i="1"/>
  <c r="D15" i="13" s="1"/>
  <c r="V166" i="1"/>
  <c r="D14" i="13" s="1"/>
  <c r="U166" i="1"/>
  <c r="AB166" i="1" s="1"/>
  <c r="T166" i="1"/>
  <c r="AG166" i="1" s="1"/>
  <c r="S166" i="1"/>
  <c r="R166" i="1"/>
  <c r="Q166" i="1"/>
  <c r="P166" i="1"/>
  <c r="O166" i="1"/>
  <c r="AA165" i="1"/>
  <c r="C20" i="13" s="1"/>
  <c r="Z165" i="1"/>
  <c r="C19" i="13" s="1"/>
  <c r="Y165" i="1"/>
  <c r="C17" i="13" s="1"/>
  <c r="X165" i="1"/>
  <c r="W165" i="1"/>
  <c r="C15" i="13" s="1"/>
  <c r="V165" i="1"/>
  <c r="C14" i="13" s="1"/>
  <c r="U165" i="1"/>
  <c r="AB165" i="1" s="1"/>
  <c r="T165" i="1"/>
  <c r="AG165" i="1" s="1"/>
  <c r="S165" i="1"/>
  <c r="R165" i="1"/>
  <c r="Q165" i="1"/>
  <c r="P165" i="1"/>
  <c r="O165" i="1"/>
  <c r="AA164" i="1"/>
  <c r="Z164" i="1"/>
  <c r="Y164" i="1"/>
  <c r="X164" i="1"/>
  <c r="W164" i="1"/>
  <c r="V164" i="1"/>
  <c r="U164" i="1"/>
  <c r="T164" i="1"/>
  <c r="S164" i="1"/>
  <c r="R164" i="1"/>
  <c r="Q164" i="1"/>
  <c r="P164" i="1"/>
  <c r="O164" i="1"/>
  <c r="AA163" i="1"/>
  <c r="Z163" i="1"/>
  <c r="Y163" i="1"/>
  <c r="X163" i="1"/>
  <c r="Q16" i="12" s="1"/>
  <c r="W163" i="1"/>
  <c r="V163" i="1"/>
  <c r="U163" i="1"/>
  <c r="T163" i="1"/>
  <c r="S163" i="1"/>
  <c r="R163" i="1"/>
  <c r="Q163" i="1"/>
  <c r="P163" i="1"/>
  <c r="O163" i="1"/>
  <c r="AA162" i="1"/>
  <c r="Z162" i="1"/>
  <c r="Y162" i="1"/>
  <c r="X162" i="1"/>
  <c r="W162" i="1"/>
  <c r="V162" i="1"/>
  <c r="U162" i="1"/>
  <c r="T162" i="1"/>
  <c r="S162" i="1"/>
  <c r="R162" i="1"/>
  <c r="Q162" i="1"/>
  <c r="P162" i="1"/>
  <c r="O162" i="1"/>
  <c r="AA161" i="1"/>
  <c r="Z161" i="1"/>
  <c r="Y161" i="1"/>
  <c r="P17" i="12" s="1"/>
  <c r="X161" i="1"/>
  <c r="W161" i="1"/>
  <c r="P15" i="12" s="1"/>
  <c r="V161" i="1"/>
  <c r="P14" i="12" s="1"/>
  <c r="U161" i="1"/>
  <c r="T161" i="1"/>
  <c r="S161" i="1"/>
  <c r="R161" i="1"/>
  <c r="Q161" i="1"/>
  <c r="P161" i="1"/>
  <c r="O161" i="1"/>
  <c r="AA160" i="1"/>
  <c r="Z160" i="1"/>
  <c r="Y160" i="1"/>
  <c r="X160" i="1"/>
  <c r="W160" i="1"/>
  <c r="V160" i="1"/>
  <c r="U160" i="1"/>
  <c r="T160" i="1"/>
  <c r="S160" i="1"/>
  <c r="R160" i="1"/>
  <c r="Q160" i="1"/>
  <c r="P160" i="1"/>
  <c r="O160" i="1"/>
  <c r="AA159" i="1"/>
  <c r="Z159" i="1"/>
  <c r="Y159" i="1"/>
  <c r="X159" i="1"/>
  <c r="W159" i="1"/>
  <c r="V159" i="1"/>
  <c r="U159" i="1"/>
  <c r="T159" i="1"/>
  <c r="S159" i="1"/>
  <c r="R159" i="1"/>
  <c r="Q159" i="1"/>
  <c r="P159" i="1"/>
  <c r="O159" i="1"/>
  <c r="AA158" i="1"/>
  <c r="Z158" i="1"/>
  <c r="Y158" i="1"/>
  <c r="X158" i="1"/>
  <c r="W158" i="1"/>
  <c r="V158" i="1"/>
  <c r="U158" i="1"/>
  <c r="T158" i="1"/>
  <c r="S158" i="1"/>
  <c r="R158" i="1"/>
  <c r="Q158" i="1"/>
  <c r="P158" i="1"/>
  <c r="O158" i="1"/>
  <c r="AA157" i="1"/>
  <c r="Z157" i="1"/>
  <c r="Y157" i="1"/>
  <c r="X157" i="1"/>
  <c r="W157" i="1"/>
  <c r="V157" i="1"/>
  <c r="U157" i="1"/>
  <c r="T157" i="1"/>
  <c r="S157" i="1"/>
  <c r="R157" i="1"/>
  <c r="Q157" i="1"/>
  <c r="P157" i="1"/>
  <c r="O157" i="1"/>
  <c r="AA156" i="1"/>
  <c r="N20" i="12" s="1"/>
  <c r="Z156" i="1"/>
  <c r="N19" i="12" s="1"/>
  <c r="Y156" i="1"/>
  <c r="X156" i="1"/>
  <c r="N16" i="12" s="1"/>
  <c r="W156" i="1"/>
  <c r="N15" i="12" s="1"/>
  <c r="V156" i="1"/>
  <c r="N14" i="12" s="1"/>
  <c r="U156" i="1"/>
  <c r="T156" i="1"/>
  <c r="S156" i="1"/>
  <c r="R156" i="1"/>
  <c r="Q156" i="1"/>
  <c r="P156" i="1"/>
  <c r="O156" i="1"/>
  <c r="AA155" i="1"/>
  <c r="M20" i="12" s="1"/>
  <c r="Z155" i="1"/>
  <c r="Y155" i="1"/>
  <c r="M17" i="12" s="1"/>
  <c r="X155" i="1"/>
  <c r="M16" i="12" s="1"/>
  <c r="W155" i="1"/>
  <c r="M15" i="12" s="1"/>
  <c r="V155" i="1"/>
  <c r="M14" i="12" s="1"/>
  <c r="U155" i="1"/>
  <c r="M13" i="12" s="1"/>
  <c r="T155" i="1"/>
  <c r="AG155" i="1" s="1"/>
  <c r="S155" i="1"/>
  <c r="R155" i="1"/>
  <c r="Q155" i="1"/>
  <c r="P155" i="1"/>
  <c r="O155" i="1"/>
  <c r="AA154" i="1"/>
  <c r="Z154" i="1"/>
  <c r="Y154" i="1"/>
  <c r="X154" i="1"/>
  <c r="W154" i="1"/>
  <c r="V154" i="1"/>
  <c r="U154" i="1"/>
  <c r="T154" i="1"/>
  <c r="S154" i="1"/>
  <c r="R154" i="1"/>
  <c r="Q154" i="1"/>
  <c r="P154" i="1"/>
  <c r="O154" i="1"/>
  <c r="AA153" i="1"/>
  <c r="Z153" i="1"/>
  <c r="L19" i="12" s="1"/>
  <c r="Y153" i="1"/>
  <c r="X153" i="1"/>
  <c r="W153" i="1"/>
  <c r="V153" i="1"/>
  <c r="U153" i="1"/>
  <c r="T153" i="1"/>
  <c r="S153" i="1"/>
  <c r="R153" i="1"/>
  <c r="Q153" i="1"/>
  <c r="P153" i="1"/>
  <c r="O153" i="1"/>
  <c r="AG152" i="1"/>
  <c r="AA152" i="1"/>
  <c r="Z152" i="1"/>
  <c r="Y152" i="1"/>
  <c r="X152" i="1"/>
  <c r="W152" i="1"/>
  <c r="V152" i="1"/>
  <c r="U152" i="1"/>
  <c r="T152" i="1"/>
  <c r="S152" i="1"/>
  <c r="R152" i="1"/>
  <c r="Q152" i="1"/>
  <c r="P152" i="1"/>
  <c r="O152" i="1"/>
  <c r="AA151" i="1"/>
  <c r="Z151" i="1"/>
  <c r="K19" i="12" s="1"/>
  <c r="Y151" i="1"/>
  <c r="K17" i="12" s="1"/>
  <c r="X151" i="1"/>
  <c r="AC152" i="1" s="1"/>
  <c r="W151" i="1"/>
  <c r="V151" i="1"/>
  <c r="K14" i="12" s="1"/>
  <c r="U151" i="1"/>
  <c r="K13" i="12" s="1"/>
  <c r="T151" i="1"/>
  <c r="S151" i="1"/>
  <c r="R151" i="1"/>
  <c r="Q151" i="1"/>
  <c r="P151" i="1"/>
  <c r="O151" i="1"/>
  <c r="AA86" i="1"/>
  <c r="Z86" i="1"/>
  <c r="AD86" i="1" s="1"/>
  <c r="Y86" i="1"/>
  <c r="X86" i="1"/>
  <c r="AC86" i="1" s="1"/>
  <c r="W86" i="1"/>
  <c r="V86" i="1"/>
  <c r="U86" i="1"/>
  <c r="T86" i="1"/>
  <c r="AG86" i="1" s="1"/>
  <c r="S86" i="1"/>
  <c r="R86" i="1"/>
  <c r="Q86" i="1"/>
  <c r="P86" i="1"/>
  <c r="O86" i="1"/>
  <c r="F19" i="13" l="1"/>
  <c r="F41" i="13" s="1"/>
  <c r="F40" i="13" s="1"/>
  <c r="AD169" i="1"/>
  <c r="F14" i="13"/>
  <c r="F29" i="13" s="1"/>
  <c r="F28" i="13" s="1"/>
  <c r="AB169" i="1"/>
  <c r="Q19" i="12"/>
  <c r="P13" i="12"/>
  <c r="P29" i="12" s="1"/>
  <c r="P28" i="12" s="1"/>
  <c r="E16" i="13"/>
  <c r="K20" i="12"/>
  <c r="K33" i="12" s="1"/>
  <c r="K32" i="12" s="1"/>
  <c r="O20" i="12"/>
  <c r="Q20" i="12"/>
  <c r="H35" i="13"/>
  <c r="E17" i="13"/>
  <c r="N17" i="12"/>
  <c r="N21" i="12" s="1"/>
  <c r="P16" i="12"/>
  <c r="P31" i="12" s="1"/>
  <c r="P30" i="12" s="1"/>
  <c r="AC165" i="1"/>
  <c r="AE171" i="1"/>
  <c r="G15" i="13"/>
  <c r="AE172" i="1"/>
  <c r="L14" i="12"/>
  <c r="Q35" i="12"/>
  <c r="Q34" i="12" s="1"/>
  <c r="G17" i="13"/>
  <c r="G14" i="13"/>
  <c r="O14" i="12"/>
  <c r="Q13" i="12"/>
  <c r="AF171" i="1"/>
  <c r="O35" i="12"/>
  <c r="O34" i="12" s="1"/>
  <c r="L16" i="12"/>
  <c r="O15" i="12"/>
  <c r="Q14" i="12"/>
  <c r="G20" i="13"/>
  <c r="L35" i="12"/>
  <c r="L34" i="12" s="1"/>
  <c r="AC170" i="1"/>
  <c r="L15" i="12"/>
  <c r="L22" i="12" s="1"/>
  <c r="K35" i="12"/>
  <c r="K34" i="12" s="1"/>
  <c r="L17" i="12"/>
  <c r="L21" i="12" s="1"/>
  <c r="O16" i="12"/>
  <c r="Q15" i="12"/>
  <c r="Q41" i="12" s="1"/>
  <c r="Q40" i="12" s="1"/>
  <c r="L13" i="12"/>
  <c r="AG156" i="1"/>
  <c r="O19" i="12"/>
  <c r="Q17" i="12"/>
  <c r="P20" i="12"/>
  <c r="O17" i="12"/>
  <c r="L20" i="12"/>
  <c r="L33" i="12" s="1"/>
  <c r="L32" i="12" s="1"/>
  <c r="K15" i="12"/>
  <c r="K41" i="12" s="1"/>
  <c r="K40" i="12" s="1"/>
  <c r="P35" i="12"/>
  <c r="P34" i="12" s="1"/>
  <c r="E14" i="13"/>
  <c r="E29" i="13" s="1"/>
  <c r="E28" i="13" s="1"/>
  <c r="E15" i="13"/>
  <c r="AD167" i="1"/>
  <c r="AD168" i="1"/>
  <c r="AD162" i="1"/>
  <c r="AD161" i="1"/>
  <c r="AC172" i="1"/>
  <c r="N35" i="12"/>
  <c r="N34" i="12" s="1"/>
  <c r="AB170" i="1"/>
  <c r="AB171" i="1"/>
  <c r="AG164" i="1"/>
  <c r="AF166" i="1"/>
  <c r="AD166" i="1"/>
  <c r="D13" i="13"/>
  <c r="D29" i="13" s="1"/>
  <c r="D28" i="13" s="1"/>
  <c r="AF155" i="1"/>
  <c r="AD155" i="1"/>
  <c r="AF172" i="1"/>
  <c r="AD172" i="1"/>
  <c r="G35" i="13"/>
  <c r="G34" i="13" s="1"/>
  <c r="M19" i="12"/>
  <c r="M41" i="12" s="1"/>
  <c r="M40" i="12" s="1"/>
  <c r="F35" i="13"/>
  <c r="F34" i="13" s="1"/>
  <c r="C13" i="13"/>
  <c r="C29" i="13" s="1"/>
  <c r="C28" i="13" s="1"/>
  <c r="G19" i="13"/>
  <c r="G21" i="13" s="1"/>
  <c r="AD156" i="1"/>
  <c r="AD157" i="1"/>
  <c r="AB164" i="1"/>
  <c r="AB163" i="1"/>
  <c r="AD170" i="1"/>
  <c r="AD171" i="1"/>
  <c r="AE170" i="1"/>
  <c r="K16" i="12"/>
  <c r="K31" i="12" s="1"/>
  <c r="K30" i="12" s="1"/>
  <c r="AB153" i="1"/>
  <c r="AB154" i="1"/>
  <c r="AF165" i="1"/>
  <c r="AD165" i="1"/>
  <c r="AG151" i="1"/>
  <c r="AB151" i="1"/>
  <c r="AB152" i="1"/>
  <c r="AD153" i="1"/>
  <c r="AD154" i="1"/>
  <c r="P19" i="12"/>
  <c r="P41" i="12" s="1"/>
  <c r="P40" i="12" s="1"/>
  <c r="AB158" i="1"/>
  <c r="AB159" i="1"/>
  <c r="AB160" i="1"/>
  <c r="AD158" i="1"/>
  <c r="AD159" i="1"/>
  <c r="AD160" i="1"/>
  <c r="AB167" i="1"/>
  <c r="AB168" i="1"/>
  <c r="E19" i="13"/>
  <c r="E33" i="13" s="1"/>
  <c r="E32" i="13" s="1"/>
  <c r="AB86" i="1"/>
  <c r="AB156" i="1"/>
  <c r="AB157" i="1"/>
  <c r="AE164" i="1"/>
  <c r="AD163" i="1"/>
  <c r="AD164" i="1"/>
  <c r="G13" i="13"/>
  <c r="D35" i="13"/>
  <c r="D34" i="13" s="1"/>
  <c r="C35" i="13"/>
  <c r="C34" i="13" s="1"/>
  <c r="AB162" i="1"/>
  <c r="AB161" i="1"/>
  <c r="H16" i="13"/>
  <c r="H18" i="13" s="1"/>
  <c r="N13" i="12"/>
  <c r="N29" i="12" s="1"/>
  <c r="N28" i="12" s="1"/>
  <c r="D19" i="13"/>
  <c r="D41" i="13" s="1"/>
  <c r="D40" i="13" s="1"/>
  <c r="C16" i="13"/>
  <c r="C31" i="13" s="1"/>
  <c r="C30" i="13" s="1"/>
  <c r="AD151" i="1"/>
  <c r="AD152" i="1"/>
  <c r="AB155" i="1"/>
  <c r="AB172" i="1"/>
  <c r="O13" i="12"/>
  <c r="M35" i="12"/>
  <c r="M34" i="12" s="1"/>
  <c r="G16" i="13"/>
  <c r="K29" i="12"/>
  <c r="K28" i="12" s="1"/>
  <c r="P34" i="13"/>
  <c r="M29" i="12"/>
  <c r="M28" i="12" s="1"/>
  <c r="Q34" i="13"/>
  <c r="H29" i="13"/>
  <c r="H28" i="13" s="1"/>
  <c r="K39" i="12"/>
  <c r="K38" i="12" s="1"/>
  <c r="F18" i="13"/>
  <c r="D18" i="13"/>
  <c r="N33" i="12"/>
  <c r="N32" i="12" s="1"/>
  <c r="H21" i="13"/>
  <c r="F31" i="13"/>
  <c r="F30" i="13" s="1"/>
  <c r="M34" i="13"/>
  <c r="H34" i="13"/>
  <c r="C41" i="13"/>
  <c r="C40" i="13" s="1"/>
  <c r="C39" i="13"/>
  <c r="C38" i="13" s="1"/>
  <c r="C21" i="13"/>
  <c r="Q42" i="13"/>
  <c r="I42" i="13"/>
  <c r="O42" i="13"/>
  <c r="O34" i="13"/>
  <c r="H41" i="13"/>
  <c r="H40" i="13" s="1"/>
  <c r="N22" i="13"/>
  <c r="O22" i="13"/>
  <c r="C22" i="13"/>
  <c r="N33" i="13"/>
  <c r="N32" i="13" s="1"/>
  <c r="N42" i="13" s="1"/>
  <c r="M33" i="13"/>
  <c r="M32" i="13" s="1"/>
  <c r="M42" i="13" s="1"/>
  <c r="D31" i="13"/>
  <c r="D30" i="13" s="1"/>
  <c r="I34" i="13"/>
  <c r="J33" i="13"/>
  <c r="J32" i="13" s="1"/>
  <c r="J42" i="13" s="1"/>
  <c r="J22" i="13"/>
  <c r="J41" i="13"/>
  <c r="J40" i="13" s="1"/>
  <c r="I22" i="13"/>
  <c r="I33" i="13"/>
  <c r="I32" i="13" s="1"/>
  <c r="N18" i="13"/>
  <c r="L18" i="13"/>
  <c r="M41" i="13"/>
  <c r="M40" i="13" s="1"/>
  <c r="P39" i="13"/>
  <c r="P38" i="13" s="1"/>
  <c r="P42" i="13" s="1"/>
  <c r="L22" i="13"/>
  <c r="P18" i="13"/>
  <c r="L41" i="13"/>
  <c r="L40" i="13" s="1"/>
  <c r="C33" i="13"/>
  <c r="C32" i="13" s="1"/>
  <c r="H33" i="13"/>
  <c r="H32" i="13" s="1"/>
  <c r="H22" i="13"/>
  <c r="J34" i="13"/>
  <c r="P33" i="13"/>
  <c r="P32" i="13" s="1"/>
  <c r="L34" i="13"/>
  <c r="L42" i="13" s="1"/>
  <c r="O18" i="13"/>
  <c r="O39" i="13"/>
  <c r="O38" i="13" s="1"/>
  <c r="N41" i="13"/>
  <c r="N40" i="13" s="1"/>
  <c r="H39" i="13"/>
  <c r="H38" i="13" s="1"/>
  <c r="J18" i="13"/>
  <c r="I18" i="13"/>
  <c r="I41" i="13"/>
  <c r="I40" i="13" s="1"/>
  <c r="M31" i="12"/>
  <c r="M30" i="12" s="1"/>
  <c r="N31" i="12"/>
  <c r="N30" i="12" s="1"/>
  <c r="N22" i="12"/>
  <c r="K21" i="12"/>
  <c r="M18" i="12"/>
  <c r="N41" i="12"/>
  <c r="N40" i="12" s="1"/>
  <c r="AF157" i="1"/>
  <c r="AF86" i="1"/>
  <c r="AG154" i="1"/>
  <c r="AC157" i="1"/>
  <c r="AG159" i="1"/>
  <c r="AE163" i="1"/>
  <c r="AE86" i="1"/>
  <c r="AC167" i="1"/>
  <c r="AE169" i="1"/>
  <c r="AE165" i="1"/>
  <c r="AG157" i="1"/>
  <c r="AG162" i="1"/>
  <c r="AF153" i="1"/>
  <c r="AC171" i="1"/>
  <c r="AG153" i="1"/>
  <c r="AC166" i="1"/>
  <c r="AE157" i="1"/>
  <c r="AF164" i="1"/>
  <c r="AE166" i="1"/>
  <c r="AG171" i="1"/>
  <c r="AC156" i="1"/>
  <c r="AE154" i="1"/>
  <c r="AE156" i="1"/>
  <c r="AF152" i="1"/>
  <c r="AF156" i="1"/>
  <c r="AF170" i="1"/>
  <c r="AG160" i="1"/>
  <c r="AG168" i="1"/>
  <c r="AF169" i="1"/>
  <c r="AF162" i="1"/>
  <c r="AE151" i="1"/>
  <c r="AE152" i="1"/>
  <c r="AC158" i="1"/>
  <c r="AC169" i="1"/>
  <c r="AG167" i="1"/>
  <c r="AE167" i="1"/>
  <c r="AC168" i="1"/>
  <c r="AF167" i="1"/>
  <c r="AF168" i="1"/>
  <c r="AE168" i="1"/>
  <c r="AG163" i="1"/>
  <c r="AC164" i="1"/>
  <c r="AF163" i="1"/>
  <c r="AC163" i="1"/>
  <c r="AG161" i="1"/>
  <c r="AC162" i="1"/>
  <c r="AC161" i="1"/>
  <c r="AE161" i="1"/>
  <c r="AE162" i="1"/>
  <c r="AF161" i="1"/>
  <c r="AG158" i="1"/>
  <c r="AC159" i="1"/>
  <c r="AC160" i="1"/>
  <c r="AF160" i="1"/>
  <c r="AF159" i="1"/>
  <c r="AE159" i="1"/>
  <c r="AE160" i="1"/>
  <c r="AF158" i="1"/>
  <c r="AE158" i="1"/>
  <c r="AC153" i="1"/>
  <c r="AC155" i="1"/>
  <c r="AF154" i="1"/>
  <c r="AC154" i="1"/>
  <c r="AE155" i="1"/>
  <c r="AF151" i="1"/>
  <c r="AE153" i="1"/>
  <c r="AC151" i="1"/>
  <c r="G5" i="1"/>
  <c r="AA150" i="1"/>
  <c r="Z150" i="1"/>
  <c r="Y150" i="1"/>
  <c r="X150" i="1"/>
  <c r="W150" i="1"/>
  <c r="V150" i="1"/>
  <c r="U150" i="1"/>
  <c r="T150" i="1"/>
  <c r="S150" i="1"/>
  <c r="R150" i="1"/>
  <c r="Q150" i="1"/>
  <c r="P150" i="1"/>
  <c r="O150" i="1"/>
  <c r="AA149" i="1"/>
  <c r="Z149" i="1"/>
  <c r="Y149" i="1"/>
  <c r="X149" i="1"/>
  <c r="W149" i="1"/>
  <c r="J15" i="12" s="1"/>
  <c r="V149" i="1"/>
  <c r="U149" i="1"/>
  <c r="T149" i="1"/>
  <c r="S149" i="1"/>
  <c r="R149" i="1"/>
  <c r="Q149" i="1"/>
  <c r="P149" i="1"/>
  <c r="O149" i="1"/>
  <c r="AA148" i="1"/>
  <c r="Z148" i="1"/>
  <c r="Y148" i="1"/>
  <c r="X148" i="1"/>
  <c r="W148" i="1"/>
  <c r="V148" i="1"/>
  <c r="U148" i="1"/>
  <c r="T148" i="1"/>
  <c r="S148" i="1"/>
  <c r="R148" i="1"/>
  <c r="Q148" i="1"/>
  <c r="P148" i="1"/>
  <c r="O148" i="1"/>
  <c r="AA147" i="1"/>
  <c r="Z147" i="1"/>
  <c r="Y147" i="1"/>
  <c r="X147" i="1"/>
  <c r="W147" i="1"/>
  <c r="V147" i="1"/>
  <c r="U147" i="1"/>
  <c r="T147" i="1"/>
  <c r="S147" i="1"/>
  <c r="R147" i="1"/>
  <c r="Q147" i="1"/>
  <c r="P147" i="1"/>
  <c r="O147" i="1"/>
  <c r="AA146" i="1"/>
  <c r="I20" i="12" s="1"/>
  <c r="Z146" i="1"/>
  <c r="Y146" i="1"/>
  <c r="X146" i="1"/>
  <c r="W146" i="1"/>
  <c r="V146" i="1"/>
  <c r="U146" i="1"/>
  <c r="T146" i="1"/>
  <c r="S146" i="1"/>
  <c r="R146" i="1"/>
  <c r="Q146" i="1"/>
  <c r="P146" i="1"/>
  <c r="O146" i="1"/>
  <c r="AA145" i="1"/>
  <c r="H20" i="12" s="1"/>
  <c r="Z145" i="1"/>
  <c r="Y145" i="1"/>
  <c r="H17" i="12" s="1"/>
  <c r="X145" i="1"/>
  <c r="H16" i="12" s="1"/>
  <c r="W145" i="1"/>
  <c r="H15" i="12" s="1"/>
  <c r="V145" i="1"/>
  <c r="H14" i="12" s="1"/>
  <c r="U145" i="1"/>
  <c r="T145" i="1"/>
  <c r="S145" i="1"/>
  <c r="R145" i="1"/>
  <c r="Q145" i="1"/>
  <c r="P145" i="1"/>
  <c r="O145" i="1"/>
  <c r="AA144" i="1"/>
  <c r="Z144" i="1"/>
  <c r="Y144" i="1"/>
  <c r="X144" i="1"/>
  <c r="W144" i="1"/>
  <c r="V144" i="1"/>
  <c r="U144" i="1"/>
  <c r="T144" i="1"/>
  <c r="S144" i="1"/>
  <c r="R144" i="1"/>
  <c r="Q144" i="1"/>
  <c r="P144" i="1"/>
  <c r="O144" i="1"/>
  <c r="AA143" i="1"/>
  <c r="Z143" i="1"/>
  <c r="Y143" i="1"/>
  <c r="X143" i="1"/>
  <c r="W143" i="1"/>
  <c r="V143" i="1"/>
  <c r="U143" i="1"/>
  <c r="T143" i="1"/>
  <c r="S143" i="1"/>
  <c r="R143" i="1"/>
  <c r="Q143" i="1"/>
  <c r="P143" i="1"/>
  <c r="O143" i="1"/>
  <c r="AA142" i="1"/>
  <c r="F20" i="12" s="1"/>
  <c r="Z142" i="1"/>
  <c r="Y142" i="1"/>
  <c r="F17" i="12" s="1"/>
  <c r="X142" i="1"/>
  <c r="F16" i="12" s="1"/>
  <c r="W142" i="1"/>
  <c r="F15" i="12" s="1"/>
  <c r="V142" i="1"/>
  <c r="F14" i="12" s="1"/>
  <c r="U142" i="1"/>
  <c r="T142" i="1"/>
  <c r="S142" i="1"/>
  <c r="R142" i="1"/>
  <c r="Q142" i="1"/>
  <c r="P142" i="1"/>
  <c r="O142" i="1"/>
  <c r="AA141" i="1"/>
  <c r="E20" i="12" s="1"/>
  <c r="Z141" i="1"/>
  <c r="Y141" i="1"/>
  <c r="E17" i="12" s="1"/>
  <c r="X141" i="1"/>
  <c r="E16" i="12" s="1"/>
  <c r="W141" i="1"/>
  <c r="E15" i="12" s="1"/>
  <c r="V141" i="1"/>
  <c r="E14" i="12" s="1"/>
  <c r="U141" i="1"/>
  <c r="T141" i="1"/>
  <c r="S141" i="1"/>
  <c r="R141" i="1"/>
  <c r="Q141" i="1"/>
  <c r="P141" i="1"/>
  <c r="O141" i="1"/>
  <c r="AA140" i="1"/>
  <c r="Z140" i="1"/>
  <c r="Y140" i="1"/>
  <c r="X140" i="1"/>
  <c r="W140" i="1"/>
  <c r="V140" i="1"/>
  <c r="U140" i="1"/>
  <c r="T140" i="1"/>
  <c r="S140" i="1"/>
  <c r="R140" i="1"/>
  <c r="Q140" i="1"/>
  <c r="P140" i="1"/>
  <c r="O140" i="1"/>
  <c r="AA139" i="1"/>
  <c r="D20" i="12" s="1"/>
  <c r="Z139" i="1"/>
  <c r="Y139" i="1"/>
  <c r="X139" i="1"/>
  <c r="W139" i="1"/>
  <c r="D15" i="12" s="1"/>
  <c r="V139" i="1"/>
  <c r="D14" i="12" s="1"/>
  <c r="U139" i="1"/>
  <c r="T139" i="1"/>
  <c r="S139" i="1"/>
  <c r="R139" i="1"/>
  <c r="Q139" i="1"/>
  <c r="P139" i="1"/>
  <c r="O139" i="1"/>
  <c r="AA138" i="1"/>
  <c r="Z138" i="1"/>
  <c r="Y138" i="1"/>
  <c r="X138" i="1"/>
  <c r="W138" i="1"/>
  <c r="V138" i="1"/>
  <c r="U138" i="1"/>
  <c r="T138" i="1"/>
  <c r="S138" i="1"/>
  <c r="R138" i="1"/>
  <c r="Q138" i="1"/>
  <c r="P138" i="1"/>
  <c r="O138" i="1"/>
  <c r="AA137" i="1"/>
  <c r="Z137" i="1"/>
  <c r="Y137" i="1"/>
  <c r="C17" i="12" s="1"/>
  <c r="X137" i="1"/>
  <c r="W137" i="1"/>
  <c r="V137" i="1"/>
  <c r="U137" i="1"/>
  <c r="C13" i="12" s="1"/>
  <c r="T137" i="1"/>
  <c r="S137" i="1"/>
  <c r="R137" i="1"/>
  <c r="Q137" i="1"/>
  <c r="P137" i="1"/>
  <c r="O137" i="1"/>
  <c r="AA136" i="1"/>
  <c r="Z136" i="1"/>
  <c r="Y136" i="1"/>
  <c r="X136" i="1"/>
  <c r="W136" i="1"/>
  <c r="V136" i="1"/>
  <c r="U136" i="1"/>
  <c r="T136" i="1"/>
  <c r="S136" i="1"/>
  <c r="R136" i="1"/>
  <c r="Q136" i="1"/>
  <c r="P136" i="1"/>
  <c r="O136" i="1"/>
  <c r="AA135" i="1"/>
  <c r="Z135" i="1"/>
  <c r="Y135" i="1"/>
  <c r="X135" i="1"/>
  <c r="W135" i="1"/>
  <c r="V135" i="1"/>
  <c r="U135" i="1"/>
  <c r="T135" i="1"/>
  <c r="S135" i="1"/>
  <c r="R135" i="1"/>
  <c r="Q135" i="1"/>
  <c r="P135" i="1"/>
  <c r="O135" i="1"/>
  <c r="AA134" i="1"/>
  <c r="Z134" i="1"/>
  <c r="Y134" i="1"/>
  <c r="X134" i="1"/>
  <c r="W134" i="1"/>
  <c r="V134" i="1"/>
  <c r="U134" i="1"/>
  <c r="T134" i="1"/>
  <c r="S134" i="1"/>
  <c r="R134" i="1"/>
  <c r="Q134" i="1"/>
  <c r="P134" i="1"/>
  <c r="O134" i="1"/>
  <c r="AA133" i="1"/>
  <c r="Z133" i="1"/>
  <c r="Y133" i="1"/>
  <c r="X133" i="1"/>
  <c r="W133" i="1"/>
  <c r="V133" i="1"/>
  <c r="U133" i="1"/>
  <c r="T133" i="1"/>
  <c r="S133" i="1"/>
  <c r="R133" i="1"/>
  <c r="Q133" i="1"/>
  <c r="P133" i="1"/>
  <c r="O133" i="1"/>
  <c r="AA132" i="1"/>
  <c r="Z132" i="1"/>
  <c r="Y132" i="1"/>
  <c r="X132" i="1"/>
  <c r="W132" i="1"/>
  <c r="V132" i="1"/>
  <c r="U132" i="1"/>
  <c r="T132" i="1"/>
  <c r="AG132" i="1" s="1"/>
  <c r="S132" i="1"/>
  <c r="R132" i="1"/>
  <c r="Q132" i="1"/>
  <c r="P132" i="1"/>
  <c r="O132" i="1"/>
  <c r="AA131" i="1"/>
  <c r="Z131" i="1"/>
  <c r="Y131" i="1"/>
  <c r="X131" i="1"/>
  <c r="W131" i="1"/>
  <c r="V131" i="1"/>
  <c r="U131" i="1"/>
  <c r="T131" i="1"/>
  <c r="S131" i="1"/>
  <c r="R131" i="1"/>
  <c r="Q131" i="1"/>
  <c r="P131" i="1"/>
  <c r="O131" i="1"/>
  <c r="AA130" i="1"/>
  <c r="Z130" i="1"/>
  <c r="Y130" i="1"/>
  <c r="X130" i="1"/>
  <c r="W130" i="1"/>
  <c r="V130" i="1"/>
  <c r="U130" i="1"/>
  <c r="T130" i="1"/>
  <c r="AG130" i="1" s="1"/>
  <c r="S130" i="1"/>
  <c r="R130" i="1"/>
  <c r="Q130" i="1"/>
  <c r="P130" i="1"/>
  <c r="O130" i="1"/>
  <c r="AA129" i="1"/>
  <c r="Z129" i="1"/>
  <c r="Y129" i="1"/>
  <c r="X129" i="1"/>
  <c r="W129" i="1"/>
  <c r="V129" i="1"/>
  <c r="U129" i="1"/>
  <c r="T129" i="1"/>
  <c r="S129" i="1"/>
  <c r="R129" i="1"/>
  <c r="Q129" i="1"/>
  <c r="P129" i="1"/>
  <c r="O129" i="1"/>
  <c r="AA128" i="1"/>
  <c r="Z128" i="1"/>
  <c r="Y128" i="1"/>
  <c r="X128" i="1"/>
  <c r="W128" i="1"/>
  <c r="V128" i="1"/>
  <c r="U128" i="1"/>
  <c r="T128" i="1"/>
  <c r="S128" i="1"/>
  <c r="R128" i="1"/>
  <c r="Q128" i="1"/>
  <c r="P128" i="1"/>
  <c r="O128" i="1"/>
  <c r="AA127" i="1"/>
  <c r="Z127" i="1"/>
  <c r="Y127" i="1"/>
  <c r="X127" i="1"/>
  <c r="W127" i="1"/>
  <c r="V127" i="1"/>
  <c r="U127" i="1"/>
  <c r="T127" i="1"/>
  <c r="S127" i="1"/>
  <c r="R127" i="1"/>
  <c r="Q127" i="1"/>
  <c r="P127" i="1"/>
  <c r="O127" i="1"/>
  <c r="AA126" i="1"/>
  <c r="Z126" i="1"/>
  <c r="Y126" i="1"/>
  <c r="X126" i="1"/>
  <c r="W126" i="1"/>
  <c r="V126" i="1"/>
  <c r="U126" i="1"/>
  <c r="T126" i="1"/>
  <c r="S126" i="1"/>
  <c r="R126" i="1"/>
  <c r="Q126" i="1"/>
  <c r="P126" i="1"/>
  <c r="O126" i="1"/>
  <c r="AA125" i="1"/>
  <c r="Z125" i="1"/>
  <c r="Y125" i="1"/>
  <c r="X125" i="1"/>
  <c r="W125" i="1"/>
  <c r="V125" i="1"/>
  <c r="U125" i="1"/>
  <c r="T125" i="1"/>
  <c r="S125" i="1"/>
  <c r="R125" i="1"/>
  <c r="Q125" i="1"/>
  <c r="P125" i="1"/>
  <c r="O125" i="1"/>
  <c r="AA124" i="1"/>
  <c r="Z124" i="1"/>
  <c r="Y124" i="1"/>
  <c r="X124" i="1"/>
  <c r="W124" i="1"/>
  <c r="V124" i="1"/>
  <c r="U124" i="1"/>
  <c r="AB124" i="1" s="1"/>
  <c r="T124" i="1"/>
  <c r="AG124" i="1" s="1"/>
  <c r="S124" i="1"/>
  <c r="R124" i="1"/>
  <c r="Q124" i="1"/>
  <c r="P124" i="1"/>
  <c r="O124" i="1"/>
  <c r="AA123" i="1"/>
  <c r="Z123" i="1"/>
  <c r="Y123" i="1"/>
  <c r="X123" i="1"/>
  <c r="W123" i="1"/>
  <c r="V123" i="1"/>
  <c r="U123" i="1"/>
  <c r="T123" i="1"/>
  <c r="S123" i="1"/>
  <c r="R123" i="1"/>
  <c r="Q123" i="1"/>
  <c r="P123" i="1"/>
  <c r="O123" i="1"/>
  <c r="AA122" i="1"/>
  <c r="Z122" i="1"/>
  <c r="Y122" i="1"/>
  <c r="X122" i="1"/>
  <c r="W122" i="1"/>
  <c r="V122" i="1"/>
  <c r="U122" i="1"/>
  <c r="T122" i="1"/>
  <c r="S122" i="1"/>
  <c r="R122" i="1"/>
  <c r="Q122" i="1"/>
  <c r="P122" i="1"/>
  <c r="O122" i="1"/>
  <c r="AA121" i="1"/>
  <c r="Z121" i="1"/>
  <c r="Y121" i="1"/>
  <c r="X121" i="1"/>
  <c r="W121" i="1"/>
  <c r="V121" i="1"/>
  <c r="U121" i="1"/>
  <c r="T121" i="1"/>
  <c r="S121" i="1"/>
  <c r="R121" i="1"/>
  <c r="Q121" i="1"/>
  <c r="P121" i="1"/>
  <c r="O121" i="1"/>
  <c r="AA120" i="1"/>
  <c r="Z120" i="1"/>
  <c r="Y120" i="1"/>
  <c r="X120" i="1"/>
  <c r="W120" i="1"/>
  <c r="V120" i="1"/>
  <c r="U120" i="1"/>
  <c r="T120" i="1"/>
  <c r="S120" i="1"/>
  <c r="R120" i="1"/>
  <c r="Q120" i="1"/>
  <c r="P120" i="1"/>
  <c r="O120" i="1"/>
  <c r="AA119" i="1"/>
  <c r="Z119" i="1"/>
  <c r="Y119" i="1"/>
  <c r="X119" i="1"/>
  <c r="W119" i="1"/>
  <c r="V119" i="1"/>
  <c r="U119" i="1"/>
  <c r="AB119" i="1" s="1"/>
  <c r="T119" i="1"/>
  <c r="AG119" i="1" s="1"/>
  <c r="S119" i="1"/>
  <c r="R119" i="1"/>
  <c r="Q119" i="1"/>
  <c r="P119" i="1"/>
  <c r="O119" i="1"/>
  <c r="AA118" i="1"/>
  <c r="Z118" i="1"/>
  <c r="Y118" i="1"/>
  <c r="X118" i="1"/>
  <c r="W118" i="1"/>
  <c r="V118" i="1"/>
  <c r="U118" i="1"/>
  <c r="T118" i="1"/>
  <c r="S118" i="1"/>
  <c r="R118" i="1"/>
  <c r="Q118" i="1"/>
  <c r="P118" i="1"/>
  <c r="O118" i="1"/>
  <c r="AA117" i="1"/>
  <c r="Z117" i="1"/>
  <c r="Y117" i="1"/>
  <c r="X117" i="1"/>
  <c r="W117" i="1"/>
  <c r="V117" i="1"/>
  <c r="U117" i="1"/>
  <c r="T117" i="1"/>
  <c r="S117" i="1"/>
  <c r="R117" i="1"/>
  <c r="Q117" i="1"/>
  <c r="P117" i="1"/>
  <c r="O117" i="1"/>
  <c r="AA116" i="1"/>
  <c r="Z116" i="1"/>
  <c r="AD116" i="1" s="1"/>
  <c r="Y116" i="1"/>
  <c r="X116" i="1"/>
  <c r="W116" i="1"/>
  <c r="V116" i="1"/>
  <c r="U116" i="1"/>
  <c r="T116" i="1"/>
  <c r="S116" i="1"/>
  <c r="R116" i="1"/>
  <c r="Q116" i="1"/>
  <c r="P116" i="1"/>
  <c r="O116" i="1"/>
  <c r="AA115" i="1"/>
  <c r="Z115" i="1"/>
  <c r="Y115" i="1"/>
  <c r="X115" i="1"/>
  <c r="W115" i="1"/>
  <c r="V115" i="1"/>
  <c r="U115" i="1"/>
  <c r="T115" i="1"/>
  <c r="S115" i="1"/>
  <c r="R115" i="1"/>
  <c r="Q115" i="1"/>
  <c r="P115" i="1"/>
  <c r="O115" i="1"/>
  <c r="AA114" i="1"/>
  <c r="Z114" i="1"/>
  <c r="Y114" i="1"/>
  <c r="X114" i="1"/>
  <c r="W114" i="1"/>
  <c r="V114" i="1"/>
  <c r="U114" i="1"/>
  <c r="T114" i="1"/>
  <c r="S114" i="1"/>
  <c r="R114" i="1"/>
  <c r="Q114" i="1"/>
  <c r="P114" i="1"/>
  <c r="O114" i="1"/>
  <c r="AA113" i="1"/>
  <c r="Z113" i="1"/>
  <c r="Y113" i="1"/>
  <c r="X113" i="1"/>
  <c r="W113" i="1"/>
  <c r="V113" i="1"/>
  <c r="U113" i="1"/>
  <c r="T113" i="1"/>
  <c r="S113" i="1"/>
  <c r="R113" i="1"/>
  <c r="Q113" i="1"/>
  <c r="P113" i="1"/>
  <c r="O113" i="1"/>
  <c r="AA112" i="1"/>
  <c r="Z112" i="1"/>
  <c r="Y112" i="1"/>
  <c r="X112" i="1"/>
  <c r="W112" i="1"/>
  <c r="V112" i="1"/>
  <c r="U112" i="1"/>
  <c r="T112" i="1"/>
  <c r="S112" i="1"/>
  <c r="R112" i="1"/>
  <c r="Q112" i="1"/>
  <c r="P112" i="1"/>
  <c r="O112" i="1"/>
  <c r="AA111" i="1"/>
  <c r="Z111" i="1"/>
  <c r="Y111" i="1"/>
  <c r="X111" i="1"/>
  <c r="W111" i="1"/>
  <c r="V111" i="1"/>
  <c r="U111" i="1"/>
  <c r="AB111" i="1" s="1"/>
  <c r="T111" i="1"/>
  <c r="S111" i="1"/>
  <c r="R111" i="1"/>
  <c r="Q111" i="1"/>
  <c r="P111" i="1"/>
  <c r="O111" i="1"/>
  <c r="AA110" i="1"/>
  <c r="Z110" i="1"/>
  <c r="AD110" i="1" s="1"/>
  <c r="Y110" i="1"/>
  <c r="X110" i="1"/>
  <c r="W110" i="1"/>
  <c r="V110" i="1"/>
  <c r="U110" i="1"/>
  <c r="T110" i="1"/>
  <c r="S110" i="1"/>
  <c r="R110" i="1"/>
  <c r="Q110" i="1"/>
  <c r="P110" i="1"/>
  <c r="O110" i="1"/>
  <c r="AA109" i="1"/>
  <c r="Z109" i="1"/>
  <c r="Y109" i="1"/>
  <c r="X109" i="1"/>
  <c r="W109" i="1"/>
  <c r="V109" i="1"/>
  <c r="U109" i="1"/>
  <c r="T109" i="1"/>
  <c r="S109" i="1"/>
  <c r="R109" i="1"/>
  <c r="Q109" i="1"/>
  <c r="P109" i="1"/>
  <c r="O109" i="1"/>
  <c r="AA108" i="1"/>
  <c r="Z108" i="1"/>
  <c r="Y108" i="1"/>
  <c r="X108" i="1"/>
  <c r="W108" i="1"/>
  <c r="V108" i="1"/>
  <c r="U108" i="1"/>
  <c r="T108" i="1"/>
  <c r="S108" i="1"/>
  <c r="R108" i="1"/>
  <c r="Q108" i="1"/>
  <c r="P108" i="1"/>
  <c r="O108" i="1"/>
  <c r="AA107" i="1"/>
  <c r="Z107" i="1"/>
  <c r="Y107" i="1"/>
  <c r="X107" i="1"/>
  <c r="W107" i="1"/>
  <c r="V107" i="1"/>
  <c r="U107" i="1"/>
  <c r="T107" i="1"/>
  <c r="S107" i="1"/>
  <c r="R107" i="1"/>
  <c r="Q107" i="1"/>
  <c r="P107" i="1"/>
  <c r="O107" i="1"/>
  <c r="AA106" i="1"/>
  <c r="Z106" i="1"/>
  <c r="Y106" i="1"/>
  <c r="X106" i="1"/>
  <c r="W106" i="1"/>
  <c r="V106" i="1"/>
  <c r="U106" i="1"/>
  <c r="T106" i="1"/>
  <c r="S106" i="1"/>
  <c r="R106" i="1"/>
  <c r="Q106" i="1"/>
  <c r="P106" i="1"/>
  <c r="O106" i="1"/>
  <c r="AA105" i="1"/>
  <c r="Z105" i="1"/>
  <c r="Y105" i="1"/>
  <c r="X105" i="1"/>
  <c r="W105" i="1"/>
  <c r="V105" i="1"/>
  <c r="U105" i="1"/>
  <c r="AB105" i="1" s="1"/>
  <c r="T105" i="1"/>
  <c r="AG105" i="1" s="1"/>
  <c r="S105" i="1"/>
  <c r="R105" i="1"/>
  <c r="Q105" i="1"/>
  <c r="P105" i="1"/>
  <c r="O105" i="1"/>
  <c r="AA104" i="1"/>
  <c r="Z104" i="1"/>
  <c r="Y104" i="1"/>
  <c r="X104" i="1"/>
  <c r="W104" i="1"/>
  <c r="V104" i="1"/>
  <c r="U104" i="1"/>
  <c r="T104" i="1"/>
  <c r="S104" i="1"/>
  <c r="R104" i="1"/>
  <c r="Q104" i="1"/>
  <c r="P104" i="1"/>
  <c r="O104" i="1"/>
  <c r="AA103" i="1"/>
  <c r="Z103" i="1"/>
  <c r="Y103" i="1"/>
  <c r="X103" i="1"/>
  <c r="W103" i="1"/>
  <c r="V103" i="1"/>
  <c r="U103" i="1"/>
  <c r="T103" i="1"/>
  <c r="S103" i="1"/>
  <c r="R103" i="1"/>
  <c r="Q103" i="1"/>
  <c r="P103" i="1"/>
  <c r="O103" i="1"/>
  <c r="AA102" i="1"/>
  <c r="Z102" i="1"/>
  <c r="Y102" i="1"/>
  <c r="X102" i="1"/>
  <c r="W102" i="1"/>
  <c r="V102" i="1"/>
  <c r="U102" i="1"/>
  <c r="T102" i="1"/>
  <c r="S102" i="1"/>
  <c r="R102" i="1"/>
  <c r="Q102" i="1"/>
  <c r="P102" i="1"/>
  <c r="O102" i="1"/>
  <c r="AA101" i="1"/>
  <c r="Z101" i="1"/>
  <c r="Y101" i="1"/>
  <c r="X101" i="1"/>
  <c r="W101" i="1"/>
  <c r="V101" i="1"/>
  <c r="U101" i="1"/>
  <c r="T101" i="1"/>
  <c r="S101" i="1"/>
  <c r="R101" i="1"/>
  <c r="Q101" i="1"/>
  <c r="P101" i="1"/>
  <c r="O101" i="1"/>
  <c r="AA100" i="1"/>
  <c r="Z100" i="1"/>
  <c r="AD100" i="1" s="1"/>
  <c r="Y100" i="1"/>
  <c r="X100" i="1"/>
  <c r="W100" i="1"/>
  <c r="V100" i="1"/>
  <c r="U100" i="1"/>
  <c r="T100" i="1"/>
  <c r="S100" i="1"/>
  <c r="R100" i="1"/>
  <c r="Q100" i="1"/>
  <c r="P100" i="1"/>
  <c r="O100" i="1"/>
  <c r="AA99" i="1"/>
  <c r="Z99" i="1"/>
  <c r="AD99" i="1" s="1"/>
  <c r="Y99" i="1"/>
  <c r="X99" i="1"/>
  <c r="W99" i="1"/>
  <c r="V99" i="1"/>
  <c r="U99" i="1"/>
  <c r="T99" i="1"/>
  <c r="AG99" i="1" s="1"/>
  <c r="S99" i="1"/>
  <c r="R99" i="1"/>
  <c r="Q99" i="1"/>
  <c r="P99" i="1"/>
  <c r="O99" i="1"/>
  <c r="AA98" i="1"/>
  <c r="Z98" i="1"/>
  <c r="Y98" i="1"/>
  <c r="X98" i="1"/>
  <c r="W98" i="1"/>
  <c r="V98" i="1"/>
  <c r="U98" i="1"/>
  <c r="T98" i="1"/>
  <c r="S98" i="1"/>
  <c r="R98" i="1"/>
  <c r="Q98" i="1"/>
  <c r="P98" i="1"/>
  <c r="O98" i="1"/>
  <c r="AA97" i="1"/>
  <c r="Z97" i="1"/>
  <c r="Y97" i="1"/>
  <c r="X97" i="1"/>
  <c r="W97" i="1"/>
  <c r="V97" i="1"/>
  <c r="U97" i="1"/>
  <c r="T97" i="1"/>
  <c r="S97" i="1"/>
  <c r="R97" i="1"/>
  <c r="Q97" i="1"/>
  <c r="P97" i="1"/>
  <c r="O97" i="1"/>
  <c r="AA96" i="1"/>
  <c r="Z96" i="1"/>
  <c r="Y96" i="1"/>
  <c r="X96" i="1"/>
  <c r="W96" i="1"/>
  <c r="V96" i="1"/>
  <c r="U96" i="1"/>
  <c r="T96" i="1"/>
  <c r="S96" i="1"/>
  <c r="R96" i="1"/>
  <c r="Q96" i="1"/>
  <c r="P96" i="1"/>
  <c r="O96" i="1"/>
  <c r="AA95" i="1"/>
  <c r="Z95" i="1"/>
  <c r="Y95" i="1"/>
  <c r="X95" i="1"/>
  <c r="W95" i="1"/>
  <c r="V95" i="1"/>
  <c r="U95" i="1"/>
  <c r="T95" i="1"/>
  <c r="S95" i="1"/>
  <c r="R95" i="1"/>
  <c r="Q95" i="1"/>
  <c r="P95" i="1"/>
  <c r="O95" i="1"/>
  <c r="AA94" i="1"/>
  <c r="Z94" i="1"/>
  <c r="Y94" i="1"/>
  <c r="X94" i="1"/>
  <c r="W94" i="1"/>
  <c r="V94" i="1"/>
  <c r="U94" i="1"/>
  <c r="T94" i="1"/>
  <c r="S94" i="1"/>
  <c r="R94" i="1"/>
  <c r="Q94" i="1"/>
  <c r="P94" i="1"/>
  <c r="O94" i="1"/>
  <c r="AA93" i="1"/>
  <c r="Z93" i="1"/>
  <c r="Y93" i="1"/>
  <c r="X93" i="1"/>
  <c r="W93" i="1"/>
  <c r="V93" i="1"/>
  <c r="U93" i="1"/>
  <c r="T93" i="1"/>
  <c r="S93" i="1"/>
  <c r="R93" i="1"/>
  <c r="Q93" i="1"/>
  <c r="P93" i="1"/>
  <c r="O93" i="1"/>
  <c r="AA92" i="1"/>
  <c r="Z92" i="1"/>
  <c r="AD92" i="1" s="1"/>
  <c r="Y92" i="1"/>
  <c r="X92" i="1"/>
  <c r="W92" i="1"/>
  <c r="V92" i="1"/>
  <c r="U92" i="1"/>
  <c r="AB92" i="1" s="1"/>
  <c r="T92" i="1"/>
  <c r="AG92" i="1" s="1"/>
  <c r="S92" i="1"/>
  <c r="R92" i="1"/>
  <c r="Q92" i="1"/>
  <c r="P92" i="1"/>
  <c r="O92" i="1"/>
  <c r="AA91" i="1"/>
  <c r="Z91" i="1"/>
  <c r="Y91" i="1"/>
  <c r="X91" i="1"/>
  <c r="W91" i="1"/>
  <c r="V91" i="1"/>
  <c r="U91" i="1"/>
  <c r="T91" i="1"/>
  <c r="S91" i="1"/>
  <c r="R91" i="1"/>
  <c r="Q91" i="1"/>
  <c r="P91" i="1"/>
  <c r="O91" i="1"/>
  <c r="AA90" i="1"/>
  <c r="Z90" i="1"/>
  <c r="Y90" i="1"/>
  <c r="X90" i="1"/>
  <c r="W90" i="1"/>
  <c r="V90" i="1"/>
  <c r="U90" i="1"/>
  <c r="T90" i="1"/>
  <c r="S90" i="1"/>
  <c r="R90" i="1"/>
  <c r="Q90" i="1"/>
  <c r="P90" i="1"/>
  <c r="O90" i="1"/>
  <c r="AA89" i="1"/>
  <c r="Z89" i="1"/>
  <c r="Y89" i="1"/>
  <c r="X89" i="1"/>
  <c r="W89" i="1"/>
  <c r="V89" i="1"/>
  <c r="U89" i="1"/>
  <c r="T89" i="1"/>
  <c r="S89" i="1"/>
  <c r="R89" i="1"/>
  <c r="Q89" i="1"/>
  <c r="P89" i="1"/>
  <c r="O89" i="1"/>
  <c r="AA88" i="1"/>
  <c r="Z88" i="1"/>
  <c r="Y88" i="1"/>
  <c r="X88" i="1"/>
  <c r="W88" i="1"/>
  <c r="V88" i="1"/>
  <c r="U88" i="1"/>
  <c r="T88" i="1"/>
  <c r="S88" i="1"/>
  <c r="R88" i="1"/>
  <c r="Q88" i="1"/>
  <c r="P88" i="1"/>
  <c r="O88" i="1"/>
  <c r="AA87" i="1"/>
  <c r="Z87" i="1"/>
  <c r="AD87" i="1" s="1"/>
  <c r="Y87" i="1"/>
  <c r="X87" i="1"/>
  <c r="W87" i="1"/>
  <c r="V87" i="1"/>
  <c r="AB87" i="1" s="1"/>
  <c r="U87" i="1"/>
  <c r="T87" i="1"/>
  <c r="S87" i="1"/>
  <c r="R87" i="1"/>
  <c r="Q87" i="1"/>
  <c r="P87" i="1"/>
  <c r="O87" i="1"/>
  <c r="AA85" i="1"/>
  <c r="Z85" i="1"/>
  <c r="Y85" i="1"/>
  <c r="X85" i="1"/>
  <c r="W85" i="1"/>
  <c r="V85" i="1"/>
  <c r="U85" i="1"/>
  <c r="T85" i="1"/>
  <c r="S85" i="1"/>
  <c r="R85" i="1"/>
  <c r="Q85" i="1"/>
  <c r="P85" i="1"/>
  <c r="O85" i="1"/>
  <c r="AA84" i="1"/>
  <c r="Z84" i="1"/>
  <c r="Y84" i="1"/>
  <c r="X84" i="1"/>
  <c r="W84" i="1"/>
  <c r="V84" i="1"/>
  <c r="U84" i="1"/>
  <c r="T84" i="1"/>
  <c r="AG84" i="1" s="1"/>
  <c r="S84" i="1"/>
  <c r="R84" i="1"/>
  <c r="Q84" i="1"/>
  <c r="P84" i="1"/>
  <c r="O84" i="1"/>
  <c r="AA83" i="1"/>
  <c r="Z83" i="1"/>
  <c r="Y83" i="1"/>
  <c r="X83" i="1"/>
  <c r="W83" i="1"/>
  <c r="V83" i="1"/>
  <c r="U83" i="1"/>
  <c r="T83" i="1"/>
  <c r="S83" i="1"/>
  <c r="R83" i="1"/>
  <c r="Q83" i="1"/>
  <c r="P83" i="1"/>
  <c r="O83" i="1"/>
  <c r="AA82" i="1"/>
  <c r="Z82" i="1"/>
  <c r="Y82" i="1"/>
  <c r="X82" i="1"/>
  <c r="W82" i="1"/>
  <c r="V82" i="1"/>
  <c r="U82" i="1"/>
  <c r="T82" i="1"/>
  <c r="S82" i="1"/>
  <c r="R82" i="1"/>
  <c r="Q82" i="1"/>
  <c r="P82" i="1"/>
  <c r="O82" i="1"/>
  <c r="AA81" i="1"/>
  <c r="Z81" i="1"/>
  <c r="Y81" i="1"/>
  <c r="X81" i="1"/>
  <c r="W81" i="1"/>
  <c r="V81" i="1"/>
  <c r="U81" i="1"/>
  <c r="T81" i="1"/>
  <c r="AG81" i="1" s="1"/>
  <c r="S81" i="1"/>
  <c r="R81" i="1"/>
  <c r="Q81" i="1"/>
  <c r="P81" i="1"/>
  <c r="O81" i="1"/>
  <c r="AA80" i="1"/>
  <c r="Z80" i="1"/>
  <c r="Y80" i="1"/>
  <c r="X80" i="1"/>
  <c r="W80" i="1"/>
  <c r="V80" i="1"/>
  <c r="U80" i="1"/>
  <c r="AB80" i="1" s="1"/>
  <c r="T80" i="1"/>
  <c r="S80" i="1"/>
  <c r="R80" i="1"/>
  <c r="Q80" i="1"/>
  <c r="P80" i="1"/>
  <c r="O80" i="1"/>
  <c r="AA79" i="1"/>
  <c r="Z79" i="1"/>
  <c r="Y79" i="1"/>
  <c r="X79" i="1"/>
  <c r="W79" i="1"/>
  <c r="V79" i="1"/>
  <c r="U79" i="1"/>
  <c r="T79" i="1"/>
  <c r="S79" i="1"/>
  <c r="R79" i="1"/>
  <c r="Q79" i="1"/>
  <c r="P79" i="1"/>
  <c r="O79" i="1"/>
  <c r="AA78" i="1"/>
  <c r="Z78" i="1"/>
  <c r="Y78" i="1"/>
  <c r="X78" i="1"/>
  <c r="W78" i="1"/>
  <c r="V78" i="1"/>
  <c r="U78" i="1"/>
  <c r="T78" i="1"/>
  <c r="S78" i="1"/>
  <c r="R78" i="1"/>
  <c r="Q78" i="1"/>
  <c r="P78" i="1"/>
  <c r="O78" i="1"/>
  <c r="AA77" i="1"/>
  <c r="Z77" i="1"/>
  <c r="Y77" i="1"/>
  <c r="X77" i="1"/>
  <c r="W77" i="1"/>
  <c r="V77" i="1"/>
  <c r="U77" i="1"/>
  <c r="T77" i="1"/>
  <c r="S77" i="1"/>
  <c r="R77" i="1"/>
  <c r="Q77" i="1"/>
  <c r="P77" i="1"/>
  <c r="O77" i="1"/>
  <c r="AA76" i="1"/>
  <c r="Z76" i="1"/>
  <c r="Y76" i="1"/>
  <c r="X76" i="1"/>
  <c r="W76" i="1"/>
  <c r="V76" i="1"/>
  <c r="U76" i="1"/>
  <c r="T76" i="1"/>
  <c r="S76" i="1"/>
  <c r="R76" i="1"/>
  <c r="Q76" i="1"/>
  <c r="P76" i="1"/>
  <c r="O76" i="1"/>
  <c r="AA75" i="1"/>
  <c r="Z75" i="1"/>
  <c r="AD75" i="1" s="1"/>
  <c r="Y75" i="1"/>
  <c r="X75" i="1"/>
  <c r="W75" i="1"/>
  <c r="V75" i="1"/>
  <c r="U75" i="1"/>
  <c r="AB75" i="1" s="1"/>
  <c r="T75" i="1"/>
  <c r="AG75" i="1" s="1"/>
  <c r="S75" i="1"/>
  <c r="R75" i="1"/>
  <c r="Q75" i="1"/>
  <c r="P75" i="1"/>
  <c r="O75" i="1"/>
  <c r="AA74" i="1"/>
  <c r="Z74" i="1"/>
  <c r="Y74" i="1"/>
  <c r="X74" i="1"/>
  <c r="W74" i="1"/>
  <c r="V74" i="1"/>
  <c r="U74" i="1"/>
  <c r="T74" i="1"/>
  <c r="AG74" i="1" s="1"/>
  <c r="S74" i="1"/>
  <c r="R74" i="1"/>
  <c r="Q74" i="1"/>
  <c r="P74" i="1"/>
  <c r="O74" i="1"/>
  <c r="AA73" i="1"/>
  <c r="Z73" i="1"/>
  <c r="Y73" i="1"/>
  <c r="X73" i="1"/>
  <c r="W73" i="1"/>
  <c r="V73" i="1"/>
  <c r="U73" i="1"/>
  <c r="T73" i="1"/>
  <c r="S73" i="1"/>
  <c r="R73" i="1"/>
  <c r="Q73" i="1"/>
  <c r="P73" i="1"/>
  <c r="O73" i="1"/>
  <c r="AA72" i="1"/>
  <c r="Z72" i="1"/>
  <c r="Y72" i="1"/>
  <c r="X72" i="1"/>
  <c r="W72" i="1"/>
  <c r="V72" i="1"/>
  <c r="U72" i="1"/>
  <c r="T72" i="1"/>
  <c r="S72" i="1"/>
  <c r="R72" i="1"/>
  <c r="Q72" i="1"/>
  <c r="P72" i="1"/>
  <c r="O72" i="1"/>
  <c r="AA71" i="1"/>
  <c r="Z71" i="1"/>
  <c r="Y71" i="1"/>
  <c r="X71" i="1"/>
  <c r="W71" i="1"/>
  <c r="V71" i="1"/>
  <c r="U71" i="1"/>
  <c r="T71" i="1"/>
  <c r="S71" i="1"/>
  <c r="R71" i="1"/>
  <c r="Q71" i="1"/>
  <c r="P71" i="1"/>
  <c r="O71" i="1"/>
  <c r="AA70" i="1"/>
  <c r="Z70" i="1"/>
  <c r="Y70" i="1"/>
  <c r="X70" i="1"/>
  <c r="W70" i="1"/>
  <c r="V70" i="1"/>
  <c r="U70" i="1"/>
  <c r="T70" i="1"/>
  <c r="S70" i="1"/>
  <c r="R70" i="1"/>
  <c r="Q70" i="1"/>
  <c r="P70" i="1"/>
  <c r="O70" i="1"/>
  <c r="AA69" i="1"/>
  <c r="Z69" i="1"/>
  <c r="Y69" i="1"/>
  <c r="X69" i="1"/>
  <c r="W69" i="1"/>
  <c r="V69" i="1"/>
  <c r="U69" i="1"/>
  <c r="T69" i="1"/>
  <c r="AG69" i="1" s="1"/>
  <c r="S69" i="1"/>
  <c r="R69" i="1"/>
  <c r="Q69" i="1"/>
  <c r="P69" i="1"/>
  <c r="O69" i="1"/>
  <c r="AA68" i="1"/>
  <c r="Z68" i="1"/>
  <c r="Y68" i="1"/>
  <c r="X68" i="1"/>
  <c r="W68" i="1"/>
  <c r="V68" i="1"/>
  <c r="U68" i="1"/>
  <c r="T68" i="1"/>
  <c r="AG68" i="1" s="1"/>
  <c r="S68" i="1"/>
  <c r="R68" i="1"/>
  <c r="Q68" i="1"/>
  <c r="P68" i="1"/>
  <c r="O68" i="1"/>
  <c r="AA67" i="1"/>
  <c r="Z67" i="1"/>
  <c r="AD67" i="1" s="1"/>
  <c r="Y67" i="1"/>
  <c r="X67" i="1"/>
  <c r="W67" i="1"/>
  <c r="V67" i="1"/>
  <c r="U67" i="1"/>
  <c r="T67" i="1"/>
  <c r="AG67" i="1" s="1"/>
  <c r="S67" i="1"/>
  <c r="R67" i="1"/>
  <c r="Q67" i="1"/>
  <c r="P67" i="1"/>
  <c r="O67" i="1"/>
  <c r="AA66" i="1"/>
  <c r="Z66" i="1"/>
  <c r="Y66" i="1"/>
  <c r="X66" i="1"/>
  <c r="W66" i="1"/>
  <c r="V66" i="1"/>
  <c r="U66" i="1"/>
  <c r="T66" i="1"/>
  <c r="S66" i="1"/>
  <c r="R66" i="1"/>
  <c r="Q66" i="1"/>
  <c r="P66" i="1"/>
  <c r="O66" i="1"/>
  <c r="AA65" i="1"/>
  <c r="Z65" i="1"/>
  <c r="Y65" i="1"/>
  <c r="X65" i="1"/>
  <c r="W65" i="1"/>
  <c r="V65" i="1"/>
  <c r="U65" i="1"/>
  <c r="T65" i="1"/>
  <c r="S65" i="1"/>
  <c r="R65" i="1"/>
  <c r="Q65" i="1"/>
  <c r="P65" i="1"/>
  <c r="O65" i="1"/>
  <c r="AA64" i="1"/>
  <c r="Z64" i="1"/>
  <c r="Y64" i="1"/>
  <c r="X64" i="1"/>
  <c r="W64" i="1"/>
  <c r="V64" i="1"/>
  <c r="U64" i="1"/>
  <c r="AB64" i="1" s="1"/>
  <c r="T64" i="1"/>
  <c r="S64" i="1"/>
  <c r="R64" i="1"/>
  <c r="Q64" i="1"/>
  <c r="P64" i="1"/>
  <c r="O64" i="1"/>
  <c r="AA63" i="1"/>
  <c r="Z63" i="1"/>
  <c r="AD63" i="1" s="1"/>
  <c r="Y63" i="1"/>
  <c r="X63" i="1"/>
  <c r="W63" i="1"/>
  <c r="V63" i="1"/>
  <c r="U63" i="1"/>
  <c r="T63" i="1"/>
  <c r="S63" i="1"/>
  <c r="R63" i="1"/>
  <c r="Q63" i="1"/>
  <c r="P63" i="1"/>
  <c r="O63" i="1"/>
  <c r="AA62" i="1"/>
  <c r="Z62" i="1"/>
  <c r="Y62" i="1"/>
  <c r="X62" i="1"/>
  <c r="W62" i="1"/>
  <c r="V62" i="1"/>
  <c r="U62" i="1"/>
  <c r="T62" i="1"/>
  <c r="AG62" i="1" s="1"/>
  <c r="S62" i="1"/>
  <c r="R62" i="1"/>
  <c r="Q62" i="1"/>
  <c r="P62" i="1"/>
  <c r="O62" i="1"/>
  <c r="AA61" i="1"/>
  <c r="Z61" i="1"/>
  <c r="Y61" i="1"/>
  <c r="X61" i="1"/>
  <c r="W61" i="1"/>
  <c r="V61" i="1"/>
  <c r="U61" i="1"/>
  <c r="T61" i="1"/>
  <c r="S61" i="1"/>
  <c r="R61" i="1"/>
  <c r="Q61" i="1"/>
  <c r="P61" i="1"/>
  <c r="O61" i="1"/>
  <c r="AA60" i="1"/>
  <c r="Z60" i="1"/>
  <c r="Y60" i="1"/>
  <c r="X60" i="1"/>
  <c r="W60" i="1"/>
  <c r="V60" i="1"/>
  <c r="U60" i="1"/>
  <c r="T60" i="1"/>
  <c r="S60" i="1"/>
  <c r="R60" i="1"/>
  <c r="Q60" i="1"/>
  <c r="P60" i="1"/>
  <c r="O60" i="1"/>
  <c r="AA59" i="1"/>
  <c r="Z59" i="1"/>
  <c r="AD59" i="1" s="1"/>
  <c r="Y59" i="1"/>
  <c r="X59" i="1"/>
  <c r="W59" i="1"/>
  <c r="V59" i="1"/>
  <c r="AB59" i="1" s="1"/>
  <c r="U59" i="1"/>
  <c r="T59" i="1"/>
  <c r="S59" i="1"/>
  <c r="R59" i="1"/>
  <c r="Q59" i="1"/>
  <c r="P59" i="1"/>
  <c r="O59" i="1"/>
  <c r="AA58" i="1"/>
  <c r="Z58" i="1"/>
  <c r="Y58" i="1"/>
  <c r="X58" i="1"/>
  <c r="W58" i="1"/>
  <c r="V58" i="1"/>
  <c r="U58" i="1"/>
  <c r="T58" i="1"/>
  <c r="S58" i="1"/>
  <c r="R58" i="1"/>
  <c r="Q58" i="1"/>
  <c r="P58" i="1"/>
  <c r="O58" i="1"/>
  <c r="AA57" i="1"/>
  <c r="Z57" i="1"/>
  <c r="Y57" i="1"/>
  <c r="X57" i="1"/>
  <c r="W57" i="1"/>
  <c r="V57" i="1"/>
  <c r="U57" i="1"/>
  <c r="T57" i="1"/>
  <c r="S57" i="1"/>
  <c r="R57" i="1"/>
  <c r="Q57" i="1"/>
  <c r="P57" i="1"/>
  <c r="O57" i="1"/>
  <c r="AA56" i="1"/>
  <c r="Z56" i="1"/>
  <c r="Y56" i="1"/>
  <c r="X56" i="1"/>
  <c r="W56" i="1"/>
  <c r="V56" i="1"/>
  <c r="U56" i="1"/>
  <c r="T56" i="1"/>
  <c r="S56" i="1"/>
  <c r="R56" i="1"/>
  <c r="Q56" i="1"/>
  <c r="P56" i="1"/>
  <c r="O56" i="1"/>
  <c r="AA55" i="1"/>
  <c r="Z55" i="1"/>
  <c r="Y55" i="1"/>
  <c r="X55" i="1"/>
  <c r="W55" i="1"/>
  <c r="V55" i="1"/>
  <c r="U55" i="1"/>
  <c r="T55" i="1"/>
  <c r="S55" i="1"/>
  <c r="R55" i="1"/>
  <c r="Q55" i="1"/>
  <c r="P55" i="1"/>
  <c r="O55" i="1"/>
  <c r="AA54" i="1"/>
  <c r="Z54" i="1"/>
  <c r="Y54" i="1"/>
  <c r="X54" i="1"/>
  <c r="W54" i="1"/>
  <c r="V54" i="1"/>
  <c r="U54" i="1"/>
  <c r="AB54" i="1" s="1"/>
  <c r="T54" i="1"/>
  <c r="AG54" i="1" s="1"/>
  <c r="S54" i="1"/>
  <c r="R54" i="1"/>
  <c r="Q54" i="1"/>
  <c r="P54" i="1"/>
  <c r="O54" i="1"/>
  <c r="AA53" i="1"/>
  <c r="Z53" i="1"/>
  <c r="Y53" i="1"/>
  <c r="X53" i="1"/>
  <c r="W53" i="1"/>
  <c r="V53" i="1"/>
  <c r="U53" i="1"/>
  <c r="T53" i="1"/>
  <c r="AG53" i="1" s="1"/>
  <c r="S53" i="1"/>
  <c r="R53" i="1"/>
  <c r="Q53" i="1"/>
  <c r="P53" i="1"/>
  <c r="O53" i="1"/>
  <c r="AA52" i="1"/>
  <c r="Z52" i="1"/>
  <c r="Y52" i="1"/>
  <c r="X52" i="1"/>
  <c r="W52" i="1"/>
  <c r="V52" i="1"/>
  <c r="U52" i="1"/>
  <c r="AB52" i="1" s="1"/>
  <c r="T52" i="1"/>
  <c r="AG52" i="1" s="1"/>
  <c r="S52" i="1"/>
  <c r="R52" i="1"/>
  <c r="Q52" i="1"/>
  <c r="P52" i="1"/>
  <c r="O52" i="1"/>
  <c r="AA51" i="1"/>
  <c r="Z51" i="1"/>
  <c r="AD51" i="1" s="1"/>
  <c r="Y51" i="1"/>
  <c r="X51" i="1"/>
  <c r="W51" i="1"/>
  <c r="V51" i="1"/>
  <c r="U51" i="1"/>
  <c r="T51" i="1"/>
  <c r="S51" i="1"/>
  <c r="R51" i="1"/>
  <c r="Q51" i="1"/>
  <c r="P51" i="1"/>
  <c r="O51" i="1"/>
  <c r="AA50" i="1"/>
  <c r="Z50" i="1"/>
  <c r="AD50" i="1" s="1"/>
  <c r="Y50" i="1"/>
  <c r="X50" i="1"/>
  <c r="W50" i="1"/>
  <c r="V50" i="1"/>
  <c r="U50" i="1"/>
  <c r="T50" i="1"/>
  <c r="AG50" i="1" s="1"/>
  <c r="S50" i="1"/>
  <c r="R50" i="1"/>
  <c r="Q50" i="1"/>
  <c r="P50" i="1"/>
  <c r="O50" i="1"/>
  <c r="AA49" i="1"/>
  <c r="Z49" i="1"/>
  <c r="Y49" i="1"/>
  <c r="X49" i="1"/>
  <c r="W49" i="1"/>
  <c r="V49" i="1"/>
  <c r="U49" i="1"/>
  <c r="T49" i="1"/>
  <c r="S49" i="1"/>
  <c r="R49" i="1"/>
  <c r="Q49" i="1"/>
  <c r="P49" i="1"/>
  <c r="O49" i="1"/>
  <c r="AA48" i="1"/>
  <c r="Z48" i="1"/>
  <c r="Y48" i="1"/>
  <c r="X48" i="1"/>
  <c r="W48" i="1"/>
  <c r="V48" i="1"/>
  <c r="U48" i="1"/>
  <c r="T48" i="1"/>
  <c r="S48" i="1"/>
  <c r="R48" i="1"/>
  <c r="Q48" i="1"/>
  <c r="P48" i="1"/>
  <c r="O48" i="1"/>
  <c r="AA47" i="1"/>
  <c r="Z47" i="1"/>
  <c r="AD47" i="1" s="1"/>
  <c r="Y47" i="1"/>
  <c r="X47" i="1"/>
  <c r="AC47" i="1" s="1"/>
  <c r="W47" i="1"/>
  <c r="V47" i="1"/>
  <c r="U47" i="1"/>
  <c r="T47" i="1"/>
  <c r="AG47" i="1" s="1"/>
  <c r="S47" i="1"/>
  <c r="R47" i="1"/>
  <c r="Q47" i="1"/>
  <c r="P47" i="1"/>
  <c r="O47" i="1"/>
  <c r="AA46" i="1"/>
  <c r="Z46" i="1"/>
  <c r="Y46" i="1"/>
  <c r="X46" i="1"/>
  <c r="W46" i="1"/>
  <c r="V46" i="1"/>
  <c r="U46" i="1"/>
  <c r="AB46" i="1" s="1"/>
  <c r="T46" i="1"/>
  <c r="AG46" i="1" s="1"/>
  <c r="S46" i="1"/>
  <c r="R46" i="1"/>
  <c r="Q46" i="1"/>
  <c r="P46" i="1"/>
  <c r="O46" i="1"/>
  <c r="AA45" i="1"/>
  <c r="Z45" i="1"/>
  <c r="Y45" i="1"/>
  <c r="X45" i="1"/>
  <c r="W45" i="1"/>
  <c r="V45" i="1"/>
  <c r="U45" i="1"/>
  <c r="T45" i="1"/>
  <c r="S45" i="1"/>
  <c r="R45" i="1"/>
  <c r="Q45" i="1"/>
  <c r="P45" i="1"/>
  <c r="O45" i="1"/>
  <c r="AA44" i="1"/>
  <c r="Z44" i="1"/>
  <c r="Y44" i="1"/>
  <c r="X44" i="1"/>
  <c r="W44" i="1"/>
  <c r="V44" i="1"/>
  <c r="U44" i="1"/>
  <c r="T44" i="1"/>
  <c r="S44" i="1"/>
  <c r="R44" i="1"/>
  <c r="Q44" i="1"/>
  <c r="P44" i="1"/>
  <c r="O44" i="1"/>
  <c r="AA43" i="1"/>
  <c r="Z43" i="1"/>
  <c r="Y43" i="1"/>
  <c r="X43" i="1"/>
  <c r="W43" i="1"/>
  <c r="V43" i="1"/>
  <c r="U43" i="1"/>
  <c r="T43" i="1"/>
  <c r="S43" i="1"/>
  <c r="R43" i="1"/>
  <c r="Q43" i="1"/>
  <c r="P43" i="1"/>
  <c r="O43" i="1"/>
  <c r="AA42" i="1"/>
  <c r="Z42" i="1"/>
  <c r="Y42" i="1"/>
  <c r="X42" i="1"/>
  <c r="W42" i="1"/>
  <c r="V42" i="1"/>
  <c r="U42" i="1"/>
  <c r="T42" i="1"/>
  <c r="AG42" i="1" s="1"/>
  <c r="S42" i="1"/>
  <c r="R42" i="1"/>
  <c r="Q42" i="1"/>
  <c r="P42" i="1"/>
  <c r="O42" i="1"/>
  <c r="AA41" i="1"/>
  <c r="Z41" i="1"/>
  <c r="Y41" i="1"/>
  <c r="X41" i="1"/>
  <c r="W41" i="1"/>
  <c r="V41" i="1"/>
  <c r="U41" i="1"/>
  <c r="T41" i="1"/>
  <c r="S41" i="1"/>
  <c r="R41" i="1"/>
  <c r="Q41" i="1"/>
  <c r="P41" i="1"/>
  <c r="O41" i="1"/>
  <c r="AA40" i="1"/>
  <c r="Z40" i="1"/>
  <c r="Y40" i="1"/>
  <c r="X40" i="1"/>
  <c r="W40" i="1"/>
  <c r="V40" i="1"/>
  <c r="U40" i="1"/>
  <c r="T40" i="1"/>
  <c r="S40" i="1"/>
  <c r="R40" i="1"/>
  <c r="Q40" i="1"/>
  <c r="P40" i="1"/>
  <c r="O40" i="1"/>
  <c r="AA39" i="1"/>
  <c r="Z39" i="1"/>
  <c r="Y39" i="1"/>
  <c r="X39" i="1"/>
  <c r="W39" i="1"/>
  <c r="V39" i="1"/>
  <c r="U39" i="1"/>
  <c r="T39" i="1"/>
  <c r="S39" i="1"/>
  <c r="R39" i="1"/>
  <c r="Q39" i="1"/>
  <c r="P39" i="1"/>
  <c r="O39" i="1"/>
  <c r="AA38" i="1"/>
  <c r="Z38" i="1"/>
  <c r="Y38" i="1"/>
  <c r="X38" i="1"/>
  <c r="W38" i="1"/>
  <c r="V38" i="1"/>
  <c r="U38" i="1"/>
  <c r="T38" i="1"/>
  <c r="S38" i="1"/>
  <c r="R38" i="1"/>
  <c r="Q38" i="1"/>
  <c r="P38" i="1"/>
  <c r="O38" i="1"/>
  <c r="AA37" i="1"/>
  <c r="Z37" i="1"/>
  <c r="Y37" i="1"/>
  <c r="X37" i="1"/>
  <c r="W37" i="1"/>
  <c r="V37" i="1"/>
  <c r="U37" i="1"/>
  <c r="T37" i="1"/>
  <c r="S37" i="1"/>
  <c r="R37" i="1"/>
  <c r="Q37" i="1"/>
  <c r="P37" i="1"/>
  <c r="O37" i="1"/>
  <c r="AA36" i="1"/>
  <c r="Z36" i="1"/>
  <c r="Y36" i="1"/>
  <c r="X36" i="1"/>
  <c r="W36" i="1"/>
  <c r="V36" i="1"/>
  <c r="U36" i="1"/>
  <c r="T36" i="1"/>
  <c r="S36" i="1"/>
  <c r="R36" i="1"/>
  <c r="Q36" i="1"/>
  <c r="P36" i="1"/>
  <c r="O36" i="1"/>
  <c r="AA35" i="1"/>
  <c r="Z35" i="1"/>
  <c r="Y35" i="1"/>
  <c r="X35" i="1"/>
  <c r="W35" i="1"/>
  <c r="V35" i="1"/>
  <c r="U35" i="1"/>
  <c r="T35" i="1"/>
  <c r="S35" i="1"/>
  <c r="R35" i="1"/>
  <c r="Q35" i="1"/>
  <c r="P35" i="1"/>
  <c r="O35" i="1"/>
  <c r="AA34" i="1"/>
  <c r="Z34" i="1"/>
  <c r="Y34" i="1"/>
  <c r="X34" i="1"/>
  <c r="W34" i="1"/>
  <c r="V34" i="1"/>
  <c r="U34" i="1"/>
  <c r="T34" i="1"/>
  <c r="S34" i="1"/>
  <c r="R34" i="1"/>
  <c r="Q34" i="1"/>
  <c r="P34" i="1"/>
  <c r="O34" i="1"/>
  <c r="AA33" i="1"/>
  <c r="Z33" i="1"/>
  <c r="Y33" i="1"/>
  <c r="X33" i="1"/>
  <c r="W33" i="1"/>
  <c r="V33" i="1"/>
  <c r="U33" i="1"/>
  <c r="T33" i="1"/>
  <c r="AG33" i="1" s="1"/>
  <c r="S33" i="1"/>
  <c r="R33" i="1"/>
  <c r="Q33" i="1"/>
  <c r="P33" i="1"/>
  <c r="O33" i="1"/>
  <c r="AA32" i="1"/>
  <c r="Z32" i="1"/>
  <c r="Y32" i="1"/>
  <c r="X32" i="1"/>
  <c r="W32" i="1"/>
  <c r="V32" i="1"/>
  <c r="U32" i="1"/>
  <c r="T32" i="1"/>
  <c r="S32" i="1"/>
  <c r="R32" i="1"/>
  <c r="Q32" i="1"/>
  <c r="P32" i="1"/>
  <c r="O32" i="1"/>
  <c r="AA31" i="1"/>
  <c r="Z31" i="1"/>
  <c r="Y31" i="1"/>
  <c r="X31" i="1"/>
  <c r="W31" i="1"/>
  <c r="V31" i="1"/>
  <c r="U31" i="1"/>
  <c r="T31" i="1"/>
  <c r="S31" i="1"/>
  <c r="R31" i="1"/>
  <c r="Q31" i="1"/>
  <c r="P31" i="1"/>
  <c r="O31" i="1"/>
  <c r="AA30" i="1"/>
  <c r="Z30" i="1"/>
  <c r="Y30" i="1"/>
  <c r="X30" i="1"/>
  <c r="W30" i="1"/>
  <c r="V30" i="1"/>
  <c r="U30" i="1"/>
  <c r="T30" i="1"/>
  <c r="S30" i="1"/>
  <c r="R30" i="1"/>
  <c r="Q30" i="1"/>
  <c r="P30" i="1"/>
  <c r="O30" i="1"/>
  <c r="AA29" i="1"/>
  <c r="Z29" i="1"/>
  <c r="Y29" i="1"/>
  <c r="X29" i="1"/>
  <c r="W29" i="1"/>
  <c r="V29" i="1"/>
  <c r="U29" i="1"/>
  <c r="T29" i="1"/>
  <c r="S29" i="1"/>
  <c r="R29" i="1"/>
  <c r="Q29" i="1"/>
  <c r="P29" i="1"/>
  <c r="O29" i="1"/>
  <c r="AA28" i="1"/>
  <c r="Z28" i="1"/>
  <c r="Y28" i="1"/>
  <c r="X28" i="1"/>
  <c r="W28" i="1"/>
  <c r="V28" i="1"/>
  <c r="U28" i="1"/>
  <c r="AB28" i="1" s="1"/>
  <c r="T28" i="1"/>
  <c r="S28" i="1"/>
  <c r="R28" i="1"/>
  <c r="Q28" i="1"/>
  <c r="P28" i="1"/>
  <c r="O28" i="1"/>
  <c r="AA27" i="1"/>
  <c r="Z27" i="1"/>
  <c r="Y27" i="1"/>
  <c r="X27" i="1"/>
  <c r="W27" i="1"/>
  <c r="V27" i="1"/>
  <c r="U27" i="1"/>
  <c r="T27" i="1"/>
  <c r="S27" i="1"/>
  <c r="R27" i="1"/>
  <c r="Q27" i="1"/>
  <c r="P27" i="1"/>
  <c r="O27" i="1"/>
  <c r="AA26" i="1"/>
  <c r="Z26" i="1"/>
  <c r="Y26" i="1"/>
  <c r="X26" i="1"/>
  <c r="W26" i="1"/>
  <c r="V26" i="1"/>
  <c r="U26" i="1"/>
  <c r="T26" i="1"/>
  <c r="S26" i="1"/>
  <c r="R26" i="1"/>
  <c r="Q26" i="1"/>
  <c r="P26" i="1"/>
  <c r="O26" i="1"/>
  <c r="AA25" i="1"/>
  <c r="Z25" i="1"/>
  <c r="Y25" i="1"/>
  <c r="X25" i="1"/>
  <c r="W25" i="1"/>
  <c r="V25" i="1"/>
  <c r="U25" i="1"/>
  <c r="T25" i="1"/>
  <c r="S25" i="1"/>
  <c r="R25" i="1"/>
  <c r="Q25" i="1"/>
  <c r="P25" i="1"/>
  <c r="O25" i="1"/>
  <c r="AA24" i="1"/>
  <c r="Z24" i="1"/>
  <c r="Y24" i="1"/>
  <c r="X24" i="1"/>
  <c r="W24" i="1"/>
  <c r="V24" i="1"/>
  <c r="U24" i="1"/>
  <c r="T24" i="1"/>
  <c r="S24" i="1"/>
  <c r="R24" i="1"/>
  <c r="Q24" i="1"/>
  <c r="P24" i="1"/>
  <c r="O24" i="1"/>
  <c r="AA23" i="1"/>
  <c r="Z23" i="1"/>
  <c r="Y23" i="1"/>
  <c r="X23" i="1"/>
  <c r="W23" i="1"/>
  <c r="V23" i="1"/>
  <c r="U23" i="1"/>
  <c r="T23" i="1"/>
  <c r="S23" i="1"/>
  <c r="R23" i="1"/>
  <c r="Q23" i="1"/>
  <c r="P23" i="1"/>
  <c r="O23" i="1"/>
  <c r="AA22" i="1"/>
  <c r="Z22" i="1"/>
  <c r="Y22" i="1"/>
  <c r="X22" i="1"/>
  <c r="W22" i="1"/>
  <c r="V22" i="1"/>
  <c r="U22" i="1"/>
  <c r="T22" i="1"/>
  <c r="S22" i="1"/>
  <c r="R22" i="1"/>
  <c r="Q22" i="1"/>
  <c r="P22" i="1"/>
  <c r="O22" i="1"/>
  <c r="AA21" i="1"/>
  <c r="Z21" i="1"/>
  <c r="AD21" i="1" s="1"/>
  <c r="Y21" i="1"/>
  <c r="X21" i="1"/>
  <c r="W21" i="1"/>
  <c r="V21" i="1"/>
  <c r="U21" i="1"/>
  <c r="T21" i="1"/>
  <c r="AG21" i="1" s="1"/>
  <c r="S21" i="1"/>
  <c r="R21" i="1"/>
  <c r="Q21" i="1"/>
  <c r="P21" i="1"/>
  <c r="O21" i="1"/>
  <c r="AA20" i="1"/>
  <c r="Z20" i="1"/>
  <c r="Y20" i="1"/>
  <c r="X20" i="1"/>
  <c r="W20" i="1"/>
  <c r="V20" i="1"/>
  <c r="U20" i="1"/>
  <c r="AB20" i="1" s="1"/>
  <c r="T20" i="1"/>
  <c r="S20" i="1"/>
  <c r="R20" i="1"/>
  <c r="Q20" i="1"/>
  <c r="P20" i="1"/>
  <c r="O20" i="1"/>
  <c r="AA19" i="1"/>
  <c r="Z19" i="1"/>
  <c r="AD19" i="1" s="1"/>
  <c r="Y19" i="1"/>
  <c r="X19" i="1"/>
  <c r="W19" i="1"/>
  <c r="V19" i="1"/>
  <c r="U19" i="1"/>
  <c r="AB19" i="1" s="1"/>
  <c r="T19" i="1"/>
  <c r="AG19" i="1" s="1"/>
  <c r="S19" i="1"/>
  <c r="R19" i="1"/>
  <c r="Q19" i="1"/>
  <c r="P19" i="1"/>
  <c r="O19" i="1"/>
  <c r="B6" i="11"/>
  <c r="B7" i="11"/>
  <c r="Q8" i="11"/>
  <c r="P8" i="11"/>
  <c r="O8" i="11"/>
  <c r="N8" i="11"/>
  <c r="M8" i="11"/>
  <c r="L8" i="11"/>
  <c r="K8" i="11"/>
  <c r="J8" i="11"/>
  <c r="I8" i="11"/>
  <c r="H8" i="11"/>
  <c r="G8" i="11"/>
  <c r="F8" i="11"/>
  <c r="E8" i="11"/>
  <c r="D8" i="11"/>
  <c r="C8" i="11"/>
  <c r="AB138" i="1" l="1"/>
  <c r="AD138" i="1"/>
  <c r="AB137" i="1"/>
  <c r="AD137" i="1"/>
  <c r="F22" i="13"/>
  <c r="F21" i="13"/>
  <c r="N39" i="12"/>
  <c r="N38" i="12" s="1"/>
  <c r="N18" i="12"/>
  <c r="F33" i="13"/>
  <c r="F32" i="13" s="1"/>
  <c r="G29" i="13"/>
  <c r="G28" i="13" s="1"/>
  <c r="F39" i="13"/>
  <c r="F38" i="13" s="1"/>
  <c r="Q39" i="12"/>
  <c r="Q38" i="12" s="1"/>
  <c r="G31" i="13"/>
  <c r="G30" i="13" s="1"/>
  <c r="P18" i="12"/>
  <c r="O33" i="12"/>
  <c r="O32" i="12" s="1"/>
  <c r="Q18" i="12"/>
  <c r="Q33" i="12"/>
  <c r="Q32" i="12" s="1"/>
  <c r="Q21" i="12"/>
  <c r="Q31" i="12"/>
  <c r="Q30" i="12" s="1"/>
  <c r="L39" i="12"/>
  <c r="L38" i="12" s="1"/>
  <c r="Q22" i="12"/>
  <c r="G39" i="13"/>
  <c r="G38" i="13" s="1"/>
  <c r="E18" i="13"/>
  <c r="AD111" i="1"/>
  <c r="G20" i="12"/>
  <c r="M22" i="12"/>
  <c r="AD124" i="1"/>
  <c r="L29" i="12"/>
  <c r="L28" i="12" s="1"/>
  <c r="M21" i="12"/>
  <c r="AB99" i="1"/>
  <c r="C15" i="12"/>
  <c r="G17" i="12"/>
  <c r="J20" i="12"/>
  <c r="O29" i="12"/>
  <c r="O28" i="12" s="1"/>
  <c r="C16" i="12"/>
  <c r="I35" i="12"/>
  <c r="I34" i="12" s="1"/>
  <c r="P22" i="12"/>
  <c r="P39" i="12"/>
  <c r="P38" i="12" s="1"/>
  <c r="AG85" i="1"/>
  <c r="O31" i="12"/>
  <c r="O30" i="12" s="1"/>
  <c r="K22" i="12"/>
  <c r="K18" i="12"/>
  <c r="O18" i="12"/>
  <c r="O21" i="12"/>
  <c r="G33" i="13"/>
  <c r="G32" i="13" s="1"/>
  <c r="L31" i="12"/>
  <c r="L30" i="12" s="1"/>
  <c r="O22" i="12"/>
  <c r="Q29" i="12"/>
  <c r="Q28" i="12" s="1"/>
  <c r="O39" i="12"/>
  <c r="O38" i="12" s="1"/>
  <c r="L41" i="12"/>
  <c r="L40" i="12" s="1"/>
  <c r="L18" i="12"/>
  <c r="O41" i="12"/>
  <c r="O40" i="12" s="1"/>
  <c r="P33" i="12"/>
  <c r="P32" i="12" s="1"/>
  <c r="G41" i="13"/>
  <c r="G40" i="13" s="1"/>
  <c r="C20" i="12"/>
  <c r="I14" i="12"/>
  <c r="AD33" i="1"/>
  <c r="AB47" i="1"/>
  <c r="AD54" i="1"/>
  <c r="AD119" i="1"/>
  <c r="J35" i="12"/>
  <c r="J34" i="12" s="1"/>
  <c r="E31" i="13"/>
  <c r="E30" i="13" s="1"/>
  <c r="AD42" i="1"/>
  <c r="AB51" i="1"/>
  <c r="AD58" i="1"/>
  <c r="AB67" i="1"/>
  <c r="G15" i="12"/>
  <c r="J17" i="12"/>
  <c r="E18" i="12"/>
  <c r="P21" i="12"/>
  <c r="H31" i="13"/>
  <c r="H30" i="13" s="1"/>
  <c r="H42" i="13" s="1"/>
  <c r="H31" i="12"/>
  <c r="H30" i="12" s="1"/>
  <c r="M39" i="12"/>
  <c r="M38" i="12" s="1"/>
  <c r="G22" i="13"/>
  <c r="F18" i="12"/>
  <c r="D33" i="13"/>
  <c r="D32" i="13" s="1"/>
  <c r="F31" i="12"/>
  <c r="F30" i="12" s="1"/>
  <c r="D21" i="13"/>
  <c r="C18" i="13"/>
  <c r="M33" i="12"/>
  <c r="M32" i="12" s="1"/>
  <c r="D22" i="13"/>
  <c r="E31" i="12"/>
  <c r="E30" i="12" s="1"/>
  <c r="H18" i="12"/>
  <c r="D39" i="13"/>
  <c r="D38" i="13" s="1"/>
  <c r="AD83" i="1"/>
  <c r="AD82" i="1"/>
  <c r="AB108" i="1"/>
  <c r="AB109" i="1"/>
  <c r="AD131" i="1"/>
  <c r="AD132" i="1"/>
  <c r="AG145" i="1"/>
  <c r="H35" i="12"/>
  <c r="H34" i="12" s="1"/>
  <c r="I15" i="12"/>
  <c r="G18" i="13"/>
  <c r="E22" i="13"/>
  <c r="AD142" i="1"/>
  <c r="F19" i="12"/>
  <c r="AD35" i="1"/>
  <c r="AD34" i="1"/>
  <c r="AB43" i="1"/>
  <c r="AB44" i="1"/>
  <c r="AB45" i="1"/>
  <c r="AD39" i="1"/>
  <c r="AD40" i="1"/>
  <c r="AD41" i="1"/>
  <c r="AB48" i="1"/>
  <c r="AB49" i="1"/>
  <c r="AD55" i="1"/>
  <c r="AD56" i="1"/>
  <c r="AD57" i="1"/>
  <c r="AD88" i="1"/>
  <c r="AD89" i="1"/>
  <c r="AB97" i="1"/>
  <c r="AB98" i="1"/>
  <c r="AG118" i="1"/>
  <c r="AD120" i="1"/>
  <c r="AD121" i="1"/>
  <c r="AB129" i="1"/>
  <c r="AB130" i="1"/>
  <c r="AB145" i="1"/>
  <c r="H13" i="12"/>
  <c r="H29" i="12" s="1"/>
  <c r="H28" i="12" s="1"/>
  <c r="I16" i="12"/>
  <c r="AB21" i="1"/>
  <c r="AD28" i="1"/>
  <c r="AB53" i="1"/>
  <c r="AD60" i="1"/>
  <c r="AD61" i="1"/>
  <c r="AF77" i="1"/>
  <c r="AD76" i="1"/>
  <c r="AD77" i="1"/>
  <c r="AD93" i="1"/>
  <c r="AD94" i="1"/>
  <c r="AC108" i="1"/>
  <c r="AG123" i="1"/>
  <c r="AE125" i="1"/>
  <c r="AD125" i="1"/>
  <c r="AD126" i="1"/>
  <c r="D35" i="12"/>
  <c r="D34" i="12" s="1"/>
  <c r="AF141" i="1"/>
  <c r="AD141" i="1"/>
  <c r="E19" i="12"/>
  <c r="I17" i="12"/>
  <c r="AB42" i="1"/>
  <c r="AB58" i="1"/>
  <c r="AD65" i="1"/>
  <c r="AD66" i="1"/>
  <c r="AB74" i="1"/>
  <c r="AD81" i="1"/>
  <c r="AD114" i="1"/>
  <c r="AD115" i="1"/>
  <c r="AB139" i="1"/>
  <c r="AB140" i="1"/>
  <c r="D13" i="12"/>
  <c r="D29" i="12" s="1"/>
  <c r="D28" i="12" s="1"/>
  <c r="AD148" i="1"/>
  <c r="AD147" i="1"/>
  <c r="AD146" i="1"/>
  <c r="I19" i="12"/>
  <c r="AB63" i="1"/>
  <c r="AD70" i="1"/>
  <c r="AD71" i="1"/>
  <c r="AD103" i="1"/>
  <c r="AD104" i="1"/>
  <c r="AB113" i="1"/>
  <c r="AB112" i="1"/>
  <c r="AD135" i="1"/>
  <c r="AD136" i="1"/>
  <c r="AD22" i="1"/>
  <c r="AD23" i="1"/>
  <c r="AB36" i="1"/>
  <c r="AB37" i="1"/>
  <c r="AB38" i="1"/>
  <c r="AD43" i="1"/>
  <c r="AD44" i="1"/>
  <c r="AD45" i="1"/>
  <c r="AB101" i="1"/>
  <c r="AB102" i="1"/>
  <c r="AD108" i="1"/>
  <c r="AD109" i="1"/>
  <c r="AB117" i="1"/>
  <c r="AB118" i="1"/>
  <c r="AB133" i="1"/>
  <c r="AB134" i="1"/>
  <c r="AB149" i="1"/>
  <c r="AB150" i="1"/>
  <c r="J13" i="12"/>
  <c r="E21" i="13"/>
  <c r="AB26" i="1"/>
  <c r="AB27" i="1"/>
  <c r="AB31" i="1"/>
  <c r="AB32" i="1"/>
  <c r="AE21" i="1"/>
  <c r="AD48" i="1"/>
  <c r="AD49" i="1"/>
  <c r="AD64" i="1"/>
  <c r="AD80" i="1"/>
  <c r="AB90" i="1"/>
  <c r="AB91" i="1"/>
  <c r="AD98" i="1"/>
  <c r="AD97" i="1"/>
  <c r="AB106" i="1"/>
  <c r="AB107" i="1"/>
  <c r="AB122" i="1"/>
  <c r="AB123" i="1"/>
  <c r="AD130" i="1"/>
  <c r="AD129" i="1"/>
  <c r="D16" i="12"/>
  <c r="D31" i="12" s="1"/>
  <c r="D30" i="12" s="1"/>
  <c r="G35" i="12"/>
  <c r="G34" i="12" s="1"/>
  <c r="AF145" i="1"/>
  <c r="AD145" i="1"/>
  <c r="H19" i="12"/>
  <c r="H21" i="12" s="1"/>
  <c r="J14" i="12"/>
  <c r="AB70" i="1"/>
  <c r="AB71" i="1"/>
  <c r="AB103" i="1"/>
  <c r="AB104" i="1"/>
  <c r="AD53" i="1"/>
  <c r="AB62" i="1"/>
  <c r="AB78" i="1"/>
  <c r="AB79" i="1"/>
  <c r="AB96" i="1"/>
  <c r="AB95" i="1"/>
  <c r="AB128" i="1"/>
  <c r="AB127" i="1"/>
  <c r="D17" i="12"/>
  <c r="AB143" i="1"/>
  <c r="AB144" i="1"/>
  <c r="G13" i="12"/>
  <c r="AD74" i="1"/>
  <c r="AB100" i="1"/>
  <c r="AB116" i="1"/>
  <c r="AG137" i="1"/>
  <c r="C35" i="12"/>
  <c r="C34" i="12" s="1"/>
  <c r="AD139" i="1"/>
  <c r="AD140" i="1"/>
  <c r="D19" i="12"/>
  <c r="G14" i="12"/>
  <c r="AC150" i="1"/>
  <c r="J16" i="12"/>
  <c r="J31" i="12" s="1"/>
  <c r="J30" i="12" s="1"/>
  <c r="AB135" i="1"/>
  <c r="AB136" i="1"/>
  <c r="AB24" i="1"/>
  <c r="AB25" i="1"/>
  <c r="AD32" i="1"/>
  <c r="AD31" i="1"/>
  <c r="AB72" i="1"/>
  <c r="AB73" i="1"/>
  <c r="AG77" i="1"/>
  <c r="AG94" i="1"/>
  <c r="AD112" i="1"/>
  <c r="AD113" i="1"/>
  <c r="AG142" i="1"/>
  <c r="F35" i="12"/>
  <c r="F34" i="12" s="1"/>
  <c r="E39" i="13"/>
  <c r="E38" i="13" s="1"/>
  <c r="AB22" i="1"/>
  <c r="AB23" i="1"/>
  <c r="AD29" i="1"/>
  <c r="AD30" i="1"/>
  <c r="AD20" i="1"/>
  <c r="AB29" i="1"/>
  <c r="AB30" i="1"/>
  <c r="AD36" i="1"/>
  <c r="AD37" i="1"/>
  <c r="AD38" i="1"/>
  <c r="AD52" i="1"/>
  <c r="AD101" i="1"/>
  <c r="AD102" i="1"/>
  <c r="AB110" i="1"/>
  <c r="AD117" i="1"/>
  <c r="AD118" i="1"/>
  <c r="AD133" i="1"/>
  <c r="AD134" i="1"/>
  <c r="C14" i="12"/>
  <c r="C29" i="12" s="1"/>
  <c r="C28" i="12" s="1"/>
  <c r="AB142" i="1"/>
  <c r="F13" i="12"/>
  <c r="F29" i="12" s="1"/>
  <c r="F28" i="12" s="1"/>
  <c r="G16" i="12"/>
  <c r="AD149" i="1"/>
  <c r="AD150" i="1"/>
  <c r="J19" i="12"/>
  <c r="AD26" i="1"/>
  <c r="AD27" i="1"/>
  <c r="AB34" i="1"/>
  <c r="AB35" i="1"/>
  <c r="AB50" i="1"/>
  <c r="AB82" i="1"/>
  <c r="AB83" i="1"/>
  <c r="AD90" i="1"/>
  <c r="AD91" i="1"/>
  <c r="AD106" i="1"/>
  <c r="AD107" i="1"/>
  <c r="AD122" i="1"/>
  <c r="AD123" i="1"/>
  <c r="AB132" i="1"/>
  <c r="AB131" i="1"/>
  <c r="AB39" i="1"/>
  <c r="AB40" i="1"/>
  <c r="AB41" i="1"/>
  <c r="AD46" i="1"/>
  <c r="AB55" i="1"/>
  <c r="AB56" i="1"/>
  <c r="AB57" i="1"/>
  <c r="AD62" i="1"/>
  <c r="AD78" i="1"/>
  <c r="AD79" i="1"/>
  <c r="AB88" i="1"/>
  <c r="AB89" i="1"/>
  <c r="AD95" i="1"/>
  <c r="AD96" i="1"/>
  <c r="AB120" i="1"/>
  <c r="AB121" i="1"/>
  <c r="AD127" i="1"/>
  <c r="AD128" i="1"/>
  <c r="AG141" i="1"/>
  <c r="E35" i="12"/>
  <c r="E34" i="12" s="1"/>
  <c r="AD143" i="1"/>
  <c r="AD144" i="1"/>
  <c r="G19" i="12"/>
  <c r="AB76" i="1"/>
  <c r="AB77" i="1"/>
  <c r="AB93" i="1"/>
  <c r="AB94" i="1"/>
  <c r="AB125" i="1"/>
  <c r="AB126" i="1"/>
  <c r="AB141" i="1"/>
  <c r="E13" i="12"/>
  <c r="E29" i="12" s="1"/>
  <c r="E28" i="12" s="1"/>
  <c r="E41" i="13"/>
  <c r="E40" i="13" s="1"/>
  <c r="AB60" i="1"/>
  <c r="AB61" i="1"/>
  <c r="AD24" i="1"/>
  <c r="AD25" i="1"/>
  <c r="AB33" i="1"/>
  <c r="AB66" i="1"/>
  <c r="AB65" i="1"/>
  <c r="AD72" i="1"/>
  <c r="AD73" i="1"/>
  <c r="AB81" i="1"/>
  <c r="AD105" i="1"/>
  <c r="AB114" i="1"/>
  <c r="AB115" i="1"/>
  <c r="C19" i="12"/>
  <c r="AB148" i="1"/>
  <c r="AB147" i="1"/>
  <c r="AB146" i="1"/>
  <c r="I13" i="12"/>
  <c r="AB84" i="1"/>
  <c r="AB85" i="1"/>
  <c r="AD84" i="1"/>
  <c r="AD85" i="1"/>
  <c r="E14" i="11"/>
  <c r="J23" i="11"/>
  <c r="Q13" i="11"/>
  <c r="C23" i="11"/>
  <c r="K42" i="12"/>
  <c r="C42" i="13"/>
  <c r="N42" i="12"/>
  <c r="P15" i="11"/>
  <c r="AG131" i="1"/>
  <c r="AG147" i="1"/>
  <c r="AF150" i="1"/>
  <c r="AC144" i="1"/>
  <c r="AE65" i="1"/>
  <c r="AE69" i="1"/>
  <c r="AG98" i="1"/>
  <c r="AF144" i="1"/>
  <c r="AF52" i="1"/>
  <c r="AG129" i="1"/>
  <c r="AG150" i="1"/>
  <c r="AG128" i="1"/>
  <c r="AG144" i="1"/>
  <c r="AG122" i="1"/>
  <c r="AF134" i="1"/>
  <c r="AG56" i="1"/>
  <c r="AC55" i="1"/>
  <c r="AG66" i="1"/>
  <c r="AG72" i="1"/>
  <c r="AG89" i="1"/>
  <c r="AG127" i="1"/>
  <c r="AF79" i="1"/>
  <c r="AG27" i="1"/>
  <c r="AG38" i="1"/>
  <c r="AC110" i="1"/>
  <c r="AG143" i="1"/>
  <c r="AG109" i="1"/>
  <c r="AF27" i="1"/>
  <c r="AG125" i="1"/>
  <c r="AF142" i="1"/>
  <c r="AE145" i="1"/>
  <c r="AG136" i="1"/>
  <c r="AG148" i="1"/>
  <c r="AC59" i="1"/>
  <c r="AG35" i="1"/>
  <c r="AG140" i="1"/>
  <c r="AC148" i="1"/>
  <c r="AG79" i="1"/>
  <c r="AG112" i="1"/>
  <c r="AG134" i="1"/>
  <c r="AG146" i="1"/>
  <c r="AF87" i="1"/>
  <c r="AC98" i="1"/>
  <c r="AE130" i="1"/>
  <c r="AE142" i="1"/>
  <c r="AG149" i="1"/>
  <c r="AC149" i="1"/>
  <c r="AF149" i="1"/>
  <c r="AE150" i="1"/>
  <c r="AE149" i="1"/>
  <c r="AF148" i="1"/>
  <c r="AF147" i="1"/>
  <c r="AE148" i="1"/>
  <c r="AC147" i="1"/>
  <c r="AE146" i="1"/>
  <c r="AF146" i="1"/>
  <c r="AE147" i="1"/>
  <c r="AC146" i="1"/>
  <c r="AC145" i="1"/>
  <c r="AE144" i="1"/>
  <c r="AC142" i="1"/>
  <c r="AF140" i="1"/>
  <c r="AG139" i="1"/>
  <c r="AC139" i="1"/>
  <c r="AE139" i="1"/>
  <c r="AF139" i="1"/>
  <c r="AF137" i="1"/>
  <c r="AE137" i="1"/>
  <c r="AC134" i="1"/>
  <c r="AE134" i="1"/>
  <c r="AC132" i="1"/>
  <c r="AF132" i="1"/>
  <c r="AE132" i="1"/>
  <c r="AF130" i="1"/>
  <c r="AC130" i="1"/>
  <c r="AF128" i="1"/>
  <c r="AF125" i="1"/>
  <c r="AE124" i="1"/>
  <c r="AF122" i="1"/>
  <c r="AG120" i="1"/>
  <c r="AE122" i="1"/>
  <c r="AC120" i="1"/>
  <c r="AF120" i="1"/>
  <c r="AE120" i="1"/>
  <c r="AG117" i="1"/>
  <c r="AC118" i="1"/>
  <c r="AC117" i="1"/>
  <c r="AF116" i="1"/>
  <c r="AE115" i="1"/>
  <c r="AC116" i="1"/>
  <c r="AF115" i="1"/>
  <c r="AC45" i="1"/>
  <c r="AG111" i="1"/>
  <c r="AE45" i="1"/>
  <c r="AC89" i="1"/>
  <c r="AF106" i="1"/>
  <c r="AG70" i="1"/>
  <c r="AC105" i="1"/>
  <c r="AE113" i="1"/>
  <c r="AG36" i="1"/>
  <c r="AF21" i="1"/>
  <c r="AE57" i="1"/>
  <c r="AG103" i="1"/>
  <c r="AG107" i="1"/>
  <c r="AG49" i="1"/>
  <c r="AF53" i="1"/>
  <c r="AC69" i="1"/>
  <c r="AG113" i="1"/>
  <c r="AC28" i="1"/>
  <c r="AG82" i="1"/>
  <c r="AC23" i="1"/>
  <c r="AG34" i="1"/>
  <c r="AG45" i="1"/>
  <c r="AF47" i="1"/>
  <c r="AG23" i="1"/>
  <c r="AC35" i="1"/>
  <c r="AG73" i="1"/>
  <c r="AG61" i="1"/>
  <c r="AC113" i="1"/>
  <c r="AF113" i="1"/>
  <c r="AC112" i="1"/>
  <c r="AG106" i="1"/>
  <c r="AE106" i="1"/>
  <c r="AF105" i="1"/>
  <c r="AG101" i="1"/>
  <c r="AC102" i="1"/>
  <c r="AC101" i="1"/>
  <c r="AF103" i="1"/>
  <c r="AE101" i="1"/>
  <c r="AF101" i="1"/>
  <c r="AC100" i="1"/>
  <c r="AG97" i="1"/>
  <c r="AF99" i="1"/>
  <c r="AC97" i="1"/>
  <c r="AE95" i="1"/>
  <c r="AG93" i="1"/>
  <c r="AC93" i="1"/>
  <c r="AG90" i="1"/>
  <c r="AC92" i="1"/>
  <c r="AC91" i="1"/>
  <c r="AF92" i="1"/>
  <c r="AE92" i="1"/>
  <c r="AE91" i="1"/>
  <c r="AC88" i="1"/>
  <c r="AG88" i="1"/>
  <c r="AF89" i="1"/>
  <c r="AE89" i="1"/>
  <c r="AC90" i="1"/>
  <c r="AE88" i="1"/>
  <c r="AF88" i="1"/>
  <c r="AG87" i="1"/>
  <c r="AE87" i="1"/>
  <c r="AE84" i="1"/>
  <c r="AF84" i="1"/>
  <c r="AC84" i="1"/>
  <c r="AE79" i="1"/>
  <c r="AC76" i="1"/>
  <c r="AE77" i="1"/>
  <c r="AC77" i="1"/>
  <c r="AC74" i="1"/>
  <c r="AC73" i="1"/>
  <c r="AF72" i="1"/>
  <c r="AE71" i="1"/>
  <c r="AG71" i="1"/>
  <c r="AC71" i="1"/>
  <c r="AF70" i="1"/>
  <c r="AF69" i="1"/>
  <c r="AC65" i="1"/>
  <c r="AG63" i="1"/>
  <c r="AC63" i="1"/>
  <c r="AC61" i="1"/>
  <c r="AG60" i="1"/>
  <c r="AC62" i="1"/>
  <c r="AF60" i="1"/>
  <c r="AF57" i="1"/>
  <c r="AF55" i="1"/>
  <c r="AC57" i="1"/>
  <c r="AE55" i="1"/>
  <c r="AF54" i="1"/>
  <c r="AC53" i="1"/>
  <c r="AE53" i="1"/>
  <c r="AC52" i="1"/>
  <c r="AC50" i="1"/>
  <c r="AF50" i="1"/>
  <c r="AE50" i="1"/>
  <c r="AC49" i="1"/>
  <c r="AC46" i="1"/>
  <c r="AG44" i="1"/>
  <c r="AG43" i="1"/>
  <c r="AC43" i="1"/>
  <c r="AE43" i="1"/>
  <c r="AF43" i="1"/>
  <c r="AG39" i="1"/>
  <c r="AE41" i="1"/>
  <c r="AC39" i="1"/>
  <c r="AF41" i="1"/>
  <c r="AE40" i="1"/>
  <c r="AC41" i="1"/>
  <c r="AF40" i="1"/>
  <c r="AG37" i="1"/>
  <c r="AC38" i="1"/>
  <c r="AF39" i="1"/>
  <c r="AC36" i="1"/>
  <c r="AE36" i="1"/>
  <c r="AE34" i="1"/>
  <c r="AC34" i="1"/>
  <c r="AG31" i="1"/>
  <c r="AC33" i="1"/>
  <c r="AC30" i="1"/>
  <c r="AG29" i="1"/>
  <c r="AF29" i="1"/>
  <c r="AG26" i="1"/>
  <c r="AC26" i="1"/>
  <c r="AE26" i="1"/>
  <c r="AE25" i="1"/>
  <c r="AF19" i="1"/>
  <c r="AC19" i="1"/>
  <c r="AE19" i="1"/>
  <c r="AG95" i="1"/>
  <c r="AG58" i="1"/>
  <c r="AG83" i="1"/>
  <c r="AG110" i="1"/>
  <c r="AG24" i="1"/>
  <c r="AG80" i="1"/>
  <c r="AG48" i="1"/>
  <c r="AG104" i="1"/>
  <c r="AG121" i="1"/>
  <c r="AG96" i="1"/>
  <c r="AG59" i="1"/>
  <c r="AG22" i="1"/>
  <c r="AG25" i="1"/>
  <c r="AG135" i="1"/>
  <c r="E23" i="11"/>
  <c r="N19" i="11"/>
  <c r="Q16" i="11"/>
  <c r="AC95" i="1"/>
  <c r="AF96" i="1"/>
  <c r="AF83" i="1"/>
  <c r="AE82" i="1"/>
  <c r="AE83" i="1"/>
  <c r="AF82" i="1"/>
  <c r="AC24" i="1"/>
  <c r="AC25" i="1"/>
  <c r="AG32" i="1"/>
  <c r="AE30" i="1"/>
  <c r="AF30" i="1"/>
  <c r="AF31" i="1"/>
  <c r="AE31" i="1"/>
  <c r="AE32" i="1"/>
  <c r="AF32" i="1"/>
  <c r="AC21" i="1"/>
  <c r="AC37" i="1"/>
  <c r="AF38" i="1"/>
  <c r="AF110" i="1"/>
  <c r="AE110" i="1"/>
  <c r="AF111" i="1"/>
  <c r="AE111" i="1"/>
  <c r="AG55" i="1"/>
  <c r="AF127" i="1"/>
  <c r="AE64" i="1"/>
  <c r="AF65" i="1"/>
  <c r="AE63" i="1"/>
  <c r="AF64" i="1"/>
  <c r="AF63" i="1"/>
  <c r="AE129" i="1"/>
  <c r="AC66" i="1"/>
  <c r="AC67" i="1"/>
  <c r="AE94" i="1"/>
  <c r="AF94" i="1"/>
  <c r="AE93" i="1"/>
  <c r="AF93" i="1"/>
  <c r="AF108" i="1"/>
  <c r="AF22" i="1"/>
  <c r="AC135" i="1"/>
  <c r="AC136" i="1"/>
  <c r="AG30" i="1"/>
  <c r="AG41" i="1"/>
  <c r="AF49" i="1"/>
  <c r="AF48" i="1"/>
  <c r="AE48" i="1"/>
  <c r="AE49" i="1"/>
  <c r="AG115" i="1"/>
  <c r="AG116" i="1"/>
  <c r="AC137" i="1"/>
  <c r="AF74" i="1"/>
  <c r="AF76" i="1"/>
  <c r="AE74" i="1"/>
  <c r="AE76" i="1"/>
  <c r="AG65" i="1"/>
  <c r="AE66" i="1"/>
  <c r="AF66" i="1"/>
  <c r="AE117" i="1"/>
  <c r="AF136" i="1"/>
  <c r="AF61" i="1"/>
  <c r="AE62" i="1"/>
  <c r="AF138" i="1"/>
  <c r="AF44" i="1"/>
  <c r="AC54" i="1"/>
  <c r="AE56" i="1"/>
  <c r="AF56" i="1"/>
  <c r="AE80" i="1"/>
  <c r="AF34" i="1"/>
  <c r="AF59" i="1"/>
  <c r="AE60" i="1"/>
  <c r="AC79" i="1"/>
  <c r="AE99" i="1"/>
  <c r="AF102" i="1"/>
  <c r="AC104" i="1"/>
  <c r="AE20" i="1"/>
  <c r="AC29" i="1"/>
  <c r="AF28" i="1"/>
  <c r="AF51" i="1"/>
  <c r="AF58" i="1"/>
  <c r="AE58" i="1"/>
  <c r="AF97" i="1"/>
  <c r="AE97" i="1"/>
  <c r="AF98" i="1"/>
  <c r="AE98" i="1"/>
  <c r="AE108" i="1"/>
  <c r="AE22" i="1"/>
  <c r="AF26" i="1"/>
  <c r="AF75" i="1"/>
  <c r="AF85" i="1"/>
  <c r="AC96" i="1"/>
  <c r="AF112" i="1"/>
  <c r="AE112" i="1"/>
  <c r="AE118" i="1"/>
  <c r="AC119" i="1"/>
  <c r="AF121" i="1"/>
  <c r="AE121" i="1"/>
  <c r="AE127" i="1"/>
  <c r="AC128" i="1"/>
  <c r="AC129" i="1"/>
  <c r="AF45" i="1"/>
  <c r="AF107" i="1"/>
  <c r="AE107" i="1"/>
  <c r="AC126" i="1"/>
  <c r="AC20" i="1"/>
  <c r="AE46" i="1"/>
  <c r="AC56" i="1"/>
  <c r="AG57" i="1"/>
  <c r="AC80" i="1"/>
  <c r="AC81" i="1"/>
  <c r="AE38" i="1"/>
  <c r="AE105" i="1"/>
  <c r="AF129" i="1"/>
  <c r="AE135" i="1"/>
  <c r="AC141" i="1"/>
  <c r="AC143" i="1"/>
  <c r="AF46" i="1"/>
  <c r="AF117" i="1"/>
  <c r="AE123" i="1"/>
  <c r="AE141" i="1"/>
  <c r="N10" i="11"/>
  <c r="N11" i="11" s="1"/>
  <c r="AE28" i="1"/>
  <c r="AE39" i="1"/>
  <c r="AC85" i="1"/>
  <c r="AF123" i="1"/>
  <c r="AC127" i="1"/>
  <c r="AE61" i="1"/>
  <c r="AE75" i="1"/>
  <c r="AF78" i="1"/>
  <c r="AE78" i="1"/>
  <c r="AF80" i="1"/>
  <c r="AC109" i="1"/>
  <c r="AC131" i="1"/>
  <c r="AC138" i="1"/>
  <c r="AF20" i="1"/>
  <c r="AE24" i="1"/>
  <c r="AF37" i="1"/>
  <c r="AE42" i="1"/>
  <c r="AG51" i="1"/>
  <c r="AG20" i="1"/>
  <c r="AF24" i="1"/>
  <c r="AE27" i="1"/>
  <c r="AE33" i="1"/>
  <c r="AE35" i="1"/>
  <c r="AF42" i="1"/>
  <c r="AE44" i="1"/>
  <c r="AC60" i="1"/>
  <c r="AE67" i="1"/>
  <c r="AC68" i="1"/>
  <c r="AF73" i="1"/>
  <c r="AE73" i="1"/>
  <c r="AG91" i="1"/>
  <c r="AF91" i="1"/>
  <c r="AG108" i="1"/>
  <c r="AF109" i="1"/>
  <c r="AE109" i="1"/>
  <c r="AC115" i="1"/>
  <c r="AF118" i="1"/>
  <c r="AE126" i="1"/>
  <c r="AG126" i="1"/>
  <c r="AF131" i="1"/>
  <c r="AE131" i="1"/>
  <c r="AE136" i="1"/>
  <c r="AE138" i="1"/>
  <c r="AG138" i="1"/>
  <c r="AC123" i="1"/>
  <c r="AC124" i="1"/>
  <c r="AF100" i="1"/>
  <c r="AE100" i="1"/>
  <c r="AF104" i="1"/>
  <c r="AF124" i="1"/>
  <c r="AF126" i="1"/>
  <c r="AF114" i="1"/>
  <c r="AC51" i="1"/>
  <c r="AF135" i="1"/>
  <c r="AC22" i="1"/>
  <c r="AF23" i="1"/>
  <c r="AE23" i="1"/>
  <c r="AE29" i="1"/>
  <c r="AC32" i="1"/>
  <c r="AC31" i="1"/>
  <c r="AF33" i="1"/>
  <c r="AC48" i="1"/>
  <c r="AE59" i="1"/>
  <c r="AC64" i="1"/>
  <c r="AF67" i="1"/>
  <c r="AC78" i="1"/>
  <c r="AE81" i="1"/>
  <c r="AC82" i="1"/>
  <c r="AC83" i="1"/>
  <c r="AF95" i="1"/>
  <c r="AE96" i="1"/>
  <c r="AC111" i="1"/>
  <c r="AF119" i="1"/>
  <c r="AE119" i="1"/>
  <c r="AE128" i="1"/>
  <c r="AG40" i="1"/>
  <c r="AC114" i="1"/>
  <c r="AC72" i="1"/>
  <c r="D12" i="11"/>
  <c r="D14" i="11"/>
  <c r="AC40" i="1"/>
  <c r="AC42" i="1"/>
  <c r="AE51" i="1"/>
  <c r="AE54" i="1"/>
  <c r="AC121" i="1"/>
  <c r="AC122" i="1"/>
  <c r="AG133" i="1"/>
  <c r="AG28" i="1"/>
  <c r="AE37" i="1"/>
  <c r="O17" i="11"/>
  <c r="AC27" i="1"/>
  <c r="AE47" i="1"/>
  <c r="AE52" i="1"/>
  <c r="AF62" i="1"/>
  <c r="AG64" i="1"/>
  <c r="AE68" i="1"/>
  <c r="AF68" i="1"/>
  <c r="AF71" i="1"/>
  <c r="AE72" i="1"/>
  <c r="AC75" i="1"/>
  <c r="AF81" i="1"/>
  <c r="AE103" i="1"/>
  <c r="AC103" i="1"/>
  <c r="AC107" i="1"/>
  <c r="AC125" i="1"/>
  <c r="AE104" i="1"/>
  <c r="AE116" i="1"/>
  <c r="AC140" i="1"/>
  <c r="AF143" i="1"/>
  <c r="AE143" i="1"/>
  <c r="AC70" i="1"/>
  <c r="AC87" i="1"/>
  <c r="AC133" i="1"/>
  <c r="AC44" i="1"/>
  <c r="AC58" i="1"/>
  <c r="AF25" i="1"/>
  <c r="AF35" i="1"/>
  <c r="AF36" i="1"/>
  <c r="AE70" i="1"/>
  <c r="AG76" i="1"/>
  <c r="AG78" i="1"/>
  <c r="AF90" i="1"/>
  <c r="AE90" i="1"/>
  <c r="AC99" i="1"/>
  <c r="AG100" i="1"/>
  <c r="AE102" i="1"/>
  <c r="AG102" i="1"/>
  <c r="AC106" i="1"/>
  <c r="AE140" i="1"/>
  <c r="AC94" i="1"/>
  <c r="AE114" i="1"/>
  <c r="AG114" i="1"/>
  <c r="AF133" i="1"/>
  <c r="AE85" i="1"/>
  <c r="AE133" i="1"/>
  <c r="P19" i="11"/>
  <c r="O13" i="11"/>
  <c r="O15" i="11"/>
  <c r="N15" i="11"/>
  <c r="J35" i="11"/>
  <c r="L23" i="11"/>
  <c r="L19" i="11"/>
  <c r="L15" i="11"/>
  <c r="L12" i="11"/>
  <c r="L10" i="11"/>
  <c r="L11" i="11" s="1"/>
  <c r="L14" i="11"/>
  <c r="L16" i="11"/>
  <c r="M12" i="11"/>
  <c r="M10" i="11"/>
  <c r="M11" i="11" s="1"/>
  <c r="M15" i="11"/>
  <c r="M14" i="11"/>
  <c r="L35" i="11"/>
  <c r="E10" i="11"/>
  <c r="E11" i="11" s="1"/>
  <c r="E12" i="11"/>
  <c r="Q15" i="11"/>
  <c r="C16" i="11"/>
  <c r="C17" i="11"/>
  <c r="C12" i="11"/>
  <c r="O19" i="11"/>
  <c r="O16" i="11"/>
  <c r="C10" i="11"/>
  <c r="C11" i="11" s="1"/>
  <c r="F20" i="11"/>
  <c r="G16" i="11"/>
  <c r="I35" i="11"/>
  <c r="D13" i="11"/>
  <c r="C20" i="11"/>
  <c r="G12" i="11"/>
  <c r="P14" i="11"/>
  <c r="P12" i="11"/>
  <c r="P10" i="11"/>
  <c r="P11" i="11" s="1"/>
  <c r="P35" i="11"/>
  <c r="P23" i="11"/>
  <c r="H23" i="11"/>
  <c r="H35" i="11"/>
  <c r="H12" i="11"/>
  <c r="J19" i="11"/>
  <c r="D16" i="11"/>
  <c r="E19" i="11"/>
  <c r="E20" i="11"/>
  <c r="E17" i="11"/>
  <c r="Q20" i="11"/>
  <c r="Q10" i="11"/>
  <c r="Q11" i="11" s="1"/>
  <c r="Q14" i="11"/>
  <c r="Q23" i="11"/>
  <c r="Q12" i="11"/>
  <c r="Q19" i="11"/>
  <c r="C13" i="11"/>
  <c r="O10" i="11"/>
  <c r="O11" i="11" s="1"/>
  <c r="N23" i="11"/>
  <c r="N16" i="11"/>
  <c r="N14" i="11"/>
  <c r="N12" i="11"/>
  <c r="M23" i="11"/>
  <c r="M16" i="11"/>
  <c r="M20" i="11"/>
  <c r="C15" i="11"/>
  <c r="O14" i="11"/>
  <c r="O12" i="11"/>
  <c r="H16" i="11"/>
  <c r="C19" i="11"/>
  <c r="I17" i="11"/>
  <c r="I23" i="11"/>
  <c r="I19" i="11"/>
  <c r="I12" i="11"/>
  <c r="I15" i="11"/>
  <c r="J16" i="11"/>
  <c r="J12" i="11"/>
  <c r="J15" i="11"/>
  <c r="K19" i="11"/>
  <c r="K23" i="11"/>
  <c r="K15" i="11"/>
  <c r="K12" i="11"/>
  <c r="K35" i="11"/>
  <c r="F12" i="11"/>
  <c r="E13" i="11"/>
  <c r="M35" i="11"/>
  <c r="M19" i="11"/>
  <c r="C35" i="11"/>
  <c r="C14" i="11"/>
  <c r="D20" i="11"/>
  <c r="D19" i="11"/>
  <c r="D17" i="11"/>
  <c r="D15" i="11"/>
  <c r="P17" i="11"/>
  <c r="P13" i="11"/>
  <c r="D10" i="11"/>
  <c r="D11" i="11" s="1"/>
  <c r="P16" i="11"/>
  <c r="P20" i="11"/>
  <c r="D23" i="11"/>
  <c r="G35" i="11"/>
  <c r="D35" i="11"/>
  <c r="F16" i="11"/>
  <c r="F35" i="11"/>
  <c r="N35" i="11"/>
  <c r="O23" i="11"/>
  <c r="O20" i="11"/>
  <c r="O35" i="11"/>
  <c r="E35" i="11"/>
  <c r="E16" i="11"/>
  <c r="E15" i="11"/>
  <c r="Q35" i="11"/>
  <c r="Q17" i="11"/>
  <c r="G20" i="11"/>
  <c r="H20" i="11"/>
  <c r="J20" i="11"/>
  <c r="H13" i="11"/>
  <c r="L20" i="11"/>
  <c r="J17" i="11"/>
  <c r="H10" i="11"/>
  <c r="H11" i="11" s="1"/>
  <c r="K13" i="11"/>
  <c r="H14" i="11"/>
  <c r="K17" i="11"/>
  <c r="I10" i="11"/>
  <c r="I11" i="11" s="1"/>
  <c r="L13" i="11"/>
  <c r="I14" i="11"/>
  <c r="F15" i="11"/>
  <c r="L17" i="11"/>
  <c r="F19" i="11"/>
  <c r="F23" i="11"/>
  <c r="G13" i="11"/>
  <c r="F10" i="11"/>
  <c r="F11" i="11" s="1"/>
  <c r="I13" i="11"/>
  <c r="F14" i="11"/>
  <c r="J13" i="11"/>
  <c r="G14" i="11"/>
  <c r="J10" i="11"/>
  <c r="J11" i="11" s="1"/>
  <c r="M13" i="11"/>
  <c r="J14" i="11"/>
  <c r="G15" i="11"/>
  <c r="M17" i="11"/>
  <c r="G19" i="11"/>
  <c r="G23" i="11"/>
  <c r="F13" i="11"/>
  <c r="I16" i="11"/>
  <c r="F17" i="11"/>
  <c r="I20" i="11"/>
  <c r="G17" i="11"/>
  <c r="K16" i="11"/>
  <c r="H17" i="11"/>
  <c r="K20" i="11"/>
  <c r="G10" i="11"/>
  <c r="G11" i="11" s="1"/>
  <c r="N20" i="11"/>
  <c r="K10" i="11"/>
  <c r="K11" i="11" s="1"/>
  <c r="N13" i="11"/>
  <c r="K14" i="11"/>
  <c r="H15" i="11"/>
  <c r="N17" i="11"/>
  <c r="H19" i="11"/>
  <c r="F42" i="13" l="1"/>
  <c r="G31" i="12"/>
  <c r="G30" i="12" s="1"/>
  <c r="Q42" i="12"/>
  <c r="L42" i="12"/>
  <c r="O42" i="12"/>
  <c r="C31" i="12"/>
  <c r="C30" i="12" s="1"/>
  <c r="C18" i="12"/>
  <c r="G42" i="13"/>
  <c r="P42" i="12"/>
  <c r="I29" i="12"/>
  <c r="I28" i="12" s="1"/>
  <c r="D42" i="13"/>
  <c r="M42" i="12"/>
  <c r="E29" i="11"/>
  <c r="E28" i="11" s="1"/>
  <c r="E42" i="13"/>
  <c r="G33" i="12"/>
  <c r="G32" i="12" s="1"/>
  <c r="G41" i="12"/>
  <c r="G40" i="12" s="1"/>
  <c r="G39" i="12"/>
  <c r="G38" i="12" s="1"/>
  <c r="G21" i="12"/>
  <c r="G22" i="12"/>
  <c r="I33" i="12"/>
  <c r="I32" i="12" s="1"/>
  <c r="I39" i="12"/>
  <c r="I38" i="12" s="1"/>
  <c r="I41" i="12"/>
  <c r="I40" i="12" s="1"/>
  <c r="I21" i="12"/>
  <c r="I22" i="12"/>
  <c r="E33" i="12"/>
  <c r="E32" i="12" s="1"/>
  <c r="E21" i="12"/>
  <c r="E22" i="12"/>
  <c r="E41" i="12"/>
  <c r="E40" i="12" s="1"/>
  <c r="E39" i="12"/>
  <c r="E38" i="12" s="1"/>
  <c r="I18" i="12"/>
  <c r="D33" i="12"/>
  <c r="D32" i="12" s="1"/>
  <c r="D22" i="12"/>
  <c r="D39" i="12"/>
  <c r="D38" i="12" s="1"/>
  <c r="D21" i="12"/>
  <c r="D41" i="12"/>
  <c r="D40" i="12" s="1"/>
  <c r="J29" i="12"/>
  <c r="J28" i="12" s="1"/>
  <c r="I31" i="12"/>
  <c r="I30" i="12" s="1"/>
  <c r="J41" i="12"/>
  <c r="J40" i="12" s="1"/>
  <c r="J33" i="12"/>
  <c r="J32" i="12" s="1"/>
  <c r="J22" i="12"/>
  <c r="J21" i="12"/>
  <c r="J39" i="12"/>
  <c r="J38" i="12" s="1"/>
  <c r="J34" i="11"/>
  <c r="C39" i="12"/>
  <c r="C38" i="12" s="1"/>
  <c r="C41" i="12"/>
  <c r="C40" i="12" s="1"/>
  <c r="C33" i="12"/>
  <c r="C32" i="12" s="1"/>
  <c r="C22" i="12"/>
  <c r="C21" i="12"/>
  <c r="G29" i="12"/>
  <c r="G28" i="12" s="1"/>
  <c r="G18" i="12"/>
  <c r="H41" i="12"/>
  <c r="H40" i="12" s="1"/>
  <c r="H33" i="12"/>
  <c r="H32" i="12" s="1"/>
  <c r="H39" i="12"/>
  <c r="H38" i="12" s="1"/>
  <c r="H22" i="12"/>
  <c r="M29" i="11"/>
  <c r="M28" i="11" s="1"/>
  <c r="C34" i="11"/>
  <c r="J18" i="12"/>
  <c r="F21" i="12"/>
  <c r="F22" i="12"/>
  <c r="F41" i="12"/>
  <c r="F40" i="12" s="1"/>
  <c r="F33" i="12"/>
  <c r="F32" i="12" s="1"/>
  <c r="F39" i="12"/>
  <c r="F38" i="12" s="1"/>
  <c r="D18" i="12"/>
  <c r="D29" i="11"/>
  <c r="D28" i="11" s="1"/>
  <c r="P29" i="11"/>
  <c r="P28" i="11" s="1"/>
  <c r="L29" i="11"/>
  <c r="L28" i="11" s="1"/>
  <c r="N29" i="11"/>
  <c r="N28" i="11" s="1"/>
  <c r="F29" i="11"/>
  <c r="F28" i="11" s="1"/>
  <c r="K29" i="11"/>
  <c r="K28" i="11" s="1"/>
  <c r="C29" i="11"/>
  <c r="C28" i="11" s="1"/>
  <c r="O29" i="11"/>
  <c r="O28" i="11" s="1"/>
  <c r="J29" i="11"/>
  <c r="J28" i="11" s="1"/>
  <c r="I29" i="11"/>
  <c r="I28" i="11" s="1"/>
  <c r="Q29" i="11"/>
  <c r="Q28" i="11" s="1"/>
  <c r="H29" i="11"/>
  <c r="H28" i="11" s="1"/>
  <c r="G29" i="11"/>
  <c r="G28" i="11" s="1"/>
  <c r="P22" i="11"/>
  <c r="P21" i="11"/>
  <c r="Q33" i="11"/>
  <c r="Q32" i="11" s="1"/>
  <c r="Q31" i="11"/>
  <c r="Q30" i="11" s="1"/>
  <c r="Q22" i="11"/>
  <c r="Q21" i="11"/>
  <c r="Q18" i="11"/>
  <c r="Q39" i="11"/>
  <c r="Q38" i="11" s="1"/>
  <c r="Q41" i="11"/>
  <c r="Q40" i="11" s="1"/>
  <c r="P33" i="11"/>
  <c r="P32" i="11" s="1"/>
  <c r="P41" i="11"/>
  <c r="P40" i="11" s="1"/>
  <c r="P39" i="11"/>
  <c r="P38" i="11" s="1"/>
  <c r="P18" i="11"/>
  <c r="P31" i="11"/>
  <c r="P30" i="11" s="1"/>
  <c r="N33" i="11"/>
  <c r="N32" i="11" s="1"/>
  <c r="N21" i="11"/>
  <c r="O41" i="11"/>
  <c r="O40" i="11" s="1"/>
  <c r="O31" i="11"/>
  <c r="O30" i="11" s="1"/>
  <c r="O22" i="11"/>
  <c r="O39" i="11"/>
  <c r="O38" i="11" s="1"/>
  <c r="O18" i="11"/>
  <c r="O33" i="11"/>
  <c r="O32" i="11" s="1"/>
  <c r="O21" i="11"/>
  <c r="N31" i="11"/>
  <c r="N30" i="11" s="1"/>
  <c r="N22" i="11"/>
  <c r="N39" i="11"/>
  <c r="N38" i="11" s="1"/>
  <c r="N18" i="11"/>
  <c r="N41" i="11"/>
  <c r="N40" i="11" s="1"/>
  <c r="M31" i="11"/>
  <c r="M30" i="11" s="1"/>
  <c r="M22" i="11"/>
  <c r="M39" i="11"/>
  <c r="M38" i="11" s="1"/>
  <c r="M18" i="11"/>
  <c r="M41" i="11"/>
  <c r="M40" i="11" s="1"/>
  <c r="M21" i="11"/>
  <c r="M33" i="11"/>
  <c r="M32" i="11" s="1"/>
  <c r="L33" i="11"/>
  <c r="L32" i="11" s="1"/>
  <c r="L18" i="11"/>
  <c r="L22" i="11"/>
  <c r="L41" i="11"/>
  <c r="L40" i="11" s="1"/>
  <c r="L31" i="11"/>
  <c r="L30" i="11" s="1"/>
  <c r="L39" i="11"/>
  <c r="L38" i="11" s="1"/>
  <c r="L21" i="11"/>
  <c r="K22" i="11"/>
  <c r="K18" i="11"/>
  <c r="K31" i="11"/>
  <c r="K30" i="11" s="1"/>
  <c r="K39" i="11"/>
  <c r="K38" i="11" s="1"/>
  <c r="K41" i="11"/>
  <c r="K40" i="11" s="1"/>
  <c r="K33" i="11"/>
  <c r="K32" i="11" s="1"/>
  <c r="K21" i="11"/>
  <c r="E34" i="11"/>
  <c r="I39" i="11"/>
  <c r="I38" i="11" s="1"/>
  <c r="E39" i="11"/>
  <c r="E38" i="11" s="1"/>
  <c r="L34" i="11"/>
  <c r="D33" i="11"/>
  <c r="D32" i="11" s="1"/>
  <c r="C31" i="11"/>
  <c r="C30" i="11" s="1"/>
  <c r="H31" i="11"/>
  <c r="H30" i="11" s="1"/>
  <c r="C41" i="11"/>
  <c r="C40" i="11" s="1"/>
  <c r="E21" i="11"/>
  <c r="I34" i="11"/>
  <c r="C39" i="11"/>
  <c r="C38" i="11" s="1"/>
  <c r="J22" i="11"/>
  <c r="I31" i="11"/>
  <c r="I30" i="11" s="1"/>
  <c r="C18" i="11"/>
  <c r="H34" i="11"/>
  <c r="C22" i="11"/>
  <c r="D21" i="11"/>
  <c r="E18" i="11"/>
  <c r="J41" i="11"/>
  <c r="J40" i="11" s="1"/>
  <c r="Q34" i="11"/>
  <c r="K34" i="11"/>
  <c r="I33" i="11"/>
  <c r="I32" i="11" s="1"/>
  <c r="N34" i="11"/>
  <c r="I18" i="11"/>
  <c r="G34" i="11"/>
  <c r="D31" i="11"/>
  <c r="D30" i="11" s="1"/>
  <c r="C21" i="11"/>
  <c r="M34" i="11"/>
  <c r="J31" i="11"/>
  <c r="J30" i="11" s="1"/>
  <c r="G33" i="11"/>
  <c r="G32" i="11" s="1"/>
  <c r="J21" i="11"/>
  <c r="F34" i="11"/>
  <c r="C33" i="11"/>
  <c r="C32" i="11" s="1"/>
  <c r="E33" i="11"/>
  <c r="E32" i="11" s="1"/>
  <c r="I22" i="11"/>
  <c r="P34" i="11"/>
  <c r="I21" i="11"/>
  <c r="H18" i="11"/>
  <c r="J33" i="11"/>
  <c r="J32" i="11" s="1"/>
  <c r="H21" i="11"/>
  <c r="E31" i="11"/>
  <c r="E30" i="11" s="1"/>
  <c r="F18" i="11"/>
  <c r="D34" i="11"/>
  <c r="J18" i="11"/>
  <c r="G18" i="11"/>
  <c r="G31" i="11"/>
  <c r="G30" i="11" s="1"/>
  <c r="F22" i="11"/>
  <c r="F33" i="11"/>
  <c r="F32" i="11" s="1"/>
  <c r="F39" i="11"/>
  <c r="F38" i="11" s="1"/>
  <c r="E22" i="11"/>
  <c r="J39" i="11"/>
  <c r="J38" i="11" s="1"/>
  <c r="E41" i="11"/>
  <c r="E40" i="11" s="1"/>
  <c r="D18" i="11"/>
  <c r="D41" i="11"/>
  <c r="D40" i="11" s="1"/>
  <c r="D22" i="11"/>
  <c r="D39" i="11"/>
  <c r="D38" i="11" s="1"/>
  <c r="O34" i="11"/>
  <c r="F31" i="11"/>
  <c r="F30" i="11" s="1"/>
  <c r="I41" i="11"/>
  <c r="I40" i="11" s="1"/>
  <c r="G21" i="11"/>
  <c r="G41" i="11"/>
  <c r="G40" i="11" s="1"/>
  <c r="G39" i="11"/>
  <c r="G38" i="11" s="1"/>
  <c r="F41" i="11"/>
  <c r="F40" i="11" s="1"/>
  <c r="H22" i="11"/>
  <c r="H39" i="11"/>
  <c r="H38" i="11" s="1"/>
  <c r="H33" i="11"/>
  <c r="H32" i="11" s="1"/>
  <c r="H41" i="11"/>
  <c r="H40" i="11" s="1"/>
  <c r="F21" i="11"/>
  <c r="G22" i="11"/>
  <c r="I42" i="12" l="1"/>
  <c r="G42" i="12"/>
  <c r="D42" i="12"/>
  <c r="E42" i="12"/>
  <c r="C42" i="12"/>
  <c r="F42" i="12"/>
  <c r="H42" i="12"/>
  <c r="J42" i="12"/>
  <c r="G42" i="11"/>
  <c r="Q42" i="11"/>
  <c r="P42" i="11"/>
  <c r="O42" i="11"/>
  <c r="N42" i="11"/>
  <c r="M42" i="11"/>
  <c r="L42" i="11"/>
  <c r="K42" i="11"/>
  <c r="C42" i="11"/>
  <c r="D42" i="11"/>
  <c r="J42" i="11"/>
  <c r="I42" i="11"/>
  <c r="E42" i="11"/>
  <c r="F42" i="11"/>
  <c r="H42" i="11"/>
  <c r="B53" i="11" l="1"/>
  <c r="B35" i="11"/>
  <c r="B40" i="11" l="1"/>
  <c r="B38" i="11"/>
  <c r="B34" i="11"/>
  <c r="B32" i="11"/>
  <c r="B30" i="11"/>
  <c r="B28" i="11"/>
  <c r="E12" i="1" l="1"/>
  <c r="B53" i="8"/>
  <c r="B53" i="9"/>
  <c r="B53" i="10"/>
  <c r="B53" i="6"/>
  <c r="B35" i="6" l="1"/>
  <c r="B35" i="9"/>
  <c r="B35" i="8"/>
  <c r="B35" i="10"/>
  <c r="Q8" i="10"/>
  <c r="P8" i="10"/>
  <c r="O8" i="10"/>
  <c r="N8" i="10"/>
  <c r="M8" i="10"/>
  <c r="L8" i="10"/>
  <c r="K8" i="10"/>
  <c r="J8" i="10"/>
  <c r="I8" i="10"/>
  <c r="H8" i="10"/>
  <c r="G8" i="10"/>
  <c r="F8" i="10"/>
  <c r="E8" i="10"/>
  <c r="D8" i="10"/>
  <c r="C8" i="10"/>
  <c r="B7" i="10"/>
  <c r="B6" i="10"/>
  <c r="M16" i="10" l="1"/>
  <c r="M14" i="10"/>
  <c r="M35" i="10"/>
  <c r="M13" i="10"/>
  <c r="M20" i="10"/>
  <c r="M12" i="10"/>
  <c r="M17" i="10"/>
  <c r="M15" i="10"/>
  <c r="M19" i="10"/>
  <c r="N17" i="10"/>
  <c r="N13" i="10"/>
  <c r="N16" i="10"/>
  <c r="N14" i="10"/>
  <c r="N35" i="10"/>
  <c r="N20" i="10"/>
  <c r="N12" i="10"/>
  <c r="N19" i="10"/>
  <c r="N15" i="10"/>
  <c r="K19" i="10"/>
  <c r="K14" i="10"/>
  <c r="K17" i="10"/>
  <c r="K15" i="10"/>
  <c r="K13" i="10"/>
  <c r="K35" i="10"/>
  <c r="K16" i="10"/>
  <c r="K12" i="10"/>
  <c r="K20" i="10"/>
  <c r="C15" i="10"/>
  <c r="C13" i="10"/>
  <c r="C20" i="10"/>
  <c r="C12" i="10"/>
  <c r="C19" i="10"/>
  <c r="C16" i="10"/>
  <c r="C14" i="10"/>
  <c r="C35" i="10"/>
  <c r="C17" i="10"/>
  <c r="O15" i="10"/>
  <c r="O35" i="10"/>
  <c r="O13" i="10"/>
  <c r="O20" i="10"/>
  <c r="O12" i="10"/>
  <c r="O19" i="10"/>
  <c r="O17" i="10"/>
  <c r="O16" i="10"/>
  <c r="O14" i="10"/>
  <c r="P15" i="10"/>
  <c r="P13" i="10"/>
  <c r="P20" i="10"/>
  <c r="P12" i="10"/>
  <c r="P19" i="10"/>
  <c r="P17" i="10"/>
  <c r="P16" i="10"/>
  <c r="P14" i="10"/>
  <c r="P35" i="10"/>
  <c r="J19" i="10"/>
  <c r="J16" i="10"/>
  <c r="J15" i="10"/>
  <c r="J14" i="10"/>
  <c r="J35" i="10"/>
  <c r="J13" i="10"/>
  <c r="J17" i="10"/>
  <c r="J20" i="10"/>
  <c r="J12" i="10"/>
  <c r="E35" i="10"/>
  <c r="E16" i="10"/>
  <c r="E12" i="10"/>
  <c r="E14" i="10"/>
  <c r="E19" i="10"/>
  <c r="E17" i="10"/>
  <c r="E15" i="10"/>
  <c r="E13" i="10"/>
  <c r="E20" i="10"/>
  <c r="Q35" i="10"/>
  <c r="Q16" i="10"/>
  <c r="Q12" i="10"/>
  <c r="Q14" i="10"/>
  <c r="Q20" i="10"/>
  <c r="Q19" i="10"/>
  <c r="Q17" i="10"/>
  <c r="Q15" i="10"/>
  <c r="Q13" i="10"/>
  <c r="D14" i="10"/>
  <c r="D20" i="10"/>
  <c r="D12" i="10"/>
  <c r="D19" i="10"/>
  <c r="D17" i="10"/>
  <c r="D13" i="10"/>
  <c r="D35" i="10"/>
  <c r="D15" i="10"/>
  <c r="D16" i="10"/>
  <c r="F35" i="10"/>
  <c r="F13" i="10"/>
  <c r="F19" i="10"/>
  <c r="F17" i="10"/>
  <c r="F16" i="10"/>
  <c r="F12" i="10"/>
  <c r="F14" i="10"/>
  <c r="F15" i="10"/>
  <c r="F20" i="10"/>
  <c r="G35" i="10"/>
  <c r="G13" i="10"/>
  <c r="G20" i="10"/>
  <c r="G17" i="10"/>
  <c r="G16" i="10"/>
  <c r="G15" i="10"/>
  <c r="G14" i="10"/>
  <c r="G12" i="10"/>
  <c r="G19" i="10"/>
  <c r="H20" i="10"/>
  <c r="H15" i="10"/>
  <c r="H12" i="10"/>
  <c r="H17" i="10"/>
  <c r="H16" i="10"/>
  <c r="H19" i="10"/>
  <c r="H35" i="10"/>
  <c r="H13" i="10"/>
  <c r="H14" i="10"/>
  <c r="L17" i="10"/>
  <c r="L15" i="10"/>
  <c r="L14" i="10"/>
  <c r="L35" i="10"/>
  <c r="L13" i="10"/>
  <c r="L19" i="10"/>
  <c r="L20" i="10"/>
  <c r="L12" i="10"/>
  <c r="L16" i="10"/>
  <c r="I20" i="10"/>
  <c r="I12" i="10"/>
  <c r="I19" i="10"/>
  <c r="I16" i="10"/>
  <c r="I15" i="10"/>
  <c r="I14" i="10"/>
  <c r="I35" i="10"/>
  <c r="I13" i="10"/>
  <c r="I17" i="10"/>
  <c r="P23" i="10"/>
  <c r="D23" i="10"/>
  <c r="K23" i="10"/>
  <c r="I23" i="10"/>
  <c r="C23" i="10"/>
  <c r="Q23" i="10"/>
  <c r="L23" i="10"/>
  <c r="N10" i="10"/>
  <c r="N11" i="10" s="1"/>
  <c r="N23" i="10"/>
  <c r="P10" i="10"/>
  <c r="P11" i="10" s="1"/>
  <c r="E10" i="10"/>
  <c r="E11" i="10" s="1"/>
  <c r="F10" i="10"/>
  <c r="F11" i="10" s="1"/>
  <c r="F23" i="10"/>
  <c r="G10" i="10"/>
  <c r="G11" i="10" s="1"/>
  <c r="G23" i="10"/>
  <c r="H10" i="10"/>
  <c r="H11" i="10" s="1"/>
  <c r="H23" i="10"/>
  <c r="I10" i="10"/>
  <c r="I11" i="10" s="1"/>
  <c r="J10" i="10"/>
  <c r="J11" i="10" s="1"/>
  <c r="J23" i="10"/>
  <c r="E23" i="10"/>
  <c r="M10" i="10"/>
  <c r="M11" i="10" s="1"/>
  <c r="M23" i="10"/>
  <c r="D10" i="10"/>
  <c r="D11" i="10" s="1"/>
  <c r="K10" i="10"/>
  <c r="K11" i="10" s="1"/>
  <c r="L10" i="10"/>
  <c r="L11" i="10" s="1"/>
  <c r="C10" i="10"/>
  <c r="C11" i="10" s="1"/>
  <c r="O10" i="10"/>
  <c r="O11" i="10" s="1"/>
  <c r="O23" i="10"/>
  <c r="Q10" i="10"/>
  <c r="Q11" i="10" s="1"/>
  <c r="A2" i="1"/>
  <c r="Q8" i="9"/>
  <c r="P8" i="9"/>
  <c r="O8" i="9"/>
  <c r="N8" i="9"/>
  <c r="M8" i="9"/>
  <c r="L8" i="9"/>
  <c r="K8" i="9"/>
  <c r="J8" i="9"/>
  <c r="I8" i="9"/>
  <c r="H8" i="9"/>
  <c r="G8" i="9"/>
  <c r="F8" i="9"/>
  <c r="E8" i="9"/>
  <c r="D8" i="9"/>
  <c r="C8" i="9"/>
  <c r="B7" i="9"/>
  <c r="B6" i="9"/>
  <c r="Q8" i="8"/>
  <c r="P8" i="8"/>
  <c r="O8" i="8"/>
  <c r="N8" i="8"/>
  <c r="M8" i="8"/>
  <c r="L8" i="8"/>
  <c r="K8" i="8"/>
  <c r="J8" i="8"/>
  <c r="I8" i="8"/>
  <c r="H8" i="8"/>
  <c r="G8" i="8"/>
  <c r="F8" i="8"/>
  <c r="E8" i="8"/>
  <c r="D8" i="8"/>
  <c r="C8" i="8"/>
  <c r="B7" i="8"/>
  <c r="B6" i="8"/>
  <c r="B6" i="6"/>
  <c r="B7" i="6"/>
  <c r="D8" i="6"/>
  <c r="E8" i="6"/>
  <c r="F8" i="6"/>
  <c r="G8" i="6"/>
  <c r="H8" i="6"/>
  <c r="I8" i="6"/>
  <c r="J8" i="6"/>
  <c r="K8" i="6"/>
  <c r="L8" i="6"/>
  <c r="M8" i="6"/>
  <c r="N8" i="6"/>
  <c r="O8" i="6"/>
  <c r="P8" i="6"/>
  <c r="Q8" i="6"/>
  <c r="C8" i="6"/>
  <c r="C9" i="1"/>
  <c r="C10" i="1"/>
  <c r="C11" i="1"/>
  <c r="C12" i="1"/>
  <c r="C13" i="1"/>
  <c r="C14" i="1"/>
  <c r="T18" i="1"/>
  <c r="S18" i="1"/>
  <c r="R18" i="1"/>
  <c r="Q18" i="1"/>
  <c r="P18" i="1"/>
  <c r="O18" i="1"/>
  <c r="J29" i="10" l="1"/>
  <c r="K29" i="10"/>
  <c r="I29" i="10"/>
  <c r="L29" i="10"/>
  <c r="E29" i="10"/>
  <c r="C29" i="10"/>
  <c r="F29" i="10"/>
  <c r="D29" i="10"/>
  <c r="G29" i="10"/>
  <c r="N29" i="10"/>
  <c r="O29" i="10"/>
  <c r="O28" i="10" s="1"/>
  <c r="H29" i="10"/>
  <c r="M29" i="10"/>
  <c r="M28" i="10" s="1"/>
  <c r="Q29" i="10"/>
  <c r="P29" i="10"/>
  <c r="F15" i="9"/>
  <c r="F35" i="9"/>
  <c r="F20" i="9"/>
  <c r="F12" i="9"/>
  <c r="F19" i="9"/>
  <c r="F13" i="9"/>
  <c r="F16" i="9"/>
  <c r="F14" i="9"/>
  <c r="F17" i="9"/>
  <c r="M14" i="8"/>
  <c r="M13" i="8"/>
  <c r="M17" i="8"/>
  <c r="M12" i="8"/>
  <c r="M19" i="8"/>
  <c r="M16" i="8"/>
  <c r="M20" i="8"/>
  <c r="M15" i="8"/>
  <c r="M35" i="8"/>
  <c r="C20" i="8"/>
  <c r="C17" i="8"/>
  <c r="C16" i="8"/>
  <c r="C15" i="8"/>
  <c r="C14" i="8"/>
  <c r="C12" i="8"/>
  <c r="C35" i="8"/>
  <c r="C19" i="8"/>
  <c r="C13" i="8"/>
  <c r="G17" i="6"/>
  <c r="G13" i="6"/>
  <c r="G35" i="6"/>
  <c r="G16" i="6"/>
  <c r="G20" i="6"/>
  <c r="G15" i="6"/>
  <c r="G12" i="6"/>
  <c r="G14" i="6"/>
  <c r="G19" i="6"/>
  <c r="C12" i="6"/>
  <c r="C35" i="6"/>
  <c r="E19" i="6"/>
  <c r="E14" i="6"/>
  <c r="E35" i="6"/>
  <c r="E16" i="6"/>
  <c r="E13" i="6"/>
  <c r="E15" i="6"/>
  <c r="E20" i="6"/>
  <c r="E17" i="6"/>
  <c r="E12" i="6"/>
  <c r="O12" i="6"/>
  <c r="O35" i="6"/>
  <c r="O16" i="6"/>
  <c r="O20" i="6"/>
  <c r="O17" i="6"/>
  <c r="O15" i="6"/>
  <c r="O19" i="6"/>
  <c r="O13" i="6"/>
  <c r="O14" i="6"/>
  <c r="H35" i="9"/>
  <c r="H16" i="9"/>
  <c r="H12" i="9"/>
  <c r="H14" i="9"/>
  <c r="H20" i="9"/>
  <c r="H19" i="9"/>
  <c r="H17" i="9"/>
  <c r="H15" i="9"/>
  <c r="H13" i="9"/>
  <c r="D20" i="8"/>
  <c r="D19" i="8"/>
  <c r="D13" i="8"/>
  <c r="D12" i="8"/>
  <c r="D15" i="8"/>
  <c r="D17" i="8"/>
  <c r="D35" i="8"/>
  <c r="D16" i="8"/>
  <c r="D14" i="8"/>
  <c r="G17" i="8"/>
  <c r="G12" i="8"/>
  <c r="G15" i="8"/>
  <c r="G35" i="8"/>
  <c r="G14" i="8"/>
  <c r="G13" i="8"/>
  <c r="G19" i="8"/>
  <c r="G16" i="8"/>
  <c r="G20" i="8"/>
  <c r="F12" i="6"/>
  <c r="F20" i="6"/>
  <c r="F15" i="6"/>
  <c r="F19" i="6"/>
  <c r="F13" i="6"/>
  <c r="F16" i="6"/>
  <c r="F14" i="6"/>
  <c r="F35" i="6"/>
  <c r="F17" i="6"/>
  <c r="H17" i="8"/>
  <c r="H12" i="8"/>
  <c r="H16" i="8"/>
  <c r="H35" i="8"/>
  <c r="H14" i="8"/>
  <c r="H20" i="8"/>
  <c r="H15" i="8"/>
  <c r="H13" i="8"/>
  <c r="H19" i="8"/>
  <c r="O19" i="9"/>
  <c r="O17" i="9"/>
  <c r="O14" i="9"/>
  <c r="O13" i="9"/>
  <c r="O35" i="9"/>
  <c r="O20" i="9"/>
  <c r="O16" i="9"/>
  <c r="O12" i="9"/>
  <c r="O15" i="9"/>
  <c r="Q19" i="6"/>
  <c r="Q14" i="6"/>
  <c r="Q35" i="6"/>
  <c r="Q16" i="6"/>
  <c r="Q17" i="6"/>
  <c r="Q12" i="6"/>
  <c r="Q15" i="6"/>
  <c r="Q20" i="6"/>
  <c r="Q13" i="6"/>
  <c r="I16" i="8"/>
  <c r="I20" i="8"/>
  <c r="I13" i="8"/>
  <c r="I17" i="8"/>
  <c r="I12" i="8"/>
  <c r="I15" i="8"/>
  <c r="I35" i="8"/>
  <c r="I19" i="8"/>
  <c r="I14" i="8"/>
  <c r="D16" i="9"/>
  <c r="D35" i="9"/>
  <c r="D13" i="9"/>
  <c r="D20" i="9"/>
  <c r="D12" i="9"/>
  <c r="D17" i="9"/>
  <c r="D15" i="9"/>
  <c r="D19" i="9"/>
  <c r="D14" i="9"/>
  <c r="P17" i="9"/>
  <c r="P15" i="9"/>
  <c r="P14" i="9"/>
  <c r="P35" i="9"/>
  <c r="P13" i="9"/>
  <c r="P16" i="9"/>
  <c r="P19" i="9"/>
  <c r="P12" i="9"/>
  <c r="P20" i="9"/>
  <c r="P19" i="6"/>
  <c r="P14" i="6"/>
  <c r="P17" i="6"/>
  <c r="P13" i="6"/>
  <c r="P12" i="6"/>
  <c r="P35" i="6"/>
  <c r="P16" i="6"/>
  <c r="P15" i="6"/>
  <c r="P20" i="6"/>
  <c r="D19" i="6"/>
  <c r="D14" i="6"/>
  <c r="D17" i="6"/>
  <c r="D13" i="6"/>
  <c r="D12" i="6"/>
  <c r="D35" i="6"/>
  <c r="D16" i="6"/>
  <c r="D20" i="6"/>
  <c r="D15" i="6"/>
  <c r="J15" i="8"/>
  <c r="J35" i="8"/>
  <c r="J14" i="8"/>
  <c r="J20" i="8"/>
  <c r="J13" i="8"/>
  <c r="J19" i="8"/>
  <c r="J16" i="8"/>
  <c r="J17" i="8"/>
  <c r="J12" i="8"/>
  <c r="E17" i="9"/>
  <c r="E13" i="9"/>
  <c r="E16" i="9"/>
  <c r="E14" i="9"/>
  <c r="E35" i="9"/>
  <c r="E20" i="9"/>
  <c r="E12" i="9"/>
  <c r="E19" i="9"/>
  <c r="E15" i="9"/>
  <c r="Q17" i="9"/>
  <c r="Q13" i="9"/>
  <c r="Q16" i="9"/>
  <c r="Q35" i="9"/>
  <c r="Q20" i="9"/>
  <c r="Q12" i="9"/>
  <c r="Q14" i="9"/>
  <c r="Q15" i="9"/>
  <c r="Q19" i="9"/>
  <c r="N20" i="8"/>
  <c r="N15" i="8"/>
  <c r="N14" i="8"/>
  <c r="N35" i="8"/>
  <c r="N19" i="8"/>
  <c r="N17" i="8"/>
  <c r="N12" i="8"/>
  <c r="N16" i="8"/>
  <c r="N13" i="8"/>
  <c r="I14" i="9"/>
  <c r="I12" i="9"/>
  <c r="I19" i="9"/>
  <c r="I17" i="9"/>
  <c r="I13" i="9"/>
  <c r="I16" i="9"/>
  <c r="I35" i="9"/>
  <c r="I20" i="9"/>
  <c r="I15" i="9"/>
  <c r="K35" i="6"/>
  <c r="K16" i="6"/>
  <c r="K19" i="6"/>
  <c r="K14" i="6"/>
  <c r="K20" i="6"/>
  <c r="K17" i="6"/>
  <c r="K15" i="6"/>
  <c r="K13" i="6"/>
  <c r="K12" i="6"/>
  <c r="O35" i="8"/>
  <c r="O16" i="8"/>
  <c r="O13" i="8"/>
  <c r="O19" i="8"/>
  <c r="O15" i="8"/>
  <c r="O14" i="8"/>
  <c r="O20" i="8"/>
  <c r="O17" i="8"/>
  <c r="O12" i="8"/>
  <c r="J35" i="9"/>
  <c r="J13" i="9"/>
  <c r="J19" i="9"/>
  <c r="J17" i="9"/>
  <c r="J16" i="9"/>
  <c r="J15" i="9"/>
  <c r="J20" i="9"/>
  <c r="J14" i="9"/>
  <c r="J12" i="9"/>
  <c r="N20" i="6"/>
  <c r="N15" i="6"/>
  <c r="N17" i="6"/>
  <c r="N13" i="6"/>
  <c r="N12" i="6"/>
  <c r="N14" i="6"/>
  <c r="N35" i="6"/>
  <c r="N19" i="6"/>
  <c r="N16" i="6"/>
  <c r="P20" i="8"/>
  <c r="P13" i="8"/>
  <c r="P17" i="8"/>
  <c r="P12" i="8"/>
  <c r="P16" i="8"/>
  <c r="P15" i="8"/>
  <c r="P35" i="8"/>
  <c r="P19" i="8"/>
  <c r="P14" i="8"/>
  <c r="I12" i="6"/>
  <c r="I19" i="6"/>
  <c r="I14" i="6"/>
  <c r="I13" i="6"/>
  <c r="I16" i="6"/>
  <c r="I20" i="6"/>
  <c r="I15" i="6"/>
  <c r="I17" i="6"/>
  <c r="I35" i="6"/>
  <c r="L13" i="6"/>
  <c r="L17" i="6"/>
  <c r="L16" i="6"/>
  <c r="L14" i="6"/>
  <c r="L19" i="6"/>
  <c r="L12" i="6"/>
  <c r="L35" i="6"/>
  <c r="L15" i="6"/>
  <c r="L20" i="6"/>
  <c r="K20" i="9"/>
  <c r="K15" i="9"/>
  <c r="K35" i="9"/>
  <c r="K13" i="9"/>
  <c r="K17" i="9"/>
  <c r="K16" i="9"/>
  <c r="K19" i="9"/>
  <c r="K14" i="9"/>
  <c r="K12" i="9"/>
  <c r="E19" i="8"/>
  <c r="E13" i="8"/>
  <c r="E16" i="8"/>
  <c r="E15" i="8"/>
  <c r="E20" i="8"/>
  <c r="E12" i="8"/>
  <c r="E35" i="8"/>
  <c r="E14" i="8"/>
  <c r="E17" i="8"/>
  <c r="Q19" i="8"/>
  <c r="Q20" i="8"/>
  <c r="Q13" i="8"/>
  <c r="Q15" i="8"/>
  <c r="Q16" i="8"/>
  <c r="Q14" i="8"/>
  <c r="Q17" i="8"/>
  <c r="Q12" i="8"/>
  <c r="Q35" i="8"/>
  <c r="L20" i="9"/>
  <c r="L12" i="9"/>
  <c r="L17" i="9"/>
  <c r="L16" i="9"/>
  <c r="L15" i="9"/>
  <c r="L13" i="9"/>
  <c r="L19" i="9"/>
  <c r="L35" i="9"/>
  <c r="L14" i="9"/>
  <c r="H17" i="6"/>
  <c r="H13" i="6"/>
  <c r="H20" i="6"/>
  <c r="H15" i="6"/>
  <c r="H16" i="6"/>
  <c r="H19" i="6"/>
  <c r="H14" i="6"/>
  <c r="H35" i="6"/>
  <c r="H12" i="6"/>
  <c r="F19" i="8"/>
  <c r="F17" i="8"/>
  <c r="F35" i="8"/>
  <c r="F14" i="8"/>
  <c r="F15" i="8"/>
  <c r="F13" i="8"/>
  <c r="F16" i="8"/>
  <c r="F20" i="8"/>
  <c r="F12" i="8"/>
  <c r="M20" i="9"/>
  <c r="M12" i="9"/>
  <c r="M19" i="9"/>
  <c r="M15" i="9"/>
  <c r="M14" i="9"/>
  <c r="M16" i="9"/>
  <c r="M35" i="9"/>
  <c r="M17" i="9"/>
  <c r="M13" i="9"/>
  <c r="G15" i="9"/>
  <c r="G13" i="9"/>
  <c r="G20" i="9"/>
  <c r="G19" i="9"/>
  <c r="G16" i="9"/>
  <c r="G35" i="9"/>
  <c r="G14" i="9"/>
  <c r="G12" i="9"/>
  <c r="G17" i="9"/>
  <c r="M20" i="6"/>
  <c r="M15" i="6"/>
  <c r="M19" i="6"/>
  <c r="M14" i="6"/>
  <c r="M17" i="6"/>
  <c r="M13" i="6"/>
  <c r="M12" i="6"/>
  <c r="M35" i="6"/>
  <c r="M16" i="6"/>
  <c r="K35" i="8"/>
  <c r="K16" i="8"/>
  <c r="K15" i="8"/>
  <c r="K13" i="8"/>
  <c r="K19" i="8"/>
  <c r="K14" i="8"/>
  <c r="K17" i="8"/>
  <c r="K20" i="8"/>
  <c r="K12" i="8"/>
  <c r="L20" i="8"/>
  <c r="L19" i="8"/>
  <c r="L17" i="8"/>
  <c r="L12" i="8"/>
  <c r="L15" i="8"/>
  <c r="L35" i="8"/>
  <c r="L13" i="8"/>
  <c r="L16" i="8"/>
  <c r="L14" i="8"/>
  <c r="J12" i="6"/>
  <c r="J35" i="6"/>
  <c r="J16" i="6"/>
  <c r="J20" i="6"/>
  <c r="J15" i="6"/>
  <c r="J19" i="6"/>
  <c r="J14" i="6"/>
  <c r="J17" i="6"/>
  <c r="J13" i="6"/>
  <c r="N19" i="9"/>
  <c r="N14" i="9"/>
  <c r="N16" i="9"/>
  <c r="N15" i="9"/>
  <c r="N35" i="9"/>
  <c r="N13" i="9"/>
  <c r="N12" i="9"/>
  <c r="N20" i="9"/>
  <c r="N17" i="9"/>
  <c r="C17" i="9"/>
  <c r="C15" i="9"/>
  <c r="C14" i="9"/>
  <c r="C35" i="9"/>
  <c r="C13" i="9"/>
  <c r="C20" i="9"/>
  <c r="C16" i="9"/>
  <c r="C12" i="9"/>
  <c r="C19" i="9"/>
  <c r="M33" i="10"/>
  <c r="M32" i="10" s="1"/>
  <c r="P28" i="10"/>
  <c r="M18" i="10"/>
  <c r="P31" i="10"/>
  <c r="P30" i="10" s="1"/>
  <c r="M41" i="10"/>
  <c r="M40" i="10" s="1"/>
  <c r="M22" i="10"/>
  <c r="M31" i="10"/>
  <c r="M30" i="10" s="1"/>
  <c r="O39" i="10"/>
  <c r="O38" i="10" s="1"/>
  <c r="P21" i="10"/>
  <c r="P39" i="10"/>
  <c r="P38" i="10" s="1"/>
  <c r="P33" i="10"/>
  <c r="P32" i="10" s="1"/>
  <c r="P22" i="10"/>
  <c r="P18" i="10"/>
  <c r="P41" i="10"/>
  <c r="P40" i="10" s="1"/>
  <c r="O21" i="10"/>
  <c r="N21" i="10"/>
  <c r="O33" i="10"/>
  <c r="O32" i="10" s="1"/>
  <c r="O22" i="10"/>
  <c r="O18" i="10"/>
  <c r="O41" i="10"/>
  <c r="O40" i="10" s="1"/>
  <c r="O31" i="10"/>
  <c r="O30" i="10" s="1"/>
  <c r="N18" i="10"/>
  <c r="N31" i="10"/>
  <c r="N30" i="10" s="1"/>
  <c r="N28" i="10"/>
  <c r="N41" i="10"/>
  <c r="N40" i="10" s="1"/>
  <c r="N22" i="10"/>
  <c r="N33" i="10"/>
  <c r="N32" i="10" s="1"/>
  <c r="N39" i="10"/>
  <c r="N38" i="10" s="1"/>
  <c r="L28" i="10"/>
  <c r="L22" i="10"/>
  <c r="M39" i="10"/>
  <c r="M38" i="10" s="1"/>
  <c r="M21" i="10"/>
  <c r="L18" i="10"/>
  <c r="L31" i="10"/>
  <c r="L30" i="10" s="1"/>
  <c r="L39" i="10"/>
  <c r="L38" i="10" s="1"/>
  <c r="L33" i="10"/>
  <c r="L32" i="10" s="1"/>
  <c r="L41" i="10"/>
  <c r="L40" i="10" s="1"/>
  <c r="L21" i="10"/>
  <c r="J34" i="10"/>
  <c r="K33" i="10"/>
  <c r="K32" i="10" s="1"/>
  <c r="K28" i="10"/>
  <c r="K31" i="10"/>
  <c r="K30" i="10" s="1"/>
  <c r="K22" i="10"/>
  <c r="K21" i="10"/>
  <c r="K41" i="10"/>
  <c r="K40" i="10" s="1"/>
  <c r="K39" i="10"/>
  <c r="K38" i="10" s="1"/>
  <c r="K18" i="10"/>
  <c r="I34" i="10"/>
  <c r="H34" i="10"/>
  <c r="G34" i="10"/>
  <c r="F34" i="10"/>
  <c r="E34" i="10"/>
  <c r="D34" i="10"/>
  <c r="C34" i="10"/>
  <c r="B34" i="8"/>
  <c r="B28" i="8"/>
  <c r="B40" i="8"/>
  <c r="B38" i="8"/>
  <c r="P34" i="10"/>
  <c r="O34" i="10"/>
  <c r="K34" i="10"/>
  <c r="Q34" i="10"/>
  <c r="N34" i="10"/>
  <c r="B38" i="9"/>
  <c r="B40" i="9"/>
  <c r="M34" i="10"/>
  <c r="B40" i="6"/>
  <c r="B40" i="10"/>
  <c r="B38" i="6"/>
  <c r="B38" i="10"/>
  <c r="B34" i="6"/>
  <c r="B34" i="10"/>
  <c r="B32" i="6"/>
  <c r="B32" i="10"/>
  <c r="B28" i="9"/>
  <c r="B30" i="6"/>
  <c r="B30" i="10"/>
  <c r="B30" i="9"/>
  <c r="B28" i="6"/>
  <c r="B28" i="10"/>
  <c r="B30" i="8"/>
  <c r="B32" i="9"/>
  <c r="B32" i="8"/>
  <c r="B34" i="9"/>
  <c r="L34" i="10"/>
  <c r="C10" i="8"/>
  <c r="C11" i="8" s="1"/>
  <c r="C23" i="8"/>
  <c r="P10" i="8"/>
  <c r="P11" i="8" s="1"/>
  <c r="P23" i="8"/>
  <c r="F10" i="8"/>
  <c r="F11" i="8" s="1"/>
  <c r="F23" i="8"/>
  <c r="J10" i="9"/>
  <c r="J11" i="9" s="1"/>
  <c r="J23" i="9"/>
  <c r="G10" i="8"/>
  <c r="G11" i="8" s="1"/>
  <c r="G23" i="8"/>
  <c r="K10" i="9"/>
  <c r="K11" i="9" s="1"/>
  <c r="K23" i="9"/>
  <c r="Q10" i="6"/>
  <c r="Q11" i="6" s="1"/>
  <c r="Q23" i="6"/>
  <c r="E10" i="6"/>
  <c r="E11" i="6" s="1"/>
  <c r="E23" i="6"/>
  <c r="H10" i="8"/>
  <c r="H11" i="8" s="1"/>
  <c r="H23" i="8"/>
  <c r="P10" i="6"/>
  <c r="P11" i="6" s="1"/>
  <c r="P23" i="6"/>
  <c r="D10" i="6"/>
  <c r="D11" i="6" s="1"/>
  <c r="D23" i="6"/>
  <c r="I10" i="8"/>
  <c r="I11" i="8" s="1"/>
  <c r="I23" i="8"/>
  <c r="M10" i="9"/>
  <c r="M11" i="9" s="1"/>
  <c r="M23" i="9"/>
  <c r="J10" i="8"/>
  <c r="J11" i="8" s="1"/>
  <c r="J23" i="8"/>
  <c r="N10" i="9"/>
  <c r="N11" i="9" s="1"/>
  <c r="N23" i="9"/>
  <c r="N10" i="6"/>
  <c r="N11" i="6" s="1"/>
  <c r="N23" i="6"/>
  <c r="O10" i="6"/>
  <c r="O11" i="6" s="1"/>
  <c r="O23" i="6"/>
  <c r="K10" i="8"/>
  <c r="K11" i="8" s="1"/>
  <c r="K23" i="8"/>
  <c r="C10" i="9"/>
  <c r="C11" i="9" s="1"/>
  <c r="C23" i="9"/>
  <c r="O10" i="9"/>
  <c r="O11" i="9" s="1"/>
  <c r="O23" i="9"/>
  <c r="M10" i="6"/>
  <c r="M11" i="6" s="1"/>
  <c r="M23" i="6"/>
  <c r="L10" i="8"/>
  <c r="L11" i="8" s="1"/>
  <c r="L23" i="8"/>
  <c r="D10" i="9"/>
  <c r="D11" i="9" s="1"/>
  <c r="D23" i="9"/>
  <c r="P10" i="9"/>
  <c r="P11" i="9" s="1"/>
  <c r="P23" i="9"/>
  <c r="L10" i="6"/>
  <c r="L11" i="6" s="1"/>
  <c r="L23" i="6"/>
  <c r="E10" i="9"/>
  <c r="E11" i="9" s="1"/>
  <c r="E23" i="9"/>
  <c r="Q10" i="9"/>
  <c r="Q11" i="9" s="1"/>
  <c r="Q23" i="9"/>
  <c r="M10" i="8"/>
  <c r="M11" i="8" s="1"/>
  <c r="M23" i="8"/>
  <c r="K10" i="6"/>
  <c r="K11" i="6" s="1"/>
  <c r="K23" i="6"/>
  <c r="N10" i="8"/>
  <c r="N11" i="8" s="1"/>
  <c r="N23" i="8"/>
  <c r="F10" i="9"/>
  <c r="F11" i="9" s="1"/>
  <c r="F23" i="9"/>
  <c r="J10" i="6"/>
  <c r="J11" i="6" s="1"/>
  <c r="J23" i="6"/>
  <c r="O10" i="8"/>
  <c r="O11" i="8" s="1"/>
  <c r="O23" i="8"/>
  <c r="G10" i="9"/>
  <c r="G11" i="9" s="1"/>
  <c r="G23" i="9"/>
  <c r="H10" i="9"/>
  <c r="H11" i="9" s="1"/>
  <c r="H23" i="9"/>
  <c r="D10" i="8"/>
  <c r="D11" i="8" s="1"/>
  <c r="D23" i="8"/>
  <c r="H10" i="6"/>
  <c r="H11" i="6" s="1"/>
  <c r="H23" i="6"/>
  <c r="E10" i="8"/>
  <c r="E11" i="8" s="1"/>
  <c r="E23" i="8"/>
  <c r="Q10" i="8"/>
  <c r="Q11" i="8" s="1"/>
  <c r="Q23" i="8"/>
  <c r="I10" i="9"/>
  <c r="I11" i="9" s="1"/>
  <c r="I23" i="9"/>
  <c r="F10" i="6"/>
  <c r="F11" i="6" s="1"/>
  <c r="F23" i="6"/>
  <c r="I10" i="6"/>
  <c r="I11" i="6" s="1"/>
  <c r="I23" i="6"/>
  <c r="G10" i="6"/>
  <c r="G11" i="6" s="1"/>
  <c r="G23" i="6"/>
  <c r="C10" i="6"/>
  <c r="C11" i="6" s="1"/>
  <c r="C23" i="6"/>
  <c r="L10" i="9"/>
  <c r="L11" i="9" s="1"/>
  <c r="L23" i="9"/>
  <c r="P29" i="8" l="1"/>
  <c r="N29" i="9"/>
  <c r="L29" i="8"/>
  <c r="O29" i="8"/>
  <c r="I29" i="8"/>
  <c r="L29" i="6"/>
  <c r="N29" i="8"/>
  <c r="Q29" i="9"/>
  <c r="F29" i="6"/>
  <c r="Q29" i="6"/>
  <c r="H29" i="6"/>
  <c r="H29" i="8"/>
  <c r="N29" i="6"/>
  <c r="J29" i="6"/>
  <c r="K29" i="6"/>
  <c r="P29" i="6"/>
  <c r="F29" i="9"/>
  <c r="K29" i="8"/>
  <c r="Q29" i="8"/>
  <c r="J29" i="9"/>
  <c r="K29" i="9"/>
  <c r="D29" i="8"/>
  <c r="F29" i="8"/>
  <c r="D29" i="9"/>
  <c r="I29" i="6"/>
  <c r="O29" i="6"/>
  <c r="G29" i="9"/>
  <c r="L29" i="9"/>
  <c r="H29" i="9"/>
  <c r="G29" i="8"/>
  <c r="M29" i="9"/>
  <c r="E29" i="9"/>
  <c r="D29" i="6"/>
  <c r="M29" i="6"/>
  <c r="P29" i="9"/>
  <c r="I29" i="9"/>
  <c r="G29" i="6"/>
  <c r="E29" i="8"/>
  <c r="E29" i="6"/>
  <c r="C29" i="8"/>
  <c r="M29" i="8"/>
  <c r="C29" i="9"/>
  <c r="J29" i="8"/>
  <c r="O29" i="9"/>
  <c r="N42" i="10"/>
  <c r="P42" i="10"/>
  <c r="O42" i="10"/>
  <c r="M42" i="10"/>
  <c r="L42" i="10"/>
  <c r="K42" i="10"/>
  <c r="O34" i="9"/>
  <c r="M34" i="6"/>
  <c r="J34" i="8"/>
  <c r="I34" i="8"/>
  <c r="F34" i="8"/>
  <c r="P34" i="6"/>
  <c r="Q34" i="6"/>
  <c r="O34" i="8"/>
  <c r="J34" i="9"/>
  <c r="D34" i="6"/>
  <c r="G34" i="9"/>
  <c r="L34" i="6"/>
  <c r="F34" i="6"/>
  <c r="K34" i="6"/>
  <c r="C34" i="6"/>
  <c r="N34" i="6"/>
  <c r="K34" i="8"/>
  <c r="D34" i="9"/>
  <c r="J34" i="6"/>
  <c r="L34" i="8"/>
  <c r="N34" i="9"/>
  <c r="L34" i="9"/>
  <c r="I34" i="6"/>
  <c r="H34" i="9"/>
  <c r="Q34" i="8"/>
  <c r="C34" i="8"/>
  <c r="I34" i="9"/>
  <c r="G34" i="6"/>
  <c r="E34" i="6"/>
  <c r="H34" i="8"/>
  <c r="D34" i="8"/>
  <c r="H34" i="6"/>
  <c r="E34" i="8"/>
  <c r="N34" i="8"/>
  <c r="M34" i="8"/>
  <c r="K34" i="9"/>
  <c r="G34" i="8"/>
  <c r="F34" i="9"/>
  <c r="E34" i="9"/>
  <c r="Q34" i="9"/>
  <c r="M34" i="9"/>
  <c r="P34" i="9"/>
  <c r="C34" i="9"/>
  <c r="O34" i="6"/>
  <c r="P34" i="8"/>
  <c r="V18" i="1" l="1"/>
  <c r="C14" i="6" s="1"/>
  <c r="V17" i="1"/>
  <c r="W17" i="1"/>
  <c r="X17" i="1"/>
  <c r="Y17" i="1"/>
  <c r="Z17" i="1"/>
  <c r="AA17" i="1"/>
  <c r="W18" i="1"/>
  <c r="C15" i="6" s="1"/>
  <c r="X18" i="1"/>
  <c r="C16" i="6" s="1"/>
  <c r="Y18" i="1"/>
  <c r="C17" i="6" s="1"/>
  <c r="Z18" i="1"/>
  <c r="AA18" i="1"/>
  <c r="C20" i="6" s="1"/>
  <c r="U18" i="1"/>
  <c r="U17" i="1"/>
  <c r="C13" i="6" l="1"/>
  <c r="C29" i="6" s="1"/>
  <c r="AB18" i="1"/>
  <c r="C19" i="6"/>
  <c r="AD18" i="1"/>
  <c r="Q28" i="10"/>
  <c r="Q31" i="10"/>
  <c r="Q30" i="10" s="1"/>
  <c r="L22" i="9"/>
  <c r="J28" i="10"/>
  <c r="I33" i="10"/>
  <c r="I32" i="10" s="1"/>
  <c r="I21" i="10"/>
  <c r="I39" i="10"/>
  <c r="I38" i="10" s="1"/>
  <c r="I31" i="10"/>
  <c r="I30" i="10" s="1"/>
  <c r="I28" i="10"/>
  <c r="I41" i="10"/>
  <c r="I40" i="10" s="1"/>
  <c r="I22" i="10"/>
  <c r="H31" i="10"/>
  <c r="H30" i="10" s="1"/>
  <c r="F18" i="10"/>
  <c r="F28" i="10"/>
  <c r="F21" i="10"/>
  <c r="F22" i="10"/>
  <c r="F41" i="10"/>
  <c r="F40" i="10" s="1"/>
  <c r="F33" i="10"/>
  <c r="F32" i="10" s="1"/>
  <c r="F39" i="10"/>
  <c r="F38" i="10" s="1"/>
  <c r="F31" i="10"/>
  <c r="F30" i="10" s="1"/>
  <c r="D28" i="10"/>
  <c r="D31" i="10"/>
  <c r="D30" i="10" s="1"/>
  <c r="P31" i="9"/>
  <c r="P30" i="9" s="1"/>
  <c r="P33" i="9"/>
  <c r="P32" i="9" s="1"/>
  <c r="P21" i="9"/>
  <c r="P22" i="9"/>
  <c r="P41" i="9"/>
  <c r="P40" i="9" s="1"/>
  <c r="P39" i="9"/>
  <c r="P38" i="9" s="1"/>
  <c r="P28" i="9"/>
  <c r="L33" i="9"/>
  <c r="L32" i="9" s="1"/>
  <c r="K21" i="9"/>
  <c r="K39" i="9"/>
  <c r="K38" i="9" s="1"/>
  <c r="J31" i="9"/>
  <c r="J30" i="9" s="1"/>
  <c r="J28" i="9"/>
  <c r="G28" i="9"/>
  <c r="D33" i="9"/>
  <c r="D32" i="9" s="1"/>
  <c r="D28" i="9"/>
  <c r="Q33" i="10"/>
  <c r="Q32" i="10" s="1"/>
  <c r="Q21" i="10"/>
  <c r="Q22" i="10"/>
  <c r="Q41" i="10"/>
  <c r="Q40" i="10" s="1"/>
  <c r="Q39" i="10"/>
  <c r="Q38" i="10" s="1"/>
  <c r="Q18" i="10"/>
  <c r="L28" i="6"/>
  <c r="AF18" i="1"/>
  <c r="AE18" i="1"/>
  <c r="AG18" i="1"/>
  <c r="AC18" i="1"/>
  <c r="J18" i="9" l="1"/>
  <c r="E39" i="9"/>
  <c r="E38" i="9" s="1"/>
  <c r="J39" i="9"/>
  <c r="J38" i="9" s="1"/>
  <c r="D31" i="9"/>
  <c r="D30" i="9" s="1"/>
  <c r="O21" i="9"/>
  <c r="L21" i="9"/>
  <c r="L39" i="9"/>
  <c r="L38" i="9" s="1"/>
  <c r="L28" i="9"/>
  <c r="O28" i="9"/>
  <c r="O39" i="9"/>
  <c r="O38" i="9" s="1"/>
  <c r="J21" i="9"/>
  <c r="J33" i="9"/>
  <c r="J32" i="9" s="1"/>
  <c r="J41" i="9"/>
  <c r="J40" i="9" s="1"/>
  <c r="E21" i="9"/>
  <c r="J22" i="9"/>
  <c r="O22" i="9"/>
  <c r="G18" i="9"/>
  <c r="P28" i="8"/>
  <c r="P18" i="8"/>
  <c r="O41" i="9"/>
  <c r="O40" i="9" s="1"/>
  <c r="G31" i="9"/>
  <c r="G30" i="9" s="1"/>
  <c r="E18" i="9"/>
  <c r="G21" i="9"/>
  <c r="E28" i="9"/>
  <c r="F28" i="9"/>
  <c r="O39" i="8"/>
  <c r="O38" i="8" s="1"/>
  <c r="O33" i="8"/>
  <c r="O32" i="8" s="1"/>
  <c r="P41" i="8"/>
  <c r="P40" i="8" s="1"/>
  <c r="Q33" i="8"/>
  <c r="Q32" i="8" s="1"/>
  <c r="E33" i="9"/>
  <c r="E32" i="9" s="1"/>
  <c r="P31" i="8"/>
  <c r="P30" i="8" s="1"/>
  <c r="K22" i="9"/>
  <c r="K33" i="9"/>
  <c r="K32" i="9" s="1"/>
  <c r="L31" i="9"/>
  <c r="L30" i="9" s="1"/>
  <c r="M33" i="9"/>
  <c r="M32" i="9" s="1"/>
  <c r="G28" i="10"/>
  <c r="M41" i="9"/>
  <c r="M40" i="9" s="1"/>
  <c r="O31" i="9"/>
  <c r="O30" i="9" s="1"/>
  <c r="O18" i="9"/>
  <c r="K41" i="9"/>
  <c r="K40" i="9" s="1"/>
  <c r="O33" i="9"/>
  <c r="O32" i="9" s="1"/>
  <c r="L41" i="9"/>
  <c r="L40" i="9" s="1"/>
  <c r="K31" i="9"/>
  <c r="K30" i="9" s="1"/>
  <c r="G33" i="9"/>
  <c r="G32" i="9" s="1"/>
  <c r="F21" i="9"/>
  <c r="G39" i="9"/>
  <c r="G38" i="9" s="1"/>
  <c r="F33" i="9"/>
  <c r="F32" i="9" s="1"/>
  <c r="M39" i="9"/>
  <c r="M38" i="9" s="1"/>
  <c r="F39" i="9"/>
  <c r="F38" i="9" s="1"/>
  <c r="I31" i="9"/>
  <c r="I30" i="9" s="1"/>
  <c r="F41" i="9"/>
  <c r="F40" i="9" s="1"/>
  <c r="F22" i="9"/>
  <c r="K28" i="9"/>
  <c r="E31" i="9"/>
  <c r="E30" i="9" s="1"/>
  <c r="G41" i="9"/>
  <c r="G40" i="9" s="1"/>
  <c r="G22" i="9"/>
  <c r="E41" i="9"/>
  <c r="E40" i="9" s="1"/>
  <c r="E22" i="9"/>
  <c r="D22" i="9"/>
  <c r="D41" i="9"/>
  <c r="D40" i="9" s="1"/>
  <c r="D18" i="9"/>
  <c r="F18" i="9"/>
  <c r="P39" i="8"/>
  <c r="P38" i="8" s="1"/>
  <c r="P21" i="8"/>
  <c r="F31" i="9"/>
  <c r="F30" i="9" s="1"/>
  <c r="P22" i="8"/>
  <c r="O18" i="8"/>
  <c r="O21" i="8"/>
  <c r="O31" i="8"/>
  <c r="O30" i="8" s="1"/>
  <c r="O41" i="8"/>
  <c r="O40" i="8" s="1"/>
  <c r="O22" i="8"/>
  <c r="O28" i="6"/>
  <c r="O28" i="8"/>
  <c r="Q31" i="8"/>
  <c r="Q30" i="8" s="1"/>
  <c r="H28" i="6"/>
  <c r="P33" i="8"/>
  <c r="P32" i="8" s="1"/>
  <c r="G31" i="6"/>
  <c r="G30" i="6" s="1"/>
  <c r="G28" i="6"/>
  <c r="F31" i="6"/>
  <c r="F30" i="6" s="1"/>
  <c r="J41" i="10"/>
  <c r="J40" i="10" s="1"/>
  <c r="J39" i="10"/>
  <c r="J38" i="10" s="1"/>
  <c r="J21" i="10"/>
  <c r="J33" i="10"/>
  <c r="J32" i="10" s="1"/>
  <c r="J31" i="10"/>
  <c r="J30" i="10" s="1"/>
  <c r="J22" i="10"/>
  <c r="J18" i="10"/>
  <c r="I18" i="10"/>
  <c r="I42" i="10"/>
  <c r="H28" i="10"/>
  <c r="H39" i="10"/>
  <c r="H38" i="10" s="1"/>
  <c r="H33" i="10"/>
  <c r="H32" i="10" s="1"/>
  <c r="H22" i="10"/>
  <c r="H41" i="10"/>
  <c r="H40" i="10" s="1"/>
  <c r="H21" i="10"/>
  <c r="H18" i="10"/>
  <c r="G33" i="10"/>
  <c r="G32" i="10" s="1"/>
  <c r="G31" i="10"/>
  <c r="G30" i="10" s="1"/>
  <c r="G41" i="10"/>
  <c r="G40" i="10" s="1"/>
  <c r="G21" i="10"/>
  <c r="G22" i="10"/>
  <c r="G39" i="10"/>
  <c r="G38" i="10" s="1"/>
  <c r="G18" i="10"/>
  <c r="F42" i="10"/>
  <c r="E31" i="10"/>
  <c r="E30" i="10" s="1"/>
  <c r="E28" i="10"/>
  <c r="E33" i="10"/>
  <c r="E32" i="10" s="1"/>
  <c r="E22" i="10"/>
  <c r="E41" i="10"/>
  <c r="E40" i="10" s="1"/>
  <c r="E39" i="10"/>
  <c r="E38" i="10" s="1"/>
  <c r="E21" i="10"/>
  <c r="E18" i="10"/>
  <c r="D22" i="10"/>
  <c r="D33" i="10"/>
  <c r="D32" i="10" s="1"/>
  <c r="D41" i="10"/>
  <c r="D40" i="10" s="1"/>
  <c r="D21" i="10"/>
  <c r="D39" i="10"/>
  <c r="D38" i="10" s="1"/>
  <c r="D18" i="10"/>
  <c r="C18" i="10"/>
  <c r="C39" i="10"/>
  <c r="C38" i="10" s="1"/>
  <c r="C28" i="10"/>
  <c r="C42" i="10" s="1"/>
  <c r="C41" i="10"/>
  <c r="C40" i="10" s="1"/>
  <c r="C31" i="10"/>
  <c r="C30" i="10" s="1"/>
  <c r="H28" i="8"/>
  <c r="L31" i="6"/>
  <c r="L30" i="6" s="1"/>
  <c r="C22" i="10"/>
  <c r="C21" i="10"/>
  <c r="C33" i="10"/>
  <c r="C32" i="10" s="1"/>
  <c r="M31" i="6"/>
  <c r="M30" i="6" s="1"/>
  <c r="M21" i="9"/>
  <c r="Q28" i="9"/>
  <c r="Q39" i="9"/>
  <c r="Q38" i="9" s="1"/>
  <c r="Q21" i="9"/>
  <c r="Q22" i="9"/>
  <c r="Q18" i="9"/>
  <c r="Q41" i="9"/>
  <c r="Q40" i="9" s="1"/>
  <c r="Q33" i="9"/>
  <c r="Q32" i="9" s="1"/>
  <c r="Q31" i="9"/>
  <c r="Q30" i="9" s="1"/>
  <c r="P42" i="9"/>
  <c r="P18" i="9"/>
  <c r="N31" i="9"/>
  <c r="N30" i="9" s="1"/>
  <c r="N41" i="9"/>
  <c r="N40" i="9" s="1"/>
  <c r="N28" i="9"/>
  <c r="N22" i="9"/>
  <c r="N21" i="9"/>
  <c r="N33" i="9"/>
  <c r="N32" i="9" s="1"/>
  <c r="N39" i="9"/>
  <c r="N38" i="9" s="1"/>
  <c r="N18" i="9"/>
  <c r="M28" i="9"/>
  <c r="M22" i="9"/>
  <c r="M18" i="9"/>
  <c r="M31" i="9"/>
  <c r="M30" i="9" s="1"/>
  <c r="C28" i="9"/>
  <c r="M31" i="8"/>
  <c r="M30" i="8" s="1"/>
  <c r="L18" i="9"/>
  <c r="K18" i="9"/>
  <c r="I28" i="9"/>
  <c r="I18" i="9"/>
  <c r="I21" i="9"/>
  <c r="I39" i="9"/>
  <c r="I38" i="9" s="1"/>
  <c r="I22" i="9"/>
  <c r="I41" i="9"/>
  <c r="I40" i="9" s="1"/>
  <c r="I33" i="9"/>
  <c r="I32" i="9" s="1"/>
  <c r="H31" i="9"/>
  <c r="H30" i="9" s="1"/>
  <c r="M28" i="8"/>
  <c r="H22" i="9"/>
  <c r="H28" i="9"/>
  <c r="H18" i="9"/>
  <c r="H41" i="9"/>
  <c r="H40" i="9" s="1"/>
  <c r="H33" i="9"/>
  <c r="H32" i="9" s="1"/>
  <c r="H39" i="9"/>
  <c r="H38" i="9" s="1"/>
  <c r="H21" i="9"/>
  <c r="J31" i="8"/>
  <c r="J30" i="8" s="1"/>
  <c r="J28" i="8"/>
  <c r="D39" i="9"/>
  <c r="D38" i="9" s="1"/>
  <c r="D21" i="9"/>
  <c r="C31" i="9"/>
  <c r="C30" i="9" s="1"/>
  <c r="C39" i="9"/>
  <c r="C38" i="9" s="1"/>
  <c r="C33" i="9"/>
  <c r="C32" i="9" s="1"/>
  <c r="C21" i="9"/>
  <c r="C41" i="9"/>
  <c r="C40" i="9" s="1"/>
  <c r="C18" i="9"/>
  <c r="C22" i="9"/>
  <c r="Q39" i="8"/>
  <c r="Q38" i="8" s="1"/>
  <c r="Q21" i="8"/>
  <c r="Q22" i="8"/>
  <c r="Q28" i="8"/>
  <c r="Q18" i="8"/>
  <c r="Q41" i="8"/>
  <c r="Q40" i="8" s="1"/>
  <c r="N31" i="8"/>
  <c r="N30" i="8" s="1"/>
  <c r="F31" i="8"/>
  <c r="F30" i="8" s="1"/>
  <c r="F28" i="8"/>
  <c r="N28" i="8"/>
  <c r="M18" i="8"/>
  <c r="L31" i="8"/>
  <c r="L30" i="8" s="1"/>
  <c r="H31" i="8"/>
  <c r="H30" i="8" s="1"/>
  <c r="I28" i="8"/>
  <c r="L28" i="8"/>
  <c r="L18" i="8"/>
  <c r="K31" i="8"/>
  <c r="K30" i="8" s="1"/>
  <c r="K28" i="8"/>
  <c r="K18" i="8"/>
  <c r="J18" i="8"/>
  <c r="I18" i="8"/>
  <c r="H18" i="8"/>
  <c r="G18" i="8"/>
  <c r="E31" i="8"/>
  <c r="E30" i="8" s="1"/>
  <c r="F18" i="8"/>
  <c r="E28" i="8"/>
  <c r="E18" i="8"/>
  <c r="D18" i="8"/>
  <c r="C18" i="8"/>
  <c r="Q18" i="6"/>
  <c r="P18" i="6"/>
  <c r="M28" i="6"/>
  <c r="O18" i="6"/>
  <c r="N18" i="6"/>
  <c r="M18" i="6"/>
  <c r="L18" i="6"/>
  <c r="K31" i="6"/>
  <c r="K30" i="6" s="1"/>
  <c r="J18" i="6"/>
  <c r="I18" i="6"/>
  <c r="H31" i="6"/>
  <c r="H30" i="6" s="1"/>
  <c r="H18" i="6"/>
  <c r="F28" i="6"/>
  <c r="C31" i="6"/>
  <c r="C30" i="6" s="1"/>
  <c r="C33" i="6"/>
  <c r="C32" i="6" s="1"/>
  <c r="Q42" i="10"/>
  <c r="E33" i="6"/>
  <c r="E32" i="6" s="1"/>
  <c r="C18" i="6"/>
  <c r="G18" i="6"/>
  <c r="H33" i="6"/>
  <c r="H32" i="6" s="1"/>
  <c r="H41" i="6"/>
  <c r="H40" i="6" s="1"/>
  <c r="H22" i="6"/>
  <c r="H21" i="6"/>
  <c r="H39" i="6"/>
  <c r="H38" i="6" s="1"/>
  <c r="F18" i="6"/>
  <c r="N18" i="8"/>
  <c r="O21" i="6"/>
  <c r="O41" i="6"/>
  <c r="O40" i="6" s="1"/>
  <c r="O33" i="6"/>
  <c r="O32" i="6" s="1"/>
  <c r="O39" i="6"/>
  <c r="O38" i="6" s="1"/>
  <c r="O22" i="6"/>
  <c r="K33" i="6"/>
  <c r="K32" i="6" s="1"/>
  <c r="K41" i="6"/>
  <c r="K40" i="6" s="1"/>
  <c r="K39" i="6"/>
  <c r="K38" i="6" s="1"/>
  <c r="K22" i="6"/>
  <c r="K21" i="6"/>
  <c r="E21" i="8"/>
  <c r="E33" i="8"/>
  <c r="E32" i="8" s="1"/>
  <c r="E22" i="8"/>
  <c r="E39" i="8"/>
  <c r="E38" i="8" s="1"/>
  <c r="E41" i="8"/>
  <c r="E40" i="8" s="1"/>
  <c r="I28" i="6"/>
  <c r="L21" i="8"/>
  <c r="L39" i="8"/>
  <c r="L38" i="8" s="1"/>
  <c r="L22" i="8"/>
  <c r="L33" i="8"/>
  <c r="L32" i="8" s="1"/>
  <c r="L41" i="8"/>
  <c r="L40" i="8" s="1"/>
  <c r="M21" i="8"/>
  <c r="M39" i="8"/>
  <c r="M38" i="8" s="1"/>
  <c r="M33" i="8"/>
  <c r="M32" i="8" s="1"/>
  <c r="M22" i="8"/>
  <c r="M41" i="8"/>
  <c r="M40" i="8" s="1"/>
  <c r="Q28" i="6"/>
  <c r="C31" i="8"/>
  <c r="C30" i="8" s="1"/>
  <c r="I31" i="8"/>
  <c r="I30" i="8" s="1"/>
  <c r="K28" i="6"/>
  <c r="F33" i="6"/>
  <c r="F32" i="6" s="1"/>
  <c r="F41" i="6"/>
  <c r="F40" i="6" s="1"/>
  <c r="F22" i="6"/>
  <c r="F21" i="6"/>
  <c r="F39" i="6"/>
  <c r="F38" i="6" s="1"/>
  <c r="N21" i="8"/>
  <c r="N41" i="8"/>
  <c r="N40" i="8" s="1"/>
  <c r="N39" i="8"/>
  <c r="N38" i="8" s="1"/>
  <c r="N22" i="8"/>
  <c r="N33" i="8"/>
  <c r="N32" i="8" s="1"/>
  <c r="I31" i="6"/>
  <c r="I30" i="6" s="1"/>
  <c r="K18" i="6"/>
  <c r="I41" i="8"/>
  <c r="I40" i="8" s="1"/>
  <c r="I33" i="8"/>
  <c r="I32" i="8" s="1"/>
  <c r="I21" i="8"/>
  <c r="I39" i="8"/>
  <c r="I38" i="8" s="1"/>
  <c r="I22" i="8"/>
  <c r="L33" i="6"/>
  <c r="L32" i="6" s="1"/>
  <c r="L39" i="6"/>
  <c r="L38" i="6" s="1"/>
  <c r="L21" i="6"/>
  <c r="L41" i="6"/>
  <c r="L40" i="6" s="1"/>
  <c r="L22" i="6"/>
  <c r="N31" i="6"/>
  <c r="N30" i="6" s="1"/>
  <c r="Q41" i="6"/>
  <c r="Q40" i="6" s="1"/>
  <c r="Q39" i="6"/>
  <c r="Q38" i="6" s="1"/>
  <c r="Q21" i="6"/>
  <c r="Q22" i="6"/>
  <c r="Q33" i="6"/>
  <c r="Q32" i="6" s="1"/>
  <c r="J28" i="6"/>
  <c r="D31" i="8"/>
  <c r="D30" i="8" s="1"/>
  <c r="G41" i="8"/>
  <c r="G40" i="8" s="1"/>
  <c r="G33" i="8"/>
  <c r="G32" i="8" s="1"/>
  <c r="G22" i="8"/>
  <c r="G39" i="8"/>
  <c r="G38" i="8" s="1"/>
  <c r="G21" i="8"/>
  <c r="G33" i="6"/>
  <c r="G32" i="6" s="1"/>
  <c r="G22" i="6"/>
  <c r="G21" i="6"/>
  <c r="G39" i="6"/>
  <c r="G38" i="6" s="1"/>
  <c r="G41" i="6"/>
  <c r="G40" i="6" s="1"/>
  <c r="M33" i="6"/>
  <c r="M32" i="6" s="1"/>
  <c r="M22" i="6"/>
  <c r="M39" i="6"/>
  <c r="M38" i="6" s="1"/>
  <c r="M21" i="6"/>
  <c r="M41" i="6"/>
  <c r="M40" i="6" s="1"/>
  <c r="J39" i="6"/>
  <c r="J38" i="6" s="1"/>
  <c r="J33" i="6"/>
  <c r="J32" i="6" s="1"/>
  <c r="J21" i="6"/>
  <c r="J41" i="6"/>
  <c r="J40" i="6" s="1"/>
  <c r="J22" i="6"/>
  <c r="D21" i="8"/>
  <c r="D39" i="8"/>
  <c r="D38" i="8" s="1"/>
  <c r="D22" i="8"/>
  <c r="D41" i="8"/>
  <c r="D40" i="8" s="1"/>
  <c r="D33" i="8"/>
  <c r="D32" i="8" s="1"/>
  <c r="N28" i="6"/>
  <c r="G28" i="8"/>
  <c r="I33" i="6"/>
  <c r="I32" i="6" s="1"/>
  <c r="I21" i="6"/>
  <c r="I39" i="6"/>
  <c r="I38" i="6" s="1"/>
  <c r="I41" i="6"/>
  <c r="I40" i="6" s="1"/>
  <c r="I22" i="6"/>
  <c r="P28" i="6"/>
  <c r="P31" i="6"/>
  <c r="P30" i="6" s="1"/>
  <c r="H22" i="8"/>
  <c r="H33" i="8"/>
  <c r="H32" i="8" s="1"/>
  <c r="H21" i="8"/>
  <c r="H41" i="8"/>
  <c r="H40" i="8" s="1"/>
  <c r="H39" i="8"/>
  <c r="H38" i="8" s="1"/>
  <c r="J31" i="6"/>
  <c r="J30" i="6" s="1"/>
  <c r="C28" i="8"/>
  <c r="P22" i="6"/>
  <c r="P33" i="6"/>
  <c r="P32" i="6" s="1"/>
  <c r="P41" i="6"/>
  <c r="P40" i="6" s="1"/>
  <c r="P21" i="6"/>
  <c r="P39" i="6"/>
  <c r="P38" i="6" s="1"/>
  <c r="F22" i="8"/>
  <c r="F33" i="8"/>
  <c r="F32" i="8" s="1"/>
  <c r="F39" i="8"/>
  <c r="F38" i="8" s="1"/>
  <c r="F41" i="8"/>
  <c r="F40" i="8" s="1"/>
  <c r="F21" i="8"/>
  <c r="G31" i="8"/>
  <c r="G30" i="8" s="1"/>
  <c r="J33" i="8"/>
  <c r="J32" i="8" s="1"/>
  <c r="J41" i="8"/>
  <c r="J40" i="8" s="1"/>
  <c r="J22" i="8"/>
  <c r="J21" i="8"/>
  <c r="J39" i="8"/>
  <c r="J38" i="8" s="1"/>
  <c r="D28" i="8"/>
  <c r="K21" i="8"/>
  <c r="K33" i="8"/>
  <c r="K32" i="8" s="1"/>
  <c r="K22" i="8"/>
  <c r="K39" i="8"/>
  <c r="K38" i="8" s="1"/>
  <c r="K41" i="8"/>
  <c r="K40" i="8" s="1"/>
  <c r="Q31" i="6"/>
  <c r="Q30" i="6" s="1"/>
  <c r="N39" i="6"/>
  <c r="N38" i="6" s="1"/>
  <c r="N21" i="6"/>
  <c r="N41" i="6"/>
  <c r="N40" i="6" s="1"/>
  <c r="N33" i="6"/>
  <c r="N32" i="6" s="1"/>
  <c r="N22" i="6"/>
  <c r="C21" i="8"/>
  <c r="C41" i="8"/>
  <c r="C40" i="8" s="1"/>
  <c r="C33" i="8"/>
  <c r="C32" i="8" s="1"/>
  <c r="C39" i="8"/>
  <c r="C38" i="8" s="1"/>
  <c r="C22" i="8"/>
  <c r="O31" i="6"/>
  <c r="O30" i="6" s="1"/>
  <c r="D33" i="6"/>
  <c r="D32" i="6" s="1"/>
  <c r="C22" i="6"/>
  <c r="C41" i="6"/>
  <c r="C40" i="6" s="1"/>
  <c r="C28" i="6"/>
  <c r="C21" i="6"/>
  <c r="C39" i="6"/>
  <c r="C38" i="6" s="1"/>
  <c r="E18" i="6"/>
  <c r="E39" i="6"/>
  <c r="E38" i="6" s="1"/>
  <c r="E22" i="6"/>
  <c r="E21" i="6"/>
  <c r="E41" i="6"/>
  <c r="E40" i="6" s="1"/>
  <c r="E28" i="6"/>
  <c r="E31" i="6"/>
  <c r="E30" i="6" s="1"/>
  <c r="D28" i="6"/>
  <c r="D31" i="6"/>
  <c r="D30" i="6" s="1"/>
  <c r="D18" i="6"/>
  <c r="D39" i="6"/>
  <c r="D38" i="6" s="1"/>
  <c r="D21" i="6"/>
  <c r="D22" i="6"/>
  <c r="D41" i="6"/>
  <c r="D40" i="6" s="1"/>
  <c r="N42" i="8" l="1"/>
  <c r="J42" i="9"/>
  <c r="L42" i="9"/>
  <c r="O42" i="9"/>
  <c r="H42" i="10"/>
  <c r="K42" i="9"/>
  <c r="D42" i="10"/>
  <c r="G42" i="9"/>
  <c r="E42" i="9"/>
  <c r="D42" i="9"/>
  <c r="P42" i="8"/>
  <c r="O42" i="8"/>
  <c r="N42" i="6"/>
  <c r="J42" i="10"/>
  <c r="G42" i="10"/>
  <c r="E42" i="10"/>
  <c r="Q42" i="9"/>
  <c r="N42" i="9"/>
  <c r="M42" i="9"/>
  <c r="I42" i="9"/>
  <c r="H42" i="9"/>
  <c r="C42" i="9"/>
  <c r="Q42" i="8"/>
  <c r="M42" i="8"/>
  <c r="L42" i="8"/>
  <c r="K42" i="8"/>
  <c r="J42" i="8"/>
  <c r="H42" i="8"/>
  <c r="I42" i="8"/>
  <c r="F42" i="8"/>
  <c r="E42" i="8"/>
  <c r="D42" i="8"/>
  <c r="O42" i="6"/>
  <c r="M42" i="6"/>
  <c r="L42" i="6"/>
  <c r="K42" i="6"/>
  <c r="H42" i="6"/>
  <c r="G42" i="6"/>
  <c r="E42" i="6"/>
  <c r="F42" i="6"/>
  <c r="C42" i="8"/>
  <c r="J42" i="6"/>
  <c r="G42" i="8"/>
  <c r="C42" i="6"/>
  <c r="D42" i="6"/>
  <c r="I42" i="6"/>
  <c r="P42" i="6"/>
  <c r="Q42"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Luisa Fernanda</author>
  </authors>
  <commentList>
    <comment ref="Q8" authorId="0" shapeId="0" xr:uid="{66566011-DD27-4D5D-A80F-6CBACE4F1CF3}">
      <text>
        <r>
          <rPr>
            <b/>
            <sz val="9"/>
            <color indexed="81"/>
            <rFont val="Tahoma"/>
            <family val="2"/>
          </rPr>
          <t>Se realizan ajustes de forma.
Se sugiere realizar hoja de instrucciones de diligenciamiento
Revisar fórmulas. Algunas apuntan a celdas que no contendrían información
Se recomienda utilizar colores más claros en el sombreado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Luisa Fernanda</author>
  </authors>
  <commentList>
    <comment ref="Q8" authorId="0" shapeId="0" xr:uid="{12DF0DAA-435D-4DE4-9E20-1FA8A1ABBD86}">
      <text>
        <r>
          <rPr>
            <b/>
            <sz val="9"/>
            <color indexed="81"/>
            <rFont val="Tahoma"/>
            <family val="2"/>
          </rPr>
          <t>Se realizan ajustes de forma.
Se sugiere realizar hoja de instrucciones de diligenciamiento
Revisar fórmulas. Algunas apuntan a celdas que no contendrían información
Se recomienda utilizar colores más claros en el sombreado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Luisa Fernanda</author>
  </authors>
  <commentList>
    <comment ref="Q8" authorId="0" shapeId="0" xr:uid="{D1B1272E-60E7-419B-A133-28618C33F65D}">
      <text>
        <r>
          <rPr>
            <b/>
            <sz val="9"/>
            <color indexed="81"/>
            <rFont val="Tahoma"/>
            <family val="2"/>
          </rPr>
          <t>Se realizan ajustes de forma.
Se sugiere realizar hoja de instrucciones de diligenciamiento
Revisar fórmulas. Algunas apuntan a celdas que no contendrían información
Se recomienda utilizar colores más claros en el sombreado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Luisa Fernanda</author>
  </authors>
  <commentList>
    <comment ref="Q8" authorId="0" shapeId="0" xr:uid="{83654706-91F8-447F-AB3F-6C1AB2782681}">
      <text>
        <r>
          <rPr>
            <b/>
            <sz val="9"/>
            <color indexed="81"/>
            <rFont val="Tahoma"/>
            <family val="2"/>
          </rPr>
          <t>Se realizan ajustes de forma.
Se sugiere realizar hoja de instrucciones de diligenciamiento
Revisar fórmulas. Algunas apuntan a celdas que no contendrían información
Se recomienda utilizar colores más claros en el sombreado</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Luisa Fernanda</author>
  </authors>
  <commentList>
    <comment ref="Q8" authorId="0" shapeId="0" xr:uid="{A52D7248-F542-4E26-81A1-CBE2868E5599}">
      <text>
        <r>
          <rPr>
            <b/>
            <sz val="9"/>
            <color indexed="81"/>
            <rFont val="Tahoma"/>
            <family val="2"/>
          </rPr>
          <t>Se realizan ajustes de forma.
Se sugiere realizar hoja de instrucciones de diligenciamiento
Revisar fórmulas. Algunas apuntan a celdas que no contendrían información
Se recomienda utilizar colores más claros en el sombreado</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Luisa Fernanda</author>
  </authors>
  <commentList>
    <comment ref="Q8" authorId="0" shapeId="0" xr:uid="{B7E00498-870F-4041-87AA-CF167F31098A}">
      <text>
        <r>
          <rPr>
            <b/>
            <sz val="9"/>
            <color indexed="81"/>
            <rFont val="Tahoma"/>
            <family val="2"/>
          </rPr>
          <t>Se realizan ajustes de forma.
Se sugiere realizar hoja de instrucciones de diligenciamiento
Revisar fórmulas. Algunas apuntan a celdas que no contendrían información
Se recomienda utilizar colores más claros en el sombreado</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Luisa Fernanda</author>
  </authors>
  <commentList>
    <comment ref="Q8" authorId="0" shapeId="0" xr:uid="{196EE826-7C85-4A18-8984-6882F27E2754}">
      <text>
        <r>
          <rPr>
            <b/>
            <sz val="9"/>
            <color indexed="81"/>
            <rFont val="Tahoma"/>
            <family val="2"/>
          </rPr>
          <t>Se realizan ajustes de forma.
Se sugiere realizar hoja de instrucciones de diligenciamiento
Revisar fórmulas. Algunas apuntan a celdas que no contendrían información
Se recomienda utilizar colores más claros en el sombreado</t>
        </r>
      </text>
    </comment>
  </commentList>
</comments>
</file>

<file path=xl/sharedStrings.xml><?xml version="1.0" encoding="utf-8"?>
<sst xmlns="http://schemas.openxmlformats.org/spreadsheetml/2006/main" count="596" uniqueCount="272">
  <si>
    <t>NIT</t>
  </si>
  <si>
    <t>Nombre Empresa, Consorcio o UT Por el Cual se presenta</t>
  </si>
  <si>
    <t>Numero Proponente</t>
  </si>
  <si>
    <t>% Participación</t>
  </si>
  <si>
    <t>ACTIVO CORRIENTE</t>
  </si>
  <si>
    <t>PASIVO CORRIENTE</t>
  </si>
  <si>
    <t>ACTIVO TOTAL</t>
  </si>
  <si>
    <t>PASIVO TOTAL</t>
  </si>
  <si>
    <t>VALOR DEL PATRIMONIO</t>
  </si>
  <si>
    <t>UTILIDAD</t>
  </si>
  <si>
    <t>INTERESES</t>
  </si>
  <si>
    <t>INDICE DE LIQUIDEZ</t>
  </si>
  <si>
    <t>ENDEUDAMIENTO</t>
  </si>
  <si>
    <t>COBERTURA DE INTERESES</t>
  </si>
  <si>
    <t>RENTABILIDAD DEL PATRIMONIO</t>
  </si>
  <si>
    <t>RENTABILIDAD DEL ACTIVO</t>
  </si>
  <si>
    <t>CAPITAL DE TRABAJO</t>
  </si>
  <si>
    <t>Empresa Participante</t>
  </si>
  <si>
    <t xml:space="preserve">VERIFICACIÓN FINANCIERA  Y CAPACIDAD ORGANIZACIONAL
</t>
  </si>
  <si>
    <t>Código: GCO-GCI-F107
Versión: 02
Vigencia: 23 de diciembre de 2021
Caso HOLA: 209033</t>
  </si>
  <si>
    <t>CONCEPTO</t>
  </si>
  <si>
    <t xml:space="preserve">PRESENTACIÓN DE RUP VIGENTE </t>
  </si>
  <si>
    <t>INFORMACION TOMADA DEL RUP VIGENTE</t>
  </si>
  <si>
    <t xml:space="preserve">PATRIMONIO </t>
  </si>
  <si>
    <t>Activo total-Pasivo total-Patrimonio</t>
  </si>
  <si>
    <t>UTILIDAD OPERACIONAL</t>
  </si>
  <si>
    <t>GASTOS DE INTERESES</t>
  </si>
  <si>
    <r>
      <t xml:space="preserve">Rentabilidad del Patrimonio = </t>
    </r>
    <r>
      <rPr>
        <sz val="12"/>
        <rFont val="Garamond"/>
        <family val="1"/>
      </rPr>
      <t>Utilidad Operacional / Patrimonio</t>
    </r>
  </si>
  <si>
    <r>
      <t xml:space="preserve">Rentabilidad del Activo = </t>
    </r>
    <r>
      <rPr>
        <sz val="12"/>
        <rFont val="Garamond"/>
        <family val="1"/>
      </rPr>
      <t xml:space="preserve">Utilidad Operacional / Activo Total </t>
    </r>
  </si>
  <si>
    <t>VALOR DEL PRESUPUESTO OFICIAL</t>
  </si>
  <si>
    <t>CRITERIO DE VERIFICACIÓN FINANCIERA</t>
  </si>
  <si>
    <t>HÁBIL</t>
  </si>
  <si>
    <t>Activo corriente / Pasivo corriente</t>
  </si>
  <si>
    <t>(Pasivo total / Activo total)*100</t>
  </si>
  <si>
    <t>RC= (Utilidad Operacional) / (Gastos de Intereses)</t>
  </si>
  <si>
    <t>CRITERIO DE VERIFICACIÓN CAPACIDAD ORGANIZACIONAL</t>
  </si>
  <si>
    <r>
      <t>RP</t>
    </r>
    <r>
      <rPr>
        <b/>
        <sz val="12"/>
        <rFont val="Garamond"/>
        <family val="1"/>
      </rPr>
      <t xml:space="preserve">  </t>
    </r>
    <r>
      <rPr>
        <sz val="12"/>
        <rFont val="Garamond"/>
        <family val="1"/>
      </rPr>
      <t xml:space="preserve">= (Utilidad Operacional / Patrimonio)    </t>
    </r>
  </si>
  <si>
    <t xml:space="preserve">RA   = (Utilidad Operacional / Activo Total) </t>
  </si>
  <si>
    <t>CUMPLIMIENTO REQUISITOS HABLITANTES</t>
  </si>
  <si>
    <t xml:space="preserve">NOTA: Una vez verificada la Informacion Finaciera presentada por cada uno de los proponentes, nos permitimos informar que las sociedades arriba descritas, que cúmplen con lo solicitado en los pliegos de condiciones definitivos en cuanto a los Indicadores Financieros requeridos se encuentran HABILITADAS. </t>
  </si>
  <si>
    <t>Comité Evaluador Financiero</t>
  </si>
  <si>
    <t>Directora Financiera SDG</t>
  </si>
  <si>
    <t>Contadora SDG</t>
  </si>
  <si>
    <t>PROCESO DE SELECCIÓN</t>
  </si>
  <si>
    <t>INDICADORES INDIVIDUALES</t>
  </si>
  <si>
    <t>AÑO INDICADORES RUP</t>
  </si>
  <si>
    <t>INDICADORES PLIEGO DE CONDICIONES</t>
  </si>
  <si>
    <t>Nombre Empresa que conforma el Proponente (Nombre de empresa registrada con NIT)</t>
  </si>
  <si>
    <t>BALANCE GENERAL CON CORTE A 31 DE DICIEMBRE AÑO</t>
  </si>
  <si>
    <t>PRESUPUESTO OFICIAL</t>
  </si>
  <si>
    <t>ORGANIZACIÓN INDICADORES ENFOCADOS A UNIONES TEMPORALES Y CONSORCIOS</t>
  </si>
  <si>
    <t>Numero Proponente
(Digite solo el numero)</t>
  </si>
  <si>
    <t>OBJETO</t>
  </si>
  <si>
    <t>CONCEPTO / PROPONENTE</t>
  </si>
  <si>
    <r>
      <t xml:space="preserve">Código: GCO-GCI-F107
</t>
    </r>
    <r>
      <rPr>
        <sz val="12"/>
        <color rgb="FFFF0000"/>
        <rFont val="Garamond"/>
        <family val="1"/>
      </rPr>
      <t>Versión: 02
Vigencia: 23 de diciembre de 2021
Caso HOLA: 209033</t>
    </r>
  </si>
  <si>
    <t>NO HÁBIL</t>
  </si>
  <si>
    <t>Margen</t>
  </si>
  <si>
    <t>INDICADORES PROCESO - FORMULADO</t>
  </si>
  <si>
    <r>
      <t xml:space="preserve">INFORMACIÓN E INDICADORES DEL PROCESO (DIGITE ESTA INFORMACIÓN DE ACUERDO AL PLIEGO DE CONDICIONES)
</t>
    </r>
    <r>
      <rPr>
        <b/>
        <i/>
        <sz val="6"/>
        <color rgb="FFFF0000"/>
        <rFont val="Arial"/>
        <family val="2"/>
      </rPr>
      <t>Indique los valores en formato de decimales</t>
    </r>
  </si>
  <si>
    <r>
      <t xml:space="preserve">Diligencie estos campos con la información del RUP a evaluar </t>
    </r>
    <r>
      <rPr>
        <b/>
        <i/>
        <sz val="11"/>
        <color rgb="FFFF0000"/>
        <rFont val="Calibri"/>
        <family val="2"/>
        <scheme val="minor"/>
      </rPr>
      <t>(Recuerde que esta plantilla permite registrar la información por empresas participantes, en caso de proponentes plurales, deberá incluir una línea por cada empresa participante dentro del proponente plural.)</t>
    </r>
  </si>
  <si>
    <t>GESSI ALVERA SAS</t>
  </si>
  <si>
    <t>INGECO INGENIERIA DE CONSTRUCCIONES</t>
  </si>
  <si>
    <t>GERMAN BALLESTAS BERDEJO</t>
  </si>
  <si>
    <t>GAB INGENIERIA SAS</t>
  </si>
  <si>
    <t>INGECINCO LTDA</t>
  </si>
  <si>
    <t>COMPAÑÍA DE PROYECTOS TÉCNICOS CPT S.A.</t>
  </si>
  <si>
    <t xml:space="preserve">	VELNEC S.A.</t>
  </si>
  <si>
    <t>INGECON SAS</t>
  </si>
  <si>
    <t>CB INGENIEROS SAS</t>
  </si>
  <si>
    <t>PROYECTOS E INTERVENTORIAS S.A.S</t>
  </si>
  <si>
    <t>INGENIERIA DE ESTUDIOS Y ASESORIAS S.A.S INESAS</t>
  </si>
  <si>
    <t>Infraobras Ingenieria S.A.S</t>
  </si>
  <si>
    <t>Ingenieria Moncada Guerrero - IMG S.A.</t>
  </si>
  <si>
    <t>CORTES LEIVA ASOCIADOS SAS</t>
  </si>
  <si>
    <t>R&amp;M CONSTRUCCIONES E INTERVENTORIAS S.A.S</t>
  </si>
  <si>
    <t>GNG SERVICIOS DE INGENIERIA S.A.S.</t>
  </si>
  <si>
    <t>Vallejo H Ingenieros Consultores - Constructores SAS</t>
  </si>
  <si>
    <t>GLOBAL SAS</t>
  </si>
  <si>
    <t>SIGT INGENIEROS Y CONSULTORES SAS</t>
  </si>
  <si>
    <t>ARM CONSULTING SAS</t>
  </si>
  <si>
    <t>KALPA INGENIERIA SAS</t>
  </si>
  <si>
    <t>ING INGENIERIA SAS</t>
  </si>
  <si>
    <t>CONSORCIO MT 2022 BOSA</t>
  </si>
  <si>
    <t>MT PROJECTS S.A.S</t>
  </si>
  <si>
    <t>INGENIERIA DE PROYECTOS S.A.S.</t>
  </si>
  <si>
    <t xml:space="preserve">DF CONSULTORIA SAS </t>
  </si>
  <si>
    <t>Ingeniería, Consultoría y Planeación S.A. Incoplan S.A</t>
  </si>
  <si>
    <t xml:space="preserve">PAVIMENTOS Y GEOTECNIA SAS </t>
  </si>
  <si>
    <t>NOGAALL S.A.S</t>
  </si>
  <si>
    <t>LITORAL CONSULTING SAS</t>
  </si>
  <si>
    <t>PEDRO JOSÉ CORREDOR BECERRA</t>
  </si>
  <si>
    <t>JORGE WILLAN CORZO GARCIA</t>
  </si>
  <si>
    <t>GERMAN ALONSO PUENTES GORDO</t>
  </si>
  <si>
    <t>DAM SOLUCIONES E INGENIERIA SAS</t>
  </si>
  <si>
    <t>INGEOCIM S.A.S.</t>
  </si>
  <si>
    <t>RAFAEL JAVIER GUISA RUEDA</t>
  </si>
  <si>
    <t>UT INTERVENTORIA BOSA 2022</t>
  </si>
  <si>
    <t>Smart Planning Projects SAS</t>
  </si>
  <si>
    <t>CODIPRO INGENIERIA LTDA</t>
  </si>
  <si>
    <t>INTERESTUDIOS INGENIERIA S.A.S</t>
  </si>
  <si>
    <t xml:space="preserve">GUSTAVO PEREZ MARIÑO </t>
  </si>
  <si>
    <t>GMC</t>
  </si>
  <si>
    <t>OSCAR ALFREDO MONTOYA CASTRO</t>
  </si>
  <si>
    <t>OBRAS Y PROYECTOS RP S.A.S</t>
  </si>
  <si>
    <t xml:space="preserve">	MAB INGENIERIA DE VALOR S.A.</t>
  </si>
  <si>
    <t>AYMCO SAS</t>
  </si>
  <si>
    <t>CONSORCIO INCOL-ALEPH</t>
  </si>
  <si>
    <t>ALEPH INGENIERIA Y CONSULTORIA S.A.S.</t>
  </si>
  <si>
    <t>CONSORCIO INTERVENTORIA BOSA</t>
  </si>
  <si>
    <t>TECAL INGENIERIA SAS</t>
  </si>
  <si>
    <t>CONSORCIO VIAL BOSA</t>
  </si>
  <si>
    <t>SEG GEOTECNIA Y CONTROL DE CALIDAD SAS</t>
  </si>
  <si>
    <t>PEYCO, PROYECTOS, ESTUDIOS Y CONSTRUCCIONES SAS</t>
  </si>
  <si>
    <t xml:space="preserve">	CONSULTORES DONOVAN SAS</t>
  </si>
  <si>
    <t>VICTOR GUILLERMO RODRIGUEZ RAMIREZ</t>
  </si>
  <si>
    <t>ROY INGENIERIA SAS</t>
  </si>
  <si>
    <t>TECNUMEC S.A.S.</t>
  </si>
  <si>
    <t>GIS OMICRON SAS</t>
  </si>
  <si>
    <t xml:space="preserve">	Proyectistas Asociados SAS</t>
  </si>
  <si>
    <t>IAR PROYECTOS SAS</t>
  </si>
  <si>
    <t>COMPAÑIA CONSULTORA COLOMBIANA TRIPLE C SAS</t>
  </si>
  <si>
    <t>CONSORCIO ODESSA</t>
  </si>
  <si>
    <t>CGR INGENIEROS &amp; ARQUITECTOS SAS</t>
  </si>
  <si>
    <t>CONSORCIO ING VIAL</t>
  </si>
  <si>
    <t>Carlos Alberto Palta Muñoz</t>
  </si>
  <si>
    <t>GRUPO QUIMBAYA INGENIEROS SAS</t>
  </si>
  <si>
    <t>GRUPO QUIMBAYA SAS</t>
  </si>
  <si>
    <t>2C INGENIEROS S.A</t>
  </si>
  <si>
    <t>GAVINCO INGENIEROS CONSULTORES SAS</t>
  </si>
  <si>
    <t>PROYECTOS&amp;CONSTRUCCIONES LUZIANA SAS</t>
  </si>
  <si>
    <t>jmelo ingenieria de proyectos s.a.s</t>
  </si>
  <si>
    <t>INTERBOGOTA B&amp;B</t>
  </si>
  <si>
    <t>BATEMAN INGENIERIA SAS</t>
  </si>
  <si>
    <t xml:space="preserve"> FDLBOSACM-004-2022(71937)</t>
  </si>
  <si>
    <t>REALIZAR LA INTERVENTORÍA
TÉCNICA, ADMINISTRATIVA, FINANCIERA, JURÍDICA, SOCIAL, AMBIENTAL Y
SST AL CONTRATO DE OBRA PÚBLICA QUE TENDRÁ POR OBJETO
CONTRACTUAL EJECUTAR POR EL SISTEMA DE PRECIOS UNITARIOS FIJOS SIN
FORMULA DE REAJUSTE Y A MONTO AGOTABLE LAS ACTIVIDADES
NECESARIAS PARA LA EJECUCIÓN DE LAS OBRAS DE CONSTRUCCIÓN DE
MALLA VIAL Y ESPACIO PUBLICO ASOCIADO DE LA LOCALIDAD DE BOSA, DE
ACUERDO CON LA DESCRIPCIÓN, ESPECIFICACIONES, ESTUDIOS, DISEÑOS Y
DEMÁS CONDICIONES ESTABLECIDAS EN EL ANEXO TÉCNICO</t>
  </si>
  <si>
    <t>SITELSA SAS</t>
  </si>
  <si>
    <t xml:space="preserve">	PROESING</t>
  </si>
  <si>
    <t xml:space="preserve">	JASEN CONSULTORES S.A.S.</t>
  </si>
  <si>
    <t xml:space="preserve">	BOSA SIGLO XXI</t>
  </si>
  <si>
    <t>CGR SAS</t>
  </si>
  <si>
    <t>GMC - GRUPO METRO COLOMBIA SAS</t>
  </si>
  <si>
    <t xml:space="preserve">	CONCIC S.A.S.</t>
  </si>
  <si>
    <t>CONS GAB BOGOTA</t>
  </si>
  <si>
    <t>INGENIERIA MASTER S.A.S</t>
  </si>
  <si>
    <t xml:space="preserve">	CONSORCIO INTERVIAS CD</t>
  </si>
  <si>
    <t>CONSORCIO GBM VIAS</t>
  </si>
  <si>
    <t xml:space="preserve">MSING SAS </t>
  </si>
  <si>
    <t xml:space="preserve">GRMM SAS </t>
  </si>
  <si>
    <t>B&amp;C S.A</t>
  </si>
  <si>
    <t>CONSORCIO JGL</t>
  </si>
  <si>
    <t xml:space="preserve">JOSE MANUEL GUARDO POLO </t>
  </si>
  <si>
    <t>PIV Ingenieria S.A.S.</t>
  </si>
  <si>
    <t xml:space="preserve">	CONSORCIO CMP BOSA</t>
  </si>
  <si>
    <t xml:space="preserve">Promaco Ingeniería SAS </t>
  </si>
  <si>
    <t>MSC Ingeniería S.A.S</t>
  </si>
  <si>
    <t>INGENIEROS CONSULTORES Y CONSTRUCTORES ARG SAS</t>
  </si>
  <si>
    <t xml:space="preserve">	ICE S.A.S.</t>
  </si>
  <si>
    <t>CONSORCIO SG 0595</t>
  </si>
  <si>
    <t xml:space="preserve">SESAC S.A. </t>
  </si>
  <si>
    <t xml:space="preserve">	Estructurador Colombia SAS</t>
  </si>
  <si>
    <t xml:space="preserve">	SMA S.A.S</t>
  </si>
  <si>
    <t xml:space="preserve">	INGEOCILCON S.A.S.</t>
  </si>
  <si>
    <t>Soluciones para la Ingeniería S.A.S</t>
  </si>
  <si>
    <t xml:space="preserve">	CONSORCIO VIAL BOGOTA</t>
  </si>
  <si>
    <t xml:space="preserve">EMPRESA DE PROYECTOS CIVILES EMPROCIV SAS </t>
  </si>
  <si>
    <t>JG INGENIERIA CONSULTORIA Y CONSTRUCCIONES SAS</t>
  </si>
  <si>
    <t>Raul Orlando Delgado Cabiativa</t>
  </si>
  <si>
    <t>COPEBA S.A.S.</t>
  </si>
  <si>
    <t>CONSORCIO SAN JUAN BOSA 4</t>
  </si>
  <si>
    <t>SHM INGENIERÍA S.A.S</t>
  </si>
  <si>
    <t xml:space="preserve">CARLOS HERNÁNDEZ SOLER </t>
  </si>
  <si>
    <t xml:space="preserve">	CONSORCIO GIS BOSA</t>
  </si>
  <si>
    <t>GIS-EAP SAS</t>
  </si>
  <si>
    <t xml:space="preserve">	CONSORCIO INTERMALLAVIAL BOSA</t>
  </si>
  <si>
    <t xml:space="preserve">CAYENA CONSULTORES E INTERVENTORES S.A.S </t>
  </si>
  <si>
    <t xml:space="preserve">ROCCIA SAS </t>
  </si>
  <si>
    <t>Consorcio RP Bosa</t>
  </si>
  <si>
    <t>Gustavo Roso</t>
  </si>
  <si>
    <t>NAIRO ADOLFO PRIETO SUAREZ</t>
  </si>
  <si>
    <t>CONSORCIO OPH - CAP 2022</t>
  </si>
  <si>
    <t>OPH INGENIEROS ASOCIADOS S.A.S.</t>
  </si>
  <si>
    <t>ARQINGCO SAS</t>
  </si>
  <si>
    <t>HERNAN ALONSO VELASQUEZ CABEZA</t>
  </si>
  <si>
    <t>CONSORCIO INTERSPACIOS BOSA</t>
  </si>
  <si>
    <t>HG INGENIERIA Y DESARROLLO S.A.S</t>
  </si>
  <si>
    <t>CGB SAS</t>
  </si>
  <si>
    <t>CONSEINT S.A.S</t>
  </si>
  <si>
    <t xml:space="preserve">	PROYECTCOL SAS</t>
  </si>
  <si>
    <t xml:space="preserve">	CONSORCIO INTERBOSA 2022</t>
  </si>
  <si>
    <t>INEXIA S.A.S</t>
  </si>
  <si>
    <t xml:space="preserve">OPCIONA SAS </t>
  </si>
  <si>
    <t xml:space="preserve">	CS ALMA-GILLI</t>
  </si>
  <si>
    <t xml:space="preserve">ALMA Interventoría &amp; Consultoría S.A.S </t>
  </si>
  <si>
    <t xml:space="preserve">CONSTRUCTORA GILLI S.A.S. </t>
  </si>
  <si>
    <t xml:space="preserve">	Wilmer Junior Gomez Brito</t>
  </si>
  <si>
    <t>COMPAÑIA DE INTERVENTORIAS Y CONSULTORIAS DE LA COSTA SAS</t>
  </si>
  <si>
    <t>COINZA ING SAS</t>
  </si>
  <si>
    <t>CONSORCIO BOSA INFRA-VIAL</t>
  </si>
  <si>
    <t xml:space="preserve">INFRALAR S.A.S. </t>
  </si>
  <si>
    <t>VERTICE INTERVENTORIA DE PROYECTOS SAS</t>
  </si>
  <si>
    <t>CS BOSA JI 004</t>
  </si>
  <si>
    <t>JPS INGENIERIA S.A.S</t>
  </si>
  <si>
    <t>INFRAING SAS</t>
  </si>
  <si>
    <t>ELSA MARIA RUEDA LANDINEZ INGENIERIA SAS</t>
  </si>
  <si>
    <t xml:space="preserve">BATEMAN INGENIEROS S.A.S </t>
  </si>
  <si>
    <t xml:space="preserve">	INTERVIAL BOGOTA</t>
  </si>
  <si>
    <t>PROYECTOS IAR SAS</t>
  </si>
  <si>
    <t>CONSORCIO INTERCAPITAL</t>
  </si>
  <si>
    <t>ESTUDIOS TECNICOS Y CONSTRUCCIONES SAS</t>
  </si>
  <si>
    <t>CONSORCIO CG 2021</t>
  </si>
  <si>
    <t xml:space="preserve">CAYCO SAS </t>
  </si>
  <si>
    <t>GESTION DE PROYECTOS DE INGENIERIA GPI SAS</t>
  </si>
  <si>
    <t xml:space="preserve">	POSSO INTERVIALES</t>
  </si>
  <si>
    <t>GRUPO POSSO S.A.S</t>
  </si>
  <si>
    <t>EPSILON CAPITAL</t>
  </si>
  <si>
    <t>MIRS</t>
  </si>
  <si>
    <t>CONSORCIO VIAS BOSA</t>
  </si>
  <si>
    <t>SAVIMAC SAS</t>
  </si>
  <si>
    <t>SANDRA MONICA CARDOZO ROJAS</t>
  </si>
  <si>
    <t>CONSORCIO VYO 2022</t>
  </si>
  <si>
    <t>JORGE ISAAC VELASQUEZ VARGAS</t>
  </si>
  <si>
    <t>D&amp;B INGENIEROS CIVILES S.A.S.</t>
  </si>
  <si>
    <t>CONSORCIO INTERTRONCAL 2022</t>
  </si>
  <si>
    <t>Jasb Proyectos S.A.S</t>
  </si>
  <si>
    <t xml:space="preserve">	HMV SERVICIOS S.A.S.</t>
  </si>
  <si>
    <t>CONSORCIO MALLA VIAL 2022</t>
  </si>
  <si>
    <t>FRONTERAS CONSTRUCTORA S.A.S</t>
  </si>
  <si>
    <t>INCOL S.A.</t>
  </si>
  <si>
    <t>CONSULTORES DEL OCCIDENTE SAS</t>
  </si>
  <si>
    <t>CONSORCIO BOSA</t>
  </si>
  <si>
    <t>TOTALL S.A.S</t>
  </si>
  <si>
    <t>CONSORCIO KALROY BOSA 04</t>
  </si>
  <si>
    <t>UNIÓN TEMPORAL - RUTAS BOSA.</t>
  </si>
  <si>
    <t>PROINVERCOL D&amp;R S.A.S</t>
  </si>
  <si>
    <t>ALVARO GARCIA PARRA AGP SAS</t>
  </si>
  <si>
    <t>CONSORCIO AV</t>
  </si>
  <si>
    <t>ASESORIAS TECNICAS LIMITADA ASETEC</t>
  </si>
  <si>
    <t>CONSORCIO INGEVIAL</t>
  </si>
  <si>
    <t>CONSTRUCTORA OCEANA S.A.S</t>
  </si>
  <si>
    <t>LINO ANDRES MENDOZA VELASQUEZ</t>
  </si>
  <si>
    <t>TECNOLOGIAS Y CONSULTORIAS AMBIENTALES Y DE GESTION S.A.S.</t>
  </si>
  <si>
    <t>GRUPO ASV SAS</t>
  </si>
  <si>
    <t>CONSORCIO INTERVENTORES</t>
  </si>
  <si>
    <t xml:space="preserve">	INTERVENTORIA Y CONSTRUCIVILES SAS</t>
  </si>
  <si>
    <t>CONSORCIO INTERVIAS BOSA -22</t>
  </si>
  <si>
    <t>INGECONA SAS</t>
  </si>
  <si>
    <t>CIO COMPAÑIA SAS</t>
  </si>
  <si>
    <t>CONSORCIO NLA 2022</t>
  </si>
  <si>
    <t>APP CONSULTORES &amp; ESTRUCTURADORES SAS</t>
  </si>
  <si>
    <t>CONSORCIO URBANO</t>
  </si>
  <si>
    <t>CONSORCIO INTERVIAL AB 004</t>
  </si>
  <si>
    <t>CONSORCIO MALLA VIAL BOSA 22</t>
  </si>
  <si>
    <t>DRC ASOCIADOS S.A.S</t>
  </si>
  <si>
    <t>SERVICIOS Y CONSULTORIAS EN INGENIERIA S.A.S.</t>
  </si>
  <si>
    <t xml:space="preserve">	TERRA I.C. SAS</t>
  </si>
  <si>
    <t xml:space="preserve">	CONSORCIO INTERVENTORIA BOSA</t>
  </si>
  <si>
    <t>GPR INGENIERIA DE PROYECTOS DE INFRAESTRUCTURA S.A.S</t>
  </si>
  <si>
    <t xml:space="preserve">	CONSORCIO VIAS URBANAS PCC</t>
  </si>
  <si>
    <t>CONSORCIO CONEXION VIAL BOSA</t>
  </si>
  <si>
    <t>2CC INGENIEROS SAS</t>
  </si>
  <si>
    <t>CONSORCIO INT. GQQI</t>
  </si>
  <si>
    <t xml:space="preserve">	DPC INGENIEROS SAS</t>
  </si>
  <si>
    <t>CONSORCIO INTERBOSA</t>
  </si>
  <si>
    <t>ECOVIAS SAS</t>
  </si>
  <si>
    <t>Tranvías S.A.S Transporte y Vías</t>
  </si>
  <si>
    <t>CELQO S.A.S.</t>
  </si>
  <si>
    <t>CIVILE AMC-INTERVENTORÍAS</t>
  </si>
  <si>
    <t>CIVILE SAS BIC</t>
  </si>
  <si>
    <t>ARNOLD MURCIA CHARRY</t>
  </si>
  <si>
    <t xml:space="preserve">	INTERSA S.A.</t>
  </si>
  <si>
    <t>PROPONENTE 34 No subsano los documentos solicitados</t>
  </si>
  <si>
    <t>RECHAZADO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</si>
</sst>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3" formatCode="_-* #,##0.00_-;\-* #,##0.00_-;_-* &quot;-&quot;??_-;_-@_-"/>
    <numFmt numFmtId="164" formatCode="#,##0.0000"/>
    <numFmt numFmtId="165" formatCode="0.000"/>
    <numFmt numFmtId="166" formatCode="&quot;$&quot;\ #,##0"/>
    <numFmt numFmtId="167" formatCode="_-&quot;$&quot;* #,##0_-;\-&quot;$&quot;* #,##0_-;_-&quot;$&quot;* &quot;-&quot;_-;_-@_-"/>
    <numFmt numFmtId="168" formatCode="&quot;Proponente &quot;#"/>
    <numFmt numFmtId="169" formatCode="0.0000"/>
    <numFmt numFmtId="170" formatCode="&quot;$&quot;\ #,##0.00000"/>
    <numFmt numFmtId="171" formatCode="_-* #,##0.00_-;\-* #,##0.00_-;_-* &quot;-&quot;_-;_-@_-"/>
  </numFmts>
  <fonts count="29" x14ac:knownFonts="1">
    <font>
      <sz val="11"/>
      <color theme="1"/>
      <name val="Calibri"/>
      <family val="2"/>
      <scheme val="minor"/>
    </font>
    <font>
      <sz val="11"/>
      <color theme="1"/>
      <name val="Calibri"/>
      <family val="2"/>
      <scheme val="minor"/>
    </font>
    <font>
      <b/>
      <sz val="11"/>
      <color theme="1"/>
      <name val="Calibri"/>
      <family val="2"/>
      <scheme val="minor"/>
    </font>
    <font>
      <sz val="8"/>
      <name val="Calibri"/>
      <family val="2"/>
      <scheme val="minor"/>
    </font>
    <font>
      <b/>
      <sz val="8"/>
      <name val="Arial"/>
      <family val="2"/>
    </font>
    <font>
      <sz val="8"/>
      <name val="Arial"/>
      <family val="2"/>
    </font>
    <font>
      <b/>
      <sz val="8"/>
      <color theme="0"/>
      <name val="Arial"/>
      <family val="2"/>
    </font>
    <font>
      <sz val="8"/>
      <color theme="1"/>
      <name val="Arial"/>
      <family val="2"/>
    </font>
    <font>
      <b/>
      <sz val="6"/>
      <color theme="0"/>
      <name val="Arial"/>
      <family val="2"/>
    </font>
    <font>
      <sz val="10"/>
      <name val="Arial"/>
      <family val="2"/>
    </font>
    <font>
      <sz val="11"/>
      <name val="Garamond"/>
      <family val="1"/>
    </font>
    <font>
      <b/>
      <sz val="20"/>
      <name val="Garamond"/>
      <family val="1"/>
    </font>
    <font>
      <sz val="12"/>
      <name val="Garamond"/>
      <family val="1"/>
    </font>
    <font>
      <b/>
      <sz val="12"/>
      <name val="Garamond"/>
      <family val="1"/>
    </font>
    <font>
      <b/>
      <sz val="11"/>
      <name val="Garamond"/>
      <family val="1"/>
    </font>
    <font>
      <b/>
      <sz val="12"/>
      <color theme="1"/>
      <name val="Garamond"/>
      <family val="1"/>
    </font>
    <font>
      <sz val="12"/>
      <color theme="1"/>
      <name val="Garamond"/>
      <family val="1"/>
    </font>
    <font>
      <b/>
      <i/>
      <sz val="12"/>
      <name val="Garamond"/>
      <family val="1"/>
    </font>
    <font>
      <b/>
      <sz val="11"/>
      <color rgb="FFFF0000"/>
      <name val="Garamond"/>
      <family val="1"/>
    </font>
    <font>
      <b/>
      <sz val="9"/>
      <color indexed="81"/>
      <name val="Tahoma"/>
      <family val="2"/>
    </font>
    <font>
      <b/>
      <sz val="11"/>
      <name val="Arial"/>
      <family val="2"/>
    </font>
    <font>
      <b/>
      <sz val="10"/>
      <name val="Arial"/>
      <family val="2"/>
    </font>
    <font>
      <sz val="12"/>
      <color rgb="FFFF0000"/>
      <name val="Garamond"/>
      <family val="1"/>
    </font>
    <font>
      <b/>
      <i/>
      <sz val="11"/>
      <color theme="1"/>
      <name val="Calibri"/>
      <family val="2"/>
      <scheme val="minor"/>
    </font>
    <font>
      <b/>
      <i/>
      <sz val="6"/>
      <name val="Arial"/>
      <family val="2"/>
    </font>
    <font>
      <b/>
      <i/>
      <sz val="22"/>
      <color theme="1"/>
      <name val="Calibri"/>
      <family val="2"/>
      <scheme val="minor"/>
    </font>
    <font>
      <b/>
      <i/>
      <sz val="6"/>
      <color rgb="FFFF0000"/>
      <name val="Arial"/>
      <family val="2"/>
    </font>
    <font>
      <b/>
      <i/>
      <sz val="11"/>
      <color rgb="FFFF0000"/>
      <name val="Calibri"/>
      <family val="2"/>
      <scheme val="minor"/>
    </font>
    <font>
      <b/>
      <sz val="10"/>
      <color theme="1"/>
      <name val="Calibri"/>
      <family val="2"/>
      <scheme val="minor"/>
    </font>
  </fonts>
  <fills count="15">
    <fill>
      <patternFill patternType="none"/>
    </fill>
    <fill>
      <patternFill patternType="gray125"/>
    </fill>
    <fill>
      <patternFill patternType="solid">
        <fgColor theme="2"/>
        <bgColor indexed="64"/>
      </patternFill>
    </fill>
    <fill>
      <patternFill patternType="solid">
        <fgColor rgb="FF92D050"/>
        <bgColor indexed="64"/>
      </patternFill>
    </fill>
    <fill>
      <patternFill patternType="solid">
        <fgColor theme="3"/>
        <bgColor indexed="64"/>
      </patternFill>
    </fill>
    <fill>
      <patternFill patternType="solid">
        <fgColor theme="0" tint="-0.249977111117893"/>
        <bgColor indexed="64"/>
      </patternFill>
    </fill>
    <fill>
      <patternFill patternType="solid">
        <fgColor theme="8"/>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1"/>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theme="4" tint="-0.249977111117893"/>
        <bgColor indexed="64"/>
      </patternFill>
    </fill>
    <fill>
      <patternFill patternType="solid">
        <fgColor theme="2" tint="-0.249977111117893"/>
        <bgColor indexed="64"/>
      </patternFill>
    </fill>
    <fill>
      <patternFill patternType="solid">
        <fgColor rgb="FFFF000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medium">
        <color auto="1"/>
      </left>
      <right style="thin">
        <color auto="1"/>
      </right>
      <top style="medium">
        <color auto="1"/>
      </top>
      <bottom style="thin">
        <color auto="1"/>
      </bottom>
      <diagonal/>
    </border>
    <border>
      <left style="thin">
        <color auto="1"/>
      </left>
      <right/>
      <top style="medium">
        <color auto="1"/>
      </top>
      <bottom/>
      <diagonal/>
    </border>
    <border>
      <left/>
      <right style="thin">
        <color auto="1"/>
      </right>
      <top style="medium">
        <color auto="1"/>
      </top>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style="medium">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bottom/>
      <diagonal/>
    </border>
    <border>
      <left/>
      <right style="medium">
        <color auto="1"/>
      </right>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8">
    <xf numFmtId="0" fontId="0" fillId="0" borderId="0"/>
    <xf numFmtId="41" fontId="1" fillId="0" borderId="0" applyFont="0" applyFill="0" applyBorder="0" applyAlignment="0" applyProtection="0"/>
    <xf numFmtId="9" fontId="1" fillId="0" borderId="0" applyFont="0" applyFill="0" applyBorder="0" applyAlignment="0" applyProtection="0"/>
    <xf numFmtId="0" fontId="9" fillId="0" borderId="0"/>
    <xf numFmtId="9" fontId="9"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cellStyleXfs>
  <cellXfs count="195">
    <xf numFmtId="0" fontId="0" fillId="0" borderId="0" xfId="0"/>
    <xf numFmtId="0" fontId="10" fillId="0" borderId="0" xfId="3" applyFont="1"/>
    <xf numFmtId="0" fontId="14" fillId="0" borderId="0" xfId="3" applyFont="1" applyAlignment="1">
      <alignment horizontal="center" vertical="center" wrapText="1"/>
    </xf>
    <xf numFmtId="0" fontId="10" fillId="0" borderId="0" xfId="3" applyFont="1" applyAlignment="1">
      <alignment vertical="center"/>
    </xf>
    <xf numFmtId="14" fontId="13" fillId="0" borderId="1" xfId="3" applyNumberFormat="1" applyFont="1" applyBorder="1" applyAlignment="1">
      <alignment horizontal="center" vertical="center" wrapText="1"/>
    </xf>
    <xf numFmtId="0" fontId="13" fillId="0" borderId="1" xfId="3" applyFont="1" applyBorder="1" applyAlignment="1">
      <alignment horizontal="center" vertical="center"/>
    </xf>
    <xf numFmtId="0" fontId="13" fillId="0" borderId="10" xfId="3" applyFont="1" applyBorder="1" applyAlignment="1">
      <alignment horizontal="center" vertical="center"/>
    </xf>
    <xf numFmtId="9" fontId="13" fillId="0" borderId="1" xfId="3" applyNumberFormat="1" applyFont="1" applyBorder="1" applyAlignment="1">
      <alignment horizontal="center" vertical="center" wrapText="1"/>
    </xf>
    <xf numFmtId="3" fontId="12" fillId="0" borderId="1" xfId="3" applyNumberFormat="1" applyFont="1" applyBorder="1" applyAlignment="1">
      <alignment horizontal="right" vertical="center"/>
    </xf>
    <xf numFmtId="2" fontId="12" fillId="0" borderId="1" xfId="4" applyNumberFormat="1" applyFont="1" applyFill="1" applyBorder="1" applyAlignment="1">
      <alignment horizontal="right" vertical="center"/>
    </xf>
    <xf numFmtId="0" fontId="13" fillId="7" borderId="7" xfId="3" applyFont="1" applyFill="1" applyBorder="1" applyAlignment="1">
      <alignment horizontal="left" vertical="center" wrapText="1"/>
    </xf>
    <xf numFmtId="167" fontId="13" fillId="7" borderId="1" xfId="3" applyNumberFormat="1" applyFont="1" applyFill="1" applyBorder="1" applyAlignment="1">
      <alignment horizontal="right" vertical="center"/>
    </xf>
    <xf numFmtId="0" fontId="10" fillId="9" borderId="0" xfId="3" applyFont="1" applyFill="1" applyAlignment="1">
      <alignment vertical="center"/>
    </xf>
    <xf numFmtId="0" fontId="13" fillId="9" borderId="7" xfId="3" applyFont="1" applyFill="1" applyBorder="1" applyAlignment="1">
      <alignment horizontal="center" vertical="center"/>
    </xf>
    <xf numFmtId="0" fontId="13" fillId="9" borderId="1" xfId="3" applyFont="1" applyFill="1" applyBorder="1" applyAlignment="1">
      <alignment horizontal="center" vertical="center"/>
    </xf>
    <xf numFmtId="0" fontId="13" fillId="9" borderId="10" xfId="3" applyFont="1" applyFill="1" applyBorder="1" applyAlignment="1">
      <alignment horizontal="center" vertical="center"/>
    </xf>
    <xf numFmtId="0" fontId="13" fillId="0" borderId="7" xfId="3" applyFont="1" applyBorder="1" applyAlignment="1">
      <alignment horizontal="left" vertical="center"/>
    </xf>
    <xf numFmtId="0" fontId="13" fillId="0" borderId="1" xfId="3" applyFont="1" applyBorder="1" applyAlignment="1">
      <alignment horizontal="left" vertical="center"/>
    </xf>
    <xf numFmtId="0" fontId="13" fillId="0" borderId="10" xfId="3" applyFont="1" applyBorder="1" applyAlignment="1">
      <alignment horizontal="left" vertical="center"/>
    </xf>
    <xf numFmtId="4" fontId="15" fillId="0" borderId="1" xfId="3" applyNumberFormat="1" applyFont="1" applyBorder="1" applyAlignment="1">
      <alignment horizontal="center" vertical="center"/>
    </xf>
    <xf numFmtId="41" fontId="12" fillId="0" borderId="7" xfId="3" applyNumberFormat="1" applyFont="1" applyBorder="1" applyAlignment="1">
      <alignment horizontal="left" vertical="center" wrapText="1"/>
    </xf>
    <xf numFmtId="41" fontId="10" fillId="0" borderId="0" xfId="3" applyNumberFormat="1" applyFont="1" applyAlignment="1">
      <alignment vertical="center"/>
    </xf>
    <xf numFmtId="0" fontId="13" fillId="0" borderId="7" xfId="3" applyFont="1" applyBorder="1" applyAlignment="1">
      <alignment horizontal="center" vertical="center"/>
    </xf>
    <xf numFmtId="0" fontId="13" fillId="10" borderId="1" xfId="3" applyFont="1" applyFill="1" applyBorder="1" applyAlignment="1">
      <alignment horizontal="center" vertical="center"/>
    </xf>
    <xf numFmtId="0" fontId="12" fillId="0" borderId="17" xfId="3" applyFont="1" applyBorder="1" applyAlignment="1">
      <alignment horizontal="center" vertical="center" wrapText="1"/>
    </xf>
    <xf numFmtId="0" fontId="12" fillId="0" borderId="18" xfId="3" applyFont="1" applyBorder="1" applyAlignment="1">
      <alignment horizontal="center" vertical="center" wrapText="1"/>
    </xf>
    <xf numFmtId="0" fontId="12" fillId="0" borderId="17" xfId="3" applyFont="1" applyBorder="1" applyAlignment="1">
      <alignment vertical="center"/>
    </xf>
    <xf numFmtId="0" fontId="14" fillId="0" borderId="0" xfId="3" applyFont="1" applyAlignment="1">
      <alignment vertical="center" wrapText="1"/>
    </xf>
    <xf numFmtId="0" fontId="17" fillId="0" borderId="17" xfId="3" applyFont="1" applyBorder="1" applyAlignment="1">
      <alignment horizontal="center" vertical="center"/>
    </xf>
    <xf numFmtId="0" fontId="14" fillId="0" borderId="0" xfId="3" applyFont="1" applyAlignment="1">
      <alignment vertical="top" wrapText="1"/>
    </xf>
    <xf numFmtId="0" fontId="13" fillId="0" borderId="17" xfId="3" applyFont="1" applyBorder="1" applyAlignment="1">
      <alignment horizontal="center" vertical="center"/>
    </xf>
    <xf numFmtId="0" fontId="13" fillId="0" borderId="17" xfId="3" applyFont="1" applyBorder="1" applyAlignment="1">
      <alignment vertical="top"/>
    </xf>
    <xf numFmtId="0" fontId="13" fillId="0" borderId="18" xfId="3" applyFont="1" applyBorder="1" applyAlignment="1">
      <alignment horizontal="center" vertical="top"/>
    </xf>
    <xf numFmtId="0" fontId="18" fillId="0" borderId="0" xfId="3" applyFont="1"/>
    <xf numFmtId="0" fontId="13" fillId="11" borderId="7" xfId="3" applyFont="1" applyFill="1" applyBorder="1" applyAlignment="1">
      <alignment horizontal="left" vertical="center" wrapText="1"/>
    </xf>
    <xf numFmtId="0" fontId="13" fillId="5" borderId="1" xfId="3" applyFont="1" applyFill="1" applyBorder="1" applyAlignment="1">
      <alignment horizontal="center" vertical="center" wrapText="1" shrinkToFit="1"/>
    </xf>
    <xf numFmtId="168" fontId="13" fillId="6" borderId="1" xfId="3" applyNumberFormat="1" applyFont="1" applyFill="1" applyBorder="1" applyAlignment="1">
      <alignment horizontal="center" vertical="center" wrapText="1"/>
    </xf>
    <xf numFmtId="0" fontId="13" fillId="0" borderId="7" xfId="3" applyFont="1" applyBorder="1" applyAlignment="1">
      <alignment horizontal="center" vertical="center" wrapText="1"/>
    </xf>
    <xf numFmtId="0" fontId="13" fillId="0" borderId="1" xfId="3" applyFont="1" applyBorder="1" applyAlignment="1">
      <alignment horizontal="center" vertical="center" wrapText="1"/>
    </xf>
    <xf numFmtId="0" fontId="13" fillId="0" borderId="10" xfId="3" applyFont="1" applyBorder="1" applyAlignment="1">
      <alignment horizontal="center" vertical="center" wrapText="1"/>
    </xf>
    <xf numFmtId="0" fontId="13" fillId="0" borderId="7" xfId="3" applyFont="1" applyBorder="1" applyAlignment="1">
      <alignment horizontal="left" vertical="center" wrapText="1"/>
    </xf>
    <xf numFmtId="0" fontId="12" fillId="0" borderId="7" xfId="3" applyFont="1" applyBorder="1" applyAlignment="1">
      <alignment horizontal="left" vertical="center" wrapText="1"/>
    </xf>
    <xf numFmtId="0" fontId="10" fillId="0" borderId="0" xfId="3" applyFont="1" applyAlignment="1">
      <alignment horizontal="center" vertical="center"/>
    </xf>
    <xf numFmtId="0" fontId="13" fillId="5" borderId="10" xfId="3" applyFont="1" applyFill="1" applyBorder="1" applyAlignment="1">
      <alignment horizontal="center" vertical="center" wrapText="1" shrinkToFit="1"/>
    </xf>
    <xf numFmtId="168" fontId="13" fillId="6" borderId="10" xfId="3" applyNumberFormat="1" applyFont="1" applyFill="1" applyBorder="1" applyAlignment="1">
      <alignment horizontal="center" vertical="center" wrapText="1"/>
    </xf>
    <xf numFmtId="14" fontId="13" fillId="0" borderId="10" xfId="3" applyNumberFormat="1" applyFont="1" applyBorder="1" applyAlignment="1">
      <alignment horizontal="center" vertical="center" wrapText="1"/>
    </xf>
    <xf numFmtId="9" fontId="13" fillId="0" borderId="10" xfId="3" applyNumberFormat="1" applyFont="1" applyBorder="1" applyAlignment="1">
      <alignment horizontal="center" vertical="center" wrapText="1"/>
    </xf>
    <xf numFmtId="3" fontId="12" fillId="0" borderId="10" xfId="3" applyNumberFormat="1" applyFont="1" applyBorder="1" applyAlignment="1">
      <alignment horizontal="right" vertical="center"/>
    </xf>
    <xf numFmtId="2" fontId="12" fillId="0" borderId="10" xfId="4" applyNumberFormat="1" applyFont="1" applyFill="1" applyBorder="1" applyAlignment="1">
      <alignment horizontal="right" vertical="center"/>
    </xf>
    <xf numFmtId="167" fontId="13" fillId="7" borderId="10" xfId="3" applyNumberFormat="1" applyFont="1" applyFill="1" applyBorder="1" applyAlignment="1">
      <alignment horizontal="right" vertical="center"/>
    </xf>
    <xf numFmtId="4" fontId="15" fillId="0" borderId="10" xfId="3" applyNumberFormat="1" applyFont="1" applyBorder="1" applyAlignment="1">
      <alignment horizontal="center" vertical="center"/>
    </xf>
    <xf numFmtId="0" fontId="13" fillId="10" borderId="10" xfId="3" applyFont="1" applyFill="1" applyBorder="1" applyAlignment="1">
      <alignment horizontal="center" vertical="center"/>
    </xf>
    <xf numFmtId="0" fontId="12" fillId="0" borderId="0" xfId="3" applyFont="1" applyBorder="1" applyAlignment="1">
      <alignment horizontal="center" vertical="center" wrapText="1"/>
    </xf>
    <xf numFmtId="0" fontId="12" fillId="0" borderId="0" xfId="3" applyFont="1" applyBorder="1" applyAlignment="1">
      <alignment vertical="center"/>
    </xf>
    <xf numFmtId="0" fontId="17" fillId="0" borderId="0" xfId="3" applyFont="1" applyBorder="1" applyAlignment="1">
      <alignment horizontal="center" vertical="center"/>
    </xf>
    <xf numFmtId="0" fontId="17" fillId="0" borderId="0" xfId="3" applyFont="1" applyBorder="1" applyAlignment="1">
      <alignment vertical="center"/>
    </xf>
    <xf numFmtId="0" fontId="13" fillId="0" borderId="0" xfId="3" applyFont="1" applyBorder="1" applyAlignment="1">
      <alignment horizontal="center" vertical="center"/>
    </xf>
    <xf numFmtId="0" fontId="13" fillId="0" borderId="0" xfId="3" applyFont="1" applyBorder="1" applyAlignment="1">
      <alignment vertical="center"/>
    </xf>
    <xf numFmtId="0" fontId="12" fillId="0" borderId="0" xfId="3" applyFont="1" applyBorder="1"/>
    <xf numFmtId="0" fontId="13" fillId="0" borderId="0" xfId="3" applyFont="1" applyBorder="1" applyAlignment="1">
      <alignment vertical="top"/>
    </xf>
    <xf numFmtId="0" fontId="13" fillId="0" borderId="0" xfId="3" applyFont="1" applyBorder="1" applyAlignment="1">
      <alignment horizontal="center" vertical="top"/>
    </xf>
    <xf numFmtId="2" fontId="9" fillId="0" borderId="1" xfId="3" applyNumberFormat="1" applyBorder="1" applyProtection="1">
      <protection locked="0"/>
    </xf>
    <xf numFmtId="168" fontId="7" fillId="0" borderId="1" xfId="0" applyNumberFormat="1" applyFont="1" applyBorder="1" applyAlignment="1" applyProtection="1">
      <alignment horizontal="left"/>
      <protection locked="0"/>
    </xf>
    <xf numFmtId="0" fontId="7" fillId="0" borderId="1" xfId="0" applyFont="1" applyBorder="1" applyProtection="1">
      <protection locked="0"/>
    </xf>
    <xf numFmtId="9" fontId="7" fillId="0" borderId="1" xfId="2" applyFont="1" applyBorder="1" applyProtection="1">
      <protection locked="0"/>
    </xf>
    <xf numFmtId="41" fontId="5" fillId="0" borderId="1" xfId="1" applyFont="1" applyFill="1" applyBorder="1" applyAlignment="1" applyProtection="1">
      <alignment vertical="center" wrapText="1"/>
      <protection locked="0"/>
    </xf>
    <xf numFmtId="41" fontId="5" fillId="0" borderId="1" xfId="1" applyFont="1" applyFill="1" applyBorder="1" applyAlignment="1" applyProtection="1">
      <alignment vertical="center"/>
      <protection locked="0"/>
    </xf>
    <xf numFmtId="0" fontId="0" fillId="0" borderId="0" xfId="0" applyProtection="1"/>
    <xf numFmtId="0" fontId="9" fillId="0" borderId="0" xfId="3" applyProtection="1"/>
    <xf numFmtId="0" fontId="20" fillId="2" borderId="1" xfId="3" applyFont="1" applyFill="1" applyBorder="1" applyAlignment="1" applyProtection="1"/>
    <xf numFmtId="166" fontId="20" fillId="0" borderId="0" xfId="3" applyNumberFormat="1" applyFont="1" applyBorder="1" applyAlignment="1" applyProtection="1"/>
    <xf numFmtId="0" fontId="20" fillId="2" borderId="1" xfId="3" applyFont="1" applyFill="1" applyBorder="1" applyAlignment="1" applyProtection="1">
      <alignment vertical="center"/>
    </xf>
    <xf numFmtId="0" fontId="21" fillId="2" borderId="1" xfId="3" applyFont="1" applyFill="1" applyBorder="1" applyAlignment="1" applyProtection="1">
      <alignment horizontal="center"/>
    </xf>
    <xf numFmtId="0" fontId="21" fillId="0" borderId="0" xfId="3" applyFont="1" applyFill="1" applyBorder="1" applyAlignment="1" applyProtection="1">
      <alignment horizontal="center"/>
    </xf>
    <xf numFmtId="0" fontId="9" fillId="2" borderId="1" xfId="3" applyFill="1" applyBorder="1" applyProtection="1"/>
    <xf numFmtId="2" fontId="9" fillId="0" borderId="0" xfId="3" applyNumberFormat="1" applyBorder="1" applyProtection="1"/>
    <xf numFmtId="0" fontId="2" fillId="2" borderId="1" xfId="0" applyFont="1" applyFill="1" applyBorder="1" applyAlignment="1" applyProtection="1">
      <alignment horizontal="center" vertical="center" textRotation="90" wrapText="1"/>
    </xf>
    <xf numFmtId="0" fontId="2" fillId="2" borderId="1" xfId="0" applyFont="1" applyFill="1" applyBorder="1" applyAlignment="1" applyProtection="1">
      <alignment horizontal="center" vertical="center" wrapText="1"/>
    </xf>
    <xf numFmtId="0" fontId="2" fillId="13" borderId="1"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4" fillId="3" borderId="1" xfId="0" applyFont="1" applyFill="1" applyBorder="1" applyAlignment="1" applyProtection="1">
      <alignment horizontal="center" vertical="center" wrapText="1"/>
    </xf>
    <xf numFmtId="0" fontId="8" fillId="4" borderId="1" xfId="0" applyFont="1" applyFill="1" applyBorder="1" applyAlignment="1" applyProtection="1">
      <alignment horizontal="center" vertical="center" wrapText="1"/>
    </xf>
    <xf numFmtId="0" fontId="6" fillId="12" borderId="1" xfId="0" applyFont="1" applyFill="1" applyBorder="1" applyAlignment="1" applyProtection="1">
      <alignment horizontal="center" vertical="center" wrapText="1"/>
    </xf>
    <xf numFmtId="0" fontId="7" fillId="0" borderId="1" xfId="0" applyFont="1" applyBorder="1" applyProtection="1"/>
    <xf numFmtId="4" fontId="5" fillId="0" borderId="1" xfId="0" applyNumberFormat="1" applyFont="1" applyBorder="1" applyAlignment="1" applyProtection="1">
      <alignment vertical="center"/>
    </xf>
    <xf numFmtId="164" fontId="5" fillId="0" borderId="1" xfId="0" applyNumberFormat="1" applyFont="1" applyBorder="1" applyAlignment="1" applyProtection="1">
      <alignment vertical="center"/>
    </xf>
    <xf numFmtId="3" fontId="7" fillId="0" borderId="1" xfId="0" applyNumberFormat="1" applyFont="1" applyBorder="1" applyProtection="1"/>
    <xf numFmtId="0" fontId="7" fillId="0" borderId="0" xfId="0" applyFont="1" applyProtection="1"/>
    <xf numFmtId="0" fontId="7" fillId="0" borderId="0" xfId="0" applyFont="1" applyBorder="1" applyProtection="1"/>
    <xf numFmtId="0" fontId="13" fillId="0" borderId="7" xfId="3" applyFont="1" applyBorder="1" applyAlignment="1">
      <alignment horizontal="center" vertical="center" wrapText="1"/>
    </xf>
    <xf numFmtId="169" fontId="16" fillId="0" borderId="1" xfId="3" applyNumberFormat="1" applyFont="1" applyBorder="1" applyAlignment="1">
      <alignment horizontal="center" vertical="center"/>
    </xf>
    <xf numFmtId="169" fontId="16" fillId="0" borderId="10" xfId="3" applyNumberFormat="1" applyFont="1" applyBorder="1" applyAlignment="1">
      <alignment horizontal="center" vertical="center"/>
    </xf>
    <xf numFmtId="169" fontId="12" fillId="0" borderId="1" xfId="4" applyNumberFormat="1" applyFont="1" applyFill="1" applyBorder="1" applyAlignment="1">
      <alignment horizontal="center" vertical="center"/>
    </xf>
    <xf numFmtId="169" fontId="12" fillId="0" borderId="10" xfId="4" applyNumberFormat="1" applyFont="1" applyFill="1" applyBorder="1" applyAlignment="1">
      <alignment horizontal="center" vertical="center"/>
    </xf>
    <xf numFmtId="169" fontId="12" fillId="0" borderId="1" xfId="3" applyNumberFormat="1" applyFont="1" applyBorder="1" applyAlignment="1">
      <alignment horizontal="center" vertical="center"/>
    </xf>
    <xf numFmtId="169" fontId="12" fillId="0" borderId="10" xfId="3" applyNumberFormat="1" applyFont="1" applyBorder="1" applyAlignment="1">
      <alignment horizontal="center" vertical="center"/>
    </xf>
    <xf numFmtId="0" fontId="0" fillId="0" borderId="0" xfId="0" applyAlignment="1" applyProtection="1">
      <alignment horizontal="center" vertical="center" wrapText="1"/>
    </xf>
    <xf numFmtId="0" fontId="10" fillId="0" borderId="0" xfId="3" applyFont="1" applyAlignment="1">
      <alignment wrapText="1"/>
    </xf>
    <xf numFmtId="166" fontId="5" fillId="2" borderId="1" xfId="3" applyNumberFormat="1" applyFont="1" applyFill="1" applyBorder="1" applyProtection="1"/>
    <xf numFmtId="0" fontId="9" fillId="0" borderId="0" xfId="3" applyAlignment="1" applyProtection="1">
      <alignment vertical="top" wrapText="1"/>
    </xf>
    <xf numFmtId="0" fontId="0" fillId="0" borderId="1" xfId="0" applyBorder="1" applyAlignment="1" applyProtection="1">
      <alignment vertical="center" wrapText="1"/>
    </xf>
    <xf numFmtId="0" fontId="0" fillId="0" borderId="0" xfId="0" applyBorder="1" applyAlignment="1" applyProtection="1">
      <alignment vertical="center" wrapText="1"/>
    </xf>
    <xf numFmtId="0" fontId="28" fillId="2" borderId="1" xfId="0" applyFont="1" applyFill="1" applyBorder="1" applyAlignment="1" applyProtection="1">
      <alignment horizontal="center" vertical="center" textRotation="90" wrapText="1"/>
    </xf>
    <xf numFmtId="166" fontId="7" fillId="2" borderId="1" xfId="0" applyNumberFormat="1" applyFont="1" applyFill="1" applyBorder="1" applyProtection="1"/>
    <xf numFmtId="166" fontId="9" fillId="0" borderId="0" xfId="3" applyNumberFormat="1" applyAlignment="1" applyProtection="1">
      <alignment vertical="top" wrapText="1"/>
    </xf>
    <xf numFmtId="43" fontId="12" fillId="0" borderId="1" xfId="5" applyFont="1" applyBorder="1" applyAlignment="1">
      <alignment horizontal="center" vertical="center"/>
    </xf>
    <xf numFmtId="43" fontId="12" fillId="0" borderId="10" xfId="5" applyFont="1" applyBorder="1" applyAlignment="1">
      <alignment horizontal="center" vertical="center"/>
    </xf>
    <xf numFmtId="0" fontId="10" fillId="0" borderId="1" xfId="3" applyFont="1" applyBorder="1" applyAlignment="1">
      <alignment wrapText="1"/>
    </xf>
    <xf numFmtId="0" fontId="13" fillId="0" borderId="7" xfId="3" applyFont="1" applyBorder="1" applyAlignment="1">
      <alignment horizontal="center" vertical="center" wrapText="1"/>
    </xf>
    <xf numFmtId="0" fontId="13" fillId="0" borderId="7" xfId="3" applyFont="1" applyBorder="1" applyAlignment="1">
      <alignment horizontal="left" vertical="center" wrapText="1"/>
    </xf>
    <xf numFmtId="0" fontId="12" fillId="0" borderId="7" xfId="3" applyFont="1" applyBorder="1" applyAlignment="1">
      <alignment horizontal="left" vertical="center" wrapText="1"/>
    </xf>
    <xf numFmtId="170" fontId="9" fillId="0" borderId="0" xfId="3" applyNumberFormat="1" applyProtection="1"/>
    <xf numFmtId="0" fontId="7" fillId="0" borderId="1" xfId="0" applyFont="1" applyFill="1" applyBorder="1" applyProtection="1">
      <protection locked="0"/>
    </xf>
    <xf numFmtId="9" fontId="7" fillId="0" borderId="1" xfId="2" applyFont="1" applyFill="1" applyBorder="1" applyProtection="1">
      <protection locked="0"/>
    </xf>
    <xf numFmtId="0" fontId="12" fillId="0" borderId="0" xfId="3" applyFont="1" applyAlignment="1">
      <alignment horizontal="center" vertical="center" wrapText="1"/>
    </xf>
    <xf numFmtId="0" fontId="12" fillId="0" borderId="0" xfId="3" applyFont="1" applyAlignment="1">
      <alignment vertical="center"/>
    </xf>
    <xf numFmtId="0" fontId="17" fillId="0" borderId="0" xfId="3" applyFont="1" applyAlignment="1">
      <alignment horizontal="center" vertical="center"/>
    </xf>
    <xf numFmtId="0" fontId="17" fillId="0" borderId="0" xfId="3" applyFont="1" applyAlignment="1">
      <alignment vertical="center"/>
    </xf>
    <xf numFmtId="0" fontId="13" fillId="0" borderId="0" xfId="3" applyFont="1" applyAlignment="1">
      <alignment horizontal="center" vertical="center"/>
    </xf>
    <xf numFmtId="0" fontId="13" fillId="0" borderId="0" xfId="3" applyFont="1" applyAlignment="1">
      <alignment vertical="center"/>
    </xf>
    <xf numFmtId="0" fontId="12" fillId="0" borderId="0" xfId="3" applyFont="1"/>
    <xf numFmtId="0" fontId="13" fillId="0" borderId="0" xfId="3" applyFont="1" applyAlignment="1">
      <alignment vertical="top"/>
    </xf>
    <xf numFmtId="0" fontId="13" fillId="0" borderId="0" xfId="3" applyFont="1" applyAlignment="1">
      <alignment horizontal="center" vertical="top"/>
    </xf>
    <xf numFmtId="0" fontId="13" fillId="0" borderId="1" xfId="3" applyFont="1" applyBorder="1" applyAlignment="1">
      <alignment horizontal="center" vertical="center" wrapText="1"/>
    </xf>
    <xf numFmtId="0" fontId="13" fillId="0" borderId="10" xfId="3" applyFont="1" applyBorder="1" applyAlignment="1">
      <alignment horizontal="center" vertical="center" wrapText="1"/>
    </xf>
    <xf numFmtId="0" fontId="10" fillId="0" borderId="0" xfId="3" applyFont="1" applyBorder="1" applyAlignment="1">
      <alignment wrapText="1"/>
    </xf>
    <xf numFmtId="0" fontId="10" fillId="14" borderId="0" xfId="3" applyFont="1" applyFill="1" applyBorder="1"/>
    <xf numFmtId="0" fontId="13" fillId="0" borderId="7" xfId="3" applyFont="1" applyBorder="1" applyAlignment="1">
      <alignment horizontal="center" vertical="center" wrapText="1"/>
    </xf>
    <xf numFmtId="0" fontId="13" fillId="0" borderId="1" xfId="3" applyFont="1" applyBorder="1" applyAlignment="1">
      <alignment horizontal="center" vertical="center" wrapText="1"/>
    </xf>
    <xf numFmtId="0" fontId="13" fillId="0" borderId="10" xfId="3" applyFont="1" applyBorder="1" applyAlignment="1">
      <alignment horizontal="center" vertical="center" wrapText="1"/>
    </xf>
    <xf numFmtId="0" fontId="13" fillId="0" borderId="7" xfId="3" applyFont="1" applyBorder="1" applyAlignment="1">
      <alignment horizontal="left" vertical="center" wrapText="1"/>
    </xf>
    <xf numFmtId="0" fontId="12" fillId="0" borderId="7" xfId="3" applyFont="1" applyBorder="1" applyAlignment="1">
      <alignment horizontal="left" vertical="center" wrapText="1"/>
    </xf>
    <xf numFmtId="0" fontId="13" fillId="0" borderId="0" xfId="3" applyFont="1" applyAlignment="1">
      <alignment horizontal="center" vertical="center"/>
    </xf>
    <xf numFmtId="0" fontId="17" fillId="0" borderId="0" xfId="3" applyFont="1" applyAlignment="1">
      <alignment horizontal="center" vertical="center"/>
    </xf>
    <xf numFmtId="168" fontId="7" fillId="0" borderId="1" xfId="0" applyNumberFormat="1" applyFont="1" applyFill="1" applyBorder="1" applyAlignment="1" applyProtection="1">
      <alignment horizontal="left"/>
      <protection locked="0"/>
    </xf>
    <xf numFmtId="4" fontId="0" fillId="0" borderId="0" xfId="0" applyNumberFormat="1"/>
    <xf numFmtId="170" fontId="9" fillId="0" borderId="0" xfId="3" applyNumberFormat="1" applyAlignment="1" applyProtection="1">
      <alignment vertical="top" wrapText="1"/>
    </xf>
    <xf numFmtId="169" fontId="7" fillId="2" borderId="1" xfId="0" applyNumberFormat="1" applyFont="1" applyFill="1" applyBorder="1" applyProtection="1"/>
    <xf numFmtId="165" fontId="7" fillId="2" borderId="1" xfId="0" applyNumberFormat="1" applyFont="1" applyFill="1" applyBorder="1" applyAlignment="1" applyProtection="1">
      <alignment horizontal="right"/>
    </xf>
    <xf numFmtId="169" fontId="7" fillId="2" borderId="1" xfId="0" applyNumberFormat="1" applyFont="1" applyFill="1" applyBorder="1" applyAlignment="1" applyProtection="1">
      <alignment horizontal="right"/>
    </xf>
    <xf numFmtId="166" fontId="7" fillId="2" borderId="1" xfId="0" applyNumberFormat="1" applyFont="1" applyFill="1" applyBorder="1"/>
    <xf numFmtId="171" fontId="5" fillId="0" borderId="1" xfId="1" applyNumberFormat="1" applyFont="1" applyFill="1" applyBorder="1" applyAlignment="1" applyProtection="1">
      <alignment vertical="center" wrapText="1"/>
      <protection locked="0"/>
    </xf>
    <xf numFmtId="0" fontId="7" fillId="0" borderId="1" xfId="0" applyFont="1" applyFill="1" applyBorder="1" applyProtection="1">
      <protection locked="0"/>
    </xf>
    <xf numFmtId="171" fontId="5" fillId="0" borderId="1" xfId="1" applyNumberFormat="1" applyFont="1" applyFill="1" applyBorder="1" applyAlignment="1" applyProtection="1">
      <alignment vertical="center"/>
      <protection locked="0"/>
    </xf>
    <xf numFmtId="0" fontId="13" fillId="14" borderId="1" xfId="3" applyFont="1" applyFill="1" applyBorder="1" applyAlignment="1">
      <alignment horizontal="center" vertical="center"/>
    </xf>
    <xf numFmtId="0" fontId="25" fillId="0" borderId="0" xfId="0" applyFont="1" applyAlignment="1" applyProtection="1">
      <alignment horizontal="center" vertical="center"/>
    </xf>
    <xf numFmtId="0" fontId="23" fillId="2" borderId="1" xfId="0" applyFont="1" applyFill="1" applyBorder="1" applyAlignment="1" applyProtection="1">
      <alignment horizontal="center" vertical="center" wrapText="1"/>
    </xf>
    <xf numFmtId="166" fontId="4" fillId="0" borderId="1" xfId="3" applyNumberFormat="1" applyFont="1" applyBorder="1" applyAlignment="1" applyProtection="1">
      <alignment horizontal="center" vertical="center" wrapText="1" shrinkToFit="1"/>
      <protection locked="0"/>
    </xf>
    <xf numFmtId="0" fontId="21" fillId="0" borderId="1" xfId="3" applyFont="1" applyBorder="1" applyAlignment="1" applyProtection="1">
      <alignment horizontal="center"/>
      <protection locked="0"/>
    </xf>
    <xf numFmtId="166" fontId="20" fillId="0" borderId="1" xfId="3" applyNumberFormat="1" applyFont="1" applyBorder="1" applyAlignment="1" applyProtection="1">
      <alignment horizontal="center"/>
      <protection locked="0"/>
    </xf>
    <xf numFmtId="0" fontId="2" fillId="0" borderId="1" xfId="0" applyFont="1" applyBorder="1" applyAlignment="1" applyProtection="1">
      <alignment horizontal="center" vertical="center" wrapText="1"/>
    </xf>
    <xf numFmtId="0" fontId="2" fillId="0" borderId="0" xfId="0" applyFont="1" applyBorder="1" applyAlignment="1" applyProtection="1">
      <alignment horizontal="center" vertical="center" wrapText="1"/>
    </xf>
    <xf numFmtId="0" fontId="24" fillId="0" borderId="0" xfId="3" applyFont="1" applyBorder="1" applyAlignment="1" applyProtection="1">
      <alignment horizontal="center" vertical="center" textRotation="90" wrapText="1"/>
    </xf>
    <xf numFmtId="0" fontId="13" fillId="8" borderId="7" xfId="3" applyFont="1" applyFill="1" applyBorder="1" applyAlignment="1">
      <alignment horizontal="center" vertical="center"/>
    </xf>
    <xf numFmtId="0" fontId="13" fillId="8" borderId="1" xfId="3" applyFont="1" applyFill="1" applyBorder="1" applyAlignment="1">
      <alignment horizontal="center" vertical="center"/>
    </xf>
    <xf numFmtId="0" fontId="13" fillId="8" borderId="10" xfId="3" applyFont="1" applyFill="1" applyBorder="1" applyAlignment="1">
      <alignment horizontal="center" vertical="center"/>
    </xf>
    <xf numFmtId="0" fontId="10" fillId="0" borderId="3" xfId="3" applyFont="1" applyBorder="1" applyAlignment="1">
      <alignment horizontal="center"/>
    </xf>
    <xf numFmtId="0" fontId="10" fillId="0" borderId="7" xfId="3" applyFont="1" applyBorder="1" applyAlignment="1">
      <alignment horizontal="center"/>
    </xf>
    <xf numFmtId="0" fontId="11" fillId="0" borderId="4" xfId="3" applyFont="1" applyBorder="1" applyAlignment="1">
      <alignment horizontal="center" vertical="center" wrapText="1"/>
    </xf>
    <xf numFmtId="0" fontId="11" fillId="0" borderId="2" xfId="3" applyFont="1" applyBorder="1" applyAlignment="1">
      <alignment horizontal="center" vertical="center" wrapText="1"/>
    </xf>
    <xf numFmtId="0" fontId="11" fillId="0" borderId="5" xfId="3" applyFont="1" applyBorder="1" applyAlignment="1">
      <alignment horizontal="center" vertical="center" wrapText="1"/>
    </xf>
    <xf numFmtId="0" fontId="11" fillId="0" borderId="8" xfId="3" applyFont="1" applyBorder="1" applyAlignment="1">
      <alignment horizontal="center" vertical="center" wrapText="1"/>
    </xf>
    <xf numFmtId="0" fontId="11" fillId="0" borderId="0" xfId="3" applyFont="1" applyBorder="1" applyAlignment="1">
      <alignment horizontal="center" vertical="center" wrapText="1"/>
    </xf>
    <xf numFmtId="0" fontId="11" fillId="0" borderId="9" xfId="3" applyFont="1" applyBorder="1" applyAlignment="1">
      <alignment horizontal="center" vertical="center" wrapText="1"/>
    </xf>
    <xf numFmtId="0" fontId="11" fillId="0" borderId="11" xfId="3" applyFont="1" applyBorder="1" applyAlignment="1">
      <alignment horizontal="center" vertical="center" wrapText="1"/>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2" fillId="0" borderId="6" xfId="3" applyFont="1" applyBorder="1" applyAlignment="1">
      <alignment horizontal="left" vertical="center" wrapText="1"/>
    </xf>
    <xf numFmtId="0" fontId="12" fillId="0" borderId="10" xfId="3" applyFont="1" applyBorder="1" applyAlignment="1">
      <alignment horizontal="left" vertical="center"/>
    </xf>
    <xf numFmtId="0" fontId="13" fillId="0" borderId="14" xfId="3" applyFont="1" applyBorder="1" applyAlignment="1">
      <alignment horizontal="center" vertical="center"/>
    </xf>
    <xf numFmtId="0" fontId="13" fillId="0" borderId="15" xfId="3" applyFont="1" applyBorder="1" applyAlignment="1">
      <alignment horizontal="center" vertical="center"/>
    </xf>
    <xf numFmtId="0" fontId="13" fillId="0" borderId="16" xfId="3" applyFont="1" applyBorder="1" applyAlignment="1">
      <alignment horizontal="center" vertical="center"/>
    </xf>
    <xf numFmtId="0" fontId="13" fillId="0" borderId="7" xfId="3" applyFont="1" applyBorder="1" applyAlignment="1">
      <alignment horizontal="center" vertical="center" wrapText="1"/>
    </xf>
    <xf numFmtId="0" fontId="13" fillId="0" borderId="1" xfId="3" applyFont="1" applyBorder="1" applyAlignment="1">
      <alignment horizontal="center" vertical="center" wrapText="1"/>
    </xf>
    <xf numFmtId="0" fontId="13" fillId="0" borderId="10" xfId="3" applyFont="1" applyBorder="1" applyAlignment="1">
      <alignment horizontal="center" vertical="center" wrapText="1"/>
    </xf>
    <xf numFmtId="0" fontId="13" fillId="0" borderId="7" xfId="3" applyFont="1" applyBorder="1" applyAlignment="1">
      <alignment horizontal="left" vertical="center" wrapText="1"/>
    </xf>
    <xf numFmtId="0" fontId="13" fillId="0" borderId="1" xfId="3" applyFont="1" applyBorder="1" applyAlignment="1">
      <alignment horizontal="left" vertical="center" wrapText="1"/>
    </xf>
    <xf numFmtId="0" fontId="13" fillId="0" borderId="10" xfId="3" applyFont="1" applyBorder="1" applyAlignment="1">
      <alignment horizontal="left" vertical="center" wrapText="1"/>
    </xf>
    <xf numFmtId="0" fontId="17" fillId="0" borderId="0" xfId="3" applyFont="1" applyBorder="1" applyAlignment="1">
      <alignment horizontal="center" vertical="center"/>
    </xf>
    <xf numFmtId="0" fontId="17" fillId="0" borderId="18" xfId="3" applyFont="1" applyBorder="1" applyAlignment="1">
      <alignment horizontal="center" vertical="center"/>
    </xf>
    <xf numFmtId="0" fontId="13" fillId="0" borderId="0" xfId="3" applyFont="1" applyBorder="1" applyAlignment="1">
      <alignment horizontal="center" vertical="center"/>
    </xf>
    <xf numFmtId="0" fontId="13" fillId="0" borderId="18" xfId="3" applyFont="1" applyBorder="1" applyAlignment="1">
      <alignment horizontal="center" vertical="center"/>
    </xf>
    <xf numFmtId="0" fontId="12" fillId="0" borderId="7" xfId="3" applyFont="1" applyBorder="1" applyAlignment="1">
      <alignment horizontal="left" vertical="center" wrapText="1"/>
    </xf>
    <xf numFmtId="0" fontId="12" fillId="0" borderId="1" xfId="3" applyFont="1" applyBorder="1" applyAlignment="1">
      <alignment horizontal="left" vertical="center" wrapText="1"/>
    </xf>
    <xf numFmtId="0" fontId="12" fillId="0" borderId="10" xfId="3" applyFont="1" applyBorder="1" applyAlignment="1">
      <alignment horizontal="left" vertical="center" wrapText="1"/>
    </xf>
    <xf numFmtId="0" fontId="12" fillId="0" borderId="19" xfId="3" applyFont="1" applyBorder="1" applyAlignment="1">
      <alignment horizontal="left" vertical="center" wrapText="1"/>
    </xf>
    <xf numFmtId="0" fontId="12" fillId="0" borderId="20" xfId="3" applyFont="1" applyBorder="1" applyAlignment="1">
      <alignment horizontal="left" vertical="center" wrapText="1"/>
    </xf>
    <xf numFmtId="0" fontId="12" fillId="0" borderId="21" xfId="3" applyFont="1" applyBorder="1" applyAlignment="1">
      <alignment horizontal="left" vertical="center" wrapText="1"/>
    </xf>
    <xf numFmtId="0" fontId="13" fillId="0" borderId="14" xfId="3" applyFont="1" applyBorder="1" applyAlignment="1">
      <alignment horizontal="center"/>
    </xf>
    <xf numFmtId="0" fontId="13" fillId="0" borderId="15" xfId="3" applyFont="1" applyBorder="1" applyAlignment="1">
      <alignment horizontal="center"/>
    </xf>
    <xf numFmtId="0" fontId="13" fillId="0" borderId="16" xfId="3" applyFont="1" applyBorder="1" applyAlignment="1">
      <alignment horizontal="center"/>
    </xf>
    <xf numFmtId="0" fontId="13" fillId="0" borderId="0" xfId="3" applyFont="1" applyAlignment="1">
      <alignment horizontal="center" vertical="center"/>
    </xf>
    <xf numFmtId="0" fontId="17" fillId="0" borderId="0" xfId="3" applyFont="1" applyAlignment="1">
      <alignment horizontal="center" vertical="center"/>
    </xf>
    <xf numFmtId="0" fontId="11" fillId="0" borderId="0" xfId="3" applyFont="1" applyAlignment="1">
      <alignment horizontal="center" vertical="center" wrapText="1"/>
    </xf>
    <xf numFmtId="2" fontId="7" fillId="2" borderId="1" xfId="0" applyNumberFormat="1" applyFont="1" applyFill="1" applyBorder="1" applyAlignment="1" applyProtection="1">
      <alignment horizontal="right"/>
    </xf>
  </cellXfs>
  <cellStyles count="8">
    <cellStyle name="Millares" xfId="5" builtinId="3"/>
    <cellStyle name="Millares [0]" xfId="1" builtinId="6"/>
    <cellStyle name="Millares [0] 2" xfId="6" xr:uid="{0F3129FF-88F0-4A65-BB8C-18811DB7F3D6}"/>
    <cellStyle name="Millares 2" xfId="7" xr:uid="{30D09F8D-670D-431E-9419-44D81B55156C}"/>
    <cellStyle name="Normal" xfId="0" builtinId="0"/>
    <cellStyle name="Normal 2" xfId="3" xr:uid="{F492D803-4A4C-4179-890F-F2E5A622AE99}"/>
    <cellStyle name="Porcentaje" xfId="2" builtinId="5"/>
    <cellStyle name="Porcentaje 2" xfId="4" xr:uid="{85684C1D-C02E-4D51-AC98-4F6B14377279}"/>
  </cellStyles>
  <dxfs count="135">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ill>
        <patternFill>
          <bgColor rgb="FF00B050"/>
        </patternFill>
      </fill>
    </dxf>
    <dxf>
      <fill>
        <patternFill>
          <bgColor rgb="FFFF0000"/>
        </patternFill>
      </fill>
    </dxf>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ont>
        <color theme="0"/>
      </font>
    </dxf>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ill>
        <patternFill>
          <bgColor rgb="FF00B050"/>
        </patternFill>
      </fill>
    </dxf>
    <dxf>
      <fill>
        <patternFill>
          <bgColor rgb="FFFF0000"/>
        </patternFill>
      </fill>
    </dxf>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ont>
        <color theme="0"/>
      </font>
    </dxf>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ill>
        <patternFill>
          <bgColor rgb="FF00B050"/>
        </patternFill>
      </fill>
    </dxf>
    <dxf>
      <fill>
        <patternFill>
          <bgColor rgb="FFFF0000"/>
        </patternFill>
      </fill>
    </dxf>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ont>
        <color theme="0"/>
      </font>
    </dxf>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ill>
        <patternFill>
          <bgColor rgb="FF00B050"/>
        </patternFill>
      </fill>
    </dxf>
    <dxf>
      <fill>
        <patternFill>
          <bgColor rgb="FFFF0000"/>
        </patternFill>
      </fill>
    </dxf>
    <dxf>
      <font>
        <color theme="0"/>
      </font>
    </dxf>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ill>
        <patternFill>
          <bgColor rgb="FF00B050"/>
        </patternFill>
      </fill>
    </dxf>
    <dxf>
      <fill>
        <patternFill>
          <bgColor rgb="FFFF0000"/>
        </patternFill>
      </fill>
    </dxf>
    <dxf>
      <font>
        <color theme="0"/>
      </font>
    </dxf>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ill>
        <patternFill>
          <bgColor rgb="FF00B050"/>
        </patternFill>
      </fill>
    </dxf>
    <dxf>
      <fill>
        <patternFill>
          <bgColor rgb="FFFF0000"/>
        </patternFill>
      </fill>
    </dxf>
    <dxf>
      <font>
        <color theme="0"/>
      </font>
    </dxf>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ill>
        <patternFill>
          <bgColor rgb="FFFE7F6E"/>
        </patternFill>
      </fill>
    </dxf>
    <dxf>
      <fill>
        <patternFill>
          <bgColor theme="9" tint="0.59996337778862885"/>
        </patternFill>
      </fill>
    </dxf>
    <dxf>
      <fill>
        <patternFill>
          <bgColor rgb="FF00B050"/>
        </patternFill>
      </fill>
    </dxf>
    <dxf>
      <fill>
        <patternFill>
          <bgColor rgb="FFFF0000"/>
        </patternFill>
      </fill>
    </dxf>
    <dxf>
      <font>
        <color theme="0"/>
      </font>
    </dxf>
    <dxf>
      <fill>
        <patternFill>
          <bgColor rgb="FF92D050"/>
        </patternFill>
      </fill>
    </dxf>
    <dxf>
      <fill>
        <patternFill>
          <bgColor theme="2"/>
        </patternFill>
      </fill>
    </dxf>
    <dxf>
      <fill>
        <patternFill>
          <bgColor rgb="FF92D050"/>
        </patternFill>
      </fill>
    </dxf>
    <dxf>
      <fill>
        <patternFill>
          <bgColor theme="2"/>
        </patternFill>
      </fill>
    </dxf>
    <dxf>
      <fill>
        <patternFill>
          <bgColor rgb="FF92D050"/>
        </patternFill>
      </fill>
    </dxf>
    <dxf>
      <fill>
        <patternFill>
          <bgColor theme="2"/>
        </patternFill>
      </fill>
    </dxf>
    <dxf>
      <fill>
        <patternFill>
          <bgColor rgb="FF92D050"/>
        </patternFill>
      </fill>
    </dxf>
    <dxf>
      <fill>
        <patternFill>
          <bgColor theme="2"/>
        </patternFill>
      </fill>
    </dxf>
    <dxf>
      <fill>
        <patternFill>
          <bgColor rgb="FF92D050"/>
        </patternFill>
      </fill>
    </dxf>
    <dxf>
      <fill>
        <patternFill>
          <bgColor theme="2"/>
        </patternFill>
      </fill>
    </dxf>
    <dxf>
      <fill>
        <patternFill>
          <bgColor rgb="FF92D050"/>
        </patternFill>
      </fill>
    </dxf>
    <dxf>
      <fill>
        <patternFill>
          <bgColor theme="2"/>
        </patternFill>
      </fill>
    </dxf>
    <dxf>
      <fill>
        <patternFill>
          <bgColor rgb="FF92D050"/>
        </patternFill>
      </fill>
    </dxf>
    <dxf>
      <fill>
        <patternFill>
          <bgColor theme="2"/>
        </patternFill>
      </fill>
    </dxf>
    <dxf>
      <fill>
        <patternFill>
          <bgColor rgb="FF92D050"/>
        </patternFill>
      </fill>
    </dxf>
    <dxf>
      <fill>
        <patternFill>
          <bgColor theme="2"/>
        </patternFill>
      </fill>
    </dxf>
    <dxf>
      <fill>
        <patternFill>
          <bgColor rgb="FF92D050"/>
        </patternFill>
      </fill>
    </dxf>
    <dxf>
      <fill>
        <patternFill>
          <bgColor theme="2"/>
        </patternFill>
      </fill>
    </dxf>
    <dxf>
      <fill>
        <patternFill>
          <bgColor rgb="FF92D050"/>
        </patternFill>
      </fill>
    </dxf>
    <dxf>
      <fill>
        <patternFill>
          <bgColor theme="2"/>
        </patternFill>
      </fill>
    </dxf>
    <dxf>
      <fill>
        <patternFill>
          <bgColor rgb="FF92D050"/>
        </patternFill>
      </fill>
    </dxf>
    <dxf>
      <fill>
        <patternFill>
          <bgColor theme="2"/>
        </patternFill>
      </fill>
    </dxf>
    <dxf>
      <fill>
        <patternFill>
          <bgColor rgb="FF92D050"/>
        </patternFill>
      </fill>
    </dxf>
    <dxf>
      <fill>
        <patternFill>
          <bgColor theme="2"/>
        </patternFill>
      </fill>
    </dxf>
    <dxf>
      <fill>
        <patternFill>
          <bgColor rgb="FF92D050"/>
        </patternFill>
      </fill>
    </dxf>
    <dxf>
      <fill>
        <patternFill>
          <bgColor theme="2"/>
        </patternFill>
      </fill>
    </dxf>
    <dxf>
      <fill>
        <patternFill>
          <bgColor rgb="FF92D050"/>
        </patternFill>
      </fill>
    </dxf>
    <dxf>
      <fill>
        <patternFill>
          <bgColor theme="2"/>
        </patternFill>
      </fill>
    </dxf>
    <dxf>
      <fill>
        <patternFill>
          <bgColor rgb="FF92D050"/>
        </patternFill>
      </fill>
    </dxf>
    <dxf>
      <fill>
        <patternFill>
          <bgColor theme="2"/>
        </patternFill>
      </fill>
    </dxf>
  </dxfs>
  <tableStyles count="0" defaultTableStyle="TableStyleMedium2" defaultPivotStyle="PivotStyleLight16"/>
  <colors>
    <mruColors>
      <color rgb="FFFE7F6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30</xdr:col>
      <xdr:colOff>68580</xdr:colOff>
      <xdr:row>0</xdr:row>
      <xdr:rowOff>122728</xdr:rowOff>
    </xdr:from>
    <xdr:to>
      <xdr:col>32</xdr:col>
      <xdr:colOff>632458</xdr:colOff>
      <xdr:row>3</xdr:row>
      <xdr:rowOff>74930</xdr:rowOff>
    </xdr:to>
    <xdr:pic>
      <xdr:nvPicPr>
        <xdr:cNvPr id="2" name="3 Imagen" descr="Logo de SDG.jpg">
          <a:extLst>
            <a:ext uri="{FF2B5EF4-FFF2-40B4-BE49-F238E27FC236}">
              <a16:creationId xmlns:a16="http://schemas.microsoft.com/office/drawing/2014/main" id="{6620A518-5BCA-43DB-BAE4-B564BD786A38}"/>
            </a:ext>
          </a:extLst>
        </xdr:cNvPr>
        <xdr:cNvPicPr>
          <a:picLocks noChangeAspect="1"/>
        </xdr:cNvPicPr>
      </xdr:nvPicPr>
      <xdr:blipFill>
        <a:blip xmlns:r="http://schemas.openxmlformats.org/officeDocument/2006/relationships" r:embed="rId1" cstate="print"/>
        <a:srcRect/>
        <a:stretch>
          <a:fillRect/>
        </a:stretch>
      </xdr:blipFill>
      <xdr:spPr bwMode="auto">
        <a:xfrm>
          <a:off x="17084040" y="122728"/>
          <a:ext cx="2148840" cy="645622"/>
        </a:xfrm>
        <a:prstGeom prst="rect">
          <a:avLst/>
        </a:prstGeom>
        <a:noFill/>
        <a:ln w="9525">
          <a:noFill/>
          <a:miter lim="800000"/>
          <a:headEnd/>
          <a:tailEnd/>
        </a:ln>
      </xdr:spPr>
    </xdr:pic>
    <xdr:clientData/>
  </xdr:twoCellAnchor>
  <xdr:twoCellAnchor editAs="oneCell">
    <xdr:from>
      <xdr:col>0</xdr:col>
      <xdr:colOff>106680</xdr:colOff>
      <xdr:row>0</xdr:row>
      <xdr:rowOff>45721</xdr:rowOff>
    </xdr:from>
    <xdr:to>
      <xdr:col>1</xdr:col>
      <xdr:colOff>73865</xdr:colOff>
      <xdr:row>3</xdr:row>
      <xdr:rowOff>83821</xdr:rowOff>
    </xdr:to>
    <xdr:pic>
      <xdr:nvPicPr>
        <xdr:cNvPr id="3" name="Imagen 2">
          <a:extLst>
            <a:ext uri="{FF2B5EF4-FFF2-40B4-BE49-F238E27FC236}">
              <a16:creationId xmlns:a16="http://schemas.microsoft.com/office/drawing/2014/main" id="{2D1915BB-2899-4869-B1BD-492EEE043EE9}"/>
            </a:ext>
          </a:extLst>
        </xdr:cNvPr>
        <xdr:cNvPicPr>
          <a:picLocks noChangeAspect="1"/>
        </xdr:cNvPicPr>
      </xdr:nvPicPr>
      <xdr:blipFill>
        <a:blip xmlns:r="http://schemas.openxmlformats.org/officeDocument/2006/relationships" r:embed="rId2"/>
        <a:stretch>
          <a:fillRect/>
        </a:stretch>
      </xdr:blipFill>
      <xdr:spPr>
        <a:xfrm>
          <a:off x="106680" y="45721"/>
          <a:ext cx="393905" cy="73152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242156</xdr:colOff>
      <xdr:row>0</xdr:row>
      <xdr:rowOff>116417</xdr:rowOff>
    </xdr:from>
    <xdr:to>
      <xdr:col>1</xdr:col>
      <xdr:colOff>2672666</xdr:colOff>
      <xdr:row>4</xdr:row>
      <xdr:rowOff>84667</xdr:rowOff>
    </xdr:to>
    <xdr:pic>
      <xdr:nvPicPr>
        <xdr:cNvPr id="2" name="3 Imagen" descr="Logo de SDG.jpg">
          <a:extLst>
            <a:ext uri="{FF2B5EF4-FFF2-40B4-BE49-F238E27FC236}">
              <a16:creationId xmlns:a16="http://schemas.microsoft.com/office/drawing/2014/main" id="{A6F2CFB2-0E20-4FAD-BC65-6A958C3CB362}"/>
            </a:ext>
          </a:extLst>
        </xdr:cNvPr>
        <xdr:cNvPicPr>
          <a:picLocks noChangeAspect="1"/>
        </xdr:cNvPicPr>
      </xdr:nvPicPr>
      <xdr:blipFill>
        <a:blip xmlns:r="http://schemas.openxmlformats.org/officeDocument/2006/relationships" r:embed="rId1" cstate="print"/>
        <a:srcRect/>
        <a:stretch>
          <a:fillRect/>
        </a:stretch>
      </xdr:blipFill>
      <xdr:spPr bwMode="auto">
        <a:xfrm>
          <a:off x="341216" y="116417"/>
          <a:ext cx="2430510" cy="722630"/>
        </a:xfrm>
        <a:prstGeom prst="rect">
          <a:avLst/>
        </a:prstGeom>
        <a:noFill/>
        <a:ln w="9525">
          <a:noFill/>
          <a:miter lim="800000"/>
          <a:headEnd/>
          <a:tailEnd/>
        </a:ln>
      </xdr:spPr>
    </xdr:pic>
    <xdr:clientData/>
  </xdr:twoCellAnchor>
  <xdr:twoCellAnchor editAs="oneCell">
    <xdr:from>
      <xdr:col>1</xdr:col>
      <xdr:colOff>889000</xdr:colOff>
      <xdr:row>46</xdr:row>
      <xdr:rowOff>127000</xdr:rowOff>
    </xdr:from>
    <xdr:to>
      <xdr:col>1</xdr:col>
      <xdr:colOff>2466266</xdr:colOff>
      <xdr:row>49</xdr:row>
      <xdr:rowOff>209550</xdr:rowOff>
    </xdr:to>
    <xdr:pic>
      <xdr:nvPicPr>
        <xdr:cNvPr id="3" name="Imagen 2" descr="Un insecto en un fondo blanco&#10;&#10;Descripción generada automáticamente">
          <a:extLst>
            <a:ext uri="{FF2B5EF4-FFF2-40B4-BE49-F238E27FC236}">
              <a16:creationId xmlns:a16="http://schemas.microsoft.com/office/drawing/2014/main" id="{7C4FCFDD-F387-47E4-8805-1C3D55041633}"/>
            </a:ext>
          </a:extLst>
        </xdr:cNvPr>
        <xdr:cNvPicPr>
          <a:picLocks noChangeAspect="1"/>
        </xdr:cNvPicPr>
      </xdr:nvPicPr>
      <xdr:blipFill>
        <a:blip xmlns:r="http://schemas.openxmlformats.org/officeDocument/2006/relationships" r:embed="rId2"/>
        <a:stretch>
          <a:fillRect/>
        </a:stretch>
      </xdr:blipFill>
      <xdr:spPr>
        <a:xfrm>
          <a:off x="984250" y="15208250"/>
          <a:ext cx="1577266" cy="7810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242156</xdr:colOff>
      <xdr:row>0</xdr:row>
      <xdr:rowOff>116417</xdr:rowOff>
    </xdr:from>
    <xdr:to>
      <xdr:col>1</xdr:col>
      <xdr:colOff>2672666</xdr:colOff>
      <xdr:row>4</xdr:row>
      <xdr:rowOff>84667</xdr:rowOff>
    </xdr:to>
    <xdr:pic>
      <xdr:nvPicPr>
        <xdr:cNvPr id="2" name="3 Imagen" descr="Logo de SDG.jpg">
          <a:extLst>
            <a:ext uri="{FF2B5EF4-FFF2-40B4-BE49-F238E27FC236}">
              <a16:creationId xmlns:a16="http://schemas.microsoft.com/office/drawing/2014/main" id="{38435B56-44E4-43D1-ACFF-E01C9DFFBA97}"/>
            </a:ext>
          </a:extLst>
        </xdr:cNvPr>
        <xdr:cNvPicPr>
          <a:picLocks noChangeAspect="1"/>
        </xdr:cNvPicPr>
      </xdr:nvPicPr>
      <xdr:blipFill>
        <a:blip xmlns:r="http://schemas.openxmlformats.org/officeDocument/2006/relationships" r:embed="rId1" cstate="print"/>
        <a:srcRect/>
        <a:stretch>
          <a:fillRect/>
        </a:stretch>
      </xdr:blipFill>
      <xdr:spPr bwMode="auto">
        <a:xfrm>
          <a:off x="341216" y="116417"/>
          <a:ext cx="2430510" cy="722630"/>
        </a:xfrm>
        <a:prstGeom prst="rect">
          <a:avLst/>
        </a:prstGeom>
        <a:noFill/>
        <a:ln w="9525">
          <a:noFill/>
          <a:miter lim="800000"/>
          <a:headEnd/>
          <a:tailEnd/>
        </a:ln>
      </xdr:spPr>
    </xdr:pic>
    <xdr:clientData/>
  </xdr:twoCellAnchor>
  <xdr:twoCellAnchor editAs="oneCell">
    <xdr:from>
      <xdr:col>1</xdr:col>
      <xdr:colOff>904875</xdr:colOff>
      <xdr:row>46</xdr:row>
      <xdr:rowOff>31750</xdr:rowOff>
    </xdr:from>
    <xdr:to>
      <xdr:col>1</xdr:col>
      <xdr:colOff>2482141</xdr:colOff>
      <xdr:row>49</xdr:row>
      <xdr:rowOff>114300</xdr:rowOff>
    </xdr:to>
    <xdr:pic>
      <xdr:nvPicPr>
        <xdr:cNvPr id="3" name="Imagen 2" descr="Un insecto en un fondo blanco&#10;&#10;Descripción generada automáticamente">
          <a:extLst>
            <a:ext uri="{FF2B5EF4-FFF2-40B4-BE49-F238E27FC236}">
              <a16:creationId xmlns:a16="http://schemas.microsoft.com/office/drawing/2014/main" id="{67447992-F46C-4859-98D3-718B2612F56D}"/>
            </a:ext>
          </a:extLst>
        </xdr:cNvPr>
        <xdr:cNvPicPr>
          <a:picLocks noChangeAspect="1"/>
        </xdr:cNvPicPr>
      </xdr:nvPicPr>
      <xdr:blipFill>
        <a:blip xmlns:r="http://schemas.openxmlformats.org/officeDocument/2006/relationships" r:embed="rId2"/>
        <a:stretch>
          <a:fillRect/>
        </a:stretch>
      </xdr:blipFill>
      <xdr:spPr>
        <a:xfrm>
          <a:off x="1000125" y="17478375"/>
          <a:ext cx="1577266" cy="7810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242156</xdr:colOff>
      <xdr:row>0</xdr:row>
      <xdr:rowOff>116417</xdr:rowOff>
    </xdr:from>
    <xdr:to>
      <xdr:col>1</xdr:col>
      <xdr:colOff>2672666</xdr:colOff>
      <xdr:row>4</xdr:row>
      <xdr:rowOff>84667</xdr:rowOff>
    </xdr:to>
    <xdr:pic>
      <xdr:nvPicPr>
        <xdr:cNvPr id="2" name="3 Imagen" descr="Logo de SDG.jpg">
          <a:extLst>
            <a:ext uri="{FF2B5EF4-FFF2-40B4-BE49-F238E27FC236}">
              <a16:creationId xmlns:a16="http://schemas.microsoft.com/office/drawing/2014/main" id="{C4AD4B40-11CB-4A2E-A06A-A25C12F89185}"/>
            </a:ext>
          </a:extLst>
        </xdr:cNvPr>
        <xdr:cNvPicPr>
          <a:picLocks noChangeAspect="1"/>
        </xdr:cNvPicPr>
      </xdr:nvPicPr>
      <xdr:blipFill>
        <a:blip xmlns:r="http://schemas.openxmlformats.org/officeDocument/2006/relationships" r:embed="rId1" cstate="print"/>
        <a:srcRect/>
        <a:stretch>
          <a:fillRect/>
        </a:stretch>
      </xdr:blipFill>
      <xdr:spPr bwMode="auto">
        <a:xfrm>
          <a:off x="341216" y="116417"/>
          <a:ext cx="2430510" cy="722630"/>
        </a:xfrm>
        <a:prstGeom prst="rect">
          <a:avLst/>
        </a:prstGeom>
        <a:noFill/>
        <a:ln w="9525">
          <a:noFill/>
          <a:miter lim="800000"/>
          <a:headEnd/>
          <a:tailEnd/>
        </a:ln>
      </xdr:spPr>
    </xdr:pic>
    <xdr:clientData/>
  </xdr:twoCellAnchor>
  <xdr:twoCellAnchor editAs="oneCell">
    <xdr:from>
      <xdr:col>1</xdr:col>
      <xdr:colOff>1190625</xdr:colOff>
      <xdr:row>47</xdr:row>
      <xdr:rowOff>47625</xdr:rowOff>
    </xdr:from>
    <xdr:to>
      <xdr:col>1</xdr:col>
      <xdr:colOff>2767891</xdr:colOff>
      <xdr:row>50</xdr:row>
      <xdr:rowOff>50800</xdr:rowOff>
    </xdr:to>
    <xdr:pic>
      <xdr:nvPicPr>
        <xdr:cNvPr id="3" name="Imagen 2" descr="Un insecto en un fondo blanco&#10;&#10;Descripción generada automáticamente">
          <a:extLst>
            <a:ext uri="{FF2B5EF4-FFF2-40B4-BE49-F238E27FC236}">
              <a16:creationId xmlns:a16="http://schemas.microsoft.com/office/drawing/2014/main" id="{9C8EB9DF-0712-491B-ACE1-B75B3BBEB824}"/>
            </a:ext>
          </a:extLst>
        </xdr:cNvPr>
        <xdr:cNvPicPr>
          <a:picLocks noChangeAspect="1"/>
        </xdr:cNvPicPr>
      </xdr:nvPicPr>
      <xdr:blipFill>
        <a:blip xmlns:r="http://schemas.openxmlformats.org/officeDocument/2006/relationships" r:embed="rId2"/>
        <a:stretch>
          <a:fillRect/>
        </a:stretch>
      </xdr:blipFill>
      <xdr:spPr>
        <a:xfrm>
          <a:off x="1285875" y="17018000"/>
          <a:ext cx="1577266" cy="7810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242156</xdr:colOff>
      <xdr:row>0</xdr:row>
      <xdr:rowOff>116417</xdr:rowOff>
    </xdr:from>
    <xdr:to>
      <xdr:col>1</xdr:col>
      <xdr:colOff>2672666</xdr:colOff>
      <xdr:row>4</xdr:row>
      <xdr:rowOff>84667</xdr:rowOff>
    </xdr:to>
    <xdr:pic>
      <xdr:nvPicPr>
        <xdr:cNvPr id="2" name="3 Imagen" descr="Logo de SDG.jpg">
          <a:extLst>
            <a:ext uri="{FF2B5EF4-FFF2-40B4-BE49-F238E27FC236}">
              <a16:creationId xmlns:a16="http://schemas.microsoft.com/office/drawing/2014/main" id="{EF334D57-8939-4D5D-BC09-41C35D417A63}"/>
            </a:ext>
          </a:extLst>
        </xdr:cNvPr>
        <xdr:cNvPicPr>
          <a:picLocks noChangeAspect="1"/>
        </xdr:cNvPicPr>
      </xdr:nvPicPr>
      <xdr:blipFill>
        <a:blip xmlns:r="http://schemas.openxmlformats.org/officeDocument/2006/relationships" r:embed="rId1" cstate="print"/>
        <a:srcRect/>
        <a:stretch>
          <a:fillRect/>
        </a:stretch>
      </xdr:blipFill>
      <xdr:spPr bwMode="auto">
        <a:xfrm>
          <a:off x="341216" y="116417"/>
          <a:ext cx="2430510" cy="722630"/>
        </a:xfrm>
        <a:prstGeom prst="rect">
          <a:avLst/>
        </a:prstGeom>
        <a:noFill/>
        <a:ln w="9525">
          <a:noFill/>
          <a:miter lim="800000"/>
          <a:headEnd/>
          <a:tailEnd/>
        </a:ln>
      </xdr:spPr>
    </xdr:pic>
    <xdr:clientData/>
  </xdr:twoCellAnchor>
  <xdr:twoCellAnchor editAs="oneCell">
    <xdr:from>
      <xdr:col>1</xdr:col>
      <xdr:colOff>825500</xdr:colOff>
      <xdr:row>47</xdr:row>
      <xdr:rowOff>15875</xdr:rowOff>
    </xdr:from>
    <xdr:to>
      <xdr:col>1</xdr:col>
      <xdr:colOff>2402766</xdr:colOff>
      <xdr:row>50</xdr:row>
      <xdr:rowOff>19050</xdr:rowOff>
    </xdr:to>
    <xdr:pic>
      <xdr:nvPicPr>
        <xdr:cNvPr id="3" name="Imagen 2" descr="Un insecto en un fondo blanco&#10;&#10;Descripción generada automáticamente">
          <a:extLst>
            <a:ext uri="{FF2B5EF4-FFF2-40B4-BE49-F238E27FC236}">
              <a16:creationId xmlns:a16="http://schemas.microsoft.com/office/drawing/2014/main" id="{6F601CC5-0132-45FB-AA06-5F311608717B}"/>
            </a:ext>
          </a:extLst>
        </xdr:cNvPr>
        <xdr:cNvPicPr>
          <a:picLocks noChangeAspect="1"/>
        </xdr:cNvPicPr>
      </xdr:nvPicPr>
      <xdr:blipFill>
        <a:blip xmlns:r="http://schemas.openxmlformats.org/officeDocument/2006/relationships" r:embed="rId2"/>
        <a:stretch>
          <a:fillRect/>
        </a:stretch>
      </xdr:blipFill>
      <xdr:spPr>
        <a:xfrm>
          <a:off x="920750" y="17446625"/>
          <a:ext cx="1577266" cy="7810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242156</xdr:colOff>
      <xdr:row>0</xdr:row>
      <xdr:rowOff>116417</xdr:rowOff>
    </xdr:from>
    <xdr:to>
      <xdr:col>1</xdr:col>
      <xdr:colOff>2672666</xdr:colOff>
      <xdr:row>4</xdr:row>
      <xdr:rowOff>84667</xdr:rowOff>
    </xdr:to>
    <xdr:pic>
      <xdr:nvPicPr>
        <xdr:cNvPr id="2" name="3 Imagen" descr="Logo de SDG.jpg">
          <a:extLst>
            <a:ext uri="{FF2B5EF4-FFF2-40B4-BE49-F238E27FC236}">
              <a16:creationId xmlns:a16="http://schemas.microsoft.com/office/drawing/2014/main" id="{A58AECFF-0DF1-488D-BA58-7A36DE67E914}"/>
            </a:ext>
          </a:extLst>
        </xdr:cNvPr>
        <xdr:cNvPicPr>
          <a:picLocks noChangeAspect="1"/>
        </xdr:cNvPicPr>
      </xdr:nvPicPr>
      <xdr:blipFill>
        <a:blip xmlns:r="http://schemas.openxmlformats.org/officeDocument/2006/relationships" r:embed="rId1" cstate="print"/>
        <a:srcRect/>
        <a:stretch>
          <a:fillRect/>
        </a:stretch>
      </xdr:blipFill>
      <xdr:spPr bwMode="auto">
        <a:xfrm>
          <a:off x="337406" y="116417"/>
          <a:ext cx="2430510" cy="749300"/>
        </a:xfrm>
        <a:prstGeom prst="rect">
          <a:avLst/>
        </a:prstGeom>
        <a:noFill/>
        <a:ln w="9525">
          <a:noFill/>
          <a:miter lim="800000"/>
          <a:headEnd/>
          <a:tailEnd/>
        </a:ln>
      </xdr:spPr>
    </xdr:pic>
    <xdr:clientData/>
  </xdr:twoCellAnchor>
  <xdr:twoCellAnchor editAs="oneCell">
    <xdr:from>
      <xdr:col>1</xdr:col>
      <xdr:colOff>809625</xdr:colOff>
      <xdr:row>46</xdr:row>
      <xdr:rowOff>190500</xdr:rowOff>
    </xdr:from>
    <xdr:to>
      <xdr:col>1</xdr:col>
      <xdr:colOff>2386891</xdr:colOff>
      <xdr:row>49</xdr:row>
      <xdr:rowOff>273050</xdr:rowOff>
    </xdr:to>
    <xdr:pic>
      <xdr:nvPicPr>
        <xdr:cNvPr id="3" name="Imagen 2" descr="Un insecto en un fondo blanco&#10;&#10;Descripción generada automáticamente">
          <a:extLst>
            <a:ext uri="{FF2B5EF4-FFF2-40B4-BE49-F238E27FC236}">
              <a16:creationId xmlns:a16="http://schemas.microsoft.com/office/drawing/2014/main" id="{359A8A7D-643C-4928-A2D5-CE4EA48FE710}"/>
            </a:ext>
          </a:extLst>
        </xdr:cNvPr>
        <xdr:cNvPicPr>
          <a:picLocks noChangeAspect="1"/>
        </xdr:cNvPicPr>
      </xdr:nvPicPr>
      <xdr:blipFill>
        <a:blip xmlns:r="http://schemas.openxmlformats.org/officeDocument/2006/relationships" r:embed="rId2"/>
        <a:stretch>
          <a:fillRect/>
        </a:stretch>
      </xdr:blipFill>
      <xdr:spPr>
        <a:xfrm>
          <a:off x="904875" y="15335250"/>
          <a:ext cx="1577266" cy="7810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242156</xdr:colOff>
      <xdr:row>0</xdr:row>
      <xdr:rowOff>116417</xdr:rowOff>
    </xdr:from>
    <xdr:to>
      <xdr:col>1</xdr:col>
      <xdr:colOff>2672666</xdr:colOff>
      <xdr:row>4</xdr:row>
      <xdr:rowOff>84667</xdr:rowOff>
    </xdr:to>
    <xdr:pic>
      <xdr:nvPicPr>
        <xdr:cNvPr id="2" name="3 Imagen" descr="Logo de SDG.jpg">
          <a:extLst>
            <a:ext uri="{FF2B5EF4-FFF2-40B4-BE49-F238E27FC236}">
              <a16:creationId xmlns:a16="http://schemas.microsoft.com/office/drawing/2014/main" id="{028116E2-F918-4A30-A53C-7C6C9E71BB9D}"/>
            </a:ext>
          </a:extLst>
        </xdr:cNvPr>
        <xdr:cNvPicPr>
          <a:picLocks noChangeAspect="1"/>
        </xdr:cNvPicPr>
      </xdr:nvPicPr>
      <xdr:blipFill>
        <a:blip xmlns:r="http://schemas.openxmlformats.org/officeDocument/2006/relationships" r:embed="rId1" cstate="print"/>
        <a:srcRect/>
        <a:stretch>
          <a:fillRect/>
        </a:stretch>
      </xdr:blipFill>
      <xdr:spPr bwMode="auto">
        <a:xfrm>
          <a:off x="341216" y="116417"/>
          <a:ext cx="2430510" cy="722630"/>
        </a:xfrm>
        <a:prstGeom prst="rect">
          <a:avLst/>
        </a:prstGeom>
        <a:noFill/>
        <a:ln w="9525">
          <a:noFill/>
          <a:miter lim="800000"/>
          <a:headEnd/>
          <a:tailEnd/>
        </a:ln>
      </xdr:spPr>
    </xdr:pic>
    <xdr:clientData/>
  </xdr:twoCellAnchor>
  <xdr:twoCellAnchor editAs="oneCell">
    <xdr:from>
      <xdr:col>1</xdr:col>
      <xdr:colOff>809625</xdr:colOff>
      <xdr:row>46</xdr:row>
      <xdr:rowOff>190500</xdr:rowOff>
    </xdr:from>
    <xdr:to>
      <xdr:col>1</xdr:col>
      <xdr:colOff>2386891</xdr:colOff>
      <xdr:row>49</xdr:row>
      <xdr:rowOff>273050</xdr:rowOff>
    </xdr:to>
    <xdr:pic>
      <xdr:nvPicPr>
        <xdr:cNvPr id="3" name="Imagen 2" descr="Un insecto en un fondo blanco&#10;&#10;Descripción generada automáticamente">
          <a:extLst>
            <a:ext uri="{FF2B5EF4-FFF2-40B4-BE49-F238E27FC236}">
              <a16:creationId xmlns:a16="http://schemas.microsoft.com/office/drawing/2014/main" id="{56BDD024-000D-4BA7-B70D-9DF12E6E65FC}"/>
            </a:ext>
          </a:extLst>
        </xdr:cNvPr>
        <xdr:cNvPicPr>
          <a:picLocks noChangeAspect="1"/>
        </xdr:cNvPicPr>
      </xdr:nvPicPr>
      <xdr:blipFill>
        <a:blip xmlns:r="http://schemas.openxmlformats.org/officeDocument/2006/relationships" r:embed="rId2"/>
        <a:stretch>
          <a:fillRect/>
        </a:stretch>
      </xdr:blipFill>
      <xdr:spPr>
        <a:xfrm>
          <a:off x="908685" y="15125700"/>
          <a:ext cx="1577266" cy="76073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242156</xdr:colOff>
      <xdr:row>0</xdr:row>
      <xdr:rowOff>116417</xdr:rowOff>
    </xdr:from>
    <xdr:to>
      <xdr:col>1</xdr:col>
      <xdr:colOff>2672666</xdr:colOff>
      <xdr:row>4</xdr:row>
      <xdr:rowOff>84667</xdr:rowOff>
    </xdr:to>
    <xdr:pic>
      <xdr:nvPicPr>
        <xdr:cNvPr id="2" name="3 Imagen" descr="Logo de SDG.jpg">
          <a:extLst>
            <a:ext uri="{FF2B5EF4-FFF2-40B4-BE49-F238E27FC236}">
              <a16:creationId xmlns:a16="http://schemas.microsoft.com/office/drawing/2014/main" id="{E9DEF9D8-EE8A-4D90-916B-7CDCC1E64736}"/>
            </a:ext>
          </a:extLst>
        </xdr:cNvPr>
        <xdr:cNvPicPr>
          <a:picLocks noChangeAspect="1"/>
        </xdr:cNvPicPr>
      </xdr:nvPicPr>
      <xdr:blipFill>
        <a:blip xmlns:r="http://schemas.openxmlformats.org/officeDocument/2006/relationships" r:embed="rId1" cstate="print"/>
        <a:srcRect/>
        <a:stretch>
          <a:fillRect/>
        </a:stretch>
      </xdr:blipFill>
      <xdr:spPr bwMode="auto">
        <a:xfrm>
          <a:off x="341216" y="116417"/>
          <a:ext cx="2430510" cy="722630"/>
        </a:xfrm>
        <a:prstGeom prst="rect">
          <a:avLst/>
        </a:prstGeom>
        <a:noFill/>
        <a:ln w="9525">
          <a:noFill/>
          <a:miter lim="800000"/>
          <a:headEnd/>
          <a:tailEnd/>
        </a:ln>
      </xdr:spPr>
    </xdr:pic>
    <xdr:clientData/>
  </xdr:twoCellAnchor>
  <xdr:twoCellAnchor editAs="oneCell">
    <xdr:from>
      <xdr:col>1</xdr:col>
      <xdr:colOff>809625</xdr:colOff>
      <xdr:row>46</xdr:row>
      <xdr:rowOff>190500</xdr:rowOff>
    </xdr:from>
    <xdr:to>
      <xdr:col>1</xdr:col>
      <xdr:colOff>2386891</xdr:colOff>
      <xdr:row>49</xdr:row>
      <xdr:rowOff>273050</xdr:rowOff>
    </xdr:to>
    <xdr:pic>
      <xdr:nvPicPr>
        <xdr:cNvPr id="3" name="Imagen 2" descr="Un insecto en un fondo blanco&#10;&#10;Descripción generada automáticamente">
          <a:extLst>
            <a:ext uri="{FF2B5EF4-FFF2-40B4-BE49-F238E27FC236}">
              <a16:creationId xmlns:a16="http://schemas.microsoft.com/office/drawing/2014/main" id="{2A7895FC-D475-4B76-8D18-02ADB36F1C99}"/>
            </a:ext>
          </a:extLst>
        </xdr:cNvPr>
        <xdr:cNvPicPr>
          <a:picLocks noChangeAspect="1"/>
        </xdr:cNvPicPr>
      </xdr:nvPicPr>
      <xdr:blipFill>
        <a:blip xmlns:r="http://schemas.openxmlformats.org/officeDocument/2006/relationships" r:embed="rId2"/>
        <a:stretch>
          <a:fillRect/>
        </a:stretch>
      </xdr:blipFill>
      <xdr:spPr>
        <a:xfrm>
          <a:off x="908685" y="15034260"/>
          <a:ext cx="1577266" cy="76073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Evaluaci&#243;n%20Indicadores%20Financieros%20FDLBOSACM-003-2022%20(71936)%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adores_Generales"/>
      <sheetName val="GCO-GCI-107_1 a 15"/>
      <sheetName val="GCO-GCI-107_16 a 30"/>
      <sheetName val="GCO-GCI-107_31 a 45"/>
      <sheetName val="GCO-GCI-107_46 a 60"/>
      <sheetName val="GCO-GCI-107_61 a 75"/>
      <sheetName val="GCO-GCI-107_76 a 90"/>
    </sheetNames>
    <sheetDataSet>
      <sheetData sheetId="0">
        <row r="4">
          <cell r="D4" t="str">
            <v>FDLBOSACM-003-2022 (71936)</v>
          </cell>
        </row>
        <row r="5">
          <cell r="D5">
            <v>649591038</v>
          </cell>
        </row>
        <row r="9">
          <cell r="C9" t="str">
            <v>Indice de Liquidez: (mín. 1, ) veces.</v>
          </cell>
        </row>
        <row r="10">
          <cell r="C10" t="str">
            <v>Endeudamiento total: (máx. 70,%).</v>
          </cell>
        </row>
        <row r="11">
          <cell r="C11" t="str">
            <v>Razon de Cobertura de Intereses (&gt;= a 1, veces) ó Indeterminado.</v>
          </cell>
        </row>
        <row r="12">
          <cell r="C12" t="str">
            <v>Capital de Trabajo ≥  A 37,5% del PPTO Oficial.</v>
          </cell>
          <cell r="D12">
            <v>0.375</v>
          </cell>
        </row>
        <row r="13">
          <cell r="C13" t="str">
            <v>Indicador  Rentabilidad del Patrimonio RP =&gt; AL 0%</v>
          </cell>
        </row>
        <row r="14">
          <cell r="C14" t="str">
            <v>Indicador  Rentabilidad del Activo RAct =&gt; AL 0%</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6.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20CA78-B0C9-4758-B90A-EA7F8213C0A0}">
  <sheetPr codeName="Hoja1">
    <pageSetUpPr fitToPage="1"/>
  </sheetPr>
  <dimension ref="A2:AG180"/>
  <sheetViews>
    <sheetView showGridLines="0" topLeftCell="D46" zoomScale="90" zoomScaleNormal="90" workbookViewId="0">
      <selection activeCell="AF87" sqref="AF87"/>
    </sheetView>
  </sheetViews>
  <sheetFormatPr baseColWidth="10" defaultColWidth="11.5703125" defaultRowHeight="15" x14ac:dyDescent="0.25"/>
  <cols>
    <col min="1" max="1" width="6.28515625" style="67" bestFit="1" customWidth="1"/>
    <col min="2" max="2" width="14.7109375" style="67" customWidth="1"/>
    <col min="3" max="3" width="55" style="67" bestFit="1" customWidth="1"/>
    <col min="4" max="4" width="13.85546875" style="67" customWidth="1"/>
    <col min="5" max="5" width="21.140625" style="67" customWidth="1"/>
    <col min="6" max="6" width="38.85546875" style="67" customWidth="1"/>
    <col min="7" max="7" width="16.42578125" style="67" customWidth="1"/>
    <col min="8" max="12" width="15.28515625" style="67" customWidth="1"/>
    <col min="13" max="13" width="16.140625" style="67" customWidth="1"/>
    <col min="14" max="14" width="15.28515625" style="67" customWidth="1"/>
    <col min="15" max="15" width="8.7109375" style="67" hidden="1" customWidth="1"/>
    <col min="16" max="16" width="11.5703125" style="67" hidden="1" customWidth="1"/>
    <col min="17" max="17" width="12.28515625" style="67" hidden="1" customWidth="1"/>
    <col min="18" max="19" width="11.5703125" style="67" hidden="1" customWidth="1"/>
    <col min="20" max="20" width="14.7109375" style="67" hidden="1" customWidth="1"/>
    <col min="21" max="21" width="13.85546875" style="67" hidden="1" customWidth="1"/>
    <col min="22" max="27" width="11.5703125" style="67" hidden="1" customWidth="1"/>
    <col min="28" max="28" width="13.42578125" style="67" customWidth="1"/>
    <col min="29" max="32" width="11.5703125" style="67"/>
    <col min="33" max="33" width="15.5703125" style="67" customWidth="1"/>
    <col min="34" max="16384" width="11.5703125" style="67"/>
  </cols>
  <sheetData>
    <row r="2" spans="1:33" ht="27" customHeight="1" x14ac:dyDescent="0.25">
      <c r="A2" s="145" t="str">
        <f>"DETALLE INDICADORES FINANCIEROS PROCESO "&amp;UPPER(D4)</f>
        <v>DETALLE INDICADORES FINANCIEROS PROCESO  FDLBOSACM-004-2022(71937)</v>
      </c>
      <c r="B2" s="145"/>
      <c r="C2" s="145"/>
      <c r="D2" s="145"/>
      <c r="E2" s="145"/>
      <c r="F2" s="145"/>
      <c r="G2" s="145"/>
      <c r="H2" s="145"/>
      <c r="I2" s="145"/>
      <c r="J2" s="145"/>
      <c r="K2" s="145"/>
      <c r="L2" s="145"/>
      <c r="M2" s="145"/>
      <c r="N2" s="145"/>
      <c r="O2" s="145"/>
      <c r="P2" s="145"/>
      <c r="Q2" s="145"/>
      <c r="R2" s="145"/>
      <c r="S2" s="145"/>
      <c r="T2" s="145"/>
      <c r="U2" s="145"/>
      <c r="V2" s="145"/>
      <c r="W2" s="145"/>
      <c r="X2" s="145"/>
      <c r="Y2" s="145"/>
      <c r="Z2" s="145"/>
      <c r="AA2" s="145"/>
      <c r="AB2" s="145"/>
      <c r="AC2" s="145"/>
      <c r="AD2" s="145"/>
      <c r="AE2" s="145"/>
      <c r="AF2" s="145"/>
      <c r="AG2" s="145"/>
    </row>
    <row r="3" spans="1:33" s="68" customFormat="1" ht="12.75" x14ac:dyDescent="0.2"/>
    <row r="4" spans="1:33" s="68" customFormat="1" ht="14.45" customHeight="1" x14ac:dyDescent="0.25">
      <c r="B4" s="152" t="s">
        <v>58</v>
      </c>
      <c r="C4" s="69" t="s">
        <v>43</v>
      </c>
      <c r="D4" s="148" t="s">
        <v>133</v>
      </c>
      <c r="E4" s="148"/>
      <c r="F4" s="148"/>
      <c r="H4" s="99"/>
      <c r="I4" s="99"/>
      <c r="J4" s="99"/>
      <c r="K4" s="99"/>
      <c r="L4" s="99"/>
    </row>
    <row r="5" spans="1:33" s="68" customFormat="1" x14ac:dyDescent="0.25">
      <c r="B5" s="152"/>
      <c r="C5" s="69" t="s">
        <v>49</v>
      </c>
      <c r="D5" s="149">
        <v>800053615</v>
      </c>
      <c r="E5" s="149"/>
      <c r="F5" s="149"/>
      <c r="G5" s="135">
        <f>+(D5/12)*3</f>
        <v>200013403.75</v>
      </c>
      <c r="H5" s="99"/>
      <c r="I5" s="136"/>
      <c r="J5" s="99"/>
      <c r="K5" s="99"/>
      <c r="L5" s="99"/>
    </row>
    <row r="6" spans="1:33" s="68" customFormat="1" ht="128.25" customHeight="1" x14ac:dyDescent="0.25">
      <c r="B6" s="152"/>
      <c r="C6" s="71" t="s">
        <v>52</v>
      </c>
      <c r="D6" s="147" t="s">
        <v>134</v>
      </c>
      <c r="E6" s="147"/>
      <c r="F6" s="147"/>
      <c r="G6" s="70"/>
      <c r="H6" s="104"/>
      <c r="I6" s="99"/>
      <c r="J6" s="99"/>
      <c r="K6" s="99"/>
      <c r="L6" s="99"/>
    </row>
    <row r="7" spans="1:33" s="68" customFormat="1" ht="12.75" x14ac:dyDescent="0.2">
      <c r="B7" s="152"/>
    </row>
    <row r="8" spans="1:33" s="68" customFormat="1" ht="14.45" customHeight="1" x14ac:dyDescent="0.2">
      <c r="B8" s="152"/>
      <c r="C8" s="72" t="s">
        <v>46</v>
      </c>
      <c r="D8" s="72" t="s">
        <v>56</v>
      </c>
      <c r="E8" s="73"/>
      <c r="H8" s="111"/>
    </row>
    <row r="9" spans="1:33" s="68" customFormat="1" ht="14.45" customHeight="1" x14ac:dyDescent="0.2">
      <c r="B9" s="152"/>
      <c r="C9" s="74" t="str">
        <f>"Indice de Liquidez: (mín. "&amp;TEXT(D9,"#,##")&amp;" ) veces."</f>
        <v>Indice de Liquidez: (mín. 1, ) veces.</v>
      </c>
      <c r="D9" s="61">
        <v>1</v>
      </c>
      <c r="E9" s="75"/>
    </row>
    <row r="10" spans="1:33" s="68" customFormat="1" ht="12.75" x14ac:dyDescent="0.2">
      <c r="B10" s="152"/>
      <c r="C10" s="74" t="str">
        <f>"Endeudamiento total: (máx. "&amp;TEXT((D10*100),"#,##")&amp;"%)."</f>
        <v>Endeudamiento total: (máx. 70,%).</v>
      </c>
      <c r="D10" s="61">
        <v>0.7</v>
      </c>
      <c r="E10" s="75"/>
    </row>
    <row r="11" spans="1:33" s="68" customFormat="1" ht="12.75" x14ac:dyDescent="0.2">
      <c r="B11" s="152"/>
      <c r="C11" s="74" t="str">
        <f>"Razon de Cobertura de Intereses (&gt;= a "&amp;TEXT(D11,"#,##")&amp;" veces) ó Indeterminado."</f>
        <v>Razon de Cobertura de Intereses (&gt;= a 1, veces) ó Indeterminado.</v>
      </c>
      <c r="D11" s="61">
        <v>1</v>
      </c>
      <c r="E11" s="75"/>
    </row>
    <row r="12" spans="1:33" s="68" customFormat="1" ht="12.75" x14ac:dyDescent="0.2">
      <c r="B12" s="152"/>
      <c r="C12" s="74" t="str">
        <f>"Capital de Trabajo ≥  A "&amp;TEXT(D12,"#,##%")&amp;" del PPTO Oficial."</f>
        <v>Capital de Trabajo ≥  A 25,% del PPTO Oficial.</v>
      </c>
      <c r="D12" s="61">
        <v>0.25</v>
      </c>
      <c r="E12" s="98">
        <f>+D5*D12</f>
        <v>200013403.75</v>
      </c>
    </row>
    <row r="13" spans="1:33" s="68" customFormat="1" ht="12.75" x14ac:dyDescent="0.2">
      <c r="B13" s="152"/>
      <c r="C13" s="74" t="str">
        <f>"Indicador  Rentabilidad del Patrimonio RP =&gt; AL "&amp;IF(D13=0,"0%",TEXT(D13,"#,##%"))</f>
        <v>Indicador  Rentabilidad del Patrimonio RP =&gt; AL 0%</v>
      </c>
      <c r="D13" s="61">
        <v>0</v>
      </c>
      <c r="E13" s="75"/>
    </row>
    <row r="14" spans="1:33" s="68" customFormat="1" ht="12.75" x14ac:dyDescent="0.2">
      <c r="B14" s="152"/>
      <c r="C14" s="74" t="str">
        <f>"Indicador  Rentabilidad del Activo RAct =&gt; AL "&amp;IF(D14=0,"0%",TEXT(D14,"#,##%"))</f>
        <v>Indicador  Rentabilidad del Activo RAct =&gt; AL 0%</v>
      </c>
      <c r="D14" s="61">
        <v>0</v>
      </c>
      <c r="E14" s="75"/>
    </row>
    <row r="15" spans="1:33" s="68" customFormat="1" ht="12.75" x14ac:dyDescent="0.2"/>
    <row r="16" spans="1:33" s="101" customFormat="1" ht="25.15" customHeight="1" x14ac:dyDescent="0.25">
      <c r="A16" s="100"/>
      <c r="B16" s="146" t="s">
        <v>59</v>
      </c>
      <c r="C16" s="146"/>
      <c r="D16" s="146"/>
      <c r="E16" s="146"/>
      <c r="F16" s="146"/>
      <c r="G16" s="146"/>
      <c r="H16" s="146"/>
      <c r="I16" s="146"/>
      <c r="J16" s="146"/>
      <c r="K16" s="146"/>
      <c r="L16" s="146"/>
      <c r="M16" s="146"/>
      <c r="N16" s="146"/>
      <c r="O16" s="151" t="s">
        <v>44</v>
      </c>
      <c r="P16" s="151"/>
      <c r="Q16" s="151"/>
      <c r="R16" s="151"/>
      <c r="S16" s="151"/>
      <c r="T16" s="151"/>
      <c r="U16" s="151" t="s">
        <v>50</v>
      </c>
      <c r="V16" s="151"/>
      <c r="W16" s="151"/>
      <c r="X16" s="151"/>
      <c r="Y16" s="151"/>
      <c r="Z16" s="151"/>
      <c r="AA16" s="151"/>
      <c r="AB16" s="150" t="s">
        <v>57</v>
      </c>
      <c r="AC16" s="150"/>
      <c r="AD16" s="150"/>
      <c r="AE16" s="150"/>
      <c r="AF16" s="150"/>
      <c r="AG16" s="150"/>
    </row>
    <row r="17" spans="1:33" s="96" customFormat="1" ht="61.9" customHeight="1" x14ac:dyDescent="0.25">
      <c r="A17" s="76" t="s">
        <v>17</v>
      </c>
      <c r="B17" s="76" t="s">
        <v>51</v>
      </c>
      <c r="C17" s="77" t="s">
        <v>47</v>
      </c>
      <c r="D17" s="77" t="s">
        <v>0</v>
      </c>
      <c r="E17" s="102" t="s">
        <v>45</v>
      </c>
      <c r="F17" s="78" t="s">
        <v>1</v>
      </c>
      <c r="G17" s="77" t="s">
        <v>3</v>
      </c>
      <c r="H17" s="79" t="s">
        <v>4</v>
      </c>
      <c r="I17" s="79" t="s">
        <v>6</v>
      </c>
      <c r="J17" s="79" t="s">
        <v>5</v>
      </c>
      <c r="K17" s="79" t="s">
        <v>7</v>
      </c>
      <c r="L17" s="79" t="s">
        <v>8</v>
      </c>
      <c r="M17" s="79" t="s">
        <v>9</v>
      </c>
      <c r="N17" s="79" t="s">
        <v>10</v>
      </c>
      <c r="O17" s="80" t="s">
        <v>11</v>
      </c>
      <c r="P17" s="80" t="s">
        <v>12</v>
      </c>
      <c r="Q17" s="80" t="s">
        <v>13</v>
      </c>
      <c r="R17" s="80" t="s">
        <v>14</v>
      </c>
      <c r="S17" s="80" t="s">
        <v>15</v>
      </c>
      <c r="T17" s="80" t="s">
        <v>16</v>
      </c>
      <c r="U17" s="81" t="str">
        <f>H17&amp;" X % PARTICIPACIÓN"</f>
        <v>ACTIVO CORRIENTE X % PARTICIPACIÓN</v>
      </c>
      <c r="V17" s="81" t="str">
        <f>J17&amp;" X % PARTICIPACIÓN"</f>
        <v>PASIVO CORRIENTE X % PARTICIPACIÓN</v>
      </c>
      <c r="W17" s="81" t="str">
        <f>I17&amp;" X % PARTICIPACIÓN"</f>
        <v>ACTIVO TOTAL X % PARTICIPACIÓN</v>
      </c>
      <c r="X17" s="81" t="str">
        <f t="shared" ref="X17:AA17" si="0">K17&amp;" X % PARTICIPACIÓN"</f>
        <v>PASIVO TOTAL X % PARTICIPACIÓN</v>
      </c>
      <c r="Y17" s="81" t="str">
        <f t="shared" si="0"/>
        <v>VALOR DEL PATRIMONIO X % PARTICIPACIÓN</v>
      </c>
      <c r="Z17" s="81" t="str">
        <f t="shared" si="0"/>
        <v>UTILIDAD X % PARTICIPACIÓN</v>
      </c>
      <c r="AA17" s="81" t="str">
        <f t="shared" si="0"/>
        <v>INTERESES X % PARTICIPACIÓN</v>
      </c>
      <c r="AB17" s="82" t="s">
        <v>11</v>
      </c>
      <c r="AC17" s="82" t="s">
        <v>12</v>
      </c>
      <c r="AD17" s="82" t="s">
        <v>13</v>
      </c>
      <c r="AE17" s="82" t="s">
        <v>14</v>
      </c>
      <c r="AF17" s="82" t="s">
        <v>15</v>
      </c>
      <c r="AG17" s="82" t="s">
        <v>16</v>
      </c>
    </row>
    <row r="18" spans="1:33" s="87" customFormat="1" ht="11.25" x14ac:dyDescent="0.2">
      <c r="A18" s="83">
        <v>1</v>
      </c>
      <c r="B18" s="62">
        <v>1</v>
      </c>
      <c r="C18" s="63" t="s">
        <v>135</v>
      </c>
      <c r="D18" s="63">
        <v>804012755</v>
      </c>
      <c r="E18" s="63">
        <v>2021</v>
      </c>
      <c r="F18" s="63" t="s">
        <v>135</v>
      </c>
      <c r="G18" s="64">
        <v>1</v>
      </c>
      <c r="H18" s="65">
        <v>4820015628</v>
      </c>
      <c r="I18" s="65">
        <v>5236581840</v>
      </c>
      <c r="J18" s="65">
        <v>237511652</v>
      </c>
      <c r="K18" s="65">
        <v>1760253849</v>
      </c>
      <c r="L18" s="65">
        <v>3476327991</v>
      </c>
      <c r="M18" s="66">
        <v>715304142</v>
      </c>
      <c r="N18" s="66">
        <v>128398575</v>
      </c>
      <c r="O18" s="85">
        <f t="shared" ref="O18" si="1">IFERROR(H18/J18,"")</f>
        <v>20.293807008676779</v>
      </c>
      <c r="P18" s="85">
        <f t="shared" ref="P18" si="2">IFERROR(K18/I18,"")</f>
        <v>0.33614558175223708</v>
      </c>
      <c r="Q18" s="85">
        <f>IFERROR(M18/N18,"")</f>
        <v>5.5709663600238555</v>
      </c>
      <c r="R18" s="85">
        <f>IFERROR(M18/L18,"")</f>
        <v>0.20576428457035084</v>
      </c>
      <c r="S18" s="85">
        <f t="shared" ref="S18" si="3">IFERROR(M18/I18,"")</f>
        <v>0.13659752942961739</v>
      </c>
      <c r="T18" s="84">
        <f t="shared" ref="T18" si="4">IFERROR(H18-J18,"")</f>
        <v>4582503976</v>
      </c>
      <c r="U18" s="86">
        <f t="shared" ref="U18" si="5">IF($B18="","",H18*$G18)</f>
        <v>4820015628</v>
      </c>
      <c r="V18" s="86">
        <f t="shared" ref="V18" si="6">IF($B18="","",J18*$G18)</f>
        <v>237511652</v>
      </c>
      <c r="W18" s="86">
        <f t="shared" ref="W18" si="7">IF($B18="","",I18*$G18)</f>
        <v>5236581840</v>
      </c>
      <c r="X18" s="86">
        <f t="shared" ref="X18" si="8">IF($B18="","",K18*$G18)</f>
        <v>1760253849</v>
      </c>
      <c r="Y18" s="86">
        <f t="shared" ref="Y18" si="9">IF($B18="","",L18*$G18)</f>
        <v>3476327991</v>
      </c>
      <c r="Z18" s="86">
        <f t="shared" ref="Z18" si="10">IF($B18="","",M18*$G18)</f>
        <v>715304142</v>
      </c>
      <c r="AA18" s="86">
        <f t="shared" ref="AA18" si="11">IF($B18="","",N18*$G18)</f>
        <v>128398575</v>
      </c>
      <c r="AB18" s="138">
        <f t="shared" ref="AB18:AB49" si="12">IF(J18="","",IFERROR(SUMIFS($U:$U,$B:$B,B18)/SUMIFS($V:$V,$B:$B,B18),"Indeterminado"))</f>
        <v>20.293807008676779</v>
      </c>
      <c r="AC18" s="137">
        <f t="shared" ref="AC18:AC49" si="13">IFERROR(SUMIFS($X:$X,$B:$B,B18)/SUMIFS(W:W,$B:$B,B18),"")</f>
        <v>0.33614558175223708</v>
      </c>
      <c r="AD18" s="139">
        <f t="shared" ref="AD18:AD49" si="14">IF(OR(B18="",H18=""),"",IFERROR(SUMIFS($Z:$Z,$B:$B,B18)/SUMIFS($AA:$AA,$B:$B,B18),"Indeterminado"))</f>
        <v>5.5709663600238555</v>
      </c>
      <c r="AE18" s="137">
        <f t="shared" ref="AE18:AE49" si="15">IFERROR(SUMIFS($Z:$Z,$B:$B,B18)/SUMIFS($Y:$Y,$B:$B,B18),"")</f>
        <v>0.20576428457035084</v>
      </c>
      <c r="AF18" s="137">
        <f t="shared" ref="AF18:AF49" si="16">IFERROR(SUMIFS($Z:$Z,$B:$B,B18)/SUMIFS($W:$W,$B:$B,B18),"")</f>
        <v>0.13659752942961739</v>
      </c>
      <c r="AG18" s="103">
        <f t="shared" ref="AG18:AG49" si="17">IFERROR(IF(T18=0,"",SUMIFS($T:$T,$B:$B,B18)),"")</f>
        <v>4582503976</v>
      </c>
    </row>
    <row r="19" spans="1:33" s="87" customFormat="1" ht="11.25" x14ac:dyDescent="0.2">
      <c r="A19" s="83">
        <v>2</v>
      </c>
      <c r="B19" s="134">
        <v>2</v>
      </c>
      <c r="C19" s="112" t="s">
        <v>136</v>
      </c>
      <c r="D19" s="112">
        <v>901286572</v>
      </c>
      <c r="E19" s="112">
        <v>2021</v>
      </c>
      <c r="F19" s="112" t="s">
        <v>136</v>
      </c>
      <c r="G19" s="113">
        <v>1</v>
      </c>
      <c r="H19" s="65">
        <v>680485318</v>
      </c>
      <c r="I19" s="65">
        <v>680485318</v>
      </c>
      <c r="J19" s="65">
        <v>264354718</v>
      </c>
      <c r="K19" s="65">
        <v>264354718</v>
      </c>
      <c r="L19" s="65">
        <v>416130600</v>
      </c>
      <c r="M19" s="66">
        <v>81880663</v>
      </c>
      <c r="N19" s="66">
        <v>5607667</v>
      </c>
      <c r="O19" s="85">
        <f t="shared" ref="O19:O82" si="18">IFERROR(H19/J19,"")</f>
        <v>2.5741372166469145</v>
      </c>
      <c r="P19" s="85">
        <f t="shared" ref="P19:P82" si="19">IFERROR(K19/I19,"")</f>
        <v>0.38847967914570053</v>
      </c>
      <c r="Q19" s="85">
        <f t="shared" ref="Q19:Q82" si="20">IFERROR(M19/N19,"")</f>
        <v>14.601555869847479</v>
      </c>
      <c r="R19" s="85">
        <f t="shared" ref="R19:R82" si="21">IFERROR(M19/L19,"")</f>
        <v>0.19676674342141626</v>
      </c>
      <c r="S19" s="85">
        <f t="shared" ref="S19:S82" si="22">IFERROR(M19/I19,"")</f>
        <v>0.12032686207052008</v>
      </c>
      <c r="T19" s="84">
        <f t="shared" ref="T19:T82" si="23">IFERROR(H19-J19,"")</f>
        <v>416130600</v>
      </c>
      <c r="U19" s="86">
        <f t="shared" ref="U19:U82" si="24">IF($B19="","",H19*$G19)</f>
        <v>680485318</v>
      </c>
      <c r="V19" s="86">
        <f t="shared" ref="V19:V82" si="25">IF($B19="","",J19*$G19)</f>
        <v>264354718</v>
      </c>
      <c r="W19" s="86">
        <f t="shared" ref="W19:W82" si="26">IF($B19="","",I19*$G19)</f>
        <v>680485318</v>
      </c>
      <c r="X19" s="86">
        <f t="shared" ref="X19:X82" si="27">IF($B19="","",K19*$G19)</f>
        <v>264354718</v>
      </c>
      <c r="Y19" s="86">
        <f t="shared" ref="Y19:Y82" si="28">IF($B19="","",L19*$G19)</f>
        <v>416130600</v>
      </c>
      <c r="Z19" s="86">
        <f t="shared" ref="Z19:Z82" si="29">IF($B19="","",M19*$G19)</f>
        <v>81880663</v>
      </c>
      <c r="AA19" s="86">
        <f t="shared" ref="AA19:AA82" si="30">IF($B19="","",N19*$G19)</f>
        <v>5607667</v>
      </c>
      <c r="AB19" s="138">
        <f t="shared" si="12"/>
        <v>2.5741372166469145</v>
      </c>
      <c r="AC19" s="137">
        <f t="shared" si="13"/>
        <v>0.38847967914570053</v>
      </c>
      <c r="AD19" s="139">
        <f t="shared" si="14"/>
        <v>14.601555869847479</v>
      </c>
      <c r="AE19" s="137">
        <f t="shared" si="15"/>
        <v>0.19676674342141626</v>
      </c>
      <c r="AF19" s="137">
        <f t="shared" si="16"/>
        <v>0.12032686207052008</v>
      </c>
      <c r="AG19" s="103">
        <f t="shared" si="17"/>
        <v>416130600</v>
      </c>
    </row>
    <row r="20" spans="1:33" s="87" customFormat="1" ht="11.25" x14ac:dyDescent="0.2">
      <c r="A20" s="83">
        <v>3</v>
      </c>
      <c r="B20" s="134">
        <v>3</v>
      </c>
      <c r="C20" s="112" t="s">
        <v>68</v>
      </c>
      <c r="D20" s="112">
        <v>860509943</v>
      </c>
      <c r="E20" s="112">
        <v>2020</v>
      </c>
      <c r="F20" s="112" t="s">
        <v>68</v>
      </c>
      <c r="G20" s="113">
        <v>1</v>
      </c>
      <c r="H20" s="65">
        <v>2106100738</v>
      </c>
      <c r="I20" s="65">
        <v>3240135572</v>
      </c>
      <c r="J20" s="65">
        <v>223352757</v>
      </c>
      <c r="K20" s="65">
        <v>1799680207</v>
      </c>
      <c r="L20" s="65">
        <v>1440455365</v>
      </c>
      <c r="M20" s="66">
        <v>446836579</v>
      </c>
      <c r="N20" s="66">
        <v>58621899</v>
      </c>
      <c r="O20" s="85">
        <f t="shared" si="18"/>
        <v>9.4294817144343561</v>
      </c>
      <c r="P20" s="85">
        <f t="shared" si="19"/>
        <v>0.55543361288710913</v>
      </c>
      <c r="Q20" s="85">
        <f t="shared" si="20"/>
        <v>7.622349098585155</v>
      </c>
      <c r="R20" s="85">
        <f t="shared" si="21"/>
        <v>0.3102050850426733</v>
      </c>
      <c r="S20" s="85">
        <f t="shared" si="22"/>
        <v>0.13790675392146831</v>
      </c>
      <c r="T20" s="84">
        <f t="shared" si="23"/>
        <v>1882747981</v>
      </c>
      <c r="U20" s="86">
        <f t="shared" si="24"/>
        <v>2106100738</v>
      </c>
      <c r="V20" s="86">
        <f t="shared" si="25"/>
        <v>223352757</v>
      </c>
      <c r="W20" s="86">
        <f t="shared" si="26"/>
        <v>3240135572</v>
      </c>
      <c r="X20" s="86">
        <f t="shared" si="27"/>
        <v>1799680207</v>
      </c>
      <c r="Y20" s="86">
        <f t="shared" si="28"/>
        <v>1440455365</v>
      </c>
      <c r="Z20" s="86">
        <f t="shared" si="29"/>
        <v>446836579</v>
      </c>
      <c r="AA20" s="86">
        <f t="shared" si="30"/>
        <v>58621899</v>
      </c>
      <c r="AB20" s="138">
        <f t="shared" si="12"/>
        <v>9.4294817144343561</v>
      </c>
      <c r="AC20" s="137">
        <f t="shared" si="13"/>
        <v>0.55543361288710913</v>
      </c>
      <c r="AD20" s="139">
        <f t="shared" si="14"/>
        <v>7.622349098585155</v>
      </c>
      <c r="AE20" s="137">
        <f t="shared" si="15"/>
        <v>0.3102050850426733</v>
      </c>
      <c r="AF20" s="137">
        <f t="shared" si="16"/>
        <v>0.13790675392146831</v>
      </c>
      <c r="AG20" s="103">
        <f t="shared" si="17"/>
        <v>1882747981</v>
      </c>
    </row>
    <row r="21" spans="1:33" s="87" customFormat="1" ht="11.25" x14ac:dyDescent="0.2">
      <c r="A21" s="83">
        <v>4</v>
      </c>
      <c r="B21" s="134">
        <v>4</v>
      </c>
      <c r="C21" s="112" t="s">
        <v>137</v>
      </c>
      <c r="D21" s="112">
        <v>830087225</v>
      </c>
      <c r="E21" s="112">
        <v>2021</v>
      </c>
      <c r="F21" s="112" t="s">
        <v>137</v>
      </c>
      <c r="G21" s="113">
        <v>1</v>
      </c>
      <c r="H21" s="65">
        <v>4136257451</v>
      </c>
      <c r="I21" s="65">
        <v>4684320284</v>
      </c>
      <c r="J21" s="65">
        <v>1009599294</v>
      </c>
      <c r="K21" s="65">
        <v>2189984072</v>
      </c>
      <c r="L21" s="65">
        <v>2494336212</v>
      </c>
      <c r="M21" s="66">
        <v>1005374063</v>
      </c>
      <c r="N21" s="66">
        <v>93713114</v>
      </c>
      <c r="O21" s="85">
        <f t="shared" si="18"/>
        <v>4.0969298171874513</v>
      </c>
      <c r="P21" s="85">
        <f t="shared" si="19"/>
        <v>0.46751373501940502</v>
      </c>
      <c r="Q21" s="85">
        <f t="shared" si="20"/>
        <v>10.728211027114092</v>
      </c>
      <c r="R21" s="85">
        <f t="shared" si="21"/>
        <v>0.40306277003206176</v>
      </c>
      <c r="S21" s="85">
        <f t="shared" si="22"/>
        <v>0.21462538896710506</v>
      </c>
      <c r="T21" s="84">
        <f t="shared" si="23"/>
        <v>3126658157</v>
      </c>
      <c r="U21" s="86">
        <f t="shared" si="24"/>
        <v>4136257451</v>
      </c>
      <c r="V21" s="86">
        <f t="shared" si="25"/>
        <v>1009599294</v>
      </c>
      <c r="W21" s="86">
        <f t="shared" si="26"/>
        <v>4684320284</v>
      </c>
      <c r="X21" s="86">
        <f t="shared" si="27"/>
        <v>2189984072</v>
      </c>
      <c r="Y21" s="86">
        <f t="shared" si="28"/>
        <v>2494336212</v>
      </c>
      <c r="Z21" s="86">
        <f t="shared" si="29"/>
        <v>1005374063</v>
      </c>
      <c r="AA21" s="86">
        <f t="shared" si="30"/>
        <v>93713114</v>
      </c>
      <c r="AB21" s="138">
        <f t="shared" si="12"/>
        <v>4.0969298171874513</v>
      </c>
      <c r="AC21" s="137">
        <f t="shared" si="13"/>
        <v>0.46751373501940502</v>
      </c>
      <c r="AD21" s="139">
        <f t="shared" si="14"/>
        <v>10.728211027114092</v>
      </c>
      <c r="AE21" s="137">
        <f t="shared" si="15"/>
        <v>0.40306277003206176</v>
      </c>
      <c r="AF21" s="137">
        <f t="shared" si="16"/>
        <v>0.21462538896710506</v>
      </c>
      <c r="AG21" s="103">
        <f t="shared" si="17"/>
        <v>3126658157</v>
      </c>
    </row>
    <row r="22" spans="1:33" s="87" customFormat="1" ht="11.25" x14ac:dyDescent="0.2">
      <c r="A22" s="83">
        <v>5</v>
      </c>
      <c r="B22" s="134">
        <v>5</v>
      </c>
      <c r="C22" s="112" t="s">
        <v>84</v>
      </c>
      <c r="D22" s="112">
        <v>890116722</v>
      </c>
      <c r="E22" s="112">
        <v>2021</v>
      </c>
      <c r="F22" s="112" t="s">
        <v>138</v>
      </c>
      <c r="G22" s="113">
        <v>0.5</v>
      </c>
      <c r="H22" s="65">
        <v>20679357000</v>
      </c>
      <c r="I22" s="65">
        <v>22510454000</v>
      </c>
      <c r="J22" s="65">
        <v>3319495000</v>
      </c>
      <c r="K22" s="65">
        <v>4996135000</v>
      </c>
      <c r="L22" s="65">
        <v>17714319000</v>
      </c>
      <c r="M22" s="66">
        <v>3708161000</v>
      </c>
      <c r="N22" s="66">
        <v>66471000</v>
      </c>
      <c r="O22" s="85">
        <f t="shared" si="18"/>
        <v>6.2296695732332781</v>
      </c>
      <c r="P22" s="85">
        <f t="shared" si="19"/>
        <v>0.22194732278611529</v>
      </c>
      <c r="Q22" s="85">
        <f t="shared" si="20"/>
        <v>55.786147342450093</v>
      </c>
      <c r="R22" s="85">
        <f t="shared" si="21"/>
        <v>0.20933127601461846</v>
      </c>
      <c r="S22" s="85">
        <f t="shared" si="22"/>
        <v>0.16473061804972924</v>
      </c>
      <c r="T22" s="84">
        <f t="shared" si="23"/>
        <v>17359862000</v>
      </c>
      <c r="U22" s="86">
        <f t="shared" si="24"/>
        <v>10339678500</v>
      </c>
      <c r="V22" s="86">
        <f t="shared" si="25"/>
        <v>1659747500</v>
      </c>
      <c r="W22" s="86">
        <f t="shared" si="26"/>
        <v>11255227000</v>
      </c>
      <c r="X22" s="86">
        <f t="shared" si="27"/>
        <v>2498067500</v>
      </c>
      <c r="Y22" s="86">
        <f t="shared" si="28"/>
        <v>8857159500</v>
      </c>
      <c r="Z22" s="86">
        <f t="shared" si="29"/>
        <v>1854080500</v>
      </c>
      <c r="AA22" s="86">
        <f t="shared" si="30"/>
        <v>33235500</v>
      </c>
      <c r="AB22" s="138">
        <f t="shared" si="12"/>
        <v>6.4618506303008365</v>
      </c>
      <c r="AC22" s="137">
        <f t="shared" si="13"/>
        <v>0.20849228988379823</v>
      </c>
      <c r="AD22" s="139">
        <f t="shared" si="14"/>
        <v>10.931910352714308</v>
      </c>
      <c r="AE22" s="137">
        <f t="shared" si="15"/>
        <v>0.23120058448597233</v>
      </c>
      <c r="AF22" s="137">
        <f t="shared" si="16"/>
        <v>0.18474931124600477</v>
      </c>
      <c r="AG22" s="103">
        <f t="shared" si="17"/>
        <v>20328311234</v>
      </c>
    </row>
    <row r="23" spans="1:33" s="87" customFormat="1" ht="11.25" x14ac:dyDescent="0.2">
      <c r="A23" s="83">
        <v>6</v>
      </c>
      <c r="B23" s="134">
        <v>5</v>
      </c>
      <c r="C23" s="112" t="s">
        <v>61</v>
      </c>
      <c r="D23" s="112">
        <v>890115120</v>
      </c>
      <c r="E23" s="112">
        <v>2021</v>
      </c>
      <c r="F23" s="112" t="s">
        <v>138</v>
      </c>
      <c r="G23" s="113">
        <v>0.5</v>
      </c>
      <c r="H23" s="65">
        <v>3370826656</v>
      </c>
      <c r="I23" s="65">
        <v>3878299642</v>
      </c>
      <c r="J23" s="65">
        <v>402377422</v>
      </c>
      <c r="K23" s="65">
        <v>505716674</v>
      </c>
      <c r="L23" s="65">
        <v>3372582968</v>
      </c>
      <c r="M23" s="66">
        <v>1167143060</v>
      </c>
      <c r="N23" s="66">
        <v>379499000</v>
      </c>
      <c r="O23" s="85">
        <f t="shared" si="18"/>
        <v>8.3772758402930467</v>
      </c>
      <c r="P23" s="85">
        <f t="shared" si="19"/>
        <v>0.13039649348475998</v>
      </c>
      <c r="Q23" s="85">
        <f t="shared" si="20"/>
        <v>3.0754838879680841</v>
      </c>
      <c r="R23" s="85">
        <f t="shared" si="21"/>
        <v>0.34606800516819786</v>
      </c>
      <c r="S23" s="85">
        <f t="shared" si="22"/>
        <v>0.30094195078699904</v>
      </c>
      <c r="T23" s="84">
        <f t="shared" si="23"/>
        <v>2968449234</v>
      </c>
      <c r="U23" s="86">
        <f t="shared" si="24"/>
        <v>1685413328</v>
      </c>
      <c r="V23" s="86">
        <f t="shared" si="25"/>
        <v>201188711</v>
      </c>
      <c r="W23" s="86">
        <f t="shared" si="26"/>
        <v>1939149821</v>
      </c>
      <c r="X23" s="86">
        <f t="shared" si="27"/>
        <v>252858337</v>
      </c>
      <c r="Y23" s="86">
        <f t="shared" si="28"/>
        <v>1686291484</v>
      </c>
      <c r="Z23" s="86">
        <f t="shared" si="29"/>
        <v>583571530</v>
      </c>
      <c r="AA23" s="86">
        <f t="shared" si="30"/>
        <v>189749500</v>
      </c>
      <c r="AB23" s="138">
        <f t="shared" si="12"/>
        <v>6.4618506303008365</v>
      </c>
      <c r="AC23" s="137">
        <f t="shared" si="13"/>
        <v>0.20849228988379823</v>
      </c>
      <c r="AD23" s="139">
        <f t="shared" si="14"/>
        <v>10.931910352714308</v>
      </c>
      <c r="AE23" s="137">
        <f t="shared" si="15"/>
        <v>0.23120058448597233</v>
      </c>
      <c r="AF23" s="137">
        <f t="shared" si="16"/>
        <v>0.18474931124600477</v>
      </c>
      <c r="AG23" s="103">
        <f t="shared" si="17"/>
        <v>20328311234</v>
      </c>
    </row>
    <row r="24" spans="1:33" s="87" customFormat="1" ht="11.25" x14ac:dyDescent="0.2">
      <c r="A24" s="83">
        <v>7</v>
      </c>
      <c r="B24" s="134">
        <v>6</v>
      </c>
      <c r="C24" s="112" t="s">
        <v>139</v>
      </c>
      <c r="D24" s="112">
        <v>830076603</v>
      </c>
      <c r="E24" s="112">
        <v>2021</v>
      </c>
      <c r="F24" s="112" t="s">
        <v>121</v>
      </c>
      <c r="G24" s="113">
        <v>0.95</v>
      </c>
      <c r="H24" s="65">
        <v>2618046618</v>
      </c>
      <c r="I24" s="65">
        <v>4283281506</v>
      </c>
      <c r="J24" s="65">
        <v>1253176213</v>
      </c>
      <c r="K24" s="65">
        <v>1263160163</v>
      </c>
      <c r="L24" s="65">
        <v>3020121343</v>
      </c>
      <c r="M24" s="66">
        <v>568780025</v>
      </c>
      <c r="N24" s="66">
        <v>2903637</v>
      </c>
      <c r="O24" s="85">
        <f t="shared" si="18"/>
        <v>2.089128879754758</v>
      </c>
      <c r="P24" s="85">
        <f t="shared" si="19"/>
        <v>0.2949047736485616</v>
      </c>
      <c r="Q24" s="85">
        <f t="shared" si="20"/>
        <v>195.88537582349309</v>
      </c>
      <c r="R24" s="85">
        <f t="shared" si="21"/>
        <v>0.18833018955291692</v>
      </c>
      <c r="S24" s="85">
        <f t="shared" si="22"/>
        <v>0.13279071763162326</v>
      </c>
      <c r="T24" s="84">
        <f t="shared" si="23"/>
        <v>1364870405</v>
      </c>
      <c r="U24" s="86">
        <f t="shared" si="24"/>
        <v>2487144287.0999999</v>
      </c>
      <c r="V24" s="86">
        <f t="shared" si="25"/>
        <v>1190517402.3499999</v>
      </c>
      <c r="W24" s="86">
        <f t="shared" si="26"/>
        <v>4069117430.6999998</v>
      </c>
      <c r="X24" s="86">
        <f t="shared" si="27"/>
        <v>1200002154.8499999</v>
      </c>
      <c r="Y24" s="86">
        <f t="shared" si="28"/>
        <v>2869115275.8499999</v>
      </c>
      <c r="Z24" s="86">
        <f t="shared" si="29"/>
        <v>540341023.75</v>
      </c>
      <c r="AA24" s="86">
        <f t="shared" si="30"/>
        <v>2758455.15</v>
      </c>
      <c r="AB24" s="138">
        <f t="shared" si="12"/>
        <v>2.0868573592888029</v>
      </c>
      <c r="AC24" s="137">
        <f t="shared" si="13"/>
        <v>0.2966493190614316</v>
      </c>
      <c r="AD24" s="139">
        <f t="shared" si="14"/>
        <v>196.48974570059625</v>
      </c>
      <c r="AE24" s="137">
        <f t="shared" si="15"/>
        <v>0.1884039250128281</v>
      </c>
      <c r="AF24" s="137">
        <f t="shared" si="16"/>
        <v>0.13251402894927164</v>
      </c>
      <c r="AG24" s="103">
        <f t="shared" si="17"/>
        <v>1555298951</v>
      </c>
    </row>
    <row r="25" spans="1:33" s="87" customFormat="1" ht="11.25" x14ac:dyDescent="0.2">
      <c r="A25" s="83">
        <v>8</v>
      </c>
      <c r="B25" s="134">
        <v>6</v>
      </c>
      <c r="C25" s="112" t="s">
        <v>122</v>
      </c>
      <c r="D25" s="112">
        <v>900804544</v>
      </c>
      <c r="E25" s="112">
        <v>2021</v>
      </c>
      <c r="F25" s="112" t="s">
        <v>121</v>
      </c>
      <c r="G25" s="113">
        <v>0.05</v>
      </c>
      <c r="H25" s="65">
        <v>415402170</v>
      </c>
      <c r="I25" s="65">
        <v>421541170</v>
      </c>
      <c r="J25" s="65">
        <v>224973624</v>
      </c>
      <c r="K25" s="65">
        <v>267025104</v>
      </c>
      <c r="L25" s="65">
        <v>154516066</v>
      </c>
      <c r="M25" s="66">
        <v>33342544</v>
      </c>
      <c r="N25" s="66">
        <v>0</v>
      </c>
      <c r="O25" s="85">
        <f t="shared" si="18"/>
        <v>1.8464483196483512</v>
      </c>
      <c r="P25" s="85">
        <f t="shared" si="19"/>
        <v>0.63344964383905844</v>
      </c>
      <c r="Q25" s="85" t="str">
        <f t="shared" si="20"/>
        <v/>
      </c>
      <c r="R25" s="85">
        <f t="shared" si="21"/>
        <v>0.21578690723332292</v>
      </c>
      <c r="S25" s="85">
        <f t="shared" si="22"/>
        <v>7.9096767701242562E-2</v>
      </c>
      <c r="T25" s="84">
        <f t="shared" si="23"/>
        <v>190428546</v>
      </c>
      <c r="U25" s="86">
        <f t="shared" si="24"/>
        <v>20770108.5</v>
      </c>
      <c r="V25" s="86">
        <f t="shared" si="25"/>
        <v>11248681.200000001</v>
      </c>
      <c r="W25" s="86">
        <f t="shared" si="26"/>
        <v>21077058.5</v>
      </c>
      <c r="X25" s="86">
        <f t="shared" si="27"/>
        <v>13351255.200000001</v>
      </c>
      <c r="Y25" s="86">
        <f t="shared" si="28"/>
        <v>7725803.3000000007</v>
      </c>
      <c r="Z25" s="86">
        <f t="shared" si="29"/>
        <v>1667127.2000000002</v>
      </c>
      <c r="AA25" s="86">
        <f t="shared" si="30"/>
        <v>0</v>
      </c>
      <c r="AB25" s="138">
        <f t="shared" si="12"/>
        <v>2.0868573592888029</v>
      </c>
      <c r="AC25" s="137">
        <f t="shared" si="13"/>
        <v>0.2966493190614316</v>
      </c>
      <c r="AD25" s="139">
        <f t="shared" si="14"/>
        <v>196.48974570059625</v>
      </c>
      <c r="AE25" s="137">
        <f t="shared" si="15"/>
        <v>0.1884039250128281</v>
      </c>
      <c r="AF25" s="137">
        <f t="shared" si="16"/>
        <v>0.13251402894927164</v>
      </c>
      <c r="AG25" s="103">
        <f t="shared" si="17"/>
        <v>1555298951</v>
      </c>
    </row>
    <row r="26" spans="1:33" s="87" customFormat="1" ht="11.25" x14ac:dyDescent="0.2">
      <c r="A26" s="83">
        <v>9</v>
      </c>
      <c r="B26" s="134">
        <v>7</v>
      </c>
      <c r="C26" s="112" t="s">
        <v>140</v>
      </c>
      <c r="D26" s="112">
        <v>830010109</v>
      </c>
      <c r="E26" s="112">
        <v>2021</v>
      </c>
      <c r="F26" s="112" t="s">
        <v>101</v>
      </c>
      <c r="G26" s="113">
        <v>0.95</v>
      </c>
      <c r="H26" s="65">
        <v>5764687191</v>
      </c>
      <c r="I26" s="65">
        <v>5801720388</v>
      </c>
      <c r="J26" s="65">
        <v>739008704</v>
      </c>
      <c r="K26" s="65">
        <v>739008704</v>
      </c>
      <c r="L26" s="65">
        <v>5062711684</v>
      </c>
      <c r="M26" s="66">
        <v>3072897258</v>
      </c>
      <c r="N26" s="66">
        <v>48440</v>
      </c>
      <c r="O26" s="85">
        <f t="shared" si="18"/>
        <v>7.8005673814093539</v>
      </c>
      <c r="P26" s="85">
        <f t="shared" si="19"/>
        <v>0.12737751125140917</v>
      </c>
      <c r="Q26" s="85">
        <f t="shared" si="20"/>
        <v>63437.185342691992</v>
      </c>
      <c r="R26" s="85">
        <f t="shared" si="21"/>
        <v>0.60696667118363989</v>
      </c>
      <c r="S26" s="85">
        <f t="shared" si="22"/>
        <v>0.52965276719571541</v>
      </c>
      <c r="T26" s="84">
        <f t="shared" si="23"/>
        <v>5025678487</v>
      </c>
      <c r="U26" s="86">
        <f t="shared" si="24"/>
        <v>5476452831.4499998</v>
      </c>
      <c r="V26" s="86">
        <f t="shared" si="25"/>
        <v>702058268.79999995</v>
      </c>
      <c r="W26" s="86">
        <f t="shared" si="26"/>
        <v>5511634368.5999994</v>
      </c>
      <c r="X26" s="86">
        <f t="shared" si="27"/>
        <v>702058268.79999995</v>
      </c>
      <c r="Y26" s="86">
        <f t="shared" si="28"/>
        <v>4809576099.8000002</v>
      </c>
      <c r="Z26" s="86">
        <f t="shared" si="29"/>
        <v>2919252395.0999999</v>
      </c>
      <c r="AA26" s="86">
        <f t="shared" si="30"/>
        <v>46018</v>
      </c>
      <c r="AB26" s="138">
        <f t="shared" si="12"/>
        <v>7.9222227182519713</v>
      </c>
      <c r="AC26" s="137">
        <f t="shared" si="13"/>
        <v>0.13490759376029227</v>
      </c>
      <c r="AD26" s="139">
        <f t="shared" si="14"/>
        <v>1169.697530784495</v>
      </c>
      <c r="AE26" s="137">
        <f t="shared" si="15"/>
        <v>0.58901233511359374</v>
      </c>
      <c r="AF26" s="137">
        <f t="shared" si="16"/>
        <v>0.5095500982882879</v>
      </c>
      <c r="AG26" s="103">
        <f t="shared" si="17"/>
        <v>6851206710</v>
      </c>
    </row>
    <row r="27" spans="1:33" s="87" customFormat="1" ht="11.25" x14ac:dyDescent="0.2">
      <c r="A27" s="83">
        <v>10</v>
      </c>
      <c r="B27" s="134">
        <v>7</v>
      </c>
      <c r="C27" s="112" t="s">
        <v>102</v>
      </c>
      <c r="D27" s="112">
        <v>79383524</v>
      </c>
      <c r="E27" s="112">
        <v>2021</v>
      </c>
      <c r="F27" s="112" t="s">
        <v>101</v>
      </c>
      <c r="G27" s="113">
        <v>0.05</v>
      </c>
      <c r="H27" s="65">
        <v>1842480223</v>
      </c>
      <c r="I27" s="65">
        <v>6039907682</v>
      </c>
      <c r="J27" s="65">
        <v>16952000</v>
      </c>
      <c r="K27" s="65">
        <v>1644890643</v>
      </c>
      <c r="L27" s="65">
        <v>4395017039</v>
      </c>
      <c r="M27" s="66">
        <v>861664336</v>
      </c>
      <c r="N27" s="66">
        <v>49730950</v>
      </c>
      <c r="O27" s="85">
        <f t="shared" si="18"/>
        <v>108.68807356064181</v>
      </c>
      <c r="P27" s="85">
        <f t="shared" si="19"/>
        <v>0.27233705043242085</v>
      </c>
      <c r="Q27" s="85">
        <f t="shared" si="20"/>
        <v>17.326520728037572</v>
      </c>
      <c r="R27" s="85">
        <f t="shared" si="21"/>
        <v>0.19605483399810775</v>
      </c>
      <c r="S27" s="85">
        <f t="shared" si="22"/>
        <v>0.14266183878404518</v>
      </c>
      <c r="T27" s="84">
        <f t="shared" si="23"/>
        <v>1825528223</v>
      </c>
      <c r="U27" s="86">
        <f t="shared" si="24"/>
        <v>92124011.150000006</v>
      </c>
      <c r="V27" s="86">
        <f t="shared" si="25"/>
        <v>847600</v>
      </c>
      <c r="W27" s="86">
        <f t="shared" si="26"/>
        <v>301995384.10000002</v>
      </c>
      <c r="X27" s="86">
        <f t="shared" si="27"/>
        <v>82244532.150000006</v>
      </c>
      <c r="Y27" s="86">
        <f t="shared" si="28"/>
        <v>219750851.95000002</v>
      </c>
      <c r="Z27" s="86">
        <f t="shared" si="29"/>
        <v>43083216.800000004</v>
      </c>
      <c r="AA27" s="86">
        <f t="shared" si="30"/>
        <v>2486547.5</v>
      </c>
      <c r="AB27" s="138">
        <f t="shared" si="12"/>
        <v>7.9222227182519713</v>
      </c>
      <c r="AC27" s="137">
        <f t="shared" si="13"/>
        <v>0.13490759376029227</v>
      </c>
      <c r="AD27" s="139">
        <f t="shared" si="14"/>
        <v>1169.697530784495</v>
      </c>
      <c r="AE27" s="137">
        <f t="shared" si="15"/>
        <v>0.58901233511359374</v>
      </c>
      <c r="AF27" s="137">
        <f t="shared" si="16"/>
        <v>0.5095500982882879</v>
      </c>
      <c r="AG27" s="103">
        <f t="shared" si="17"/>
        <v>6851206710</v>
      </c>
    </row>
    <row r="28" spans="1:33" s="87" customFormat="1" ht="11.25" x14ac:dyDescent="0.2">
      <c r="A28" s="83">
        <v>11</v>
      </c>
      <c r="B28" s="134">
        <v>8</v>
      </c>
      <c r="C28" s="112" t="s">
        <v>141</v>
      </c>
      <c r="D28" s="112">
        <v>900378119</v>
      </c>
      <c r="E28" s="112">
        <v>2021</v>
      </c>
      <c r="F28" s="112" t="s">
        <v>141</v>
      </c>
      <c r="G28" s="113">
        <v>1</v>
      </c>
      <c r="H28" s="65">
        <v>5823796147</v>
      </c>
      <c r="I28" s="65">
        <v>5826285766</v>
      </c>
      <c r="J28" s="65">
        <v>351765345</v>
      </c>
      <c r="K28" s="65">
        <v>2272754882</v>
      </c>
      <c r="L28" s="65">
        <v>3553530884</v>
      </c>
      <c r="M28" s="66">
        <v>813217441</v>
      </c>
      <c r="N28" s="66">
        <v>29945362</v>
      </c>
      <c r="O28" s="85">
        <f t="shared" si="18"/>
        <v>16.55591214364792</v>
      </c>
      <c r="P28" s="85">
        <f t="shared" si="19"/>
        <v>0.39008640723785604</v>
      </c>
      <c r="Q28" s="85">
        <f t="shared" si="20"/>
        <v>27.156707639733995</v>
      </c>
      <c r="R28" s="85">
        <f t="shared" si="21"/>
        <v>0.22884772006951271</v>
      </c>
      <c r="S28" s="85">
        <f t="shared" si="22"/>
        <v>0.1395773351430219</v>
      </c>
      <c r="T28" s="84">
        <f t="shared" si="23"/>
        <v>5472030802</v>
      </c>
      <c r="U28" s="86">
        <f t="shared" si="24"/>
        <v>5823796147</v>
      </c>
      <c r="V28" s="86">
        <f t="shared" si="25"/>
        <v>351765345</v>
      </c>
      <c r="W28" s="86">
        <f t="shared" si="26"/>
        <v>5826285766</v>
      </c>
      <c r="X28" s="86">
        <f t="shared" si="27"/>
        <v>2272754882</v>
      </c>
      <c r="Y28" s="86">
        <f t="shared" si="28"/>
        <v>3553530884</v>
      </c>
      <c r="Z28" s="86">
        <f t="shared" si="29"/>
        <v>813217441</v>
      </c>
      <c r="AA28" s="86">
        <f t="shared" si="30"/>
        <v>29945362</v>
      </c>
      <c r="AB28" s="138">
        <f t="shared" si="12"/>
        <v>16.55591214364792</v>
      </c>
      <c r="AC28" s="137">
        <f t="shared" si="13"/>
        <v>0.39008640723785604</v>
      </c>
      <c r="AD28" s="139">
        <f t="shared" si="14"/>
        <v>27.156707639733995</v>
      </c>
      <c r="AE28" s="137">
        <f t="shared" si="15"/>
        <v>0.22884772006951271</v>
      </c>
      <c r="AF28" s="137">
        <f t="shared" si="16"/>
        <v>0.1395773351430219</v>
      </c>
      <c r="AG28" s="103">
        <f t="shared" si="17"/>
        <v>5472030802</v>
      </c>
    </row>
    <row r="29" spans="1:33" s="87" customFormat="1" ht="11.25" x14ac:dyDescent="0.2">
      <c r="A29" s="83">
        <v>12</v>
      </c>
      <c r="B29" s="134">
        <v>9</v>
      </c>
      <c r="C29" s="112" t="s">
        <v>62</v>
      </c>
      <c r="D29" s="112">
        <v>19138735</v>
      </c>
      <c r="E29" s="112">
        <v>2021</v>
      </c>
      <c r="F29" s="112" t="s">
        <v>142</v>
      </c>
      <c r="G29" s="113">
        <v>0.25</v>
      </c>
      <c r="H29" s="65">
        <v>9276100266</v>
      </c>
      <c r="I29" s="65">
        <v>9571819627</v>
      </c>
      <c r="J29" s="65">
        <v>401268211</v>
      </c>
      <c r="K29" s="65">
        <v>3351274990</v>
      </c>
      <c r="L29" s="65">
        <v>6220544637</v>
      </c>
      <c r="M29" s="66">
        <v>1525772463</v>
      </c>
      <c r="N29" s="66">
        <v>1074800</v>
      </c>
      <c r="O29" s="85">
        <f t="shared" si="18"/>
        <v>23.116957714848734</v>
      </c>
      <c r="P29" s="85">
        <f t="shared" si="19"/>
        <v>0.35011890325918693</v>
      </c>
      <c r="Q29" s="85">
        <f t="shared" si="20"/>
        <v>1419.5873306661704</v>
      </c>
      <c r="R29" s="85">
        <f t="shared" si="21"/>
        <v>0.2452795618448996</v>
      </c>
      <c r="S29" s="85">
        <f t="shared" si="22"/>
        <v>0.15940255065986944</v>
      </c>
      <c r="T29" s="84">
        <f t="shared" si="23"/>
        <v>8874832055</v>
      </c>
      <c r="U29" s="86">
        <f t="shared" si="24"/>
        <v>2319025066.5</v>
      </c>
      <c r="V29" s="86">
        <f t="shared" si="25"/>
        <v>100317052.75</v>
      </c>
      <c r="W29" s="86">
        <f t="shared" si="26"/>
        <v>2392954906.75</v>
      </c>
      <c r="X29" s="86">
        <f t="shared" si="27"/>
        <v>837818747.5</v>
      </c>
      <c r="Y29" s="86">
        <f t="shared" si="28"/>
        <v>1555136159.25</v>
      </c>
      <c r="Z29" s="86">
        <f t="shared" si="29"/>
        <v>381443115.75</v>
      </c>
      <c r="AA29" s="86">
        <f t="shared" si="30"/>
        <v>268700</v>
      </c>
      <c r="AB29" s="138">
        <f t="shared" si="12"/>
        <v>26.914175750081068</v>
      </c>
      <c r="AC29" s="137">
        <f t="shared" si="13"/>
        <v>0.44052567195775744</v>
      </c>
      <c r="AD29" s="139">
        <f t="shared" si="14"/>
        <v>420.41287964755105</v>
      </c>
      <c r="AE29" s="137">
        <f t="shared" si="15"/>
        <v>0.45670824919740549</v>
      </c>
      <c r="AF29" s="137">
        <f t="shared" si="16"/>
        <v>0.25551654083106751</v>
      </c>
      <c r="AG29" s="103">
        <f t="shared" si="17"/>
        <v>12417662822</v>
      </c>
    </row>
    <row r="30" spans="1:33" s="87" customFormat="1" ht="11.25" x14ac:dyDescent="0.2">
      <c r="A30" s="83">
        <v>13</v>
      </c>
      <c r="B30" s="134">
        <v>9</v>
      </c>
      <c r="C30" s="112" t="s">
        <v>63</v>
      </c>
      <c r="D30" s="112">
        <v>900591649</v>
      </c>
      <c r="E30" s="112">
        <v>2021</v>
      </c>
      <c r="F30" s="112" t="s">
        <v>142</v>
      </c>
      <c r="G30" s="113">
        <v>0.75</v>
      </c>
      <c r="H30" s="65">
        <v>3659945424</v>
      </c>
      <c r="I30" s="65">
        <v>4083261067</v>
      </c>
      <c r="J30" s="65">
        <v>117114657</v>
      </c>
      <c r="K30" s="65">
        <v>2087233753</v>
      </c>
      <c r="L30" s="65">
        <v>1996027314</v>
      </c>
      <c r="M30" s="66">
        <v>1350002669</v>
      </c>
      <c r="N30" s="66">
        <v>4062610</v>
      </c>
      <c r="O30" s="85">
        <f t="shared" si="18"/>
        <v>31.250959681331775</v>
      </c>
      <c r="P30" s="85">
        <f t="shared" si="19"/>
        <v>0.51116833304354581</v>
      </c>
      <c r="Q30" s="85">
        <f t="shared" si="20"/>
        <v>332.2993516483246</v>
      </c>
      <c r="R30" s="85">
        <f t="shared" si="21"/>
        <v>0.67634478723370817</v>
      </c>
      <c r="S30" s="85">
        <f t="shared" si="22"/>
        <v>0.33061874978076194</v>
      </c>
      <c r="T30" s="84">
        <f t="shared" si="23"/>
        <v>3542830767</v>
      </c>
      <c r="U30" s="86">
        <f t="shared" si="24"/>
        <v>2744959068</v>
      </c>
      <c r="V30" s="86">
        <f t="shared" si="25"/>
        <v>87835992.75</v>
      </c>
      <c r="W30" s="86">
        <f t="shared" si="26"/>
        <v>3062445800.25</v>
      </c>
      <c r="X30" s="86">
        <f t="shared" si="27"/>
        <v>1565425314.75</v>
      </c>
      <c r="Y30" s="86">
        <f t="shared" si="28"/>
        <v>1497020485.5</v>
      </c>
      <c r="Z30" s="86">
        <f t="shared" si="29"/>
        <v>1012502001.75</v>
      </c>
      <c r="AA30" s="86">
        <f t="shared" si="30"/>
        <v>3046957.5</v>
      </c>
      <c r="AB30" s="138">
        <f t="shared" si="12"/>
        <v>26.914175750081068</v>
      </c>
      <c r="AC30" s="137">
        <f t="shared" si="13"/>
        <v>0.44052567195775744</v>
      </c>
      <c r="AD30" s="139">
        <f t="shared" si="14"/>
        <v>420.41287964755105</v>
      </c>
      <c r="AE30" s="137">
        <f t="shared" si="15"/>
        <v>0.45670824919740549</v>
      </c>
      <c r="AF30" s="137">
        <f t="shared" si="16"/>
        <v>0.25551654083106751</v>
      </c>
      <c r="AG30" s="103">
        <f t="shared" si="17"/>
        <v>12417662822</v>
      </c>
    </row>
    <row r="31" spans="1:33" s="87" customFormat="1" ht="11.25" x14ac:dyDescent="0.2">
      <c r="A31" s="83">
        <v>14</v>
      </c>
      <c r="B31" s="134">
        <v>10</v>
      </c>
      <c r="C31" s="112" t="s">
        <v>83</v>
      </c>
      <c r="D31" s="112">
        <v>901272031</v>
      </c>
      <c r="E31" s="112">
        <v>2021</v>
      </c>
      <c r="F31" s="112" t="s">
        <v>82</v>
      </c>
      <c r="G31" s="113">
        <v>0.05</v>
      </c>
      <c r="H31" s="65">
        <v>20214555</v>
      </c>
      <c r="I31" s="65">
        <v>52469199</v>
      </c>
      <c r="J31" s="65">
        <v>452352</v>
      </c>
      <c r="K31" s="65">
        <v>1452352</v>
      </c>
      <c r="L31" s="65">
        <v>51016847</v>
      </c>
      <c r="M31" s="66">
        <v>1471199</v>
      </c>
      <c r="N31" s="66">
        <v>12000</v>
      </c>
      <c r="O31" s="85">
        <f t="shared" si="18"/>
        <v>44.687665800084886</v>
      </c>
      <c r="P31" s="85">
        <f t="shared" si="19"/>
        <v>2.7680087130737406E-2</v>
      </c>
      <c r="Q31" s="85">
        <f t="shared" si="20"/>
        <v>122.59991666666667</v>
      </c>
      <c r="R31" s="85">
        <f t="shared" si="21"/>
        <v>2.8837513223818008E-2</v>
      </c>
      <c r="S31" s="85">
        <f t="shared" si="22"/>
        <v>2.8039288345148933E-2</v>
      </c>
      <c r="T31" s="84">
        <f t="shared" si="23"/>
        <v>19762203</v>
      </c>
      <c r="U31" s="86">
        <f t="shared" si="24"/>
        <v>1010727.75</v>
      </c>
      <c r="V31" s="86">
        <f t="shared" si="25"/>
        <v>22617.600000000002</v>
      </c>
      <c r="W31" s="86">
        <f t="shared" si="26"/>
        <v>2623459.9500000002</v>
      </c>
      <c r="X31" s="86">
        <f t="shared" si="27"/>
        <v>72617.600000000006</v>
      </c>
      <c r="Y31" s="86">
        <f t="shared" si="28"/>
        <v>2550842.35</v>
      </c>
      <c r="Z31" s="86">
        <f t="shared" si="29"/>
        <v>73559.95</v>
      </c>
      <c r="AA31" s="86">
        <f t="shared" si="30"/>
        <v>600</v>
      </c>
      <c r="AB31" s="138">
        <f t="shared" si="12"/>
        <v>59.577189519744806</v>
      </c>
      <c r="AC31" s="137">
        <f t="shared" si="13"/>
        <v>9.022147167784568E-2</v>
      </c>
      <c r="AD31" s="139">
        <f t="shared" si="14"/>
        <v>78.815273009991799</v>
      </c>
      <c r="AE31" s="137">
        <f t="shared" si="15"/>
        <v>0.2712966180154513</v>
      </c>
      <c r="AF31" s="137">
        <f t="shared" si="16"/>
        <v>0.24681983787687498</v>
      </c>
      <c r="AG31" s="103">
        <f t="shared" si="17"/>
        <v>7196273219</v>
      </c>
    </row>
    <row r="32" spans="1:33" s="87" customFormat="1" ht="11.25" x14ac:dyDescent="0.2">
      <c r="A32" s="83">
        <v>15</v>
      </c>
      <c r="B32" s="134">
        <v>10</v>
      </c>
      <c r="C32" s="112" t="s">
        <v>143</v>
      </c>
      <c r="D32" s="112">
        <v>900915689</v>
      </c>
      <c r="E32" s="112">
        <v>2021</v>
      </c>
      <c r="F32" s="112" t="s">
        <v>82</v>
      </c>
      <c r="G32" s="113">
        <v>0.95</v>
      </c>
      <c r="H32" s="65">
        <v>7299018712</v>
      </c>
      <c r="I32" s="65">
        <v>8298301632</v>
      </c>
      <c r="J32" s="65">
        <v>122507696</v>
      </c>
      <c r="K32" s="65">
        <v>748857696</v>
      </c>
      <c r="L32" s="65">
        <v>7549443936</v>
      </c>
      <c r="M32" s="66">
        <v>2048789634</v>
      </c>
      <c r="N32" s="66">
        <v>25995181</v>
      </c>
      <c r="O32" s="85">
        <f t="shared" si="18"/>
        <v>59.580083132083395</v>
      </c>
      <c r="P32" s="85">
        <f t="shared" si="19"/>
        <v>9.0242284410613244E-2</v>
      </c>
      <c r="Q32" s="85">
        <f t="shared" si="20"/>
        <v>78.814209218239341</v>
      </c>
      <c r="R32" s="85">
        <f t="shared" si="21"/>
        <v>0.27138285301122872</v>
      </c>
      <c r="S32" s="85">
        <f t="shared" si="22"/>
        <v>0.24689264440562578</v>
      </c>
      <c r="T32" s="84">
        <f t="shared" si="23"/>
        <v>7176511016</v>
      </c>
      <c r="U32" s="86">
        <f t="shared" si="24"/>
        <v>6934067776.3999996</v>
      </c>
      <c r="V32" s="86">
        <f t="shared" si="25"/>
        <v>116382311.19999999</v>
      </c>
      <c r="W32" s="86">
        <f t="shared" si="26"/>
        <v>7883386550.3999996</v>
      </c>
      <c r="X32" s="86">
        <f t="shared" si="27"/>
        <v>711414811.19999993</v>
      </c>
      <c r="Y32" s="86">
        <f t="shared" si="28"/>
        <v>7171971739.1999998</v>
      </c>
      <c r="Z32" s="86">
        <f t="shared" si="29"/>
        <v>1946350152.3</v>
      </c>
      <c r="AA32" s="86">
        <f t="shared" si="30"/>
        <v>24695421.949999999</v>
      </c>
      <c r="AB32" s="138">
        <f t="shared" si="12"/>
        <v>59.577189519744806</v>
      </c>
      <c r="AC32" s="137">
        <f t="shared" si="13"/>
        <v>9.022147167784568E-2</v>
      </c>
      <c r="AD32" s="139">
        <f t="shared" si="14"/>
        <v>78.815273009991799</v>
      </c>
      <c r="AE32" s="137">
        <f t="shared" si="15"/>
        <v>0.2712966180154513</v>
      </c>
      <c r="AF32" s="137">
        <f t="shared" si="16"/>
        <v>0.24681983787687498</v>
      </c>
      <c r="AG32" s="103">
        <f t="shared" si="17"/>
        <v>7196273219</v>
      </c>
    </row>
    <row r="33" spans="1:33" s="87" customFormat="1" ht="11.25" x14ac:dyDescent="0.2">
      <c r="A33" s="83">
        <v>16</v>
      </c>
      <c r="B33" s="134">
        <v>11</v>
      </c>
      <c r="C33" s="112" t="s">
        <v>66</v>
      </c>
      <c r="D33" s="112">
        <v>800028455</v>
      </c>
      <c r="E33" s="112">
        <v>2021</v>
      </c>
      <c r="F33" s="112" t="s">
        <v>66</v>
      </c>
      <c r="G33" s="113">
        <v>1</v>
      </c>
      <c r="H33" s="65">
        <v>5916923640</v>
      </c>
      <c r="I33" s="65">
        <v>10677035496</v>
      </c>
      <c r="J33" s="65">
        <v>1809503324</v>
      </c>
      <c r="K33" s="65">
        <v>4627236227</v>
      </c>
      <c r="L33" s="65">
        <v>6049799269</v>
      </c>
      <c r="M33" s="66">
        <v>748681144</v>
      </c>
      <c r="N33" s="66">
        <v>95456008</v>
      </c>
      <c r="O33" s="85">
        <f t="shared" si="18"/>
        <v>3.2699158722296993</v>
      </c>
      <c r="P33" s="85">
        <f t="shared" si="19"/>
        <v>0.43338211516984548</v>
      </c>
      <c r="Q33" s="85">
        <f t="shared" si="20"/>
        <v>7.8432060976193352</v>
      </c>
      <c r="R33" s="85">
        <f t="shared" si="21"/>
        <v>0.12375305538422485</v>
      </c>
      <c r="S33" s="85">
        <f t="shared" si="22"/>
        <v>7.012069448307845E-2</v>
      </c>
      <c r="T33" s="84">
        <f t="shared" si="23"/>
        <v>4107420316</v>
      </c>
      <c r="U33" s="86">
        <f t="shared" si="24"/>
        <v>5916923640</v>
      </c>
      <c r="V33" s="86">
        <f t="shared" si="25"/>
        <v>1809503324</v>
      </c>
      <c r="W33" s="86">
        <f t="shared" si="26"/>
        <v>10677035496</v>
      </c>
      <c r="X33" s="86">
        <f t="shared" si="27"/>
        <v>4627236227</v>
      </c>
      <c r="Y33" s="86">
        <f t="shared" si="28"/>
        <v>6049799269</v>
      </c>
      <c r="Z33" s="86">
        <f t="shared" si="29"/>
        <v>748681144</v>
      </c>
      <c r="AA33" s="86">
        <f t="shared" si="30"/>
        <v>95456008</v>
      </c>
      <c r="AB33" s="138">
        <f t="shared" si="12"/>
        <v>3.2699158722296993</v>
      </c>
      <c r="AC33" s="137">
        <f t="shared" si="13"/>
        <v>0.43338211516984548</v>
      </c>
      <c r="AD33" s="139">
        <f t="shared" si="14"/>
        <v>7.8432060976193352</v>
      </c>
      <c r="AE33" s="137">
        <f t="shared" si="15"/>
        <v>0.12375305538422485</v>
      </c>
      <c r="AF33" s="137">
        <f t="shared" si="16"/>
        <v>7.012069448307845E-2</v>
      </c>
      <c r="AG33" s="103">
        <f t="shared" si="17"/>
        <v>4107420316</v>
      </c>
    </row>
    <row r="34" spans="1:33" s="87" customFormat="1" ht="11.25" x14ac:dyDescent="0.2">
      <c r="A34" s="83">
        <v>17</v>
      </c>
      <c r="B34" s="134">
        <v>12</v>
      </c>
      <c r="C34" s="112" t="s">
        <v>65</v>
      </c>
      <c r="D34" s="112">
        <v>860041968</v>
      </c>
      <c r="E34" s="112">
        <v>2021</v>
      </c>
      <c r="F34" s="112" t="s">
        <v>144</v>
      </c>
      <c r="G34" s="113">
        <v>0.5</v>
      </c>
      <c r="H34" s="65">
        <v>7659856667</v>
      </c>
      <c r="I34" s="65">
        <v>9426505606</v>
      </c>
      <c r="J34" s="65">
        <v>327983880</v>
      </c>
      <c r="K34" s="65">
        <v>3552353820</v>
      </c>
      <c r="L34" s="65">
        <v>5884151786</v>
      </c>
      <c r="M34" s="66">
        <v>833486394</v>
      </c>
      <c r="N34" s="66">
        <v>0</v>
      </c>
      <c r="O34" s="85">
        <f t="shared" si="18"/>
        <v>23.354369327541342</v>
      </c>
      <c r="P34" s="85">
        <f t="shared" si="19"/>
        <v>0.37684736725122359</v>
      </c>
      <c r="Q34" s="85" t="str">
        <f t="shared" si="20"/>
        <v/>
      </c>
      <c r="R34" s="85">
        <f t="shared" si="21"/>
        <v>0.14164937008985581</v>
      </c>
      <c r="S34" s="85">
        <f t="shared" si="22"/>
        <v>8.8419445002980032E-2</v>
      </c>
      <c r="T34" s="84">
        <f t="shared" si="23"/>
        <v>7331872787</v>
      </c>
      <c r="U34" s="86">
        <f t="shared" si="24"/>
        <v>3829928333.5</v>
      </c>
      <c r="V34" s="86">
        <f t="shared" si="25"/>
        <v>163991940</v>
      </c>
      <c r="W34" s="86">
        <f t="shared" si="26"/>
        <v>4713252803</v>
      </c>
      <c r="X34" s="86">
        <f t="shared" si="27"/>
        <v>1776176910</v>
      </c>
      <c r="Y34" s="86">
        <f t="shared" si="28"/>
        <v>2942075893</v>
      </c>
      <c r="Z34" s="86">
        <f t="shared" si="29"/>
        <v>416743197</v>
      </c>
      <c r="AA34" s="86">
        <f t="shared" si="30"/>
        <v>0</v>
      </c>
      <c r="AB34" s="138">
        <f t="shared" si="12"/>
        <v>25.920270758814485</v>
      </c>
      <c r="AC34" s="137">
        <f t="shared" si="13"/>
        <v>0.34016274914301864</v>
      </c>
      <c r="AD34" s="139" t="str">
        <f t="shared" si="14"/>
        <v>Indeterminado</v>
      </c>
      <c r="AE34" s="137">
        <f t="shared" si="15"/>
        <v>0.12361395524438723</v>
      </c>
      <c r="AF34" s="137">
        <f t="shared" si="16"/>
        <v>8.1683208178867747E-2</v>
      </c>
      <c r="AG34" s="103">
        <f t="shared" si="17"/>
        <v>8363241197</v>
      </c>
    </row>
    <row r="35" spans="1:33" s="87" customFormat="1" ht="11.25" x14ac:dyDescent="0.2">
      <c r="A35" s="83">
        <v>18</v>
      </c>
      <c r="B35" s="134">
        <v>12</v>
      </c>
      <c r="C35" s="112" t="s">
        <v>85</v>
      </c>
      <c r="D35" s="112">
        <v>901396141</v>
      </c>
      <c r="E35" s="112">
        <v>2020</v>
      </c>
      <c r="F35" s="112" t="s">
        <v>144</v>
      </c>
      <c r="G35" s="113">
        <v>0.5</v>
      </c>
      <c r="H35" s="65">
        <v>1038984463</v>
      </c>
      <c r="I35" s="65">
        <v>1038984463</v>
      </c>
      <c r="J35" s="65">
        <v>7616053</v>
      </c>
      <c r="K35" s="65">
        <v>7616053</v>
      </c>
      <c r="L35" s="65">
        <v>1031368410</v>
      </c>
      <c r="M35" s="66">
        <v>21368410</v>
      </c>
      <c r="N35" s="66">
        <v>0</v>
      </c>
      <c r="O35" s="85">
        <f t="shared" si="18"/>
        <v>136.42032992680066</v>
      </c>
      <c r="P35" s="85">
        <f t="shared" si="19"/>
        <v>7.3302857465347869E-3</v>
      </c>
      <c r="Q35" s="85" t="str">
        <f t="shared" si="20"/>
        <v/>
      </c>
      <c r="R35" s="85">
        <f t="shared" si="21"/>
        <v>2.0718503488001926E-2</v>
      </c>
      <c r="S35" s="85">
        <f t="shared" si="22"/>
        <v>2.0566630937194293E-2</v>
      </c>
      <c r="T35" s="84">
        <f t="shared" si="23"/>
        <v>1031368410</v>
      </c>
      <c r="U35" s="86">
        <f t="shared" si="24"/>
        <v>519492231.5</v>
      </c>
      <c r="V35" s="86">
        <f t="shared" si="25"/>
        <v>3808026.5</v>
      </c>
      <c r="W35" s="86">
        <f t="shared" si="26"/>
        <v>519492231.5</v>
      </c>
      <c r="X35" s="86">
        <f t="shared" si="27"/>
        <v>3808026.5</v>
      </c>
      <c r="Y35" s="86">
        <f t="shared" si="28"/>
        <v>515684205</v>
      </c>
      <c r="Z35" s="86">
        <f t="shared" si="29"/>
        <v>10684205</v>
      </c>
      <c r="AA35" s="86">
        <f t="shared" si="30"/>
        <v>0</v>
      </c>
      <c r="AB35" s="138">
        <f t="shared" si="12"/>
        <v>25.920270758814485</v>
      </c>
      <c r="AC35" s="137">
        <f t="shared" si="13"/>
        <v>0.34016274914301864</v>
      </c>
      <c r="AD35" s="139" t="str">
        <f t="shared" si="14"/>
        <v>Indeterminado</v>
      </c>
      <c r="AE35" s="137">
        <f t="shared" si="15"/>
        <v>0.12361395524438723</v>
      </c>
      <c r="AF35" s="137">
        <f t="shared" si="16"/>
        <v>8.1683208178867747E-2</v>
      </c>
      <c r="AG35" s="103">
        <f t="shared" si="17"/>
        <v>8363241197</v>
      </c>
    </row>
    <row r="36" spans="1:33" s="87" customFormat="1" ht="11.25" x14ac:dyDescent="0.2">
      <c r="A36" s="83">
        <v>19</v>
      </c>
      <c r="B36" s="134">
        <v>13</v>
      </c>
      <c r="C36" s="112" t="s">
        <v>146</v>
      </c>
      <c r="D36" s="112">
        <v>900574741</v>
      </c>
      <c r="E36" s="112">
        <v>2021</v>
      </c>
      <c r="F36" s="112" t="s">
        <v>145</v>
      </c>
      <c r="G36" s="113">
        <v>0.45</v>
      </c>
      <c r="H36" s="65">
        <v>2172351615</v>
      </c>
      <c r="I36" s="65">
        <v>2264776163</v>
      </c>
      <c r="J36" s="65">
        <v>586417438</v>
      </c>
      <c r="K36" s="65">
        <v>607084105</v>
      </c>
      <c r="L36" s="65">
        <v>1657692058</v>
      </c>
      <c r="M36" s="66">
        <v>120910764</v>
      </c>
      <c r="N36" s="66">
        <v>1000</v>
      </c>
      <c r="O36" s="85">
        <f t="shared" si="18"/>
        <v>3.7044457995807418</v>
      </c>
      <c r="P36" s="85">
        <f t="shared" si="19"/>
        <v>0.26805479275083666</v>
      </c>
      <c r="Q36" s="85">
        <f t="shared" si="20"/>
        <v>120910.764</v>
      </c>
      <c r="R36" s="85">
        <f t="shared" si="21"/>
        <v>7.2939218968014141E-2</v>
      </c>
      <c r="S36" s="85">
        <f t="shared" si="22"/>
        <v>5.3387511744135217E-2</v>
      </c>
      <c r="T36" s="84">
        <f t="shared" si="23"/>
        <v>1585934177</v>
      </c>
      <c r="U36" s="86">
        <f t="shared" si="24"/>
        <v>977558226.75</v>
      </c>
      <c r="V36" s="86">
        <f t="shared" si="25"/>
        <v>263887847.09999999</v>
      </c>
      <c r="W36" s="86">
        <f t="shared" si="26"/>
        <v>1019149273.35</v>
      </c>
      <c r="X36" s="86">
        <f t="shared" si="27"/>
        <v>273187847.25</v>
      </c>
      <c r="Y36" s="86">
        <f t="shared" si="28"/>
        <v>745961426.10000002</v>
      </c>
      <c r="Z36" s="86">
        <f t="shared" si="29"/>
        <v>54409843.800000004</v>
      </c>
      <c r="AA36" s="86">
        <f t="shared" si="30"/>
        <v>450</v>
      </c>
      <c r="AB36" s="138">
        <f t="shared" si="12"/>
        <v>2.8156197286919395</v>
      </c>
      <c r="AC36" s="137">
        <f t="shared" si="13"/>
        <v>0.39009688537827225</v>
      </c>
      <c r="AD36" s="139">
        <f t="shared" si="14"/>
        <v>20.182985379389464</v>
      </c>
      <c r="AE36" s="137">
        <f t="shared" si="15"/>
        <v>0.12533200076528442</v>
      </c>
      <c r="AF36" s="137">
        <f t="shared" si="16"/>
        <v>7.6440385289971158E-2</v>
      </c>
      <c r="AG36" s="103">
        <f t="shared" si="17"/>
        <v>4427243468</v>
      </c>
    </row>
    <row r="37" spans="1:33" s="87" customFormat="1" ht="11.25" x14ac:dyDescent="0.2">
      <c r="A37" s="83">
        <v>20</v>
      </c>
      <c r="B37" s="134">
        <v>13</v>
      </c>
      <c r="C37" s="112" t="s">
        <v>147</v>
      </c>
      <c r="D37" s="112">
        <v>901124527</v>
      </c>
      <c r="E37" s="112">
        <v>2021</v>
      </c>
      <c r="F37" s="112" t="s">
        <v>145</v>
      </c>
      <c r="G37" s="113">
        <v>0.05</v>
      </c>
      <c r="H37" s="65">
        <v>246827702</v>
      </c>
      <c r="I37" s="65">
        <v>246827702</v>
      </c>
      <c r="J37" s="65">
        <v>101315941</v>
      </c>
      <c r="K37" s="65">
        <v>101315941</v>
      </c>
      <c r="L37" s="65">
        <v>145511761</v>
      </c>
      <c r="M37" s="66">
        <v>18227436</v>
      </c>
      <c r="N37" s="66">
        <v>0</v>
      </c>
      <c r="O37" s="85">
        <f t="shared" si="18"/>
        <v>2.4362178307162936</v>
      </c>
      <c r="P37" s="85">
        <f t="shared" si="19"/>
        <v>0.41047232615729656</v>
      </c>
      <c r="Q37" s="85" t="str">
        <f t="shared" si="20"/>
        <v/>
      </c>
      <c r="R37" s="85">
        <f t="shared" si="21"/>
        <v>0.12526434890716498</v>
      </c>
      <c r="S37" s="85">
        <f t="shared" si="22"/>
        <v>7.3846800226661749E-2</v>
      </c>
      <c r="T37" s="84">
        <f t="shared" si="23"/>
        <v>145511761</v>
      </c>
      <c r="U37" s="86">
        <f t="shared" si="24"/>
        <v>12341385.100000001</v>
      </c>
      <c r="V37" s="86">
        <f t="shared" si="25"/>
        <v>5065797.0500000007</v>
      </c>
      <c r="W37" s="86">
        <f t="shared" si="26"/>
        <v>12341385.100000001</v>
      </c>
      <c r="X37" s="86">
        <f t="shared" si="27"/>
        <v>5065797.0500000007</v>
      </c>
      <c r="Y37" s="86">
        <f t="shared" si="28"/>
        <v>7275588.0500000007</v>
      </c>
      <c r="Z37" s="86">
        <f t="shared" si="29"/>
        <v>911371.8</v>
      </c>
      <c r="AA37" s="86">
        <f t="shared" si="30"/>
        <v>0</v>
      </c>
      <c r="AB37" s="138">
        <f t="shared" si="12"/>
        <v>2.8156197286919395</v>
      </c>
      <c r="AC37" s="137">
        <f t="shared" si="13"/>
        <v>0.39009688537827225</v>
      </c>
      <c r="AD37" s="139">
        <f t="shared" si="14"/>
        <v>20.182985379389464</v>
      </c>
      <c r="AE37" s="137">
        <f t="shared" si="15"/>
        <v>0.12533200076528442</v>
      </c>
      <c r="AF37" s="137">
        <f t="shared" si="16"/>
        <v>7.6440385289971158E-2</v>
      </c>
      <c r="AG37" s="103">
        <f t="shared" si="17"/>
        <v>4427243468</v>
      </c>
    </row>
    <row r="38" spans="1:33" s="87" customFormat="1" ht="11.25" x14ac:dyDescent="0.2">
      <c r="A38" s="83">
        <v>21</v>
      </c>
      <c r="B38" s="134">
        <v>13</v>
      </c>
      <c r="C38" s="112" t="s">
        <v>148</v>
      </c>
      <c r="D38" s="112">
        <v>800015774</v>
      </c>
      <c r="E38" s="112">
        <v>2021</v>
      </c>
      <c r="F38" s="112" t="s">
        <v>145</v>
      </c>
      <c r="G38" s="113">
        <v>0.5</v>
      </c>
      <c r="H38" s="65">
        <v>4436830815</v>
      </c>
      <c r="I38" s="65">
        <v>4480530824</v>
      </c>
      <c r="J38" s="65">
        <v>1741033285</v>
      </c>
      <c r="K38" s="65">
        <v>1996096417</v>
      </c>
      <c r="L38" s="65">
        <v>2484434807</v>
      </c>
      <c r="M38" s="66">
        <v>389546158</v>
      </c>
      <c r="N38" s="66">
        <v>24781786</v>
      </c>
      <c r="O38" s="85">
        <f t="shared" si="18"/>
        <v>2.5483894266846252</v>
      </c>
      <c r="P38" s="85">
        <f t="shared" si="19"/>
        <v>0.44550444922907195</v>
      </c>
      <c r="Q38" s="85">
        <f t="shared" si="20"/>
        <v>15.719050999794769</v>
      </c>
      <c r="R38" s="85">
        <f t="shared" si="21"/>
        <v>0.15679467897585286</v>
      </c>
      <c r="S38" s="85">
        <f t="shared" si="22"/>
        <v>8.6941965874532734E-2</v>
      </c>
      <c r="T38" s="84">
        <f t="shared" si="23"/>
        <v>2695797530</v>
      </c>
      <c r="U38" s="86">
        <f t="shared" si="24"/>
        <v>2218415407.5</v>
      </c>
      <c r="V38" s="86">
        <f t="shared" si="25"/>
        <v>870516642.5</v>
      </c>
      <c r="W38" s="86">
        <f t="shared" si="26"/>
        <v>2240265412</v>
      </c>
      <c r="X38" s="86">
        <f t="shared" si="27"/>
        <v>998048208.5</v>
      </c>
      <c r="Y38" s="86">
        <f t="shared" si="28"/>
        <v>1242217403.5</v>
      </c>
      <c r="Z38" s="86">
        <f t="shared" si="29"/>
        <v>194773079</v>
      </c>
      <c r="AA38" s="86">
        <f t="shared" si="30"/>
        <v>12390893</v>
      </c>
      <c r="AB38" s="138">
        <f t="shared" si="12"/>
        <v>2.8156197286919395</v>
      </c>
      <c r="AC38" s="137">
        <f t="shared" si="13"/>
        <v>0.39009688537827225</v>
      </c>
      <c r="AD38" s="139">
        <f t="shared" si="14"/>
        <v>20.182985379389464</v>
      </c>
      <c r="AE38" s="137">
        <f t="shared" si="15"/>
        <v>0.12533200076528442</v>
      </c>
      <c r="AF38" s="137">
        <f t="shared" si="16"/>
        <v>7.6440385289971158E-2</v>
      </c>
      <c r="AG38" s="103">
        <f t="shared" si="17"/>
        <v>4427243468</v>
      </c>
    </row>
    <row r="39" spans="1:33" s="87" customFormat="1" ht="11.25" x14ac:dyDescent="0.2">
      <c r="A39" s="83">
        <v>22</v>
      </c>
      <c r="B39" s="134">
        <v>14</v>
      </c>
      <c r="C39" s="112" t="s">
        <v>130</v>
      </c>
      <c r="D39" s="112">
        <v>900866325</v>
      </c>
      <c r="E39" s="112">
        <v>2021</v>
      </c>
      <c r="F39" s="112" t="s">
        <v>149</v>
      </c>
      <c r="G39" s="113">
        <v>0.45</v>
      </c>
      <c r="H39" s="65">
        <v>111688000</v>
      </c>
      <c r="I39" s="65">
        <v>638341000</v>
      </c>
      <c r="J39" s="65">
        <v>16996000</v>
      </c>
      <c r="K39" s="65">
        <v>191074000</v>
      </c>
      <c r="L39" s="65">
        <v>447267000</v>
      </c>
      <c r="M39" s="66">
        <v>63737502</v>
      </c>
      <c r="N39" s="66">
        <v>0</v>
      </c>
      <c r="O39" s="85">
        <f t="shared" si="18"/>
        <v>6.5714285714285712</v>
      </c>
      <c r="P39" s="85">
        <f t="shared" si="19"/>
        <v>0.29932904200106214</v>
      </c>
      <c r="Q39" s="85" t="str">
        <f t="shared" si="20"/>
        <v/>
      </c>
      <c r="R39" s="85">
        <f t="shared" si="21"/>
        <v>0.14250436987302886</v>
      </c>
      <c r="S39" s="85">
        <f t="shared" si="22"/>
        <v>9.9848673357970111E-2</v>
      </c>
      <c r="T39" s="84">
        <f t="shared" si="23"/>
        <v>94692000</v>
      </c>
      <c r="U39" s="86">
        <f t="shared" si="24"/>
        <v>50259600</v>
      </c>
      <c r="V39" s="86">
        <f t="shared" si="25"/>
        <v>7648200</v>
      </c>
      <c r="W39" s="86">
        <f t="shared" si="26"/>
        <v>287253450</v>
      </c>
      <c r="X39" s="86">
        <f t="shared" si="27"/>
        <v>85983300</v>
      </c>
      <c r="Y39" s="86">
        <f t="shared" si="28"/>
        <v>201270150</v>
      </c>
      <c r="Z39" s="86">
        <f t="shared" si="29"/>
        <v>28681875.900000002</v>
      </c>
      <c r="AA39" s="86">
        <f t="shared" si="30"/>
        <v>0</v>
      </c>
      <c r="AB39" s="138">
        <f t="shared" si="12"/>
        <v>5.4382622601000969</v>
      </c>
      <c r="AC39" s="137">
        <f t="shared" si="13"/>
        <v>0.16110685149336915</v>
      </c>
      <c r="AD39" s="139">
        <f t="shared" si="14"/>
        <v>12.329545881111278</v>
      </c>
      <c r="AE39" s="137">
        <f t="shared" si="15"/>
        <v>0.10180399220516645</v>
      </c>
      <c r="AF39" s="137">
        <f t="shared" si="16"/>
        <v>8.540267155153658E-2</v>
      </c>
      <c r="AG39" s="103">
        <f t="shared" si="17"/>
        <v>1543135157</v>
      </c>
    </row>
    <row r="40" spans="1:33" s="87" customFormat="1" ht="11.25" x14ac:dyDescent="0.2">
      <c r="A40" s="83">
        <v>23</v>
      </c>
      <c r="B40" s="134">
        <v>14</v>
      </c>
      <c r="C40" s="112" t="s">
        <v>150</v>
      </c>
      <c r="D40" s="112">
        <v>9063517</v>
      </c>
      <c r="E40" s="112">
        <v>2021</v>
      </c>
      <c r="F40" s="112" t="s">
        <v>149</v>
      </c>
      <c r="G40" s="113">
        <v>0.5</v>
      </c>
      <c r="H40" s="65">
        <v>1775159510</v>
      </c>
      <c r="I40" s="65">
        <v>2547827026</v>
      </c>
      <c r="J40" s="65">
        <v>328247260</v>
      </c>
      <c r="K40" s="65">
        <v>330449579</v>
      </c>
      <c r="L40" s="65">
        <v>2217377447</v>
      </c>
      <c r="M40" s="66">
        <v>209780569</v>
      </c>
      <c r="N40" s="66">
        <v>21662910</v>
      </c>
      <c r="O40" s="85">
        <f t="shared" si="18"/>
        <v>5.4079949060351638</v>
      </c>
      <c r="P40" s="85">
        <f t="shared" si="19"/>
        <v>0.12969859241927989</v>
      </c>
      <c r="Q40" s="85">
        <f t="shared" si="20"/>
        <v>9.6838591398847154</v>
      </c>
      <c r="R40" s="85">
        <f t="shared" si="21"/>
        <v>9.4607514513968982E-2</v>
      </c>
      <c r="S40" s="85">
        <f t="shared" si="22"/>
        <v>8.2337053049220621E-2</v>
      </c>
      <c r="T40" s="84">
        <f t="shared" si="23"/>
        <v>1446912250</v>
      </c>
      <c r="U40" s="86">
        <f t="shared" si="24"/>
        <v>887579755</v>
      </c>
      <c r="V40" s="86">
        <f t="shared" si="25"/>
        <v>164123630</v>
      </c>
      <c r="W40" s="86">
        <f t="shared" si="26"/>
        <v>1273913513</v>
      </c>
      <c r="X40" s="86">
        <f t="shared" si="27"/>
        <v>165224789.5</v>
      </c>
      <c r="Y40" s="86">
        <f t="shared" si="28"/>
        <v>1108688723.5</v>
      </c>
      <c r="Z40" s="86">
        <f t="shared" si="29"/>
        <v>104890284.5</v>
      </c>
      <c r="AA40" s="86">
        <f t="shared" si="30"/>
        <v>10831455</v>
      </c>
      <c r="AB40" s="138">
        <f t="shared" si="12"/>
        <v>5.4382622601000969</v>
      </c>
      <c r="AC40" s="137">
        <f t="shared" si="13"/>
        <v>0.16110685149336915</v>
      </c>
      <c r="AD40" s="139">
        <f t="shared" si="14"/>
        <v>12.329545881111278</v>
      </c>
      <c r="AE40" s="137">
        <f t="shared" si="15"/>
        <v>0.10180399220516645</v>
      </c>
      <c r="AF40" s="137">
        <f t="shared" si="16"/>
        <v>8.540267155153658E-2</v>
      </c>
      <c r="AG40" s="103">
        <f t="shared" si="17"/>
        <v>1543135157</v>
      </c>
    </row>
    <row r="41" spans="1:33" s="87" customFormat="1" ht="11.25" x14ac:dyDescent="0.2">
      <c r="A41" s="83">
        <v>24</v>
      </c>
      <c r="B41" s="134">
        <v>14</v>
      </c>
      <c r="C41" s="112" t="s">
        <v>129</v>
      </c>
      <c r="D41" s="112">
        <v>901415245</v>
      </c>
      <c r="E41" s="112">
        <v>2021</v>
      </c>
      <c r="F41" s="112" t="s">
        <v>149</v>
      </c>
      <c r="G41" s="113">
        <v>0.05</v>
      </c>
      <c r="H41" s="65">
        <v>18544953</v>
      </c>
      <c r="I41" s="65">
        <v>67544953</v>
      </c>
      <c r="J41" s="65">
        <v>17014046</v>
      </c>
      <c r="K41" s="65">
        <v>17014046</v>
      </c>
      <c r="L41" s="65">
        <v>50530907</v>
      </c>
      <c r="M41" s="66">
        <v>881899</v>
      </c>
      <c r="N41" s="66">
        <v>112468</v>
      </c>
      <c r="O41" s="85">
        <f t="shared" si="18"/>
        <v>1.0899790091081216</v>
      </c>
      <c r="P41" s="85">
        <f t="shared" si="19"/>
        <v>0.25189218800700031</v>
      </c>
      <c r="Q41" s="85">
        <f t="shared" si="20"/>
        <v>7.8413326457303407</v>
      </c>
      <c r="R41" s="85">
        <f t="shared" si="21"/>
        <v>1.7452665157979452E-2</v>
      </c>
      <c r="S41" s="85">
        <f t="shared" si="22"/>
        <v>1.3056475144782469E-2</v>
      </c>
      <c r="T41" s="84">
        <f t="shared" si="23"/>
        <v>1530907</v>
      </c>
      <c r="U41" s="86">
        <f t="shared" si="24"/>
        <v>927247.65</v>
      </c>
      <c r="V41" s="86">
        <f t="shared" si="25"/>
        <v>850702.3</v>
      </c>
      <c r="W41" s="86">
        <f t="shared" si="26"/>
        <v>3377247.6500000004</v>
      </c>
      <c r="X41" s="86">
        <f t="shared" si="27"/>
        <v>850702.3</v>
      </c>
      <c r="Y41" s="86">
        <f t="shared" si="28"/>
        <v>2526545.35</v>
      </c>
      <c r="Z41" s="86">
        <f t="shared" si="29"/>
        <v>44094.950000000004</v>
      </c>
      <c r="AA41" s="86">
        <f t="shared" si="30"/>
        <v>5623.4000000000005</v>
      </c>
      <c r="AB41" s="138">
        <f t="shared" si="12"/>
        <v>5.4382622601000969</v>
      </c>
      <c r="AC41" s="137">
        <f t="shared" si="13"/>
        <v>0.16110685149336915</v>
      </c>
      <c r="AD41" s="139">
        <f t="shared" si="14"/>
        <v>12.329545881111278</v>
      </c>
      <c r="AE41" s="137">
        <f t="shared" si="15"/>
        <v>0.10180399220516645</v>
      </c>
      <c r="AF41" s="137">
        <f t="shared" si="16"/>
        <v>8.540267155153658E-2</v>
      </c>
      <c r="AG41" s="103">
        <f t="shared" si="17"/>
        <v>1543135157</v>
      </c>
    </row>
    <row r="42" spans="1:33" s="87" customFormat="1" ht="11.25" x14ac:dyDescent="0.2">
      <c r="A42" s="83">
        <v>25</v>
      </c>
      <c r="B42" s="134">
        <v>15</v>
      </c>
      <c r="C42" s="112" t="s">
        <v>151</v>
      </c>
      <c r="D42" s="112">
        <v>860510291</v>
      </c>
      <c r="E42" s="112">
        <v>2021</v>
      </c>
      <c r="F42" s="112" t="s">
        <v>151</v>
      </c>
      <c r="G42" s="113">
        <v>1</v>
      </c>
      <c r="H42" s="65">
        <v>2056786073</v>
      </c>
      <c r="I42" s="65">
        <v>4893290691</v>
      </c>
      <c r="J42" s="65">
        <v>1239780342</v>
      </c>
      <c r="K42" s="65">
        <v>2680133333</v>
      </c>
      <c r="L42" s="65">
        <v>2213157358</v>
      </c>
      <c r="M42" s="66">
        <v>927348097</v>
      </c>
      <c r="N42" s="66">
        <v>12815847</v>
      </c>
      <c r="O42" s="85">
        <f t="shared" si="18"/>
        <v>1.6589923257550732</v>
      </c>
      <c r="P42" s="85">
        <f t="shared" si="19"/>
        <v>0.54771594459520734</v>
      </c>
      <c r="Q42" s="85">
        <f t="shared" si="20"/>
        <v>72.359485643048018</v>
      </c>
      <c r="R42" s="85">
        <f t="shared" si="21"/>
        <v>0.41901588861174865</v>
      </c>
      <c r="S42" s="85">
        <f t="shared" si="22"/>
        <v>0.18951420538036456</v>
      </c>
      <c r="T42" s="84">
        <f t="shared" si="23"/>
        <v>817005731</v>
      </c>
      <c r="U42" s="86">
        <f t="shared" si="24"/>
        <v>2056786073</v>
      </c>
      <c r="V42" s="86">
        <f t="shared" si="25"/>
        <v>1239780342</v>
      </c>
      <c r="W42" s="86">
        <f t="shared" si="26"/>
        <v>4893290691</v>
      </c>
      <c r="X42" s="86">
        <f t="shared" si="27"/>
        <v>2680133333</v>
      </c>
      <c r="Y42" s="86">
        <f t="shared" si="28"/>
        <v>2213157358</v>
      </c>
      <c r="Z42" s="86">
        <f t="shared" si="29"/>
        <v>927348097</v>
      </c>
      <c r="AA42" s="86">
        <f t="shared" si="30"/>
        <v>12815847</v>
      </c>
      <c r="AB42" s="138">
        <f t="shared" si="12"/>
        <v>1.6589923257550732</v>
      </c>
      <c r="AC42" s="137">
        <f t="shared" si="13"/>
        <v>0.54771594459520734</v>
      </c>
      <c r="AD42" s="139">
        <f t="shared" si="14"/>
        <v>72.359485643048018</v>
      </c>
      <c r="AE42" s="137">
        <f t="shared" si="15"/>
        <v>0.41901588861174865</v>
      </c>
      <c r="AF42" s="137">
        <f t="shared" si="16"/>
        <v>0.18951420538036456</v>
      </c>
      <c r="AG42" s="103">
        <f t="shared" si="17"/>
        <v>817005731</v>
      </c>
    </row>
    <row r="43" spans="1:33" s="87" customFormat="1" ht="11.25" x14ac:dyDescent="0.2">
      <c r="A43" s="83">
        <v>26</v>
      </c>
      <c r="B43" s="134">
        <v>16</v>
      </c>
      <c r="C43" s="112" t="s">
        <v>153</v>
      </c>
      <c r="D43" s="112">
        <v>900036946</v>
      </c>
      <c r="E43" s="112">
        <v>2021</v>
      </c>
      <c r="F43" s="112" t="s">
        <v>152</v>
      </c>
      <c r="G43" s="113">
        <v>0.5</v>
      </c>
      <c r="H43" s="65">
        <v>1180008495</v>
      </c>
      <c r="I43" s="65">
        <v>1409020365</v>
      </c>
      <c r="J43" s="65">
        <v>229923991</v>
      </c>
      <c r="K43" s="65">
        <v>431324125</v>
      </c>
      <c r="L43" s="65">
        <v>977696240</v>
      </c>
      <c r="M43" s="66">
        <v>159087067</v>
      </c>
      <c r="N43" s="66">
        <v>6118310</v>
      </c>
      <c r="O43" s="85">
        <f t="shared" si="18"/>
        <v>5.1321677649549846</v>
      </c>
      <c r="P43" s="85">
        <f t="shared" si="19"/>
        <v>0.3061163172045423</v>
      </c>
      <c r="Q43" s="85">
        <f t="shared" si="20"/>
        <v>26.001799026201681</v>
      </c>
      <c r="R43" s="85">
        <f t="shared" si="21"/>
        <v>0.16271625121520361</v>
      </c>
      <c r="S43" s="85">
        <f t="shared" si="22"/>
        <v>0.11290615164387635</v>
      </c>
      <c r="T43" s="84">
        <f t="shared" si="23"/>
        <v>950084504</v>
      </c>
      <c r="U43" s="86">
        <f t="shared" si="24"/>
        <v>590004247.5</v>
      </c>
      <c r="V43" s="86">
        <f t="shared" si="25"/>
        <v>114961995.5</v>
      </c>
      <c r="W43" s="86">
        <f t="shared" si="26"/>
        <v>704510182.5</v>
      </c>
      <c r="X43" s="86">
        <f t="shared" si="27"/>
        <v>215662062.5</v>
      </c>
      <c r="Y43" s="86">
        <f t="shared" si="28"/>
        <v>488848120</v>
      </c>
      <c r="Z43" s="86">
        <f t="shared" si="29"/>
        <v>79543533.5</v>
      </c>
      <c r="AA43" s="86">
        <f t="shared" si="30"/>
        <v>3059155</v>
      </c>
      <c r="AB43" s="138">
        <f t="shared" si="12"/>
        <v>7.499495054749425</v>
      </c>
      <c r="AC43" s="137">
        <f t="shared" si="13"/>
        <v>0.2187795932718842</v>
      </c>
      <c r="AD43" s="139">
        <f t="shared" si="14"/>
        <v>32.426523059472302</v>
      </c>
      <c r="AE43" s="137">
        <f t="shared" si="15"/>
        <v>0.11915742182214399</v>
      </c>
      <c r="AF43" s="137">
        <f t="shared" si="16"/>
        <v>9.3088209540568984E-2</v>
      </c>
      <c r="AG43" s="103">
        <f t="shared" si="17"/>
        <v>2135275737</v>
      </c>
    </row>
    <row r="44" spans="1:33" s="87" customFormat="1" ht="11.25" x14ac:dyDescent="0.2">
      <c r="A44" s="83">
        <v>27</v>
      </c>
      <c r="B44" s="134">
        <v>16</v>
      </c>
      <c r="C44" s="112" t="s">
        <v>73</v>
      </c>
      <c r="D44" s="112">
        <v>900859890</v>
      </c>
      <c r="E44" s="112">
        <v>2021</v>
      </c>
      <c r="F44" s="112" t="s">
        <v>152</v>
      </c>
      <c r="G44" s="113">
        <v>0.05</v>
      </c>
      <c r="H44" s="65">
        <v>537936325</v>
      </c>
      <c r="I44" s="65">
        <v>647862952</v>
      </c>
      <c r="J44" s="65">
        <v>65833414</v>
      </c>
      <c r="K44" s="65">
        <v>192753438</v>
      </c>
      <c r="L44" s="65">
        <v>455109514</v>
      </c>
      <c r="M44" s="66">
        <v>36939647</v>
      </c>
      <c r="N44" s="66">
        <v>0</v>
      </c>
      <c r="O44" s="85">
        <f t="shared" si="18"/>
        <v>8.171174671269517</v>
      </c>
      <c r="P44" s="85">
        <f t="shared" si="19"/>
        <v>0.29752193331159954</v>
      </c>
      <c r="Q44" s="85" t="str">
        <f t="shared" si="20"/>
        <v/>
      </c>
      <c r="R44" s="85">
        <f t="shared" si="21"/>
        <v>8.1166501388498763E-2</v>
      </c>
      <c r="S44" s="85">
        <f t="shared" si="22"/>
        <v>5.7017686975253987E-2</v>
      </c>
      <c r="T44" s="84">
        <f t="shared" si="23"/>
        <v>472102911</v>
      </c>
      <c r="U44" s="86">
        <f t="shared" si="24"/>
        <v>26896816.25</v>
      </c>
      <c r="V44" s="86">
        <f t="shared" si="25"/>
        <v>3291670.7</v>
      </c>
      <c r="W44" s="86">
        <f t="shared" si="26"/>
        <v>32393147.600000001</v>
      </c>
      <c r="X44" s="86">
        <f t="shared" si="27"/>
        <v>9637671.9000000004</v>
      </c>
      <c r="Y44" s="86">
        <f t="shared" si="28"/>
        <v>22755475.700000003</v>
      </c>
      <c r="Z44" s="86">
        <f t="shared" si="29"/>
        <v>1846982.35</v>
      </c>
      <c r="AA44" s="86">
        <f t="shared" si="30"/>
        <v>0</v>
      </c>
      <c r="AB44" s="138">
        <f t="shared" si="12"/>
        <v>7.499495054749425</v>
      </c>
      <c r="AC44" s="137">
        <f t="shared" si="13"/>
        <v>0.2187795932718842</v>
      </c>
      <c r="AD44" s="139">
        <f t="shared" si="14"/>
        <v>32.426523059472302</v>
      </c>
      <c r="AE44" s="137">
        <f t="shared" si="15"/>
        <v>0.11915742182214399</v>
      </c>
      <c r="AF44" s="137">
        <f t="shared" si="16"/>
        <v>9.3088209540568984E-2</v>
      </c>
      <c r="AG44" s="103">
        <f t="shared" si="17"/>
        <v>2135275737</v>
      </c>
    </row>
    <row r="45" spans="1:33" s="87" customFormat="1" ht="11.25" x14ac:dyDescent="0.2">
      <c r="A45" s="83">
        <v>28</v>
      </c>
      <c r="B45" s="134">
        <v>16</v>
      </c>
      <c r="C45" s="112" t="s">
        <v>154</v>
      </c>
      <c r="D45" s="112">
        <v>830090285</v>
      </c>
      <c r="E45" s="112">
        <v>2021</v>
      </c>
      <c r="F45" s="112" t="s">
        <v>152</v>
      </c>
      <c r="G45" s="113">
        <v>0.45</v>
      </c>
      <c r="H45" s="65">
        <v>730507803</v>
      </c>
      <c r="I45" s="65">
        <v>730507803</v>
      </c>
      <c r="J45" s="65">
        <v>17419481</v>
      </c>
      <c r="K45" s="65">
        <v>17419481</v>
      </c>
      <c r="L45" s="65">
        <v>713088322</v>
      </c>
      <c r="M45" s="66">
        <v>39571654</v>
      </c>
      <c r="N45" s="66">
        <v>0</v>
      </c>
      <c r="O45" s="85">
        <f t="shared" si="18"/>
        <v>41.93625533389887</v>
      </c>
      <c r="P45" s="85">
        <f t="shared" si="19"/>
        <v>2.3845715170273136E-2</v>
      </c>
      <c r="Q45" s="85" t="str">
        <f t="shared" si="20"/>
        <v/>
      </c>
      <c r="R45" s="85">
        <f t="shared" si="21"/>
        <v>5.5493341819163884E-2</v>
      </c>
      <c r="S45" s="85">
        <f t="shared" si="22"/>
        <v>5.4170063396297492E-2</v>
      </c>
      <c r="T45" s="84">
        <f t="shared" si="23"/>
        <v>713088322</v>
      </c>
      <c r="U45" s="86">
        <f t="shared" si="24"/>
        <v>328728511.35000002</v>
      </c>
      <c r="V45" s="86">
        <f t="shared" si="25"/>
        <v>7838766.4500000002</v>
      </c>
      <c r="W45" s="86">
        <f t="shared" si="26"/>
        <v>328728511.35000002</v>
      </c>
      <c r="X45" s="86">
        <f t="shared" si="27"/>
        <v>7838766.4500000002</v>
      </c>
      <c r="Y45" s="86">
        <f t="shared" si="28"/>
        <v>320889744.90000004</v>
      </c>
      <c r="Z45" s="86">
        <f t="shared" si="29"/>
        <v>17807244.300000001</v>
      </c>
      <c r="AA45" s="86">
        <f t="shared" si="30"/>
        <v>0</v>
      </c>
      <c r="AB45" s="138">
        <f t="shared" si="12"/>
        <v>7.499495054749425</v>
      </c>
      <c r="AC45" s="137">
        <f t="shared" si="13"/>
        <v>0.2187795932718842</v>
      </c>
      <c r="AD45" s="139">
        <f t="shared" si="14"/>
        <v>32.426523059472302</v>
      </c>
      <c r="AE45" s="137">
        <f t="shared" si="15"/>
        <v>0.11915742182214399</v>
      </c>
      <c r="AF45" s="137">
        <f t="shared" si="16"/>
        <v>9.3088209540568984E-2</v>
      </c>
      <c r="AG45" s="103">
        <f t="shared" si="17"/>
        <v>2135275737</v>
      </c>
    </row>
    <row r="46" spans="1:33" s="87" customFormat="1" ht="11.25" x14ac:dyDescent="0.2">
      <c r="A46" s="83">
        <v>29</v>
      </c>
      <c r="B46" s="134">
        <v>17</v>
      </c>
      <c r="C46" s="112" t="s">
        <v>155</v>
      </c>
      <c r="D46" s="112">
        <v>900008687</v>
      </c>
      <c r="E46" s="112">
        <v>2021</v>
      </c>
      <c r="F46" s="112" t="s">
        <v>155</v>
      </c>
      <c r="G46" s="113">
        <v>1</v>
      </c>
      <c r="H46" s="65">
        <v>1814368734</v>
      </c>
      <c r="I46" s="65">
        <v>1814368734</v>
      </c>
      <c r="J46" s="65">
        <v>725405354</v>
      </c>
      <c r="K46" s="65">
        <v>999516566</v>
      </c>
      <c r="L46" s="65">
        <v>814852168</v>
      </c>
      <c r="M46" s="66">
        <v>129357493</v>
      </c>
      <c r="N46" s="66">
        <v>0</v>
      </c>
      <c r="O46" s="85">
        <f t="shared" si="18"/>
        <v>2.5011791324606079</v>
      </c>
      <c r="P46" s="85">
        <f t="shared" si="19"/>
        <v>0.55088943458391848</v>
      </c>
      <c r="Q46" s="85" t="str">
        <f t="shared" si="20"/>
        <v/>
      </c>
      <c r="R46" s="85">
        <f t="shared" si="21"/>
        <v>0.15874964573942202</v>
      </c>
      <c r="S46" s="85">
        <f t="shared" si="22"/>
        <v>7.1296143157634467E-2</v>
      </c>
      <c r="T46" s="84">
        <f t="shared" si="23"/>
        <v>1088963380</v>
      </c>
      <c r="U46" s="86">
        <f t="shared" si="24"/>
        <v>1814368734</v>
      </c>
      <c r="V46" s="86">
        <f t="shared" si="25"/>
        <v>725405354</v>
      </c>
      <c r="W46" s="86">
        <f t="shared" si="26"/>
        <v>1814368734</v>
      </c>
      <c r="X46" s="86">
        <f t="shared" si="27"/>
        <v>999516566</v>
      </c>
      <c r="Y46" s="86">
        <f t="shared" si="28"/>
        <v>814852168</v>
      </c>
      <c r="Z46" s="86">
        <f t="shared" si="29"/>
        <v>129357493</v>
      </c>
      <c r="AA46" s="86">
        <f t="shared" si="30"/>
        <v>0</v>
      </c>
      <c r="AB46" s="138">
        <f t="shared" si="12"/>
        <v>2.5011791324606079</v>
      </c>
      <c r="AC46" s="137">
        <f t="shared" si="13"/>
        <v>0.55088943458391848</v>
      </c>
      <c r="AD46" s="139" t="str">
        <f t="shared" si="14"/>
        <v>Indeterminado</v>
      </c>
      <c r="AE46" s="137">
        <f t="shared" si="15"/>
        <v>0.15874964573942202</v>
      </c>
      <c r="AF46" s="137">
        <f t="shared" si="16"/>
        <v>7.1296143157634467E-2</v>
      </c>
      <c r="AG46" s="103">
        <f t="shared" si="17"/>
        <v>1088963380</v>
      </c>
    </row>
    <row r="47" spans="1:33" s="87" customFormat="1" ht="11.25" x14ac:dyDescent="0.2">
      <c r="A47" s="83">
        <v>30</v>
      </c>
      <c r="B47" s="134">
        <v>18</v>
      </c>
      <c r="C47" s="112" t="s">
        <v>156</v>
      </c>
      <c r="D47" s="112">
        <v>802008390</v>
      </c>
      <c r="E47" s="112">
        <v>2021</v>
      </c>
      <c r="F47" s="112" t="s">
        <v>156</v>
      </c>
      <c r="G47" s="113">
        <v>1</v>
      </c>
      <c r="H47" s="65">
        <v>5425765350</v>
      </c>
      <c r="I47" s="65">
        <v>5668707859</v>
      </c>
      <c r="J47" s="65">
        <v>175964483</v>
      </c>
      <c r="K47" s="65">
        <v>1828323310</v>
      </c>
      <c r="L47" s="65">
        <v>3840384549</v>
      </c>
      <c r="M47" s="66">
        <v>439386173</v>
      </c>
      <c r="N47" s="66">
        <v>434888</v>
      </c>
      <c r="O47" s="85">
        <f t="shared" si="18"/>
        <v>30.834434639858543</v>
      </c>
      <c r="P47" s="85">
        <f t="shared" si="19"/>
        <v>0.32252911165588433</v>
      </c>
      <c r="Q47" s="85">
        <f t="shared" si="20"/>
        <v>1010.3432906863376</v>
      </c>
      <c r="R47" s="85">
        <f t="shared" si="21"/>
        <v>0.11441202499223992</v>
      </c>
      <c r="S47" s="85">
        <f t="shared" si="22"/>
        <v>7.7510816208741937E-2</v>
      </c>
      <c r="T47" s="84">
        <f t="shared" si="23"/>
        <v>5249800867</v>
      </c>
      <c r="U47" s="86">
        <f t="shared" si="24"/>
        <v>5425765350</v>
      </c>
      <c r="V47" s="86">
        <f t="shared" si="25"/>
        <v>175964483</v>
      </c>
      <c r="W47" s="86">
        <f t="shared" si="26"/>
        <v>5668707859</v>
      </c>
      <c r="X47" s="86">
        <f t="shared" si="27"/>
        <v>1828323310</v>
      </c>
      <c r="Y47" s="86">
        <f t="shared" si="28"/>
        <v>3840384549</v>
      </c>
      <c r="Z47" s="86">
        <f t="shared" si="29"/>
        <v>439386173</v>
      </c>
      <c r="AA47" s="86">
        <f t="shared" si="30"/>
        <v>434888</v>
      </c>
      <c r="AB47" s="138">
        <f t="shared" si="12"/>
        <v>30.834434639858543</v>
      </c>
      <c r="AC47" s="137">
        <f t="shared" si="13"/>
        <v>0.32252911165588433</v>
      </c>
      <c r="AD47" s="139">
        <f t="shared" si="14"/>
        <v>1010.3432906863376</v>
      </c>
      <c r="AE47" s="137">
        <f t="shared" si="15"/>
        <v>0.11441202499223992</v>
      </c>
      <c r="AF47" s="137">
        <f t="shared" si="16"/>
        <v>7.7510816208741937E-2</v>
      </c>
      <c r="AG47" s="103">
        <f t="shared" si="17"/>
        <v>5249800867</v>
      </c>
    </row>
    <row r="48" spans="1:33" s="87" customFormat="1" ht="11.25" x14ac:dyDescent="0.2">
      <c r="A48" s="83">
        <v>31</v>
      </c>
      <c r="B48" s="134">
        <v>19</v>
      </c>
      <c r="C48" s="112" t="s">
        <v>60</v>
      </c>
      <c r="D48" s="112">
        <v>900356506</v>
      </c>
      <c r="E48" s="112">
        <v>2021</v>
      </c>
      <c r="F48" s="112" t="s">
        <v>157</v>
      </c>
      <c r="G48" s="113">
        <v>0.05</v>
      </c>
      <c r="H48" s="65">
        <v>352968631</v>
      </c>
      <c r="I48" s="65">
        <v>442262420</v>
      </c>
      <c r="J48" s="65">
        <v>143179792</v>
      </c>
      <c r="K48" s="65">
        <v>145414720</v>
      </c>
      <c r="L48" s="65">
        <v>296847700</v>
      </c>
      <c r="M48" s="66">
        <v>109449483</v>
      </c>
      <c r="N48" s="66">
        <v>8943</v>
      </c>
      <c r="O48" s="85">
        <f t="shared" si="18"/>
        <v>2.4652126258152407</v>
      </c>
      <c r="P48" s="85">
        <f t="shared" si="19"/>
        <v>0.328797368765811</v>
      </c>
      <c r="Q48" s="85">
        <f t="shared" si="20"/>
        <v>12238.564575645756</v>
      </c>
      <c r="R48" s="85">
        <f t="shared" si="21"/>
        <v>0.36870584815041518</v>
      </c>
      <c r="S48" s="85">
        <f t="shared" si="22"/>
        <v>0.24747633542999201</v>
      </c>
      <c r="T48" s="84">
        <f t="shared" si="23"/>
        <v>209788839</v>
      </c>
      <c r="U48" s="86">
        <f t="shared" si="24"/>
        <v>17648431.550000001</v>
      </c>
      <c r="V48" s="86">
        <f t="shared" si="25"/>
        <v>7158989.6000000006</v>
      </c>
      <c r="W48" s="86">
        <f t="shared" si="26"/>
        <v>22113121</v>
      </c>
      <c r="X48" s="86">
        <f t="shared" si="27"/>
        <v>7270736</v>
      </c>
      <c r="Y48" s="86">
        <f t="shared" si="28"/>
        <v>14842385</v>
      </c>
      <c r="Z48" s="86">
        <f t="shared" si="29"/>
        <v>5472474.1500000004</v>
      </c>
      <c r="AA48" s="86">
        <f t="shared" si="30"/>
        <v>447.15000000000003</v>
      </c>
      <c r="AB48" s="138">
        <f t="shared" si="12"/>
        <v>7.5276342684368664</v>
      </c>
      <c r="AC48" s="137">
        <f t="shared" si="13"/>
        <v>0.46620974512489288</v>
      </c>
      <c r="AD48" s="139">
        <f t="shared" si="14"/>
        <v>24.556786181376211</v>
      </c>
      <c r="AE48" s="137">
        <f t="shared" si="15"/>
        <v>0.33543158904051118</v>
      </c>
      <c r="AF48" s="137">
        <f t="shared" si="16"/>
        <v>0.17905011340709667</v>
      </c>
      <c r="AG48" s="103">
        <f t="shared" si="17"/>
        <v>3874106185</v>
      </c>
    </row>
    <row r="49" spans="1:33" s="87" customFormat="1" ht="11.25" x14ac:dyDescent="0.2">
      <c r="A49" s="83">
        <v>32</v>
      </c>
      <c r="B49" s="134">
        <v>19</v>
      </c>
      <c r="C49" s="112" t="s">
        <v>158</v>
      </c>
      <c r="D49" s="112">
        <v>800064761</v>
      </c>
      <c r="E49" s="112">
        <v>2021</v>
      </c>
      <c r="F49" s="112" t="s">
        <v>157</v>
      </c>
      <c r="G49" s="113">
        <v>0.95</v>
      </c>
      <c r="H49" s="65">
        <v>4219827644</v>
      </c>
      <c r="I49" s="65">
        <v>4791691548</v>
      </c>
      <c r="J49" s="65">
        <v>555510298</v>
      </c>
      <c r="K49" s="65">
        <v>2237131839</v>
      </c>
      <c r="L49" s="65">
        <v>2554559709</v>
      </c>
      <c r="M49" s="66">
        <v>856360160</v>
      </c>
      <c r="N49" s="66">
        <v>35106756</v>
      </c>
      <c r="O49" s="85">
        <f t="shared" si="18"/>
        <v>7.5963085818437879</v>
      </c>
      <c r="P49" s="85">
        <f t="shared" si="19"/>
        <v>0.46687726382007094</v>
      </c>
      <c r="Q49" s="85">
        <f t="shared" si="20"/>
        <v>24.393030219026787</v>
      </c>
      <c r="R49" s="85">
        <f t="shared" si="21"/>
        <v>0.33522808528724041</v>
      </c>
      <c r="S49" s="85">
        <f t="shared" si="22"/>
        <v>0.17871771407269221</v>
      </c>
      <c r="T49" s="84">
        <f t="shared" si="23"/>
        <v>3664317346</v>
      </c>
      <c r="U49" s="86">
        <f t="shared" si="24"/>
        <v>4008836261.7999997</v>
      </c>
      <c r="V49" s="86">
        <f t="shared" si="25"/>
        <v>527734783.09999996</v>
      </c>
      <c r="W49" s="86">
        <f t="shared" si="26"/>
        <v>4552106970.5999994</v>
      </c>
      <c r="X49" s="86">
        <f t="shared" si="27"/>
        <v>2125275247.05</v>
      </c>
      <c r="Y49" s="86">
        <f t="shared" si="28"/>
        <v>2426831723.5499997</v>
      </c>
      <c r="Z49" s="86">
        <f t="shared" si="29"/>
        <v>813542152</v>
      </c>
      <c r="AA49" s="86">
        <f t="shared" si="30"/>
        <v>33351418.199999999</v>
      </c>
      <c r="AB49" s="138">
        <f t="shared" si="12"/>
        <v>7.5276342684368664</v>
      </c>
      <c r="AC49" s="137">
        <f t="shared" si="13"/>
        <v>0.46620974512489288</v>
      </c>
      <c r="AD49" s="139">
        <f t="shared" si="14"/>
        <v>24.556786181376211</v>
      </c>
      <c r="AE49" s="137">
        <f t="shared" si="15"/>
        <v>0.33543158904051118</v>
      </c>
      <c r="AF49" s="137">
        <f t="shared" si="16"/>
        <v>0.17905011340709667</v>
      </c>
      <c r="AG49" s="103">
        <f t="shared" si="17"/>
        <v>3874106185</v>
      </c>
    </row>
    <row r="50" spans="1:33" s="87" customFormat="1" ht="11.25" x14ac:dyDescent="0.2">
      <c r="A50" s="83">
        <v>33</v>
      </c>
      <c r="B50" s="134">
        <v>20</v>
      </c>
      <c r="C50" s="112" t="s">
        <v>159</v>
      </c>
      <c r="D50" s="112">
        <v>900330875</v>
      </c>
      <c r="E50" s="112">
        <v>2021</v>
      </c>
      <c r="F50" s="112" t="s">
        <v>159</v>
      </c>
      <c r="G50" s="113">
        <v>1</v>
      </c>
      <c r="H50" s="65">
        <v>5186721027</v>
      </c>
      <c r="I50" s="65">
        <v>6150759186</v>
      </c>
      <c r="J50" s="65">
        <v>3154745800</v>
      </c>
      <c r="K50" s="65">
        <v>3299614712</v>
      </c>
      <c r="L50" s="65">
        <v>2851144474</v>
      </c>
      <c r="M50" s="66">
        <v>605124093</v>
      </c>
      <c r="N50" s="66">
        <v>9529557</v>
      </c>
      <c r="O50" s="85">
        <f t="shared" si="18"/>
        <v>1.6441010958791038</v>
      </c>
      <c r="P50" s="85">
        <f t="shared" si="19"/>
        <v>0.53645649459182065</v>
      </c>
      <c r="Q50" s="85">
        <f t="shared" si="20"/>
        <v>63.499708643329377</v>
      </c>
      <c r="R50" s="85">
        <f t="shared" si="21"/>
        <v>0.21223901437412743</v>
      </c>
      <c r="S50" s="85">
        <f t="shared" si="22"/>
        <v>9.8382016707360007E-2</v>
      </c>
      <c r="T50" s="84">
        <f t="shared" si="23"/>
        <v>2031975227</v>
      </c>
      <c r="U50" s="86">
        <f t="shared" si="24"/>
        <v>5186721027</v>
      </c>
      <c r="V50" s="86">
        <f t="shared" si="25"/>
        <v>3154745800</v>
      </c>
      <c r="W50" s="86">
        <f t="shared" si="26"/>
        <v>6150759186</v>
      </c>
      <c r="X50" s="86">
        <f t="shared" si="27"/>
        <v>3299614712</v>
      </c>
      <c r="Y50" s="86">
        <f t="shared" si="28"/>
        <v>2851144474</v>
      </c>
      <c r="Z50" s="86">
        <f t="shared" si="29"/>
        <v>605124093</v>
      </c>
      <c r="AA50" s="86">
        <f t="shared" si="30"/>
        <v>9529557</v>
      </c>
      <c r="AB50" s="138">
        <f t="shared" ref="AB50:AB81" si="31">IF(J50="","",IFERROR(SUMIFS($U:$U,$B:$B,B50)/SUMIFS($V:$V,$B:$B,B50),"Indeterminado"))</f>
        <v>1.6441010958791038</v>
      </c>
      <c r="AC50" s="137">
        <f t="shared" ref="AC50:AC81" si="32">IFERROR(SUMIFS($X:$X,$B:$B,B50)/SUMIFS(W:W,$B:$B,B50),"")</f>
        <v>0.53645649459182065</v>
      </c>
      <c r="AD50" s="139">
        <f t="shared" ref="AD50:AD81" si="33">IF(OR(B50="",H50=""),"",IFERROR(SUMIFS($Z:$Z,$B:$B,B50)/SUMIFS($AA:$AA,$B:$B,B50),"Indeterminado"))</f>
        <v>63.499708643329377</v>
      </c>
      <c r="AE50" s="137">
        <f t="shared" ref="AE50:AE81" si="34">IFERROR(SUMIFS($Z:$Z,$B:$B,B50)/SUMIFS($Y:$Y,$B:$B,B50),"")</f>
        <v>0.21223901437412743</v>
      </c>
      <c r="AF50" s="137">
        <f t="shared" ref="AF50:AF81" si="35">IFERROR(SUMIFS($Z:$Z,$B:$B,B50)/SUMIFS($W:$W,$B:$B,B50),"")</f>
        <v>9.8382016707360007E-2</v>
      </c>
      <c r="AG50" s="103">
        <f t="shared" ref="AG50:AG83" si="36">IFERROR(IF(T50=0,"",SUMIFS($T:$T,$B:$B,B50)),"")</f>
        <v>2031975227</v>
      </c>
    </row>
    <row r="51" spans="1:33" s="87" customFormat="1" ht="11.25" x14ac:dyDescent="0.2">
      <c r="A51" s="83">
        <v>34</v>
      </c>
      <c r="B51" s="134">
        <v>21</v>
      </c>
      <c r="C51" s="112" t="s">
        <v>160</v>
      </c>
      <c r="D51" s="112">
        <v>860032057</v>
      </c>
      <c r="E51" s="112">
        <v>2021</v>
      </c>
      <c r="F51" s="112" t="s">
        <v>160</v>
      </c>
      <c r="G51" s="113">
        <v>1</v>
      </c>
      <c r="H51" s="65">
        <v>41274166741</v>
      </c>
      <c r="I51" s="65">
        <v>49038892930</v>
      </c>
      <c r="J51" s="65">
        <v>12358742404</v>
      </c>
      <c r="K51" s="65">
        <v>16936928404</v>
      </c>
      <c r="L51" s="65">
        <v>32101964526</v>
      </c>
      <c r="M51" s="66">
        <v>15987724841</v>
      </c>
      <c r="N51" s="66">
        <v>159226008</v>
      </c>
      <c r="O51" s="85">
        <f t="shared" si="18"/>
        <v>3.3396736813319539</v>
      </c>
      <c r="P51" s="85">
        <f t="shared" si="19"/>
        <v>0.34537746250055895</v>
      </c>
      <c r="Q51" s="85">
        <f t="shared" si="20"/>
        <v>100.40900379164188</v>
      </c>
      <c r="R51" s="85">
        <f t="shared" si="21"/>
        <v>0.49802948439654632</v>
      </c>
      <c r="S51" s="85">
        <f t="shared" si="22"/>
        <v>0.32602132482520541</v>
      </c>
      <c r="T51" s="84">
        <f t="shared" si="23"/>
        <v>28915424337</v>
      </c>
      <c r="U51" s="86">
        <f t="shared" si="24"/>
        <v>41274166741</v>
      </c>
      <c r="V51" s="86">
        <f t="shared" si="25"/>
        <v>12358742404</v>
      </c>
      <c r="W51" s="86">
        <f t="shared" si="26"/>
        <v>49038892930</v>
      </c>
      <c r="X51" s="86">
        <f t="shared" si="27"/>
        <v>16936928404</v>
      </c>
      <c r="Y51" s="86">
        <f t="shared" si="28"/>
        <v>32101964526</v>
      </c>
      <c r="Z51" s="86">
        <f t="shared" si="29"/>
        <v>15987724841</v>
      </c>
      <c r="AA51" s="86">
        <f t="shared" si="30"/>
        <v>159226008</v>
      </c>
      <c r="AB51" s="138">
        <f t="shared" si="31"/>
        <v>3.3396736813319539</v>
      </c>
      <c r="AC51" s="137">
        <f t="shared" si="32"/>
        <v>0.34537746250055895</v>
      </c>
      <c r="AD51" s="139">
        <f t="shared" si="33"/>
        <v>100.40900379164188</v>
      </c>
      <c r="AE51" s="137">
        <f t="shared" si="34"/>
        <v>0.49802948439654632</v>
      </c>
      <c r="AF51" s="137">
        <f t="shared" si="35"/>
        <v>0.32602132482520541</v>
      </c>
      <c r="AG51" s="103">
        <f t="shared" si="36"/>
        <v>28915424337</v>
      </c>
    </row>
    <row r="52" spans="1:33" s="87" customFormat="1" ht="11.25" x14ac:dyDescent="0.2">
      <c r="A52" s="83">
        <v>35</v>
      </c>
      <c r="B52" s="134">
        <v>22</v>
      </c>
      <c r="C52" s="112" t="s">
        <v>161</v>
      </c>
      <c r="D52" s="112">
        <v>800191486</v>
      </c>
      <c r="E52" s="112">
        <v>2021</v>
      </c>
      <c r="F52" s="112" t="s">
        <v>161</v>
      </c>
      <c r="G52" s="113">
        <v>1</v>
      </c>
      <c r="H52" s="65">
        <v>707840439</v>
      </c>
      <c r="I52" s="65">
        <v>937244057</v>
      </c>
      <c r="J52" s="65">
        <v>43420303</v>
      </c>
      <c r="K52" s="65">
        <v>437086182</v>
      </c>
      <c r="L52" s="65">
        <v>500157875</v>
      </c>
      <c r="M52" s="66">
        <v>60405884</v>
      </c>
      <c r="N52" s="66">
        <v>8016404</v>
      </c>
      <c r="O52" s="85">
        <f t="shared" si="18"/>
        <v>16.302061250010162</v>
      </c>
      <c r="P52" s="85">
        <f t="shared" si="19"/>
        <v>0.46635257778967171</v>
      </c>
      <c r="Q52" s="85">
        <f t="shared" si="20"/>
        <v>7.5352843993391554</v>
      </c>
      <c r="R52" s="85">
        <f t="shared" si="21"/>
        <v>0.12077363372515128</v>
      </c>
      <c r="S52" s="85">
        <f t="shared" si="22"/>
        <v>6.4450538308401348E-2</v>
      </c>
      <c r="T52" s="84">
        <f t="shared" si="23"/>
        <v>664420136</v>
      </c>
      <c r="U52" s="86">
        <f t="shared" si="24"/>
        <v>707840439</v>
      </c>
      <c r="V52" s="86">
        <f t="shared" si="25"/>
        <v>43420303</v>
      </c>
      <c r="W52" s="86">
        <f t="shared" si="26"/>
        <v>937244057</v>
      </c>
      <c r="X52" s="86">
        <f t="shared" si="27"/>
        <v>437086182</v>
      </c>
      <c r="Y52" s="86">
        <f t="shared" si="28"/>
        <v>500157875</v>
      </c>
      <c r="Z52" s="86">
        <f t="shared" si="29"/>
        <v>60405884</v>
      </c>
      <c r="AA52" s="86">
        <f t="shared" si="30"/>
        <v>8016404</v>
      </c>
      <c r="AB52" s="138">
        <f t="shared" si="31"/>
        <v>16.302061250010162</v>
      </c>
      <c r="AC52" s="137">
        <f t="shared" si="32"/>
        <v>0.46635257778967171</v>
      </c>
      <c r="AD52" s="139">
        <f t="shared" si="33"/>
        <v>7.5352843993391554</v>
      </c>
      <c r="AE52" s="137">
        <f t="shared" si="34"/>
        <v>0.12077363372515128</v>
      </c>
      <c r="AF52" s="137">
        <f t="shared" si="35"/>
        <v>6.4450538308401348E-2</v>
      </c>
      <c r="AG52" s="103">
        <f t="shared" si="36"/>
        <v>664420136</v>
      </c>
    </row>
    <row r="53" spans="1:33" s="87" customFormat="1" ht="11.25" x14ac:dyDescent="0.2">
      <c r="A53" s="83">
        <v>36</v>
      </c>
      <c r="B53" s="134">
        <v>23</v>
      </c>
      <c r="C53" s="112" t="s">
        <v>75</v>
      </c>
      <c r="D53" s="112">
        <v>901383717</v>
      </c>
      <c r="E53" s="112">
        <v>2021</v>
      </c>
      <c r="F53" s="112" t="s">
        <v>75</v>
      </c>
      <c r="G53" s="113">
        <v>1</v>
      </c>
      <c r="H53" s="65">
        <v>1649986000</v>
      </c>
      <c r="I53" s="65">
        <v>2106978000</v>
      </c>
      <c r="J53" s="65">
        <v>105484000</v>
      </c>
      <c r="K53" s="65">
        <v>1109947000</v>
      </c>
      <c r="L53" s="65">
        <v>997031000</v>
      </c>
      <c r="M53" s="66">
        <v>216424000</v>
      </c>
      <c r="N53" s="66">
        <v>1420000</v>
      </c>
      <c r="O53" s="85">
        <f t="shared" si="18"/>
        <v>15.642049979143756</v>
      </c>
      <c r="P53" s="85">
        <f t="shared" si="19"/>
        <v>0.52679572354338777</v>
      </c>
      <c r="Q53" s="85">
        <f t="shared" si="20"/>
        <v>152.41126760563381</v>
      </c>
      <c r="R53" s="85">
        <f t="shared" si="21"/>
        <v>0.21706847630615297</v>
      </c>
      <c r="S53" s="85">
        <f t="shared" si="22"/>
        <v>0.10271773127199239</v>
      </c>
      <c r="T53" s="84">
        <f t="shared" si="23"/>
        <v>1544502000</v>
      </c>
      <c r="U53" s="86">
        <f t="shared" si="24"/>
        <v>1649986000</v>
      </c>
      <c r="V53" s="86">
        <f t="shared" si="25"/>
        <v>105484000</v>
      </c>
      <c r="W53" s="86">
        <f t="shared" si="26"/>
        <v>2106978000</v>
      </c>
      <c r="X53" s="86">
        <f t="shared" si="27"/>
        <v>1109947000</v>
      </c>
      <c r="Y53" s="86">
        <f t="shared" si="28"/>
        <v>997031000</v>
      </c>
      <c r="Z53" s="86">
        <f t="shared" si="29"/>
        <v>216424000</v>
      </c>
      <c r="AA53" s="86">
        <f t="shared" si="30"/>
        <v>1420000</v>
      </c>
      <c r="AB53" s="138">
        <f t="shared" si="31"/>
        <v>15.642049979143756</v>
      </c>
      <c r="AC53" s="137">
        <f t="shared" si="32"/>
        <v>0.52679572354338777</v>
      </c>
      <c r="AD53" s="139">
        <f t="shared" si="33"/>
        <v>152.41126760563381</v>
      </c>
      <c r="AE53" s="137">
        <f t="shared" si="34"/>
        <v>0.21706847630615297</v>
      </c>
      <c r="AF53" s="137">
        <f t="shared" si="35"/>
        <v>0.10271773127199239</v>
      </c>
      <c r="AG53" s="103">
        <f t="shared" si="36"/>
        <v>1544502000</v>
      </c>
    </row>
    <row r="54" spans="1:33" s="87" customFormat="1" ht="11.25" x14ac:dyDescent="0.2">
      <c r="A54" s="83">
        <v>37</v>
      </c>
      <c r="B54" s="134">
        <v>24</v>
      </c>
      <c r="C54" s="112" t="s">
        <v>162</v>
      </c>
      <c r="D54" s="112">
        <v>900389180</v>
      </c>
      <c r="E54" s="112">
        <v>2020</v>
      </c>
      <c r="F54" s="112" t="s">
        <v>162</v>
      </c>
      <c r="G54" s="113">
        <v>1</v>
      </c>
      <c r="H54" s="65">
        <v>831239000</v>
      </c>
      <c r="I54" s="65">
        <v>1392603000</v>
      </c>
      <c r="J54" s="65">
        <v>1200000</v>
      </c>
      <c r="K54" s="65">
        <v>1200000</v>
      </c>
      <c r="L54" s="65">
        <v>1391403000</v>
      </c>
      <c r="M54" s="66">
        <v>127581000</v>
      </c>
      <c r="N54" s="66">
        <v>1120000</v>
      </c>
      <c r="O54" s="85">
        <f t="shared" si="18"/>
        <v>692.69916666666666</v>
      </c>
      <c r="P54" s="85">
        <f t="shared" si="19"/>
        <v>8.61695687859354E-4</v>
      </c>
      <c r="Q54" s="85">
        <f t="shared" si="20"/>
        <v>113.91160714285714</v>
      </c>
      <c r="R54" s="85">
        <f t="shared" si="21"/>
        <v>9.1692342189861595E-2</v>
      </c>
      <c r="S54" s="85">
        <f t="shared" si="22"/>
        <v>9.1613331293986869E-2</v>
      </c>
      <c r="T54" s="84">
        <f t="shared" si="23"/>
        <v>830039000</v>
      </c>
      <c r="U54" s="86">
        <f t="shared" si="24"/>
        <v>831239000</v>
      </c>
      <c r="V54" s="86">
        <f t="shared" si="25"/>
        <v>1200000</v>
      </c>
      <c r="W54" s="86">
        <f t="shared" si="26"/>
        <v>1392603000</v>
      </c>
      <c r="X54" s="86">
        <f t="shared" si="27"/>
        <v>1200000</v>
      </c>
      <c r="Y54" s="86">
        <f t="shared" si="28"/>
        <v>1391403000</v>
      </c>
      <c r="Z54" s="86">
        <f t="shared" si="29"/>
        <v>127581000</v>
      </c>
      <c r="AA54" s="86">
        <f t="shared" si="30"/>
        <v>1120000</v>
      </c>
      <c r="AB54" s="138">
        <f t="shared" si="31"/>
        <v>692.69916666666666</v>
      </c>
      <c r="AC54" s="137">
        <f t="shared" si="32"/>
        <v>8.61695687859354E-4</v>
      </c>
      <c r="AD54" s="139">
        <f t="shared" si="33"/>
        <v>113.91160714285714</v>
      </c>
      <c r="AE54" s="137">
        <f t="shared" si="34"/>
        <v>9.1692342189861595E-2</v>
      </c>
      <c r="AF54" s="137">
        <f t="shared" si="35"/>
        <v>9.1613331293986869E-2</v>
      </c>
      <c r="AG54" s="103">
        <f t="shared" si="36"/>
        <v>830039000</v>
      </c>
    </row>
    <row r="55" spans="1:33" s="87" customFormat="1" ht="11.25" x14ac:dyDescent="0.2">
      <c r="A55" s="83">
        <v>38</v>
      </c>
      <c r="B55" s="134">
        <v>25</v>
      </c>
      <c r="C55" s="142" t="s">
        <v>164</v>
      </c>
      <c r="D55" s="112">
        <v>900096419</v>
      </c>
      <c r="E55" s="112">
        <v>2020</v>
      </c>
      <c r="F55" s="112" t="s">
        <v>163</v>
      </c>
      <c r="G55" s="113">
        <v>0.55000000000000004</v>
      </c>
      <c r="H55" s="65">
        <v>2725978192</v>
      </c>
      <c r="I55" s="65">
        <v>2971162108</v>
      </c>
      <c r="J55" s="65">
        <v>1324034635</v>
      </c>
      <c r="K55" s="65">
        <v>1819217948</v>
      </c>
      <c r="L55" s="65">
        <v>1151944160</v>
      </c>
      <c r="M55" s="66">
        <v>279872442</v>
      </c>
      <c r="N55" s="66">
        <v>14089976</v>
      </c>
      <c r="O55" s="85">
        <f t="shared" si="18"/>
        <v>2.058842057405847</v>
      </c>
      <c r="P55" s="85">
        <f t="shared" si="19"/>
        <v>0.61229171680052941</v>
      </c>
      <c r="Q55" s="85">
        <f t="shared" si="20"/>
        <v>19.863230569022971</v>
      </c>
      <c r="R55" s="85">
        <f t="shared" si="21"/>
        <v>0.24295660477153685</v>
      </c>
      <c r="S55" s="85">
        <f t="shared" si="22"/>
        <v>9.4196288127944852E-2</v>
      </c>
      <c r="T55" s="84">
        <f t="shared" si="23"/>
        <v>1401943557</v>
      </c>
      <c r="U55" s="86">
        <f t="shared" si="24"/>
        <v>1499288005.6000001</v>
      </c>
      <c r="V55" s="86">
        <f t="shared" si="25"/>
        <v>728219049.25</v>
      </c>
      <c r="W55" s="86">
        <f t="shared" si="26"/>
        <v>1634139159.4000001</v>
      </c>
      <c r="X55" s="86">
        <f t="shared" si="27"/>
        <v>1000569871.4000001</v>
      </c>
      <c r="Y55" s="86">
        <f t="shared" si="28"/>
        <v>633569288</v>
      </c>
      <c r="Z55" s="86">
        <f t="shared" si="29"/>
        <v>153929843.10000002</v>
      </c>
      <c r="AA55" s="86">
        <f t="shared" si="30"/>
        <v>7749486.8000000007</v>
      </c>
      <c r="AB55" s="138">
        <f t="shared" si="31"/>
        <v>2.228148455506616</v>
      </c>
      <c r="AC55" s="137">
        <f t="shared" si="32"/>
        <v>0.50880308756801851</v>
      </c>
      <c r="AD55" s="139">
        <f t="shared" si="33"/>
        <v>6.3737875496655985</v>
      </c>
      <c r="AE55" s="137">
        <f t="shared" si="34"/>
        <v>0.15499627984748335</v>
      </c>
      <c r="AF55" s="137">
        <f t="shared" si="35"/>
        <v>7.6133694099527166E-2</v>
      </c>
      <c r="AG55" s="103">
        <f t="shared" si="36"/>
        <v>1982928934</v>
      </c>
    </row>
    <row r="56" spans="1:33" s="87" customFormat="1" ht="11.25" x14ac:dyDescent="0.2">
      <c r="A56" s="83">
        <v>39</v>
      </c>
      <c r="B56" s="134">
        <v>25</v>
      </c>
      <c r="C56" s="142" t="s">
        <v>165</v>
      </c>
      <c r="D56" s="112">
        <v>901105420</v>
      </c>
      <c r="E56" s="112">
        <v>2021</v>
      </c>
      <c r="F56" s="112" t="s">
        <v>163</v>
      </c>
      <c r="G56" s="113">
        <v>0.05</v>
      </c>
      <c r="H56" s="65">
        <v>278916061</v>
      </c>
      <c r="I56" s="65">
        <v>747606796</v>
      </c>
      <c r="J56" s="65">
        <v>141056037</v>
      </c>
      <c r="K56" s="65">
        <v>216545237</v>
      </c>
      <c r="L56" s="65">
        <v>531061559</v>
      </c>
      <c r="M56" s="66">
        <v>292246173</v>
      </c>
      <c r="N56" s="66">
        <v>0</v>
      </c>
      <c r="O56" s="85">
        <f t="shared" si="18"/>
        <v>1.9773422459047252</v>
      </c>
      <c r="P56" s="85">
        <f t="shared" si="19"/>
        <v>0.28965124201465925</v>
      </c>
      <c r="Q56" s="85" t="str">
        <f t="shared" si="20"/>
        <v/>
      </c>
      <c r="R56" s="85">
        <f t="shared" si="21"/>
        <v>0.55030564356852651</v>
      </c>
      <c r="S56" s="85">
        <f t="shared" si="22"/>
        <v>0.39090893042122637</v>
      </c>
      <c r="T56" s="84">
        <f t="shared" si="23"/>
        <v>137860024</v>
      </c>
      <c r="U56" s="86">
        <f t="shared" si="24"/>
        <v>13945803.050000001</v>
      </c>
      <c r="V56" s="86">
        <f t="shared" si="25"/>
        <v>7052801.8500000006</v>
      </c>
      <c r="W56" s="86">
        <f t="shared" si="26"/>
        <v>37380339.800000004</v>
      </c>
      <c r="X56" s="86">
        <f t="shared" si="27"/>
        <v>10827261.850000001</v>
      </c>
      <c r="Y56" s="86">
        <f t="shared" si="28"/>
        <v>26553077.950000003</v>
      </c>
      <c r="Z56" s="86">
        <f t="shared" si="29"/>
        <v>14612308.65</v>
      </c>
      <c r="AA56" s="86">
        <f t="shared" si="30"/>
        <v>0</v>
      </c>
      <c r="AB56" s="138">
        <f t="shared" si="31"/>
        <v>2.228148455506616</v>
      </c>
      <c r="AC56" s="137">
        <f t="shared" si="32"/>
        <v>0.50880308756801851</v>
      </c>
      <c r="AD56" s="139">
        <f t="shared" si="33"/>
        <v>6.3737875496655985</v>
      </c>
      <c r="AE56" s="137">
        <f t="shared" si="34"/>
        <v>0.15499627984748335</v>
      </c>
      <c r="AF56" s="137">
        <f t="shared" si="35"/>
        <v>7.6133694099527166E-2</v>
      </c>
      <c r="AG56" s="103">
        <f t="shared" si="36"/>
        <v>1982928934</v>
      </c>
    </row>
    <row r="57" spans="1:33" s="87" customFormat="1" ht="11.25" x14ac:dyDescent="0.2">
      <c r="A57" s="83">
        <v>40</v>
      </c>
      <c r="B57" s="134">
        <v>25</v>
      </c>
      <c r="C57" s="142" t="s">
        <v>166</v>
      </c>
      <c r="D57" s="112">
        <v>79573492</v>
      </c>
      <c r="E57" s="112">
        <v>2021</v>
      </c>
      <c r="F57" s="112" t="s">
        <v>163</v>
      </c>
      <c r="G57" s="113">
        <v>0.4</v>
      </c>
      <c r="H57" s="65">
        <v>549360699</v>
      </c>
      <c r="I57" s="65">
        <v>2475520793</v>
      </c>
      <c r="J57" s="65">
        <v>106235346</v>
      </c>
      <c r="K57" s="65">
        <v>857245495</v>
      </c>
      <c r="L57" s="65">
        <v>1618275298</v>
      </c>
      <c r="M57" s="66">
        <v>85262549</v>
      </c>
      <c r="N57" s="66">
        <v>60110879</v>
      </c>
      <c r="O57" s="85">
        <f t="shared" si="18"/>
        <v>5.1711668449783179</v>
      </c>
      <c r="P57" s="85">
        <f t="shared" si="19"/>
        <v>0.34628894955115008</v>
      </c>
      <c r="Q57" s="85">
        <f t="shared" si="20"/>
        <v>1.4184212644769343</v>
      </c>
      <c r="R57" s="85">
        <f t="shared" si="21"/>
        <v>5.2687295607474573E-2</v>
      </c>
      <c r="S57" s="85">
        <f t="shared" si="22"/>
        <v>3.4442267356871281E-2</v>
      </c>
      <c r="T57" s="84">
        <f t="shared" si="23"/>
        <v>443125353</v>
      </c>
      <c r="U57" s="86">
        <f t="shared" si="24"/>
        <v>219744279.60000002</v>
      </c>
      <c r="V57" s="86">
        <f t="shared" si="25"/>
        <v>42494138.400000006</v>
      </c>
      <c r="W57" s="86">
        <f t="shared" si="26"/>
        <v>990208317.20000005</v>
      </c>
      <c r="X57" s="86">
        <f t="shared" si="27"/>
        <v>342898198</v>
      </c>
      <c r="Y57" s="86">
        <f t="shared" si="28"/>
        <v>647310119.20000005</v>
      </c>
      <c r="Z57" s="86">
        <f t="shared" si="29"/>
        <v>34105019.600000001</v>
      </c>
      <c r="AA57" s="86">
        <f t="shared" si="30"/>
        <v>24044351.600000001</v>
      </c>
      <c r="AB57" s="138">
        <f t="shared" si="31"/>
        <v>2.228148455506616</v>
      </c>
      <c r="AC57" s="137">
        <f t="shared" si="32"/>
        <v>0.50880308756801851</v>
      </c>
      <c r="AD57" s="139">
        <f t="shared" si="33"/>
        <v>6.3737875496655985</v>
      </c>
      <c r="AE57" s="137">
        <f t="shared" si="34"/>
        <v>0.15499627984748335</v>
      </c>
      <c r="AF57" s="137">
        <f t="shared" si="35"/>
        <v>7.6133694099527166E-2</v>
      </c>
      <c r="AG57" s="103">
        <f t="shared" si="36"/>
        <v>1982928934</v>
      </c>
    </row>
    <row r="58" spans="1:33" s="87" customFormat="1" ht="11.25" x14ac:dyDescent="0.2">
      <c r="A58" s="83">
        <v>41</v>
      </c>
      <c r="B58" s="134">
        <v>26</v>
      </c>
      <c r="C58" s="142" t="s">
        <v>94</v>
      </c>
      <c r="D58" s="112">
        <v>800155100</v>
      </c>
      <c r="E58" s="112">
        <v>2021</v>
      </c>
      <c r="F58" s="112" t="s">
        <v>94</v>
      </c>
      <c r="G58" s="113">
        <v>1</v>
      </c>
      <c r="H58" s="65">
        <v>13495375426</v>
      </c>
      <c r="I58" s="65">
        <v>13663694080</v>
      </c>
      <c r="J58" s="65">
        <v>3168210950</v>
      </c>
      <c r="K58" s="65">
        <v>5259336804</v>
      </c>
      <c r="L58" s="65">
        <v>8404357276</v>
      </c>
      <c r="M58" s="66">
        <v>1269297299</v>
      </c>
      <c r="N58" s="66">
        <v>0</v>
      </c>
      <c r="O58" s="85">
        <f t="shared" si="18"/>
        <v>4.2596202206800653</v>
      </c>
      <c r="P58" s="85">
        <f t="shared" si="19"/>
        <v>0.38491324331523674</v>
      </c>
      <c r="Q58" s="85" t="str">
        <f t="shared" si="20"/>
        <v/>
      </c>
      <c r="R58" s="85">
        <f t="shared" si="21"/>
        <v>0.15102847931330615</v>
      </c>
      <c r="S58" s="85">
        <f t="shared" si="22"/>
        <v>9.2895617507853342E-2</v>
      </c>
      <c r="T58" s="84">
        <f t="shared" si="23"/>
        <v>10327164476</v>
      </c>
      <c r="U58" s="86">
        <f t="shared" si="24"/>
        <v>13495375426</v>
      </c>
      <c r="V58" s="86">
        <f t="shared" si="25"/>
        <v>3168210950</v>
      </c>
      <c r="W58" s="86">
        <f t="shared" si="26"/>
        <v>13663694080</v>
      </c>
      <c r="X58" s="86">
        <f t="shared" si="27"/>
        <v>5259336804</v>
      </c>
      <c r="Y58" s="86">
        <f t="shared" si="28"/>
        <v>8404357276</v>
      </c>
      <c r="Z58" s="86">
        <f t="shared" si="29"/>
        <v>1269297299</v>
      </c>
      <c r="AA58" s="86">
        <f t="shared" si="30"/>
        <v>0</v>
      </c>
      <c r="AB58" s="138">
        <f t="shared" si="31"/>
        <v>4.2596202206800653</v>
      </c>
      <c r="AC58" s="137">
        <f t="shared" si="32"/>
        <v>0.38491324331523674</v>
      </c>
      <c r="AD58" s="139" t="str">
        <f t="shared" si="33"/>
        <v>Indeterminado</v>
      </c>
      <c r="AE58" s="137">
        <f t="shared" si="34"/>
        <v>0.15102847931330615</v>
      </c>
      <c r="AF58" s="137">
        <f t="shared" si="35"/>
        <v>9.2895617507853342E-2</v>
      </c>
      <c r="AG58" s="103">
        <f t="shared" si="36"/>
        <v>10327164476</v>
      </c>
    </row>
    <row r="59" spans="1:33" s="87" customFormat="1" ht="11.25" x14ac:dyDescent="0.2">
      <c r="A59" s="83">
        <v>42</v>
      </c>
      <c r="B59" s="134">
        <v>27</v>
      </c>
      <c r="C59" s="142" t="s">
        <v>167</v>
      </c>
      <c r="D59" s="112">
        <v>830011122</v>
      </c>
      <c r="E59" s="112">
        <v>2021</v>
      </c>
      <c r="F59" s="112" t="s">
        <v>167</v>
      </c>
      <c r="G59" s="113">
        <v>1</v>
      </c>
      <c r="H59" s="65">
        <v>1301028722</v>
      </c>
      <c r="I59" s="65">
        <v>3695039114</v>
      </c>
      <c r="J59" s="65">
        <v>536999938</v>
      </c>
      <c r="K59" s="65">
        <v>536999938</v>
      </c>
      <c r="L59" s="65">
        <v>3158039176</v>
      </c>
      <c r="M59" s="66">
        <v>532207834</v>
      </c>
      <c r="N59" s="66">
        <v>0</v>
      </c>
      <c r="O59" s="85">
        <f t="shared" si="18"/>
        <v>2.4227725739513959</v>
      </c>
      <c r="P59" s="85">
        <f t="shared" si="19"/>
        <v>0.14532997390078509</v>
      </c>
      <c r="Q59" s="85" t="str">
        <f t="shared" si="20"/>
        <v/>
      </c>
      <c r="R59" s="85">
        <f t="shared" si="21"/>
        <v>0.16852477260085769</v>
      </c>
      <c r="S59" s="85">
        <f t="shared" si="22"/>
        <v>0.14403307179713931</v>
      </c>
      <c r="T59" s="84">
        <f t="shared" si="23"/>
        <v>764028784</v>
      </c>
      <c r="U59" s="86">
        <f t="shared" si="24"/>
        <v>1301028722</v>
      </c>
      <c r="V59" s="86">
        <f t="shared" si="25"/>
        <v>536999938</v>
      </c>
      <c r="W59" s="86">
        <f t="shared" si="26"/>
        <v>3695039114</v>
      </c>
      <c r="X59" s="86">
        <f t="shared" si="27"/>
        <v>536999938</v>
      </c>
      <c r="Y59" s="86">
        <f t="shared" si="28"/>
        <v>3158039176</v>
      </c>
      <c r="Z59" s="86">
        <f t="shared" si="29"/>
        <v>532207834</v>
      </c>
      <c r="AA59" s="86">
        <f t="shared" si="30"/>
        <v>0</v>
      </c>
      <c r="AB59" s="138">
        <f t="shared" si="31"/>
        <v>2.4227725739513959</v>
      </c>
      <c r="AC59" s="137">
        <f t="shared" si="32"/>
        <v>0.14532997390078509</v>
      </c>
      <c r="AD59" s="139" t="str">
        <f t="shared" si="33"/>
        <v>Indeterminado</v>
      </c>
      <c r="AE59" s="137">
        <f t="shared" si="34"/>
        <v>0.16852477260085769</v>
      </c>
      <c r="AF59" s="137">
        <f t="shared" si="35"/>
        <v>0.14403307179713931</v>
      </c>
      <c r="AG59" s="103">
        <f t="shared" si="36"/>
        <v>764028784</v>
      </c>
    </row>
    <row r="60" spans="1:33" s="87" customFormat="1" ht="11.25" x14ac:dyDescent="0.2">
      <c r="A60" s="83">
        <v>43</v>
      </c>
      <c r="B60" s="134">
        <v>28</v>
      </c>
      <c r="C60" s="142" t="s">
        <v>169</v>
      </c>
      <c r="D60" s="112">
        <v>901198163</v>
      </c>
      <c r="E60" s="112">
        <v>2021</v>
      </c>
      <c r="F60" s="112" t="s">
        <v>168</v>
      </c>
      <c r="G60" s="113">
        <v>0.5</v>
      </c>
      <c r="H60" s="65">
        <v>1371314278</v>
      </c>
      <c r="I60" s="65">
        <v>1499904010</v>
      </c>
      <c r="J60" s="65">
        <v>517237606</v>
      </c>
      <c r="K60" s="65">
        <v>747540626</v>
      </c>
      <c r="L60" s="65">
        <v>752363384</v>
      </c>
      <c r="M60" s="66">
        <v>235809455</v>
      </c>
      <c r="N60" s="66">
        <v>0</v>
      </c>
      <c r="O60" s="85">
        <f t="shared" si="18"/>
        <v>2.6512269450106456</v>
      </c>
      <c r="P60" s="85">
        <f t="shared" si="19"/>
        <v>0.49839231111862953</v>
      </c>
      <c r="Q60" s="85" t="str">
        <f t="shared" si="20"/>
        <v/>
      </c>
      <c r="R60" s="85">
        <f t="shared" si="21"/>
        <v>0.31342494865486437</v>
      </c>
      <c r="S60" s="85">
        <f t="shared" si="22"/>
        <v>0.15721636413252871</v>
      </c>
      <c r="T60" s="84">
        <f t="shared" si="23"/>
        <v>854076672</v>
      </c>
      <c r="U60" s="86">
        <f t="shared" si="24"/>
        <v>685657139</v>
      </c>
      <c r="V60" s="86">
        <f t="shared" si="25"/>
        <v>258618803</v>
      </c>
      <c r="W60" s="86">
        <f t="shared" si="26"/>
        <v>749952005</v>
      </c>
      <c r="X60" s="86">
        <f t="shared" si="27"/>
        <v>373770313</v>
      </c>
      <c r="Y60" s="86">
        <f t="shared" si="28"/>
        <v>376181692</v>
      </c>
      <c r="Z60" s="86">
        <f t="shared" si="29"/>
        <v>117904727.5</v>
      </c>
      <c r="AA60" s="86">
        <f t="shared" si="30"/>
        <v>0</v>
      </c>
      <c r="AB60" s="138">
        <f t="shared" si="31"/>
        <v>2.6440621119141277</v>
      </c>
      <c r="AC60" s="137">
        <f t="shared" si="32"/>
        <v>0.48710321786490002</v>
      </c>
      <c r="AD60" s="139" t="str">
        <f t="shared" si="33"/>
        <v>Indeterminado</v>
      </c>
      <c r="AE60" s="137">
        <f t="shared" si="34"/>
        <v>0.31745774983112057</v>
      </c>
      <c r="AF60" s="137">
        <f t="shared" si="35"/>
        <v>0.16282305835223132</v>
      </c>
      <c r="AG60" s="103">
        <f t="shared" si="36"/>
        <v>853576672</v>
      </c>
    </row>
    <row r="61" spans="1:33" s="87" customFormat="1" ht="11.25" x14ac:dyDescent="0.2">
      <c r="A61" s="83">
        <v>44</v>
      </c>
      <c r="B61" s="134">
        <v>28</v>
      </c>
      <c r="C61" s="142" t="s">
        <v>170</v>
      </c>
      <c r="D61" s="112">
        <v>13802932</v>
      </c>
      <c r="E61" s="112">
        <v>2021</v>
      </c>
      <c r="F61" s="112" t="s">
        <v>168</v>
      </c>
      <c r="G61" s="113">
        <v>0.5</v>
      </c>
      <c r="H61" s="65">
        <v>1450000</v>
      </c>
      <c r="I61" s="65">
        <v>38765000</v>
      </c>
      <c r="J61" s="65">
        <v>1950000</v>
      </c>
      <c r="K61" s="65">
        <v>1950000</v>
      </c>
      <c r="L61" s="65">
        <v>36815000</v>
      </c>
      <c r="M61" s="66">
        <v>14721339</v>
      </c>
      <c r="N61" s="66">
        <v>0</v>
      </c>
      <c r="O61" s="85">
        <f t="shared" si="18"/>
        <v>0.74358974358974361</v>
      </c>
      <c r="P61" s="85">
        <f t="shared" si="19"/>
        <v>5.030310847413904E-2</v>
      </c>
      <c r="Q61" s="85" t="str">
        <f t="shared" si="20"/>
        <v/>
      </c>
      <c r="R61" s="85">
        <f t="shared" si="21"/>
        <v>0.39987339399701211</v>
      </c>
      <c r="S61" s="85">
        <f t="shared" si="22"/>
        <v>0.37975851928285825</v>
      </c>
      <c r="T61" s="84">
        <f t="shared" si="23"/>
        <v>-500000</v>
      </c>
      <c r="U61" s="86">
        <f t="shared" si="24"/>
        <v>725000</v>
      </c>
      <c r="V61" s="86">
        <f t="shared" si="25"/>
        <v>975000</v>
      </c>
      <c r="W61" s="86">
        <f t="shared" si="26"/>
        <v>19382500</v>
      </c>
      <c r="X61" s="86">
        <f t="shared" si="27"/>
        <v>975000</v>
      </c>
      <c r="Y61" s="86">
        <f t="shared" si="28"/>
        <v>18407500</v>
      </c>
      <c r="Z61" s="86">
        <f t="shared" si="29"/>
        <v>7360669.5</v>
      </c>
      <c r="AA61" s="86">
        <f t="shared" si="30"/>
        <v>0</v>
      </c>
      <c r="AB61" s="138">
        <f t="shared" si="31"/>
        <v>2.6440621119141277</v>
      </c>
      <c r="AC61" s="137">
        <f t="shared" si="32"/>
        <v>0.48710321786490002</v>
      </c>
      <c r="AD61" s="139" t="str">
        <f t="shared" si="33"/>
        <v>Indeterminado</v>
      </c>
      <c r="AE61" s="137">
        <f t="shared" si="34"/>
        <v>0.31745774983112057</v>
      </c>
      <c r="AF61" s="137">
        <f t="shared" si="35"/>
        <v>0.16282305835223132</v>
      </c>
      <c r="AG61" s="103">
        <f t="shared" si="36"/>
        <v>853576672</v>
      </c>
    </row>
    <row r="62" spans="1:33" s="87" customFormat="1" ht="11.25" x14ac:dyDescent="0.2">
      <c r="A62" s="83">
        <v>45</v>
      </c>
      <c r="B62" s="134">
        <v>29</v>
      </c>
      <c r="C62" s="142" t="s">
        <v>98</v>
      </c>
      <c r="D62" s="112">
        <v>800172033</v>
      </c>
      <c r="E62" s="112">
        <v>2021</v>
      </c>
      <c r="F62" s="112" t="s">
        <v>98</v>
      </c>
      <c r="G62" s="113">
        <v>1</v>
      </c>
      <c r="H62" s="65">
        <v>2188279010</v>
      </c>
      <c r="I62" s="65">
        <v>2233344658</v>
      </c>
      <c r="J62" s="65">
        <v>566873016</v>
      </c>
      <c r="K62" s="65">
        <v>987162256</v>
      </c>
      <c r="L62" s="65">
        <v>1246182402</v>
      </c>
      <c r="M62" s="66">
        <v>250223301</v>
      </c>
      <c r="N62" s="66">
        <v>5006127</v>
      </c>
      <c r="O62" s="85">
        <f t="shared" si="18"/>
        <v>3.8602631422484222</v>
      </c>
      <c r="P62" s="85">
        <f t="shared" si="19"/>
        <v>0.44201070912360718</v>
      </c>
      <c r="Q62" s="85">
        <f t="shared" si="20"/>
        <v>49.983410528738084</v>
      </c>
      <c r="R62" s="85">
        <f t="shared" si="21"/>
        <v>0.20079187492811346</v>
      </c>
      <c r="S62" s="85">
        <f t="shared" si="22"/>
        <v>0.11203971590487938</v>
      </c>
      <c r="T62" s="84">
        <f t="shared" si="23"/>
        <v>1621405994</v>
      </c>
      <c r="U62" s="86">
        <f t="shared" si="24"/>
        <v>2188279010</v>
      </c>
      <c r="V62" s="86">
        <f t="shared" si="25"/>
        <v>566873016</v>
      </c>
      <c r="W62" s="86">
        <f t="shared" si="26"/>
        <v>2233344658</v>
      </c>
      <c r="X62" s="86">
        <f t="shared" si="27"/>
        <v>987162256</v>
      </c>
      <c r="Y62" s="86">
        <f t="shared" si="28"/>
        <v>1246182402</v>
      </c>
      <c r="Z62" s="86">
        <f t="shared" si="29"/>
        <v>250223301</v>
      </c>
      <c r="AA62" s="86">
        <f t="shared" si="30"/>
        <v>5006127</v>
      </c>
      <c r="AB62" s="138">
        <f t="shared" si="31"/>
        <v>3.8602631422484222</v>
      </c>
      <c r="AC62" s="137">
        <f t="shared" si="32"/>
        <v>0.44201070912360718</v>
      </c>
      <c r="AD62" s="139">
        <f t="shared" si="33"/>
        <v>49.983410528738084</v>
      </c>
      <c r="AE62" s="137">
        <f t="shared" si="34"/>
        <v>0.20079187492811346</v>
      </c>
      <c r="AF62" s="137">
        <f t="shared" si="35"/>
        <v>0.11203971590487938</v>
      </c>
      <c r="AG62" s="103">
        <f t="shared" si="36"/>
        <v>1621405994</v>
      </c>
    </row>
    <row r="63" spans="1:33" s="87" customFormat="1" ht="11.25" x14ac:dyDescent="0.2">
      <c r="A63" s="83">
        <v>46</v>
      </c>
      <c r="B63" s="134">
        <v>30</v>
      </c>
      <c r="C63" s="142" t="s">
        <v>113</v>
      </c>
      <c r="D63" s="112">
        <v>900644351</v>
      </c>
      <c r="E63" s="112">
        <v>2021</v>
      </c>
      <c r="F63" s="112" t="s">
        <v>113</v>
      </c>
      <c r="G63" s="113">
        <v>1</v>
      </c>
      <c r="H63" s="65">
        <v>8628340411</v>
      </c>
      <c r="I63" s="65">
        <v>8744010431</v>
      </c>
      <c r="J63" s="65">
        <v>559703390</v>
      </c>
      <c r="K63" s="65">
        <v>5994622372</v>
      </c>
      <c r="L63" s="65">
        <v>2749388059</v>
      </c>
      <c r="M63" s="66">
        <v>539148679</v>
      </c>
      <c r="N63" s="66">
        <v>202765</v>
      </c>
      <c r="O63" s="85">
        <f t="shared" si="18"/>
        <v>15.415915938976179</v>
      </c>
      <c r="P63" s="85">
        <f t="shared" si="19"/>
        <v>0.68556898682867096</v>
      </c>
      <c r="Q63" s="85">
        <f t="shared" si="20"/>
        <v>2658.9829556383006</v>
      </c>
      <c r="R63" s="85">
        <f t="shared" si="21"/>
        <v>0.19609770153584566</v>
      </c>
      <c r="S63" s="85">
        <f t="shared" si="22"/>
        <v>6.1659198974484845E-2</v>
      </c>
      <c r="T63" s="84">
        <f t="shared" si="23"/>
        <v>8068637021</v>
      </c>
      <c r="U63" s="86">
        <f t="shared" si="24"/>
        <v>8628340411</v>
      </c>
      <c r="V63" s="86">
        <f t="shared" si="25"/>
        <v>559703390</v>
      </c>
      <c r="W63" s="86">
        <f t="shared" si="26"/>
        <v>8744010431</v>
      </c>
      <c r="X63" s="86">
        <f t="shared" si="27"/>
        <v>5994622372</v>
      </c>
      <c r="Y63" s="86">
        <f t="shared" si="28"/>
        <v>2749388059</v>
      </c>
      <c r="Z63" s="86">
        <f t="shared" si="29"/>
        <v>539148679</v>
      </c>
      <c r="AA63" s="86">
        <f t="shared" si="30"/>
        <v>202765</v>
      </c>
      <c r="AB63" s="138">
        <f t="shared" si="31"/>
        <v>15.415915938976179</v>
      </c>
      <c r="AC63" s="137">
        <f t="shared" si="32"/>
        <v>0.68556898682867096</v>
      </c>
      <c r="AD63" s="139">
        <f t="shared" si="33"/>
        <v>2658.9829556383006</v>
      </c>
      <c r="AE63" s="137">
        <f t="shared" si="34"/>
        <v>0.19609770153584566</v>
      </c>
      <c r="AF63" s="137">
        <f t="shared" si="35"/>
        <v>6.1659198974484845E-2</v>
      </c>
      <c r="AG63" s="103">
        <f t="shared" si="36"/>
        <v>8068637021</v>
      </c>
    </row>
    <row r="64" spans="1:33" s="87" customFormat="1" ht="11.25" x14ac:dyDescent="0.2">
      <c r="A64" s="83">
        <v>47</v>
      </c>
      <c r="B64" s="134">
        <v>31</v>
      </c>
      <c r="C64" s="142" t="s">
        <v>104</v>
      </c>
      <c r="D64" s="112">
        <v>900139110</v>
      </c>
      <c r="E64" s="112">
        <v>2021</v>
      </c>
      <c r="F64" s="112" t="s">
        <v>104</v>
      </c>
      <c r="G64" s="113">
        <v>1</v>
      </c>
      <c r="H64" s="65">
        <v>35711048300</v>
      </c>
      <c r="I64" s="65">
        <v>40471562272</v>
      </c>
      <c r="J64" s="65">
        <v>13958788092</v>
      </c>
      <c r="K64" s="65">
        <v>21823391119</v>
      </c>
      <c r="L64" s="65">
        <v>18648171153</v>
      </c>
      <c r="M64" s="66">
        <v>8714902879</v>
      </c>
      <c r="N64" s="66">
        <v>74471767</v>
      </c>
      <c r="O64" s="85">
        <f t="shared" si="18"/>
        <v>2.5583201109318767</v>
      </c>
      <c r="P64" s="85">
        <f t="shared" si="19"/>
        <v>0.53922779091970907</v>
      </c>
      <c r="Q64" s="85">
        <f t="shared" si="20"/>
        <v>117.02290989013326</v>
      </c>
      <c r="R64" s="85">
        <f t="shared" si="21"/>
        <v>0.46733284500115718</v>
      </c>
      <c r="S64" s="85">
        <f t="shared" si="22"/>
        <v>0.21533398736696041</v>
      </c>
      <c r="T64" s="84">
        <f t="shared" si="23"/>
        <v>21752260208</v>
      </c>
      <c r="U64" s="86">
        <f t="shared" si="24"/>
        <v>35711048300</v>
      </c>
      <c r="V64" s="86">
        <f t="shared" si="25"/>
        <v>13958788092</v>
      </c>
      <c r="W64" s="86">
        <f t="shared" si="26"/>
        <v>40471562272</v>
      </c>
      <c r="X64" s="86">
        <f t="shared" si="27"/>
        <v>21823391119</v>
      </c>
      <c r="Y64" s="86">
        <f t="shared" si="28"/>
        <v>18648171153</v>
      </c>
      <c r="Z64" s="86">
        <f t="shared" si="29"/>
        <v>8714902879</v>
      </c>
      <c r="AA64" s="86">
        <f t="shared" si="30"/>
        <v>74471767</v>
      </c>
      <c r="AB64" s="138">
        <f t="shared" si="31"/>
        <v>2.5583201109318767</v>
      </c>
      <c r="AC64" s="137">
        <f t="shared" si="32"/>
        <v>0.53922779091970907</v>
      </c>
      <c r="AD64" s="139">
        <f t="shared" si="33"/>
        <v>117.02290989013326</v>
      </c>
      <c r="AE64" s="137">
        <f t="shared" si="34"/>
        <v>0.46733284500115718</v>
      </c>
      <c r="AF64" s="137">
        <f t="shared" si="35"/>
        <v>0.21533398736696041</v>
      </c>
      <c r="AG64" s="103">
        <f t="shared" si="36"/>
        <v>21752260208</v>
      </c>
    </row>
    <row r="65" spans="1:33" s="87" customFormat="1" ht="11.25" x14ac:dyDescent="0.2">
      <c r="A65" s="83">
        <v>48</v>
      </c>
      <c r="B65" s="134">
        <v>32</v>
      </c>
      <c r="C65" s="142" t="s">
        <v>172</v>
      </c>
      <c r="D65" s="112">
        <v>901438138</v>
      </c>
      <c r="E65" s="112">
        <v>2021</v>
      </c>
      <c r="F65" s="112" t="s">
        <v>171</v>
      </c>
      <c r="G65" s="113">
        <v>0.95</v>
      </c>
      <c r="H65" s="65">
        <v>240819178</v>
      </c>
      <c r="I65" s="65">
        <v>297372211</v>
      </c>
      <c r="J65" s="65">
        <v>202871088</v>
      </c>
      <c r="K65" s="65">
        <v>202871088</v>
      </c>
      <c r="L65" s="65">
        <v>94501123</v>
      </c>
      <c r="M65" s="66">
        <v>14501123</v>
      </c>
      <c r="N65" s="66">
        <v>0</v>
      </c>
      <c r="O65" s="85">
        <f t="shared" si="18"/>
        <v>1.1870551904369933</v>
      </c>
      <c r="P65" s="85">
        <f t="shared" si="19"/>
        <v>0.68221266310590134</v>
      </c>
      <c r="Q65" s="85" t="str">
        <f t="shared" si="20"/>
        <v/>
      </c>
      <c r="R65" s="85">
        <f t="shared" si="21"/>
        <v>0.15344921350828816</v>
      </c>
      <c r="S65" s="85">
        <f t="shared" si="22"/>
        <v>4.8764216909292848E-2</v>
      </c>
      <c r="T65" s="84">
        <f t="shared" si="23"/>
        <v>37948090</v>
      </c>
      <c r="U65" s="86">
        <f t="shared" si="24"/>
        <v>228778219.09999999</v>
      </c>
      <c r="V65" s="86">
        <f t="shared" si="25"/>
        <v>192727533.59999999</v>
      </c>
      <c r="W65" s="86">
        <f t="shared" si="26"/>
        <v>282503600.44999999</v>
      </c>
      <c r="X65" s="86">
        <f t="shared" si="27"/>
        <v>192727533.59999999</v>
      </c>
      <c r="Y65" s="86">
        <f t="shared" si="28"/>
        <v>89776066.849999994</v>
      </c>
      <c r="Z65" s="86">
        <f t="shared" si="29"/>
        <v>13776066.85</v>
      </c>
      <c r="AA65" s="86">
        <f t="shared" si="30"/>
        <v>0</v>
      </c>
      <c r="AB65" s="138">
        <f t="shared" si="31"/>
        <v>1.2317716061650066</v>
      </c>
      <c r="AC65" s="137">
        <f t="shared" si="32"/>
        <v>0.67245373505362727</v>
      </c>
      <c r="AD65" s="139" t="str">
        <f t="shared" si="33"/>
        <v>Indeterminado</v>
      </c>
      <c r="AE65" s="137">
        <f t="shared" si="34"/>
        <v>0.13752942629897288</v>
      </c>
      <c r="AF65" s="137">
        <f t="shared" si="35"/>
        <v>4.5047249904445995E-2</v>
      </c>
      <c r="AG65" s="103">
        <f t="shared" si="36"/>
        <v>292340932</v>
      </c>
    </row>
    <row r="66" spans="1:33" s="87" customFormat="1" ht="11.25" x14ac:dyDescent="0.2">
      <c r="A66" s="83">
        <v>49</v>
      </c>
      <c r="B66" s="134">
        <v>32</v>
      </c>
      <c r="C66" s="142" t="s">
        <v>117</v>
      </c>
      <c r="D66" s="112">
        <v>901086278</v>
      </c>
      <c r="E66" s="112">
        <v>2021</v>
      </c>
      <c r="F66" s="112" t="s">
        <v>171</v>
      </c>
      <c r="G66" s="113">
        <v>0.05</v>
      </c>
      <c r="H66" s="65">
        <v>608323822</v>
      </c>
      <c r="I66" s="65">
        <v>608323822</v>
      </c>
      <c r="J66" s="65">
        <v>353930980</v>
      </c>
      <c r="K66" s="65">
        <v>353930980</v>
      </c>
      <c r="L66" s="65">
        <v>254392842</v>
      </c>
      <c r="M66" s="66">
        <v>6402184</v>
      </c>
      <c r="N66" s="66">
        <v>0</v>
      </c>
      <c r="O66" s="85">
        <f t="shared" si="18"/>
        <v>1.7187639861308552</v>
      </c>
      <c r="P66" s="85">
        <f t="shared" si="19"/>
        <v>0.58181344737803153</v>
      </c>
      <c r="Q66" s="85" t="str">
        <f t="shared" si="20"/>
        <v/>
      </c>
      <c r="R66" s="85">
        <f t="shared" si="21"/>
        <v>2.5166525715373707E-2</v>
      </c>
      <c r="S66" s="85">
        <f t="shared" si="22"/>
        <v>1.0524302630384249E-2</v>
      </c>
      <c r="T66" s="84">
        <f t="shared" si="23"/>
        <v>254392842</v>
      </c>
      <c r="U66" s="86">
        <f t="shared" si="24"/>
        <v>30416191.100000001</v>
      </c>
      <c r="V66" s="86">
        <f t="shared" si="25"/>
        <v>17696549</v>
      </c>
      <c r="W66" s="86">
        <f t="shared" si="26"/>
        <v>30416191.100000001</v>
      </c>
      <c r="X66" s="86">
        <f t="shared" si="27"/>
        <v>17696549</v>
      </c>
      <c r="Y66" s="86">
        <f t="shared" si="28"/>
        <v>12719642.100000001</v>
      </c>
      <c r="Z66" s="86">
        <f t="shared" si="29"/>
        <v>320109.2</v>
      </c>
      <c r="AA66" s="86">
        <f t="shared" si="30"/>
        <v>0</v>
      </c>
      <c r="AB66" s="138">
        <f t="shared" si="31"/>
        <v>1.2317716061650066</v>
      </c>
      <c r="AC66" s="137">
        <f t="shared" si="32"/>
        <v>0.67245373505362727</v>
      </c>
      <c r="AD66" s="139" t="str">
        <f t="shared" si="33"/>
        <v>Indeterminado</v>
      </c>
      <c r="AE66" s="137">
        <f t="shared" si="34"/>
        <v>0.13752942629897288</v>
      </c>
      <c r="AF66" s="137">
        <f t="shared" si="35"/>
        <v>4.5047249904445995E-2</v>
      </c>
      <c r="AG66" s="103">
        <f t="shared" si="36"/>
        <v>292340932</v>
      </c>
    </row>
    <row r="67" spans="1:33" s="87" customFormat="1" ht="11.25" x14ac:dyDescent="0.2">
      <c r="A67" s="83">
        <v>50</v>
      </c>
      <c r="B67" s="134">
        <v>33</v>
      </c>
      <c r="C67" s="142" t="s">
        <v>95</v>
      </c>
      <c r="D67" s="112">
        <v>91261497</v>
      </c>
      <c r="E67" s="112">
        <v>2021</v>
      </c>
      <c r="F67" s="112" t="s">
        <v>95</v>
      </c>
      <c r="G67" s="113">
        <v>1</v>
      </c>
      <c r="H67" s="65">
        <v>1843941750</v>
      </c>
      <c r="I67" s="65">
        <v>2985941750</v>
      </c>
      <c r="J67" s="65">
        <v>22740530</v>
      </c>
      <c r="K67" s="65">
        <v>1599457712</v>
      </c>
      <c r="L67" s="65">
        <v>1386484038</v>
      </c>
      <c r="M67" s="66">
        <v>89762966</v>
      </c>
      <c r="N67" s="66">
        <v>785600</v>
      </c>
      <c r="O67" s="85">
        <f t="shared" si="18"/>
        <v>81.086137834078627</v>
      </c>
      <c r="P67" s="85">
        <f t="shared" si="19"/>
        <v>0.53566273086204708</v>
      </c>
      <c r="Q67" s="85">
        <f t="shared" si="20"/>
        <v>114.26039460285132</v>
      </c>
      <c r="R67" s="85">
        <f t="shared" si="21"/>
        <v>6.474143483792491E-2</v>
      </c>
      <c r="S67" s="85">
        <f t="shared" si="22"/>
        <v>3.0061861052714776E-2</v>
      </c>
      <c r="T67" s="84">
        <f t="shared" si="23"/>
        <v>1821201220</v>
      </c>
      <c r="U67" s="86">
        <f t="shared" si="24"/>
        <v>1843941750</v>
      </c>
      <c r="V67" s="86">
        <f t="shared" si="25"/>
        <v>22740530</v>
      </c>
      <c r="W67" s="86">
        <f t="shared" si="26"/>
        <v>2985941750</v>
      </c>
      <c r="X67" s="86">
        <f t="shared" si="27"/>
        <v>1599457712</v>
      </c>
      <c r="Y67" s="86">
        <f t="shared" si="28"/>
        <v>1386484038</v>
      </c>
      <c r="Z67" s="86">
        <f t="shared" si="29"/>
        <v>89762966</v>
      </c>
      <c r="AA67" s="86">
        <f t="shared" si="30"/>
        <v>785600</v>
      </c>
      <c r="AB67" s="138">
        <f t="shared" si="31"/>
        <v>81.086137834078627</v>
      </c>
      <c r="AC67" s="137">
        <f t="shared" si="32"/>
        <v>0.53566273086204708</v>
      </c>
      <c r="AD67" s="139">
        <f t="shared" si="33"/>
        <v>114.26039460285132</v>
      </c>
      <c r="AE67" s="137">
        <f t="shared" si="34"/>
        <v>6.474143483792491E-2</v>
      </c>
      <c r="AF67" s="137">
        <f t="shared" si="35"/>
        <v>3.0061861052714776E-2</v>
      </c>
      <c r="AG67" s="103">
        <f t="shared" si="36"/>
        <v>1821201220</v>
      </c>
    </row>
    <row r="68" spans="1:33" s="87" customFormat="1" ht="11.25" x14ac:dyDescent="0.2">
      <c r="A68" s="83">
        <v>51</v>
      </c>
      <c r="B68" s="134">
        <v>34</v>
      </c>
      <c r="C68" s="142" t="s">
        <v>174</v>
      </c>
      <c r="D68" s="112"/>
      <c r="E68" s="112"/>
      <c r="F68" s="112" t="s">
        <v>173</v>
      </c>
      <c r="G68" s="113">
        <v>0.5</v>
      </c>
      <c r="H68" s="65"/>
      <c r="I68" s="65"/>
      <c r="J68" s="65"/>
      <c r="K68" s="65"/>
      <c r="L68" s="65"/>
      <c r="M68" s="66"/>
      <c r="N68" s="66"/>
      <c r="O68" s="85" t="str">
        <f t="shared" si="18"/>
        <v/>
      </c>
      <c r="P68" s="85" t="str">
        <f t="shared" si="19"/>
        <v/>
      </c>
      <c r="Q68" s="85" t="str">
        <f t="shared" si="20"/>
        <v/>
      </c>
      <c r="R68" s="85" t="str">
        <f t="shared" si="21"/>
        <v/>
      </c>
      <c r="S68" s="85" t="str">
        <f t="shared" si="22"/>
        <v/>
      </c>
      <c r="T68" s="84">
        <f t="shared" si="23"/>
        <v>0</v>
      </c>
      <c r="U68" s="86">
        <f t="shared" si="24"/>
        <v>0</v>
      </c>
      <c r="V68" s="86">
        <f t="shared" si="25"/>
        <v>0</v>
      </c>
      <c r="W68" s="86">
        <f t="shared" si="26"/>
        <v>0</v>
      </c>
      <c r="X68" s="86">
        <f t="shared" si="27"/>
        <v>0</v>
      </c>
      <c r="Y68" s="86">
        <f t="shared" si="28"/>
        <v>0</v>
      </c>
      <c r="Z68" s="86">
        <f t="shared" si="29"/>
        <v>0</v>
      </c>
      <c r="AA68" s="86">
        <f t="shared" si="30"/>
        <v>0</v>
      </c>
      <c r="AB68" s="138" t="str">
        <f t="shared" si="31"/>
        <v/>
      </c>
      <c r="AC68" s="137" t="str">
        <f t="shared" si="32"/>
        <v/>
      </c>
      <c r="AD68" s="139" t="str">
        <f t="shared" si="33"/>
        <v/>
      </c>
      <c r="AE68" s="137" t="str">
        <f t="shared" si="34"/>
        <v/>
      </c>
      <c r="AF68" s="137" t="str">
        <f t="shared" si="35"/>
        <v/>
      </c>
      <c r="AG68" s="103" t="str">
        <f t="shared" si="36"/>
        <v/>
      </c>
    </row>
    <row r="69" spans="1:33" s="87" customFormat="1" ht="11.25" x14ac:dyDescent="0.2">
      <c r="A69" s="83">
        <v>52</v>
      </c>
      <c r="B69" s="134">
        <v>34</v>
      </c>
      <c r="C69" s="142" t="s">
        <v>175</v>
      </c>
      <c r="D69" s="112"/>
      <c r="E69" s="112"/>
      <c r="F69" s="112" t="s">
        <v>173</v>
      </c>
      <c r="G69" s="113">
        <v>0.5</v>
      </c>
      <c r="H69" s="65"/>
      <c r="I69" s="65"/>
      <c r="J69" s="65"/>
      <c r="K69" s="65"/>
      <c r="L69" s="65"/>
      <c r="M69" s="66"/>
      <c r="N69" s="66"/>
      <c r="O69" s="85" t="str">
        <f t="shared" si="18"/>
        <v/>
      </c>
      <c r="P69" s="85" t="str">
        <f t="shared" si="19"/>
        <v/>
      </c>
      <c r="Q69" s="85" t="str">
        <f t="shared" si="20"/>
        <v/>
      </c>
      <c r="R69" s="85" t="str">
        <f t="shared" si="21"/>
        <v/>
      </c>
      <c r="S69" s="85" t="str">
        <f t="shared" si="22"/>
        <v/>
      </c>
      <c r="T69" s="84">
        <f t="shared" si="23"/>
        <v>0</v>
      </c>
      <c r="U69" s="86">
        <f t="shared" si="24"/>
        <v>0</v>
      </c>
      <c r="V69" s="86">
        <f t="shared" si="25"/>
        <v>0</v>
      </c>
      <c r="W69" s="86">
        <f t="shared" si="26"/>
        <v>0</v>
      </c>
      <c r="X69" s="86">
        <f t="shared" si="27"/>
        <v>0</v>
      </c>
      <c r="Y69" s="86">
        <f t="shared" si="28"/>
        <v>0</v>
      </c>
      <c r="Z69" s="86">
        <f t="shared" si="29"/>
        <v>0</v>
      </c>
      <c r="AA69" s="86">
        <f t="shared" si="30"/>
        <v>0</v>
      </c>
      <c r="AB69" s="138" t="str">
        <f t="shared" si="31"/>
        <v/>
      </c>
      <c r="AC69" s="137" t="str">
        <f t="shared" si="32"/>
        <v/>
      </c>
      <c r="AD69" s="139" t="str">
        <f t="shared" si="33"/>
        <v/>
      </c>
      <c r="AE69" s="137" t="str">
        <f t="shared" si="34"/>
        <v/>
      </c>
      <c r="AF69" s="137" t="str">
        <f t="shared" si="35"/>
        <v/>
      </c>
      <c r="AG69" s="103" t="str">
        <f t="shared" si="36"/>
        <v/>
      </c>
    </row>
    <row r="70" spans="1:33" s="87" customFormat="1" ht="11.25" x14ac:dyDescent="0.2">
      <c r="A70" s="83">
        <v>53</v>
      </c>
      <c r="B70" s="134">
        <v>35</v>
      </c>
      <c r="C70" s="142" t="s">
        <v>177</v>
      </c>
      <c r="D70" s="112">
        <v>88135839</v>
      </c>
      <c r="E70" s="112">
        <v>2021</v>
      </c>
      <c r="F70" s="112" t="s">
        <v>176</v>
      </c>
      <c r="G70" s="113">
        <v>0.95</v>
      </c>
      <c r="H70" s="65">
        <v>566675000</v>
      </c>
      <c r="I70" s="65">
        <v>1041699000</v>
      </c>
      <c r="J70" s="65">
        <v>5062000</v>
      </c>
      <c r="K70" s="65">
        <v>21431000</v>
      </c>
      <c r="L70" s="65">
        <v>1020268000</v>
      </c>
      <c r="M70" s="66">
        <v>217796000</v>
      </c>
      <c r="N70" s="66">
        <v>3047000</v>
      </c>
      <c r="O70" s="85">
        <f t="shared" si="18"/>
        <v>111.94685894903201</v>
      </c>
      <c r="P70" s="85">
        <f t="shared" si="19"/>
        <v>2.0573121410311423E-2</v>
      </c>
      <c r="Q70" s="85">
        <f t="shared" si="20"/>
        <v>71.478831637676407</v>
      </c>
      <c r="R70" s="85">
        <f t="shared" si="21"/>
        <v>0.2134694021570803</v>
      </c>
      <c r="S70" s="85">
        <f t="shared" si="22"/>
        <v>0.20907767022911608</v>
      </c>
      <c r="T70" s="84">
        <f t="shared" si="23"/>
        <v>561613000</v>
      </c>
      <c r="U70" s="86">
        <f t="shared" si="24"/>
        <v>538341250</v>
      </c>
      <c r="V70" s="86">
        <f t="shared" si="25"/>
        <v>4808900</v>
      </c>
      <c r="W70" s="86">
        <f t="shared" si="26"/>
        <v>989614050</v>
      </c>
      <c r="X70" s="86">
        <f t="shared" si="27"/>
        <v>20359450</v>
      </c>
      <c r="Y70" s="86">
        <f t="shared" si="28"/>
        <v>969254600</v>
      </c>
      <c r="Z70" s="86">
        <f t="shared" si="29"/>
        <v>206906200</v>
      </c>
      <c r="AA70" s="86">
        <f t="shared" si="30"/>
        <v>2894650</v>
      </c>
      <c r="AB70" s="138">
        <f t="shared" si="31"/>
        <v>111.48002871061128</v>
      </c>
      <c r="AC70" s="137">
        <f t="shared" si="32"/>
        <v>3.976505498852724E-2</v>
      </c>
      <c r="AD70" s="139">
        <f t="shared" si="33"/>
        <v>38.715883600315536</v>
      </c>
      <c r="AE70" s="137">
        <f t="shared" si="34"/>
        <v>0.21475011240596009</v>
      </c>
      <c r="AF70" s="137">
        <f t="shared" si="35"/>
        <v>0.20621056237734467</v>
      </c>
      <c r="AG70" s="103">
        <f t="shared" si="36"/>
        <v>838376363</v>
      </c>
    </row>
    <row r="71" spans="1:33" s="87" customFormat="1" ht="11.25" x14ac:dyDescent="0.2">
      <c r="A71" s="83">
        <v>54</v>
      </c>
      <c r="B71" s="134">
        <v>35</v>
      </c>
      <c r="C71" s="142" t="s">
        <v>178</v>
      </c>
      <c r="D71" s="112">
        <v>74243283</v>
      </c>
      <c r="E71" s="112">
        <v>2021</v>
      </c>
      <c r="F71" s="112" t="s">
        <v>176</v>
      </c>
      <c r="G71" s="113">
        <v>0.05</v>
      </c>
      <c r="H71" s="65">
        <v>279674859</v>
      </c>
      <c r="I71" s="65">
        <v>765313859</v>
      </c>
      <c r="J71" s="65">
        <v>2911496</v>
      </c>
      <c r="K71" s="65">
        <v>410284890</v>
      </c>
      <c r="L71" s="65">
        <v>355028969</v>
      </c>
      <c r="M71" s="66">
        <v>101069197</v>
      </c>
      <c r="N71" s="66">
        <v>51601936</v>
      </c>
      <c r="O71" s="85">
        <f t="shared" si="18"/>
        <v>96.058816154993863</v>
      </c>
      <c r="P71" s="85">
        <f t="shared" si="19"/>
        <v>0.53610017011334432</v>
      </c>
      <c r="Q71" s="85">
        <f t="shared" si="20"/>
        <v>1.9586318815635135</v>
      </c>
      <c r="R71" s="85">
        <f t="shared" si="21"/>
        <v>0.28467873279377381</v>
      </c>
      <c r="S71" s="85">
        <f t="shared" si="22"/>
        <v>0.13206241571538038</v>
      </c>
      <c r="T71" s="84">
        <f t="shared" si="23"/>
        <v>276763363</v>
      </c>
      <c r="U71" s="86">
        <f t="shared" si="24"/>
        <v>13983742.950000001</v>
      </c>
      <c r="V71" s="86">
        <f t="shared" si="25"/>
        <v>145574.80000000002</v>
      </c>
      <c r="W71" s="86">
        <f t="shared" si="26"/>
        <v>38265692.950000003</v>
      </c>
      <c r="X71" s="86">
        <f t="shared" si="27"/>
        <v>20514244.5</v>
      </c>
      <c r="Y71" s="86">
        <f t="shared" si="28"/>
        <v>17751448.449999999</v>
      </c>
      <c r="Z71" s="86">
        <f t="shared" si="29"/>
        <v>5053459.8500000006</v>
      </c>
      <c r="AA71" s="86">
        <f t="shared" si="30"/>
        <v>2580096.8000000003</v>
      </c>
      <c r="AB71" s="138">
        <f t="shared" si="31"/>
        <v>111.48002871061128</v>
      </c>
      <c r="AC71" s="137">
        <f t="shared" si="32"/>
        <v>3.976505498852724E-2</v>
      </c>
      <c r="AD71" s="139">
        <f t="shared" si="33"/>
        <v>38.715883600315536</v>
      </c>
      <c r="AE71" s="137">
        <f t="shared" si="34"/>
        <v>0.21475011240596009</v>
      </c>
      <c r="AF71" s="137">
        <f t="shared" si="35"/>
        <v>0.20621056237734467</v>
      </c>
      <c r="AG71" s="103">
        <f t="shared" si="36"/>
        <v>838376363</v>
      </c>
    </row>
    <row r="72" spans="1:33" s="87" customFormat="1" ht="11.25" x14ac:dyDescent="0.2">
      <c r="A72" s="83">
        <v>55</v>
      </c>
      <c r="B72" s="134">
        <v>36</v>
      </c>
      <c r="C72" s="142" t="s">
        <v>180</v>
      </c>
      <c r="D72" s="112">
        <v>901048528</v>
      </c>
      <c r="E72" s="112">
        <v>20221</v>
      </c>
      <c r="F72" s="112" t="s">
        <v>179</v>
      </c>
      <c r="G72" s="113">
        <v>0.5</v>
      </c>
      <c r="H72" s="65">
        <v>143046393</v>
      </c>
      <c r="I72" s="65">
        <v>239942940</v>
      </c>
      <c r="J72" s="65">
        <v>0</v>
      </c>
      <c r="K72" s="65">
        <v>0</v>
      </c>
      <c r="L72" s="65">
        <v>239942940</v>
      </c>
      <c r="M72" s="66">
        <v>9953217</v>
      </c>
      <c r="N72" s="66">
        <v>52340</v>
      </c>
      <c r="O72" s="85" t="str">
        <f t="shared" si="18"/>
        <v/>
      </c>
      <c r="P72" s="85">
        <f t="shared" si="19"/>
        <v>0</v>
      </c>
      <c r="Q72" s="85">
        <f t="shared" si="20"/>
        <v>190.16463507833396</v>
      </c>
      <c r="R72" s="85">
        <f t="shared" si="21"/>
        <v>4.1481599750340645E-2</v>
      </c>
      <c r="S72" s="85">
        <f t="shared" si="22"/>
        <v>4.1481599750340645E-2</v>
      </c>
      <c r="T72" s="84">
        <f t="shared" si="23"/>
        <v>143046393</v>
      </c>
      <c r="U72" s="86">
        <f t="shared" si="24"/>
        <v>71523196.5</v>
      </c>
      <c r="V72" s="86">
        <f t="shared" si="25"/>
        <v>0</v>
      </c>
      <c r="W72" s="86">
        <f t="shared" si="26"/>
        <v>119971470</v>
      </c>
      <c r="X72" s="86">
        <f t="shared" si="27"/>
        <v>0</v>
      </c>
      <c r="Y72" s="86">
        <f t="shared" si="28"/>
        <v>119971470</v>
      </c>
      <c r="Z72" s="86">
        <f t="shared" si="29"/>
        <v>4976608.5</v>
      </c>
      <c r="AA72" s="86">
        <f t="shared" si="30"/>
        <v>26170</v>
      </c>
      <c r="AB72" s="138">
        <f t="shared" si="31"/>
        <v>39.169961958474339</v>
      </c>
      <c r="AC72" s="137">
        <f t="shared" si="32"/>
        <v>1.9145303635382579E-2</v>
      </c>
      <c r="AD72" s="139">
        <f t="shared" si="33"/>
        <v>57.540506067938402</v>
      </c>
      <c r="AE72" s="137">
        <f t="shared" si="34"/>
        <v>0.13899651896802898</v>
      </c>
      <c r="AF72" s="137">
        <f t="shared" si="35"/>
        <v>0.13633538840812484</v>
      </c>
      <c r="AG72" s="103">
        <f t="shared" si="36"/>
        <v>1151012989</v>
      </c>
    </row>
    <row r="73" spans="1:33" s="87" customFormat="1" ht="11.25" x14ac:dyDescent="0.2">
      <c r="A73" s="83">
        <v>56</v>
      </c>
      <c r="B73" s="134">
        <v>36</v>
      </c>
      <c r="C73" s="142" t="s">
        <v>124</v>
      </c>
      <c r="D73" s="112">
        <v>10537995</v>
      </c>
      <c r="E73" s="112">
        <v>2020</v>
      </c>
      <c r="F73" s="112" t="s">
        <v>179</v>
      </c>
      <c r="G73" s="113">
        <v>0.5</v>
      </c>
      <c r="H73" s="65">
        <v>1038121538</v>
      </c>
      <c r="I73" s="65">
        <v>1335113929</v>
      </c>
      <c r="J73" s="65">
        <v>30154942</v>
      </c>
      <c r="K73" s="65">
        <v>30154942</v>
      </c>
      <c r="L73" s="65">
        <v>1304958987</v>
      </c>
      <c r="M73" s="66">
        <v>204782773</v>
      </c>
      <c r="N73" s="66">
        <v>3679570</v>
      </c>
      <c r="O73" s="85">
        <f t="shared" si="18"/>
        <v>34.426248871577997</v>
      </c>
      <c r="P73" s="85">
        <f t="shared" si="19"/>
        <v>2.2586044040890235E-2</v>
      </c>
      <c r="Q73" s="85">
        <f t="shared" si="20"/>
        <v>55.653995711455416</v>
      </c>
      <c r="R73" s="85">
        <f t="shared" si="21"/>
        <v>0.15692659695825367</v>
      </c>
      <c r="S73" s="85">
        <f t="shared" si="22"/>
        <v>0.15338224592816752</v>
      </c>
      <c r="T73" s="84">
        <f t="shared" si="23"/>
        <v>1007966596</v>
      </c>
      <c r="U73" s="86">
        <f t="shared" si="24"/>
        <v>519060769</v>
      </c>
      <c r="V73" s="86">
        <f t="shared" si="25"/>
        <v>15077471</v>
      </c>
      <c r="W73" s="86">
        <f t="shared" si="26"/>
        <v>667556964.5</v>
      </c>
      <c r="X73" s="86">
        <f t="shared" si="27"/>
        <v>15077471</v>
      </c>
      <c r="Y73" s="86">
        <f t="shared" si="28"/>
        <v>652479493.5</v>
      </c>
      <c r="Z73" s="86">
        <f t="shared" si="29"/>
        <v>102391386.5</v>
      </c>
      <c r="AA73" s="86">
        <f t="shared" si="30"/>
        <v>1839785</v>
      </c>
      <c r="AB73" s="138">
        <f t="shared" si="31"/>
        <v>39.169961958474339</v>
      </c>
      <c r="AC73" s="137">
        <f t="shared" si="32"/>
        <v>1.9145303635382579E-2</v>
      </c>
      <c r="AD73" s="139">
        <f t="shared" si="33"/>
        <v>57.540506067938402</v>
      </c>
      <c r="AE73" s="137">
        <f t="shared" si="34"/>
        <v>0.13899651896802898</v>
      </c>
      <c r="AF73" s="137">
        <f t="shared" si="35"/>
        <v>0.13633538840812484</v>
      </c>
      <c r="AG73" s="103">
        <f t="shared" si="36"/>
        <v>1151012989</v>
      </c>
    </row>
    <row r="74" spans="1:33" s="87" customFormat="1" ht="11.25" x14ac:dyDescent="0.2">
      <c r="A74" s="83">
        <v>57</v>
      </c>
      <c r="B74" s="134">
        <v>37</v>
      </c>
      <c r="C74" s="142" t="s">
        <v>181</v>
      </c>
      <c r="D74" s="112">
        <v>900665600</v>
      </c>
      <c r="E74" s="112">
        <v>2021</v>
      </c>
      <c r="F74" s="112" t="s">
        <v>181</v>
      </c>
      <c r="G74" s="113">
        <v>1</v>
      </c>
      <c r="H74" s="65">
        <v>1809045662</v>
      </c>
      <c r="I74" s="65">
        <v>3598988047</v>
      </c>
      <c r="J74" s="65">
        <v>979460767</v>
      </c>
      <c r="K74" s="65">
        <v>1833213961</v>
      </c>
      <c r="L74" s="65">
        <v>1765774086</v>
      </c>
      <c r="M74" s="66">
        <v>18993458</v>
      </c>
      <c r="N74" s="66">
        <v>6840000</v>
      </c>
      <c r="O74" s="85">
        <f t="shared" si="18"/>
        <v>1.8469812400357226</v>
      </c>
      <c r="P74" s="85">
        <f t="shared" si="19"/>
        <v>0.50936928299278683</v>
      </c>
      <c r="Q74" s="85">
        <f t="shared" si="20"/>
        <v>2.7768213450292398</v>
      </c>
      <c r="R74" s="85">
        <f t="shared" si="21"/>
        <v>1.0756448489413385E-2</v>
      </c>
      <c r="S74" s="85">
        <f t="shared" si="22"/>
        <v>5.2774440348120448E-3</v>
      </c>
      <c r="T74" s="84">
        <f t="shared" si="23"/>
        <v>829584895</v>
      </c>
      <c r="U74" s="86">
        <f t="shared" si="24"/>
        <v>1809045662</v>
      </c>
      <c r="V74" s="86">
        <f t="shared" si="25"/>
        <v>979460767</v>
      </c>
      <c r="W74" s="86">
        <f t="shared" si="26"/>
        <v>3598988047</v>
      </c>
      <c r="X74" s="86">
        <f t="shared" si="27"/>
        <v>1833213961</v>
      </c>
      <c r="Y74" s="86">
        <f t="shared" si="28"/>
        <v>1765774086</v>
      </c>
      <c r="Z74" s="86">
        <f t="shared" si="29"/>
        <v>18993458</v>
      </c>
      <c r="AA74" s="86">
        <f t="shared" si="30"/>
        <v>6840000</v>
      </c>
      <c r="AB74" s="138">
        <f t="shared" si="31"/>
        <v>1.8469812400357226</v>
      </c>
      <c r="AC74" s="137">
        <f t="shared" si="32"/>
        <v>0.50936928299278683</v>
      </c>
      <c r="AD74" s="139">
        <f t="shared" si="33"/>
        <v>2.7768213450292398</v>
      </c>
      <c r="AE74" s="137">
        <f t="shared" si="34"/>
        <v>1.0756448489413385E-2</v>
      </c>
      <c r="AF74" s="137">
        <f t="shared" si="35"/>
        <v>5.2774440348120448E-3</v>
      </c>
      <c r="AG74" s="103">
        <f t="shared" si="36"/>
        <v>829584895</v>
      </c>
    </row>
    <row r="75" spans="1:33" s="87" customFormat="1" ht="11.25" x14ac:dyDescent="0.2">
      <c r="A75" s="83">
        <v>58</v>
      </c>
      <c r="B75" s="134">
        <v>38</v>
      </c>
      <c r="C75" s="142" t="s">
        <v>182</v>
      </c>
      <c r="D75" s="112">
        <v>10781112</v>
      </c>
      <c r="E75" s="112">
        <v>2021</v>
      </c>
      <c r="F75" s="112" t="s">
        <v>182</v>
      </c>
      <c r="G75" s="113">
        <v>1</v>
      </c>
      <c r="H75" s="65">
        <v>431875947</v>
      </c>
      <c r="I75" s="65">
        <v>473118147</v>
      </c>
      <c r="J75" s="65">
        <v>18954000</v>
      </c>
      <c r="K75" s="65">
        <v>55726260</v>
      </c>
      <c r="L75" s="65">
        <v>417391887</v>
      </c>
      <c r="M75" s="66">
        <v>256081702</v>
      </c>
      <c r="N75" s="66">
        <v>2258000</v>
      </c>
      <c r="O75" s="85">
        <f t="shared" si="18"/>
        <v>22.785477841088952</v>
      </c>
      <c r="P75" s="85">
        <f t="shared" si="19"/>
        <v>0.11778508254937006</v>
      </c>
      <c r="Q75" s="85">
        <f t="shared" si="20"/>
        <v>113.41085119574845</v>
      </c>
      <c r="R75" s="85">
        <f t="shared" si="21"/>
        <v>0.61352822126128193</v>
      </c>
      <c r="S75" s="85">
        <f t="shared" si="22"/>
        <v>0.54126374907365371</v>
      </c>
      <c r="T75" s="84">
        <f t="shared" si="23"/>
        <v>412921947</v>
      </c>
      <c r="U75" s="86">
        <f t="shared" si="24"/>
        <v>431875947</v>
      </c>
      <c r="V75" s="86">
        <f t="shared" si="25"/>
        <v>18954000</v>
      </c>
      <c r="W75" s="86">
        <f t="shared" si="26"/>
        <v>473118147</v>
      </c>
      <c r="X75" s="86">
        <f t="shared" si="27"/>
        <v>55726260</v>
      </c>
      <c r="Y75" s="86">
        <f t="shared" si="28"/>
        <v>417391887</v>
      </c>
      <c r="Z75" s="86">
        <f t="shared" si="29"/>
        <v>256081702</v>
      </c>
      <c r="AA75" s="86">
        <f t="shared" si="30"/>
        <v>2258000</v>
      </c>
      <c r="AB75" s="138">
        <f t="shared" si="31"/>
        <v>22.785477841088952</v>
      </c>
      <c r="AC75" s="137">
        <f t="shared" si="32"/>
        <v>0.11778508254937006</v>
      </c>
      <c r="AD75" s="139">
        <f t="shared" si="33"/>
        <v>113.41085119574845</v>
      </c>
      <c r="AE75" s="137">
        <f t="shared" si="34"/>
        <v>0.61352822126128193</v>
      </c>
      <c r="AF75" s="137">
        <f t="shared" si="35"/>
        <v>0.54126374907365371</v>
      </c>
      <c r="AG75" s="103">
        <f t="shared" si="36"/>
        <v>412921947</v>
      </c>
    </row>
    <row r="76" spans="1:33" s="87" customFormat="1" ht="11.25" x14ac:dyDescent="0.2">
      <c r="A76" s="83">
        <v>59</v>
      </c>
      <c r="B76" s="134">
        <v>39</v>
      </c>
      <c r="C76" s="142" t="s">
        <v>184</v>
      </c>
      <c r="D76" s="112">
        <v>900497862</v>
      </c>
      <c r="E76" s="112">
        <v>2021</v>
      </c>
      <c r="F76" s="112" t="s">
        <v>183</v>
      </c>
      <c r="G76" s="113">
        <v>0.75</v>
      </c>
      <c r="H76" s="65">
        <v>819157331</v>
      </c>
      <c r="I76" s="65">
        <v>1006940331</v>
      </c>
      <c r="J76" s="65">
        <v>17599705</v>
      </c>
      <c r="K76" s="65">
        <v>193145002</v>
      </c>
      <c r="L76" s="65">
        <v>813795329</v>
      </c>
      <c r="M76" s="66">
        <v>395392089</v>
      </c>
      <c r="N76" s="66">
        <v>24600</v>
      </c>
      <c r="O76" s="85">
        <f t="shared" si="18"/>
        <v>46.543810308184142</v>
      </c>
      <c r="P76" s="85">
        <f t="shared" si="19"/>
        <v>0.1918137510771728</v>
      </c>
      <c r="Q76" s="85">
        <f t="shared" si="20"/>
        <v>16072.849146341463</v>
      </c>
      <c r="R76" s="85">
        <f t="shared" si="21"/>
        <v>0.48586183148269213</v>
      </c>
      <c r="S76" s="85">
        <f t="shared" si="22"/>
        <v>0.39266685108077176</v>
      </c>
      <c r="T76" s="84">
        <f t="shared" si="23"/>
        <v>801557626</v>
      </c>
      <c r="U76" s="86">
        <f t="shared" si="24"/>
        <v>614367998.25</v>
      </c>
      <c r="V76" s="86">
        <f t="shared" si="25"/>
        <v>13199778.75</v>
      </c>
      <c r="W76" s="86">
        <f t="shared" si="26"/>
        <v>755205248.25</v>
      </c>
      <c r="X76" s="86">
        <f t="shared" si="27"/>
        <v>144858751.5</v>
      </c>
      <c r="Y76" s="86">
        <f t="shared" si="28"/>
        <v>610346496.75</v>
      </c>
      <c r="Z76" s="86">
        <f t="shared" si="29"/>
        <v>296544066.75</v>
      </c>
      <c r="AA76" s="86">
        <f t="shared" si="30"/>
        <v>18450</v>
      </c>
      <c r="AB76" s="138">
        <f t="shared" si="31"/>
        <v>39.289457386518173</v>
      </c>
      <c r="AC76" s="137">
        <f t="shared" si="32"/>
        <v>0.26603150049896046</v>
      </c>
      <c r="AD76" s="139">
        <f t="shared" si="33"/>
        <v>8509.7470643431643</v>
      </c>
      <c r="AE76" s="137">
        <f t="shared" si="34"/>
        <v>0.52449130947758404</v>
      </c>
      <c r="AF76" s="137">
        <f t="shared" si="35"/>
        <v>0.38496009941859771</v>
      </c>
      <c r="AG76" s="103">
        <f t="shared" si="36"/>
        <v>2482207657</v>
      </c>
    </row>
    <row r="77" spans="1:33" s="87" customFormat="1" ht="11.25" x14ac:dyDescent="0.2">
      <c r="A77" s="83">
        <v>60</v>
      </c>
      <c r="B77" s="134">
        <v>39</v>
      </c>
      <c r="C77" s="142" t="s">
        <v>185</v>
      </c>
      <c r="D77" s="112">
        <v>824006335</v>
      </c>
      <c r="E77" s="112">
        <v>2021</v>
      </c>
      <c r="F77" s="112" t="s">
        <v>183</v>
      </c>
      <c r="G77" s="113">
        <v>0.25</v>
      </c>
      <c r="H77" s="65">
        <v>1734546680</v>
      </c>
      <c r="I77" s="65">
        <v>1926396643</v>
      </c>
      <c r="J77" s="65">
        <v>53896649</v>
      </c>
      <c r="K77" s="65">
        <v>736680725</v>
      </c>
      <c r="L77" s="65">
        <v>1189715918</v>
      </c>
      <c r="M77" s="66">
        <v>718305126</v>
      </c>
      <c r="N77" s="66">
        <v>150000</v>
      </c>
      <c r="O77" s="85">
        <f t="shared" si="18"/>
        <v>32.182829771105062</v>
      </c>
      <c r="P77" s="85">
        <f t="shared" si="19"/>
        <v>0.38241383345267799</v>
      </c>
      <c r="Q77" s="85">
        <f t="shared" si="20"/>
        <v>4788.7008400000004</v>
      </c>
      <c r="R77" s="85">
        <f t="shared" si="21"/>
        <v>0.60376188561679811</v>
      </c>
      <c r="S77" s="85">
        <f t="shared" si="22"/>
        <v>0.37287498844546108</v>
      </c>
      <c r="T77" s="84">
        <f t="shared" si="23"/>
        <v>1680650031</v>
      </c>
      <c r="U77" s="86">
        <f t="shared" si="24"/>
        <v>433636670</v>
      </c>
      <c r="V77" s="86">
        <f t="shared" si="25"/>
        <v>13474162.25</v>
      </c>
      <c r="W77" s="86">
        <f t="shared" si="26"/>
        <v>481599160.75</v>
      </c>
      <c r="X77" s="86">
        <f t="shared" si="27"/>
        <v>184170181.25</v>
      </c>
      <c r="Y77" s="86">
        <f t="shared" si="28"/>
        <v>297428979.5</v>
      </c>
      <c r="Z77" s="86">
        <f t="shared" si="29"/>
        <v>179576281.5</v>
      </c>
      <c r="AA77" s="86">
        <f t="shared" si="30"/>
        <v>37500</v>
      </c>
      <c r="AB77" s="138">
        <f t="shared" si="31"/>
        <v>39.289457386518173</v>
      </c>
      <c r="AC77" s="137">
        <f t="shared" si="32"/>
        <v>0.26603150049896046</v>
      </c>
      <c r="AD77" s="139">
        <f t="shared" si="33"/>
        <v>8509.7470643431643</v>
      </c>
      <c r="AE77" s="137">
        <f t="shared" si="34"/>
        <v>0.52449130947758404</v>
      </c>
      <c r="AF77" s="137">
        <f t="shared" si="35"/>
        <v>0.38496009941859771</v>
      </c>
      <c r="AG77" s="103">
        <f t="shared" si="36"/>
        <v>2482207657</v>
      </c>
    </row>
    <row r="78" spans="1:33" s="87" customFormat="1" ht="11.25" x14ac:dyDescent="0.2">
      <c r="A78" s="83">
        <v>61</v>
      </c>
      <c r="B78" s="134">
        <v>40</v>
      </c>
      <c r="C78" s="142" t="s">
        <v>97</v>
      </c>
      <c r="D78" s="112">
        <v>901173019</v>
      </c>
      <c r="E78" s="112">
        <v>2021</v>
      </c>
      <c r="F78" s="112" t="s">
        <v>96</v>
      </c>
      <c r="G78" s="113">
        <v>0.05</v>
      </c>
      <c r="H78" s="65">
        <v>1003738165</v>
      </c>
      <c r="I78" s="65">
        <v>1012913962</v>
      </c>
      <c r="J78" s="65">
        <v>240336390</v>
      </c>
      <c r="K78" s="65">
        <v>588304825</v>
      </c>
      <c r="L78" s="65">
        <v>424609137</v>
      </c>
      <c r="M78" s="66">
        <v>135714335</v>
      </c>
      <c r="N78" s="66">
        <v>15452629</v>
      </c>
      <c r="O78" s="85">
        <f t="shared" si="18"/>
        <v>4.176388623462306</v>
      </c>
      <c r="P78" s="85">
        <f t="shared" si="19"/>
        <v>0.58080433982605129</v>
      </c>
      <c r="Q78" s="85">
        <f t="shared" si="20"/>
        <v>8.7826048887862385</v>
      </c>
      <c r="R78" s="85">
        <f t="shared" si="21"/>
        <v>0.31962179608019126</v>
      </c>
      <c r="S78" s="85">
        <f t="shared" si="22"/>
        <v>0.133984069813819</v>
      </c>
      <c r="T78" s="84">
        <f t="shared" si="23"/>
        <v>763401775</v>
      </c>
      <c r="U78" s="86">
        <f t="shared" si="24"/>
        <v>50186908.25</v>
      </c>
      <c r="V78" s="86">
        <f t="shared" si="25"/>
        <v>12016819.5</v>
      </c>
      <c r="W78" s="86">
        <f t="shared" si="26"/>
        <v>50645698.100000001</v>
      </c>
      <c r="X78" s="86">
        <f t="shared" si="27"/>
        <v>29415241.25</v>
      </c>
      <c r="Y78" s="86">
        <f t="shared" si="28"/>
        <v>21230456.850000001</v>
      </c>
      <c r="Z78" s="86">
        <f t="shared" si="29"/>
        <v>6785716.75</v>
      </c>
      <c r="AA78" s="86">
        <f t="shared" si="30"/>
        <v>772631.45000000007</v>
      </c>
      <c r="AB78" s="138">
        <f t="shared" si="31"/>
        <v>8.9196611313275991</v>
      </c>
      <c r="AC78" s="137">
        <f t="shared" si="32"/>
        <v>0.10894109760189466</v>
      </c>
      <c r="AD78" s="139">
        <f t="shared" si="33"/>
        <v>624.78075207154791</v>
      </c>
      <c r="AE78" s="137">
        <f t="shared" si="34"/>
        <v>0.47943814234599402</v>
      </c>
      <c r="AF78" s="137">
        <f t="shared" si="35"/>
        <v>0.42720762488660802</v>
      </c>
      <c r="AG78" s="103">
        <f t="shared" si="36"/>
        <v>2281863338</v>
      </c>
    </row>
    <row r="79" spans="1:33" s="87" customFormat="1" ht="11.25" x14ac:dyDescent="0.2">
      <c r="A79" s="83">
        <v>62</v>
      </c>
      <c r="B79" s="134">
        <v>40</v>
      </c>
      <c r="C79" s="142" t="s">
        <v>186</v>
      </c>
      <c r="D79" s="112">
        <v>901306726</v>
      </c>
      <c r="E79" s="112">
        <v>2020</v>
      </c>
      <c r="F79" s="112" t="s">
        <v>186</v>
      </c>
      <c r="G79" s="113">
        <v>0.95</v>
      </c>
      <c r="H79" s="65">
        <v>1702618756</v>
      </c>
      <c r="I79" s="65">
        <v>2326098994</v>
      </c>
      <c r="J79" s="65">
        <v>184157193</v>
      </c>
      <c r="K79" s="65">
        <v>228252153</v>
      </c>
      <c r="L79" s="65">
        <v>2097846841</v>
      </c>
      <c r="M79" s="66">
        <v>1009359344</v>
      </c>
      <c r="N79" s="66">
        <v>813678</v>
      </c>
      <c r="O79" s="85">
        <f t="shared" si="18"/>
        <v>9.2454643137398378</v>
      </c>
      <c r="P79" s="85">
        <f t="shared" si="19"/>
        <v>9.812658600891859E-2</v>
      </c>
      <c r="Q79" s="85">
        <f t="shared" si="20"/>
        <v>1240.4899038686065</v>
      </c>
      <c r="R79" s="85">
        <f t="shared" si="21"/>
        <v>0.48114062679564318</v>
      </c>
      <c r="S79" s="85">
        <f t="shared" si="22"/>
        <v>0.43392793969799548</v>
      </c>
      <c r="T79" s="84">
        <f t="shared" si="23"/>
        <v>1518461563</v>
      </c>
      <c r="U79" s="86">
        <f t="shared" si="24"/>
        <v>1617487818.1999998</v>
      </c>
      <c r="V79" s="86">
        <f t="shared" si="25"/>
        <v>174949333.34999999</v>
      </c>
      <c r="W79" s="86">
        <f t="shared" si="26"/>
        <v>2209794044.2999997</v>
      </c>
      <c r="X79" s="86">
        <f t="shared" si="27"/>
        <v>216839545.34999999</v>
      </c>
      <c r="Y79" s="86">
        <f t="shared" si="28"/>
        <v>1992954498.9499998</v>
      </c>
      <c r="Z79" s="86">
        <f t="shared" si="29"/>
        <v>958891376.79999995</v>
      </c>
      <c r="AA79" s="86">
        <f t="shared" si="30"/>
        <v>772994.1</v>
      </c>
      <c r="AB79" s="138">
        <f t="shared" si="31"/>
        <v>8.9196611313275991</v>
      </c>
      <c r="AC79" s="137">
        <f t="shared" si="32"/>
        <v>0.10894109760189466</v>
      </c>
      <c r="AD79" s="139">
        <f t="shared" si="33"/>
        <v>624.78075207154791</v>
      </c>
      <c r="AE79" s="137">
        <f t="shared" si="34"/>
        <v>0.47943814234599402</v>
      </c>
      <c r="AF79" s="137">
        <f t="shared" si="35"/>
        <v>0.42720762488660802</v>
      </c>
      <c r="AG79" s="103">
        <f t="shared" si="36"/>
        <v>2281863338</v>
      </c>
    </row>
    <row r="80" spans="1:33" s="87" customFormat="1" ht="11.25" x14ac:dyDescent="0.2">
      <c r="A80" s="83">
        <v>63</v>
      </c>
      <c r="B80" s="134">
        <v>41</v>
      </c>
      <c r="C80" s="142" t="s">
        <v>187</v>
      </c>
      <c r="D80" s="112">
        <v>830144388</v>
      </c>
      <c r="E80" s="112">
        <v>2021</v>
      </c>
      <c r="F80" s="112" t="s">
        <v>187</v>
      </c>
      <c r="G80" s="113">
        <v>1</v>
      </c>
      <c r="H80" s="65">
        <v>2457840533</v>
      </c>
      <c r="I80" s="65">
        <v>2754957733</v>
      </c>
      <c r="J80" s="65">
        <v>29361929</v>
      </c>
      <c r="K80" s="65">
        <v>29361929</v>
      </c>
      <c r="L80" s="65">
        <v>2725595804</v>
      </c>
      <c r="M80" s="66">
        <v>227419662</v>
      </c>
      <c r="N80" s="66">
        <v>9720826</v>
      </c>
      <c r="O80" s="85">
        <f t="shared" si="18"/>
        <v>83.708414832009169</v>
      </c>
      <c r="P80" s="85">
        <f t="shared" si="19"/>
        <v>1.0657850989251457E-2</v>
      </c>
      <c r="Q80" s="85">
        <f t="shared" si="20"/>
        <v>23.395096466082205</v>
      </c>
      <c r="R80" s="85">
        <f t="shared" si="21"/>
        <v>8.3438513394482758E-2</v>
      </c>
      <c r="S80" s="85">
        <f t="shared" si="22"/>
        <v>8.2549238151959692E-2</v>
      </c>
      <c r="T80" s="84">
        <f t="shared" si="23"/>
        <v>2428478604</v>
      </c>
      <c r="U80" s="86">
        <f t="shared" si="24"/>
        <v>2457840533</v>
      </c>
      <c r="V80" s="86">
        <f t="shared" si="25"/>
        <v>29361929</v>
      </c>
      <c r="W80" s="86">
        <f t="shared" si="26"/>
        <v>2754957733</v>
      </c>
      <c r="X80" s="86">
        <f t="shared" si="27"/>
        <v>29361929</v>
      </c>
      <c r="Y80" s="86">
        <f t="shared" si="28"/>
        <v>2725595804</v>
      </c>
      <c r="Z80" s="86">
        <f t="shared" si="29"/>
        <v>227419662</v>
      </c>
      <c r="AA80" s="86">
        <f t="shared" si="30"/>
        <v>9720826</v>
      </c>
      <c r="AB80" s="138">
        <f t="shared" si="31"/>
        <v>83.708414832009169</v>
      </c>
      <c r="AC80" s="137">
        <f t="shared" si="32"/>
        <v>1.0657850989251457E-2</v>
      </c>
      <c r="AD80" s="139">
        <f t="shared" si="33"/>
        <v>23.395096466082205</v>
      </c>
      <c r="AE80" s="137">
        <f t="shared" si="34"/>
        <v>8.3438513394482758E-2</v>
      </c>
      <c r="AF80" s="137">
        <f t="shared" si="35"/>
        <v>8.2549238151959692E-2</v>
      </c>
      <c r="AG80" s="103">
        <f t="shared" si="36"/>
        <v>2428478604</v>
      </c>
    </row>
    <row r="81" spans="1:33" s="87" customFormat="1" ht="11.25" x14ac:dyDescent="0.2">
      <c r="A81" s="83">
        <v>64</v>
      </c>
      <c r="B81" s="134">
        <v>42</v>
      </c>
      <c r="C81" s="142" t="s">
        <v>195</v>
      </c>
      <c r="D81" s="112">
        <v>900845211</v>
      </c>
      <c r="E81" s="112">
        <v>2021</v>
      </c>
      <c r="F81" s="112" t="s">
        <v>195</v>
      </c>
      <c r="G81" s="113">
        <v>1</v>
      </c>
      <c r="H81" s="65">
        <v>5057288833</v>
      </c>
      <c r="I81" s="65">
        <v>6195234360</v>
      </c>
      <c r="J81" s="65">
        <v>210403827</v>
      </c>
      <c r="K81" s="65">
        <v>2416250857</v>
      </c>
      <c r="L81" s="65">
        <v>3778983503</v>
      </c>
      <c r="M81" s="66">
        <v>1767287627</v>
      </c>
      <c r="N81" s="66">
        <v>18458405</v>
      </c>
      <c r="O81" s="85">
        <f t="shared" si="18"/>
        <v>24.036106686405471</v>
      </c>
      <c r="P81" s="85">
        <f t="shared" si="19"/>
        <v>0.39001766787075992</v>
      </c>
      <c r="Q81" s="85">
        <f t="shared" si="20"/>
        <v>95.744330401245392</v>
      </c>
      <c r="R81" s="85">
        <f t="shared" si="21"/>
        <v>0.46766217042149388</v>
      </c>
      <c r="S81" s="85">
        <f t="shared" si="22"/>
        <v>0.28526566136232495</v>
      </c>
      <c r="T81" s="84">
        <f t="shared" si="23"/>
        <v>4846885006</v>
      </c>
      <c r="U81" s="86">
        <f t="shared" si="24"/>
        <v>5057288833</v>
      </c>
      <c r="V81" s="86">
        <f t="shared" si="25"/>
        <v>210403827</v>
      </c>
      <c r="W81" s="86">
        <f t="shared" si="26"/>
        <v>6195234360</v>
      </c>
      <c r="X81" s="86">
        <f t="shared" si="27"/>
        <v>2416250857</v>
      </c>
      <c r="Y81" s="86">
        <f t="shared" si="28"/>
        <v>3778983503</v>
      </c>
      <c r="Z81" s="86">
        <f t="shared" si="29"/>
        <v>1767287627</v>
      </c>
      <c r="AA81" s="86">
        <f t="shared" si="30"/>
        <v>18458405</v>
      </c>
      <c r="AB81" s="138">
        <f t="shared" si="31"/>
        <v>24.036106686405471</v>
      </c>
      <c r="AC81" s="137">
        <f t="shared" si="32"/>
        <v>0.39001766787075992</v>
      </c>
      <c r="AD81" s="139">
        <f t="shared" si="33"/>
        <v>95.744330401245392</v>
      </c>
      <c r="AE81" s="137">
        <f t="shared" si="34"/>
        <v>0.46766217042149388</v>
      </c>
      <c r="AF81" s="137">
        <f t="shared" si="35"/>
        <v>0.28526566136232495</v>
      </c>
      <c r="AG81" s="103">
        <f t="shared" si="36"/>
        <v>4846885006</v>
      </c>
    </row>
    <row r="82" spans="1:33" s="87" customFormat="1" ht="11.25" x14ac:dyDescent="0.2">
      <c r="A82" s="83">
        <v>65</v>
      </c>
      <c r="B82" s="134">
        <v>43</v>
      </c>
      <c r="C82" s="142" t="s">
        <v>189</v>
      </c>
      <c r="D82" s="112">
        <v>901357944</v>
      </c>
      <c r="E82" s="112">
        <v>2021</v>
      </c>
      <c r="F82" s="112" t="s">
        <v>188</v>
      </c>
      <c r="G82" s="113">
        <v>0.95</v>
      </c>
      <c r="H82" s="65">
        <v>1057131902</v>
      </c>
      <c r="I82" s="65">
        <v>1057131902</v>
      </c>
      <c r="J82" s="65">
        <v>129208631</v>
      </c>
      <c r="K82" s="65">
        <v>314877082</v>
      </c>
      <c r="L82" s="65">
        <v>742254820</v>
      </c>
      <c r="M82" s="66">
        <v>503333165</v>
      </c>
      <c r="N82" s="66">
        <v>150000</v>
      </c>
      <c r="O82" s="85">
        <f t="shared" si="18"/>
        <v>8.1815889063943406</v>
      </c>
      <c r="P82" s="85">
        <f t="shared" si="19"/>
        <v>0.29785978590210022</v>
      </c>
      <c r="Q82" s="85">
        <f t="shared" si="20"/>
        <v>3355.5544333333332</v>
      </c>
      <c r="R82" s="85">
        <f t="shared" si="21"/>
        <v>0.67811370359305989</v>
      </c>
      <c r="S82" s="85">
        <f t="shared" si="22"/>
        <v>0.47613090102355082</v>
      </c>
      <c r="T82" s="84">
        <f t="shared" si="23"/>
        <v>927923271</v>
      </c>
      <c r="U82" s="86">
        <f t="shared" si="24"/>
        <v>1004275306.9</v>
      </c>
      <c r="V82" s="86">
        <f t="shared" si="25"/>
        <v>122748199.44999999</v>
      </c>
      <c r="W82" s="86">
        <f t="shared" si="26"/>
        <v>1004275306.9</v>
      </c>
      <c r="X82" s="86">
        <f t="shared" si="27"/>
        <v>299133227.89999998</v>
      </c>
      <c r="Y82" s="86">
        <f t="shared" si="28"/>
        <v>705142079</v>
      </c>
      <c r="Z82" s="86">
        <f t="shared" si="29"/>
        <v>478166506.75</v>
      </c>
      <c r="AA82" s="86">
        <f t="shared" si="30"/>
        <v>142500</v>
      </c>
      <c r="AB82" s="138">
        <f t="shared" ref="AB82:AB113" si="37">IF(J82="","",IFERROR(SUMIFS($U:$U,$B:$B,B82)/SUMIFS($V:$V,$B:$B,B82),"Indeterminado"))</f>
        <v>7.9844280943129622</v>
      </c>
      <c r="AC82" s="137">
        <f t="shared" ref="AC82:AC113" si="38">IFERROR(SUMIFS($X:$X,$B:$B,B82)/SUMIFS(W:W,$B:$B,B82),"")</f>
        <v>0.30860950939623766</v>
      </c>
      <c r="AD82" s="139">
        <f t="shared" ref="AD82:AD113" si="39">IF(OR(B82="",H82=""),"",IFERROR(SUMIFS($Z:$Z,$B:$B,B82)/SUMIFS($AA:$AA,$B:$B,B82),"Indeterminado"))</f>
        <v>2735.7113831152833</v>
      </c>
      <c r="AE82" s="137">
        <f t="shared" ref="AE82:AE113" si="40">IFERROR(SUMIFS($Z:$Z,$B:$B,B82)/SUMIFS($Y:$Y,$B:$B,B82),"")</f>
        <v>0.65413031292867474</v>
      </c>
      <c r="AF82" s="137">
        <f t="shared" ref="AF82:AF113" si="41">IFERROR(SUMIFS($Z:$Z,$B:$B,B82)/SUMIFS($W:$W,$B:$B,B82),"")</f>
        <v>0.45225947797454902</v>
      </c>
      <c r="AG82" s="103">
        <f t="shared" si="36"/>
        <v>2069417336</v>
      </c>
    </row>
    <row r="83" spans="1:33" s="87" customFormat="1" ht="11.25" x14ac:dyDescent="0.2">
      <c r="A83" s="83">
        <v>66</v>
      </c>
      <c r="B83" s="134">
        <v>43</v>
      </c>
      <c r="C83" s="142" t="s">
        <v>190</v>
      </c>
      <c r="D83" s="112">
        <v>901055520</v>
      </c>
      <c r="E83" s="112">
        <v>2021</v>
      </c>
      <c r="F83" s="112" t="s">
        <v>188</v>
      </c>
      <c r="G83" s="113">
        <v>0.05</v>
      </c>
      <c r="H83" s="65">
        <v>1374228476</v>
      </c>
      <c r="I83" s="65">
        <v>1374228476</v>
      </c>
      <c r="J83" s="65">
        <v>232734411</v>
      </c>
      <c r="K83" s="65">
        <v>640013613</v>
      </c>
      <c r="L83" s="65">
        <v>734214863</v>
      </c>
      <c r="M83" s="66">
        <v>142038239</v>
      </c>
      <c r="N83" s="66">
        <v>697658</v>
      </c>
      <c r="O83" s="85">
        <f t="shared" ref="O83:O146" si="42">IFERROR(H83/J83,"")</f>
        <v>5.9047068720748817</v>
      </c>
      <c r="P83" s="85">
        <f t="shared" ref="P83:P146" si="43">IFERROR(K83/I83,"")</f>
        <v>0.46572576844201563</v>
      </c>
      <c r="Q83" s="85">
        <f t="shared" ref="Q83:Q146" si="44">IFERROR(M83/N83,"")</f>
        <v>203.5929337870418</v>
      </c>
      <c r="R83" s="85">
        <f t="shared" ref="R83:R146" si="45">IFERROR(M83/L83,"")</f>
        <v>0.1934559570472765</v>
      </c>
      <c r="S83" s="85">
        <f t="shared" ref="S83:S146" si="46">IFERROR(M83/I83,"")</f>
        <v>0.10335853279174809</v>
      </c>
      <c r="T83" s="84">
        <f t="shared" ref="T83:T146" si="47">IFERROR(H83-J83,"")</f>
        <v>1141494065</v>
      </c>
      <c r="U83" s="86">
        <f t="shared" ref="U83:U146" si="48">IF($B83="","",H83*$G83)</f>
        <v>68711423.799999997</v>
      </c>
      <c r="V83" s="86">
        <f t="shared" ref="V83:V146" si="49">IF($B83="","",J83*$G83)</f>
        <v>11636720.550000001</v>
      </c>
      <c r="W83" s="86">
        <f t="shared" ref="W83:W146" si="50">IF($B83="","",I83*$G83)</f>
        <v>68711423.799999997</v>
      </c>
      <c r="X83" s="86">
        <f t="shared" ref="X83:X146" si="51">IF($B83="","",K83*$G83)</f>
        <v>32000680.650000002</v>
      </c>
      <c r="Y83" s="86">
        <f t="shared" ref="Y83:Y146" si="52">IF($B83="","",L83*$G83)</f>
        <v>36710743.149999999</v>
      </c>
      <c r="Z83" s="86">
        <f t="shared" ref="Z83:Z146" si="53">IF($B83="","",M83*$G83)</f>
        <v>7101911.9500000002</v>
      </c>
      <c r="AA83" s="86">
        <f t="shared" ref="AA83:AA146" si="54">IF($B83="","",N83*$G83)</f>
        <v>34882.9</v>
      </c>
      <c r="AB83" s="138">
        <f t="shared" si="37"/>
        <v>7.9844280943129622</v>
      </c>
      <c r="AC83" s="137">
        <f t="shared" si="38"/>
        <v>0.30860950939623766</v>
      </c>
      <c r="AD83" s="139">
        <f t="shared" si="39"/>
        <v>2735.7113831152833</v>
      </c>
      <c r="AE83" s="137">
        <f t="shared" si="40"/>
        <v>0.65413031292867474</v>
      </c>
      <c r="AF83" s="137">
        <f t="shared" si="41"/>
        <v>0.45225947797454902</v>
      </c>
      <c r="AG83" s="103">
        <f t="shared" si="36"/>
        <v>2069417336</v>
      </c>
    </row>
    <row r="84" spans="1:33" s="87" customFormat="1" ht="11.25" x14ac:dyDescent="0.2">
      <c r="A84" s="83">
        <v>67</v>
      </c>
      <c r="B84" s="134">
        <v>44</v>
      </c>
      <c r="C84" s="142" t="s">
        <v>192</v>
      </c>
      <c r="D84" s="112">
        <v>901573477</v>
      </c>
      <c r="E84" s="112">
        <v>2022</v>
      </c>
      <c r="F84" s="112" t="s">
        <v>191</v>
      </c>
      <c r="G84" s="113">
        <v>0.95</v>
      </c>
      <c r="H84" s="65">
        <v>0</v>
      </c>
      <c r="I84" s="65">
        <v>800000000</v>
      </c>
      <c r="J84" s="65">
        <v>0</v>
      </c>
      <c r="K84" s="65">
        <v>0</v>
      </c>
      <c r="L84" s="65">
        <v>800000000</v>
      </c>
      <c r="M84" s="66">
        <v>0</v>
      </c>
      <c r="N84" s="66">
        <v>0</v>
      </c>
      <c r="O84" s="85" t="str">
        <f t="shared" si="42"/>
        <v/>
      </c>
      <c r="P84" s="85">
        <f t="shared" si="43"/>
        <v>0</v>
      </c>
      <c r="Q84" s="85" t="str">
        <f t="shared" si="44"/>
        <v/>
      </c>
      <c r="R84" s="85">
        <f t="shared" si="45"/>
        <v>0</v>
      </c>
      <c r="S84" s="85">
        <f t="shared" si="46"/>
        <v>0</v>
      </c>
      <c r="T84" s="84">
        <f t="shared" si="47"/>
        <v>0</v>
      </c>
      <c r="U84" s="86">
        <f t="shared" si="48"/>
        <v>0</v>
      </c>
      <c r="V84" s="86">
        <f t="shared" si="49"/>
        <v>0</v>
      </c>
      <c r="W84" s="86">
        <f t="shared" si="50"/>
        <v>760000000</v>
      </c>
      <c r="X84" s="86">
        <f t="shared" si="51"/>
        <v>0</v>
      </c>
      <c r="Y84" s="86">
        <f t="shared" si="52"/>
        <v>760000000</v>
      </c>
      <c r="Z84" s="86">
        <f t="shared" si="53"/>
        <v>0</v>
      </c>
      <c r="AA84" s="86">
        <f t="shared" si="54"/>
        <v>0</v>
      </c>
      <c r="AB84" s="138">
        <f t="shared" si="37"/>
        <v>66.436626362928351</v>
      </c>
      <c r="AC84" s="137">
        <f t="shared" si="38"/>
        <v>3.638377515424617E-3</v>
      </c>
      <c r="AD84" s="139" t="str">
        <f t="shared" si="39"/>
        <v>Indeterminado</v>
      </c>
      <c r="AE84" s="137">
        <f t="shared" si="40"/>
        <v>7.183022529579113E-3</v>
      </c>
      <c r="AF84" s="137">
        <f t="shared" si="41"/>
        <v>7.1568879819147039E-3</v>
      </c>
      <c r="AG84" s="140">
        <f>IFERROR(SUMIFS($T:$T,$B:$B,B84),"")</f>
        <v>336082513</v>
      </c>
    </row>
    <row r="85" spans="1:33" s="87" customFormat="1" ht="11.25" x14ac:dyDescent="0.2">
      <c r="A85" s="83">
        <v>68</v>
      </c>
      <c r="B85" s="134">
        <v>44</v>
      </c>
      <c r="C85" s="142" t="s">
        <v>193</v>
      </c>
      <c r="D85" s="112">
        <v>901304579</v>
      </c>
      <c r="E85" s="112">
        <v>2021</v>
      </c>
      <c r="F85" s="112" t="s">
        <v>191</v>
      </c>
      <c r="G85" s="113">
        <v>0.05</v>
      </c>
      <c r="H85" s="65">
        <v>341218513</v>
      </c>
      <c r="I85" s="65">
        <v>341218513</v>
      </c>
      <c r="J85" s="65">
        <v>5136000</v>
      </c>
      <c r="K85" s="65">
        <v>56544820</v>
      </c>
      <c r="L85" s="65">
        <v>284673693</v>
      </c>
      <c r="M85" s="66">
        <v>111226760</v>
      </c>
      <c r="N85" s="66">
        <v>0</v>
      </c>
      <c r="O85" s="85">
        <f t="shared" si="42"/>
        <v>66.436626362928351</v>
      </c>
      <c r="P85" s="85">
        <f t="shared" si="43"/>
        <v>0.1657143966277117</v>
      </c>
      <c r="Q85" s="85" t="str">
        <f t="shared" si="44"/>
        <v/>
      </c>
      <c r="R85" s="85">
        <f t="shared" si="45"/>
        <v>0.39071667925423653</v>
      </c>
      <c r="S85" s="85">
        <f t="shared" si="46"/>
        <v>0.32596930049923756</v>
      </c>
      <c r="T85" s="84">
        <f t="shared" si="47"/>
        <v>336082513</v>
      </c>
      <c r="U85" s="86">
        <f t="shared" si="48"/>
        <v>17060925.650000002</v>
      </c>
      <c r="V85" s="86">
        <f t="shared" si="49"/>
        <v>256800</v>
      </c>
      <c r="W85" s="86">
        <f t="shared" si="50"/>
        <v>17060925.650000002</v>
      </c>
      <c r="X85" s="86">
        <f t="shared" si="51"/>
        <v>2827241</v>
      </c>
      <c r="Y85" s="86">
        <f t="shared" si="52"/>
        <v>14233684.65</v>
      </c>
      <c r="Z85" s="86">
        <f t="shared" si="53"/>
        <v>5561338</v>
      </c>
      <c r="AA85" s="86">
        <f t="shared" si="54"/>
        <v>0</v>
      </c>
      <c r="AB85" s="138">
        <f t="shared" si="37"/>
        <v>66.436626362928351</v>
      </c>
      <c r="AC85" s="137">
        <f t="shared" si="38"/>
        <v>3.638377515424617E-3</v>
      </c>
      <c r="AD85" s="139" t="str">
        <f t="shared" si="39"/>
        <v>Indeterminado</v>
      </c>
      <c r="AE85" s="137">
        <f t="shared" si="40"/>
        <v>7.183022529579113E-3</v>
      </c>
      <c r="AF85" s="137">
        <f t="shared" si="41"/>
        <v>7.1568879819147039E-3</v>
      </c>
      <c r="AG85" s="103">
        <f t="shared" ref="AG85:AG116" si="55">IFERROR(IF(T85=0,"",SUMIFS($T:$T,$B:$B,B85)),"")</f>
        <v>336082513</v>
      </c>
    </row>
    <row r="86" spans="1:33" s="87" customFormat="1" ht="11.25" x14ac:dyDescent="0.2">
      <c r="A86" s="83">
        <v>69</v>
      </c>
      <c r="B86" s="134">
        <v>45</v>
      </c>
      <c r="C86" s="142" t="s">
        <v>194</v>
      </c>
      <c r="D86" s="112">
        <v>79953559</v>
      </c>
      <c r="E86" s="112">
        <v>2021</v>
      </c>
      <c r="F86" s="112" t="s">
        <v>194</v>
      </c>
      <c r="G86" s="113">
        <v>1</v>
      </c>
      <c r="H86" s="65">
        <v>439837400</v>
      </c>
      <c r="I86" s="65">
        <v>1635775750</v>
      </c>
      <c r="J86" s="65">
        <v>0</v>
      </c>
      <c r="K86" s="65">
        <v>239984900</v>
      </c>
      <c r="L86" s="65">
        <v>1395790850</v>
      </c>
      <c r="M86" s="66">
        <v>229429800</v>
      </c>
      <c r="N86" s="66">
        <v>28967900</v>
      </c>
      <c r="O86" s="85" t="str">
        <f t="shared" si="42"/>
        <v/>
      </c>
      <c r="P86" s="85">
        <f t="shared" si="43"/>
        <v>0.14671014654667672</v>
      </c>
      <c r="Q86" s="85">
        <f t="shared" si="44"/>
        <v>7.9201391885500847</v>
      </c>
      <c r="R86" s="85">
        <f t="shared" si="45"/>
        <v>0.16437262072609229</v>
      </c>
      <c r="S86" s="85">
        <f t="shared" si="46"/>
        <v>0.140257489451106</v>
      </c>
      <c r="T86" s="84">
        <f t="shared" si="47"/>
        <v>439837400</v>
      </c>
      <c r="U86" s="86">
        <f t="shared" si="48"/>
        <v>439837400</v>
      </c>
      <c r="V86" s="86">
        <f t="shared" si="49"/>
        <v>0</v>
      </c>
      <c r="W86" s="86">
        <f t="shared" si="50"/>
        <v>1635775750</v>
      </c>
      <c r="X86" s="86">
        <f t="shared" si="51"/>
        <v>239984900</v>
      </c>
      <c r="Y86" s="86">
        <f t="shared" si="52"/>
        <v>1395790850</v>
      </c>
      <c r="Z86" s="86">
        <f t="shared" si="53"/>
        <v>229429800</v>
      </c>
      <c r="AA86" s="86">
        <f t="shared" si="54"/>
        <v>28967900</v>
      </c>
      <c r="AB86" s="138" t="str">
        <f t="shared" si="37"/>
        <v>Indeterminado</v>
      </c>
      <c r="AC86" s="137">
        <f t="shared" si="38"/>
        <v>0.14671014654667672</v>
      </c>
      <c r="AD86" s="139">
        <f t="shared" si="39"/>
        <v>7.9201391885500847</v>
      </c>
      <c r="AE86" s="137">
        <f t="shared" si="40"/>
        <v>0.16437262072609229</v>
      </c>
      <c r="AF86" s="137">
        <f t="shared" si="41"/>
        <v>0.140257489451106</v>
      </c>
      <c r="AG86" s="103">
        <f t="shared" si="55"/>
        <v>439837400</v>
      </c>
    </row>
    <row r="87" spans="1:33" s="87" customFormat="1" ht="11.25" x14ac:dyDescent="0.2">
      <c r="A87" s="83">
        <v>70</v>
      </c>
      <c r="B87" s="134">
        <v>46</v>
      </c>
      <c r="C87" s="142" t="s">
        <v>196</v>
      </c>
      <c r="D87" s="112">
        <v>901164885</v>
      </c>
      <c r="E87" s="112">
        <v>2020</v>
      </c>
      <c r="F87" s="112" t="s">
        <v>196</v>
      </c>
      <c r="G87" s="113">
        <v>1</v>
      </c>
      <c r="H87" s="65">
        <v>1144527404</v>
      </c>
      <c r="I87" s="65">
        <v>1144527404</v>
      </c>
      <c r="J87" s="65">
        <v>127525300</v>
      </c>
      <c r="K87" s="65">
        <v>691084552</v>
      </c>
      <c r="L87" s="65">
        <v>453442852</v>
      </c>
      <c r="M87" s="66">
        <v>96550646</v>
      </c>
      <c r="N87" s="66">
        <v>5000</v>
      </c>
      <c r="O87" s="85">
        <f t="shared" si="42"/>
        <v>8.9749046189265975</v>
      </c>
      <c r="P87" s="85">
        <f t="shared" si="43"/>
        <v>0.6038165181407924</v>
      </c>
      <c r="Q87" s="85">
        <f t="shared" si="44"/>
        <v>19310.129199999999</v>
      </c>
      <c r="R87" s="85">
        <f t="shared" si="45"/>
        <v>0.21292792592086113</v>
      </c>
      <c r="S87" s="85">
        <f t="shared" si="46"/>
        <v>8.4358527076386192E-2</v>
      </c>
      <c r="T87" s="84">
        <f t="shared" si="47"/>
        <v>1017002104</v>
      </c>
      <c r="U87" s="86">
        <f t="shared" si="48"/>
        <v>1144527404</v>
      </c>
      <c r="V87" s="86">
        <f t="shared" si="49"/>
        <v>127525300</v>
      </c>
      <c r="W87" s="86">
        <f t="shared" si="50"/>
        <v>1144527404</v>
      </c>
      <c r="X87" s="86">
        <f t="shared" si="51"/>
        <v>691084552</v>
      </c>
      <c r="Y87" s="86">
        <f t="shared" si="52"/>
        <v>453442852</v>
      </c>
      <c r="Z87" s="86">
        <f t="shared" si="53"/>
        <v>96550646</v>
      </c>
      <c r="AA87" s="86">
        <f t="shared" si="54"/>
        <v>5000</v>
      </c>
      <c r="AB87" s="194">
        <f t="shared" si="37"/>
        <v>8.9749046189265975</v>
      </c>
      <c r="AC87" s="137">
        <f t="shared" si="38"/>
        <v>0.6038165181407924</v>
      </c>
      <c r="AD87" s="139">
        <f t="shared" si="39"/>
        <v>19310.129199999999</v>
      </c>
      <c r="AE87" s="137">
        <f t="shared" si="40"/>
        <v>0.21292792592086113</v>
      </c>
      <c r="AF87" s="137">
        <f t="shared" si="41"/>
        <v>8.4358527076386192E-2</v>
      </c>
      <c r="AG87" s="103">
        <f t="shared" si="55"/>
        <v>1017002104</v>
      </c>
    </row>
    <row r="88" spans="1:33" s="87" customFormat="1" ht="11.25" x14ac:dyDescent="0.2">
      <c r="A88" s="83">
        <v>71</v>
      </c>
      <c r="B88" s="134">
        <v>47</v>
      </c>
      <c r="C88" s="142" t="s">
        <v>198</v>
      </c>
      <c r="D88" s="112">
        <v>900284623</v>
      </c>
      <c r="E88" s="112">
        <v>2021</v>
      </c>
      <c r="F88" s="112" t="s">
        <v>197</v>
      </c>
      <c r="G88" s="113">
        <v>0.95</v>
      </c>
      <c r="H88" s="65">
        <v>3193406039</v>
      </c>
      <c r="I88" s="65">
        <v>3648306436</v>
      </c>
      <c r="J88" s="65">
        <v>1280851304</v>
      </c>
      <c r="K88" s="65">
        <v>1290851384</v>
      </c>
      <c r="L88" s="65">
        <v>2357455052</v>
      </c>
      <c r="M88" s="66">
        <v>676856346</v>
      </c>
      <c r="N88" s="66">
        <v>1290692</v>
      </c>
      <c r="O88" s="85">
        <f t="shared" si="42"/>
        <v>2.4931902938516273</v>
      </c>
      <c r="P88" s="85">
        <f t="shared" si="43"/>
        <v>0.35382208338159454</v>
      </c>
      <c r="Q88" s="85">
        <f t="shared" si="44"/>
        <v>524.41352855677417</v>
      </c>
      <c r="R88" s="85">
        <f t="shared" si="45"/>
        <v>0.28711315001563814</v>
      </c>
      <c r="S88" s="85">
        <f t="shared" si="46"/>
        <v>0.18552617711085276</v>
      </c>
      <c r="T88" s="84">
        <f t="shared" si="47"/>
        <v>1912554735</v>
      </c>
      <c r="U88" s="86">
        <f t="shared" si="48"/>
        <v>3033735737.0499997</v>
      </c>
      <c r="V88" s="86">
        <f t="shared" si="49"/>
        <v>1216808738.8</v>
      </c>
      <c r="W88" s="86">
        <f t="shared" si="50"/>
        <v>3465891114.1999998</v>
      </c>
      <c r="X88" s="86">
        <f t="shared" si="51"/>
        <v>1226308814.8</v>
      </c>
      <c r="Y88" s="86">
        <f t="shared" si="52"/>
        <v>2239582299.4000001</v>
      </c>
      <c r="Z88" s="86">
        <f t="shared" si="53"/>
        <v>643013528.69999993</v>
      </c>
      <c r="AA88" s="86">
        <f t="shared" si="54"/>
        <v>1226157.3999999999</v>
      </c>
      <c r="AB88" s="138">
        <f t="shared" si="37"/>
        <v>2.4933497754220602</v>
      </c>
      <c r="AC88" s="137">
        <f t="shared" si="38"/>
        <v>0.35343379872039699</v>
      </c>
      <c r="AD88" s="139">
        <f t="shared" si="39"/>
        <v>418.97522797925001</v>
      </c>
      <c r="AE88" s="137">
        <f t="shared" si="40"/>
        <v>0.28740188100251318</v>
      </c>
      <c r="AF88" s="137">
        <f t="shared" si="41"/>
        <v>0.18582434244040746</v>
      </c>
      <c r="AG88" s="103">
        <f t="shared" si="55"/>
        <v>2084256114</v>
      </c>
    </row>
    <row r="89" spans="1:33" s="87" customFormat="1" ht="11.25" x14ac:dyDescent="0.2">
      <c r="A89" s="83">
        <v>72</v>
      </c>
      <c r="B89" s="134">
        <v>47</v>
      </c>
      <c r="C89" s="142" t="s">
        <v>199</v>
      </c>
      <c r="D89" s="112">
        <v>901038896</v>
      </c>
      <c r="E89" s="112">
        <v>2021</v>
      </c>
      <c r="F89" s="112" t="s">
        <v>197</v>
      </c>
      <c r="G89" s="113">
        <v>0.05</v>
      </c>
      <c r="H89" s="65">
        <v>284079745</v>
      </c>
      <c r="I89" s="65">
        <v>394114580</v>
      </c>
      <c r="J89" s="65">
        <v>112378366</v>
      </c>
      <c r="K89" s="65">
        <v>112378366</v>
      </c>
      <c r="L89" s="65">
        <v>281736214</v>
      </c>
      <c r="M89" s="66">
        <v>93904254</v>
      </c>
      <c r="N89" s="66">
        <v>6395565</v>
      </c>
      <c r="O89" s="85">
        <f t="shared" si="42"/>
        <v>2.5278864172130784</v>
      </c>
      <c r="P89" s="85">
        <f t="shared" si="43"/>
        <v>0.28514135660751244</v>
      </c>
      <c r="Q89" s="85">
        <f t="shared" si="44"/>
        <v>14.682714349709526</v>
      </c>
      <c r="R89" s="85">
        <f t="shared" si="45"/>
        <v>0.33330558633829016</v>
      </c>
      <c r="S89" s="85">
        <f t="shared" si="46"/>
        <v>0.23826637928492775</v>
      </c>
      <c r="T89" s="84">
        <f t="shared" si="47"/>
        <v>171701379</v>
      </c>
      <c r="U89" s="86">
        <f t="shared" si="48"/>
        <v>14203987.25</v>
      </c>
      <c r="V89" s="86">
        <f t="shared" si="49"/>
        <v>5618918.3000000007</v>
      </c>
      <c r="W89" s="86">
        <f t="shared" si="50"/>
        <v>19705729</v>
      </c>
      <c r="X89" s="86">
        <f t="shared" si="51"/>
        <v>5618918.3000000007</v>
      </c>
      <c r="Y89" s="86">
        <f t="shared" si="52"/>
        <v>14086810.700000001</v>
      </c>
      <c r="Z89" s="86">
        <f t="shared" si="53"/>
        <v>4695212.7</v>
      </c>
      <c r="AA89" s="86">
        <f t="shared" si="54"/>
        <v>319778.25</v>
      </c>
      <c r="AB89" s="138">
        <f t="shared" si="37"/>
        <v>2.4933497754220602</v>
      </c>
      <c r="AC89" s="137">
        <f t="shared" si="38"/>
        <v>0.35343379872039699</v>
      </c>
      <c r="AD89" s="139">
        <f t="shared" si="39"/>
        <v>418.97522797925001</v>
      </c>
      <c r="AE89" s="137">
        <f t="shared" si="40"/>
        <v>0.28740188100251318</v>
      </c>
      <c r="AF89" s="137">
        <f t="shared" si="41"/>
        <v>0.18582434244040746</v>
      </c>
      <c r="AG89" s="103">
        <f t="shared" si="55"/>
        <v>2084256114</v>
      </c>
    </row>
    <row r="90" spans="1:33" s="87" customFormat="1" ht="11.25" x14ac:dyDescent="0.2">
      <c r="A90" s="83">
        <v>73</v>
      </c>
      <c r="B90" s="134">
        <v>48</v>
      </c>
      <c r="C90" s="142" t="s">
        <v>201</v>
      </c>
      <c r="D90" s="112">
        <v>830035398</v>
      </c>
      <c r="E90" s="112">
        <v>2021</v>
      </c>
      <c r="F90" s="112" t="s">
        <v>200</v>
      </c>
      <c r="G90" s="113">
        <v>0.95</v>
      </c>
      <c r="H90" s="65">
        <v>6111056000</v>
      </c>
      <c r="I90" s="65">
        <v>6781172000</v>
      </c>
      <c r="J90" s="65">
        <v>1252580000</v>
      </c>
      <c r="K90" s="65">
        <v>2922770000</v>
      </c>
      <c r="L90" s="65">
        <v>3858402000</v>
      </c>
      <c r="M90" s="66">
        <v>324869000</v>
      </c>
      <c r="N90" s="66">
        <v>14077000</v>
      </c>
      <c r="O90" s="85">
        <f t="shared" si="42"/>
        <v>4.8787750083826982</v>
      </c>
      <c r="P90" s="85">
        <f t="shared" si="43"/>
        <v>0.43101251524072831</v>
      </c>
      <c r="Q90" s="85">
        <f t="shared" si="44"/>
        <v>23.077999573772821</v>
      </c>
      <c r="R90" s="85">
        <f t="shared" si="45"/>
        <v>8.419781038886047E-2</v>
      </c>
      <c r="S90" s="85">
        <f t="shared" si="46"/>
        <v>4.7907500355395795E-2</v>
      </c>
      <c r="T90" s="84">
        <f t="shared" si="47"/>
        <v>4858476000</v>
      </c>
      <c r="U90" s="86">
        <f t="shared" si="48"/>
        <v>5805503200</v>
      </c>
      <c r="V90" s="86">
        <f t="shared" si="49"/>
        <v>1189951000</v>
      </c>
      <c r="W90" s="86">
        <f t="shared" si="50"/>
        <v>6442113400</v>
      </c>
      <c r="X90" s="86">
        <f t="shared" si="51"/>
        <v>2776631500</v>
      </c>
      <c r="Y90" s="86">
        <f t="shared" si="52"/>
        <v>3665481900</v>
      </c>
      <c r="Z90" s="86">
        <f t="shared" si="53"/>
        <v>308625550</v>
      </c>
      <c r="AA90" s="86">
        <f t="shared" si="54"/>
        <v>13373150</v>
      </c>
      <c r="AB90" s="138">
        <f t="shared" si="37"/>
        <v>4.9069632680415127</v>
      </c>
      <c r="AC90" s="137">
        <f t="shared" si="38"/>
        <v>0.42880832699295968</v>
      </c>
      <c r="AD90" s="139">
        <f t="shared" si="39"/>
        <v>23.088266414419937</v>
      </c>
      <c r="AE90" s="137">
        <f t="shared" si="40"/>
        <v>8.3387892176853301E-2</v>
      </c>
      <c r="AF90" s="137">
        <f t="shared" si="41"/>
        <v>4.7630469641027524E-2</v>
      </c>
      <c r="AG90" s="103">
        <f t="shared" si="55"/>
        <v>5637755000</v>
      </c>
    </row>
    <row r="91" spans="1:33" s="87" customFormat="1" ht="11.25" x14ac:dyDescent="0.2">
      <c r="A91" s="83">
        <v>74</v>
      </c>
      <c r="B91" s="134">
        <v>48</v>
      </c>
      <c r="C91" s="142" t="s">
        <v>202</v>
      </c>
      <c r="D91" s="112">
        <v>900802713</v>
      </c>
      <c r="E91" s="112">
        <v>2021</v>
      </c>
      <c r="F91" s="112" t="s">
        <v>200</v>
      </c>
      <c r="G91" s="113">
        <v>0.05</v>
      </c>
      <c r="H91" s="65">
        <v>807031000</v>
      </c>
      <c r="I91" s="65">
        <v>807031000</v>
      </c>
      <c r="J91" s="65">
        <v>27752000</v>
      </c>
      <c r="K91" s="65">
        <v>62069000</v>
      </c>
      <c r="L91" s="65">
        <v>744962000</v>
      </c>
      <c r="M91" s="66">
        <v>2746000</v>
      </c>
      <c r="N91" s="66">
        <v>0</v>
      </c>
      <c r="O91" s="85">
        <f t="shared" si="42"/>
        <v>29.080102334966849</v>
      </c>
      <c r="P91" s="85">
        <f t="shared" si="43"/>
        <v>7.6910304560791343E-2</v>
      </c>
      <c r="Q91" s="85" t="str">
        <f t="shared" si="44"/>
        <v/>
      </c>
      <c r="R91" s="85">
        <f t="shared" si="45"/>
        <v>3.6860940558041885E-3</v>
      </c>
      <c r="S91" s="85">
        <f t="shared" si="46"/>
        <v>3.402595439332566E-3</v>
      </c>
      <c r="T91" s="84">
        <f t="shared" si="47"/>
        <v>779279000</v>
      </c>
      <c r="U91" s="86">
        <f t="shared" si="48"/>
        <v>40351550</v>
      </c>
      <c r="V91" s="86">
        <f t="shared" si="49"/>
        <v>1387600</v>
      </c>
      <c r="W91" s="86">
        <f t="shared" si="50"/>
        <v>40351550</v>
      </c>
      <c r="X91" s="86">
        <f t="shared" si="51"/>
        <v>3103450</v>
      </c>
      <c r="Y91" s="86">
        <f t="shared" si="52"/>
        <v>37248100</v>
      </c>
      <c r="Z91" s="86">
        <f t="shared" si="53"/>
        <v>137300</v>
      </c>
      <c r="AA91" s="86">
        <f t="shared" si="54"/>
        <v>0</v>
      </c>
      <c r="AB91" s="138">
        <f t="shared" si="37"/>
        <v>4.9069632680415127</v>
      </c>
      <c r="AC91" s="137">
        <f t="shared" si="38"/>
        <v>0.42880832699295968</v>
      </c>
      <c r="AD91" s="139">
        <f t="shared" si="39"/>
        <v>23.088266414419937</v>
      </c>
      <c r="AE91" s="137">
        <f t="shared" si="40"/>
        <v>8.3387892176853301E-2</v>
      </c>
      <c r="AF91" s="137">
        <f t="shared" si="41"/>
        <v>4.7630469641027524E-2</v>
      </c>
      <c r="AG91" s="103">
        <f t="shared" si="55"/>
        <v>5637755000</v>
      </c>
    </row>
    <row r="92" spans="1:33" s="87" customFormat="1" ht="11.25" x14ac:dyDescent="0.2">
      <c r="A92" s="83">
        <v>75</v>
      </c>
      <c r="B92" s="134">
        <v>49</v>
      </c>
      <c r="C92" s="142" t="s">
        <v>203</v>
      </c>
      <c r="D92" s="112">
        <v>901254479</v>
      </c>
      <c r="E92" s="112">
        <v>2021</v>
      </c>
      <c r="F92" s="112" t="s">
        <v>203</v>
      </c>
      <c r="G92" s="113">
        <v>1</v>
      </c>
      <c r="H92" s="65">
        <v>505574854</v>
      </c>
      <c r="I92" s="65">
        <v>505574854</v>
      </c>
      <c r="J92" s="65">
        <v>0</v>
      </c>
      <c r="K92" s="65">
        <v>0</v>
      </c>
      <c r="L92" s="65">
        <v>505574854</v>
      </c>
      <c r="M92" s="66">
        <v>85495360</v>
      </c>
      <c r="N92" s="66">
        <v>26503561</v>
      </c>
      <c r="O92" s="85" t="str">
        <f t="shared" si="42"/>
        <v/>
      </c>
      <c r="P92" s="85">
        <f t="shared" si="43"/>
        <v>0</v>
      </c>
      <c r="Q92" s="85">
        <f t="shared" si="44"/>
        <v>3.225806524640217</v>
      </c>
      <c r="R92" s="85">
        <f t="shared" si="45"/>
        <v>0.16910524588709075</v>
      </c>
      <c r="S92" s="85">
        <f t="shared" si="46"/>
        <v>0.16910524588709075</v>
      </c>
      <c r="T92" s="84">
        <f t="shared" si="47"/>
        <v>505574854</v>
      </c>
      <c r="U92" s="86">
        <f t="shared" si="48"/>
        <v>505574854</v>
      </c>
      <c r="V92" s="86">
        <f t="shared" si="49"/>
        <v>0</v>
      </c>
      <c r="W92" s="86">
        <f t="shared" si="50"/>
        <v>505574854</v>
      </c>
      <c r="X92" s="86">
        <f t="shared" si="51"/>
        <v>0</v>
      </c>
      <c r="Y92" s="86">
        <f t="shared" si="52"/>
        <v>505574854</v>
      </c>
      <c r="Z92" s="86">
        <f t="shared" si="53"/>
        <v>85495360</v>
      </c>
      <c r="AA92" s="86">
        <f t="shared" si="54"/>
        <v>26503561</v>
      </c>
      <c r="AB92" s="138" t="str">
        <f t="shared" si="37"/>
        <v>Indeterminado</v>
      </c>
      <c r="AC92" s="137">
        <f t="shared" si="38"/>
        <v>0</v>
      </c>
      <c r="AD92" s="139">
        <f t="shared" si="39"/>
        <v>3.225806524640217</v>
      </c>
      <c r="AE92" s="137">
        <f t="shared" si="40"/>
        <v>0.16910524588709075</v>
      </c>
      <c r="AF92" s="137">
        <f t="shared" si="41"/>
        <v>0.16910524588709075</v>
      </c>
      <c r="AG92" s="103">
        <f t="shared" si="55"/>
        <v>505574854</v>
      </c>
    </row>
    <row r="93" spans="1:33" s="87" customFormat="1" ht="11.25" x14ac:dyDescent="0.2">
      <c r="A93" s="83">
        <v>76</v>
      </c>
      <c r="B93" s="134">
        <v>50</v>
      </c>
      <c r="C93" s="112" t="s">
        <v>132</v>
      </c>
      <c r="D93" s="112">
        <v>800061409</v>
      </c>
      <c r="E93" s="112">
        <v>2021</v>
      </c>
      <c r="F93" s="112" t="s">
        <v>131</v>
      </c>
      <c r="G93" s="113">
        <v>0.5</v>
      </c>
      <c r="H93" s="65">
        <v>9152869793</v>
      </c>
      <c r="I93" s="65">
        <v>10214748079</v>
      </c>
      <c r="J93" s="65">
        <v>1167742471</v>
      </c>
      <c r="K93" s="65">
        <v>2744325792</v>
      </c>
      <c r="L93" s="65">
        <v>7470422287</v>
      </c>
      <c r="M93" s="66">
        <v>1377757615</v>
      </c>
      <c r="N93" s="66">
        <v>74360004</v>
      </c>
      <c r="O93" s="85">
        <f t="shared" si="42"/>
        <v>7.8380893221789822</v>
      </c>
      <c r="P93" s="85">
        <f t="shared" si="43"/>
        <v>0.26866309093240637</v>
      </c>
      <c r="Q93" s="85">
        <f t="shared" si="44"/>
        <v>18.528207919407858</v>
      </c>
      <c r="R93" s="85">
        <f t="shared" si="45"/>
        <v>0.18442834448563483</v>
      </c>
      <c r="S93" s="85">
        <f t="shared" si="46"/>
        <v>0.13487925540057755</v>
      </c>
      <c r="T93" s="84">
        <f t="shared" si="47"/>
        <v>7985127322</v>
      </c>
      <c r="U93" s="86">
        <f t="shared" si="48"/>
        <v>4576434896.5</v>
      </c>
      <c r="V93" s="86">
        <f t="shared" si="49"/>
        <v>583871235.5</v>
      </c>
      <c r="W93" s="86">
        <f t="shared" si="50"/>
        <v>5107374039.5</v>
      </c>
      <c r="X93" s="86">
        <f t="shared" si="51"/>
        <v>1372162896</v>
      </c>
      <c r="Y93" s="86">
        <f t="shared" si="52"/>
        <v>3735211143.5</v>
      </c>
      <c r="Z93" s="86">
        <f t="shared" si="53"/>
        <v>688878807.5</v>
      </c>
      <c r="AA93" s="86">
        <f t="shared" si="54"/>
        <v>37180002</v>
      </c>
      <c r="AB93" s="138">
        <f t="shared" si="37"/>
        <v>8.1456517077289217</v>
      </c>
      <c r="AC93" s="137">
        <f t="shared" si="38"/>
        <v>0.28143646482775053</v>
      </c>
      <c r="AD93" s="139">
        <f t="shared" si="39"/>
        <v>20.019306631389536</v>
      </c>
      <c r="AE93" s="137">
        <f t="shared" si="40"/>
        <v>0.19199459715859479</v>
      </c>
      <c r="AF93" s="137">
        <f t="shared" si="41"/>
        <v>0.1379603164682518</v>
      </c>
      <c r="AG93" s="103">
        <f t="shared" si="55"/>
        <v>8729606599</v>
      </c>
    </row>
    <row r="94" spans="1:33" s="87" customFormat="1" ht="11.25" x14ac:dyDescent="0.2">
      <c r="A94" s="83">
        <v>77</v>
      </c>
      <c r="B94" s="134">
        <v>50</v>
      </c>
      <c r="C94" s="112" t="s">
        <v>204</v>
      </c>
      <c r="D94" s="112">
        <v>900420109</v>
      </c>
      <c r="E94" s="112">
        <v>2021</v>
      </c>
      <c r="F94" s="112" t="s">
        <v>131</v>
      </c>
      <c r="G94" s="113">
        <v>0.5</v>
      </c>
      <c r="H94" s="65">
        <v>798403766</v>
      </c>
      <c r="I94" s="65">
        <v>854811727</v>
      </c>
      <c r="J94" s="65">
        <v>53924489</v>
      </c>
      <c r="K94" s="65">
        <v>371051987</v>
      </c>
      <c r="L94" s="65">
        <v>483759740</v>
      </c>
      <c r="M94" s="66">
        <v>149402359</v>
      </c>
      <c r="N94" s="66">
        <v>1924355</v>
      </c>
      <c r="O94" s="85">
        <f t="shared" si="42"/>
        <v>14.805958865924534</v>
      </c>
      <c r="P94" s="85">
        <f t="shared" si="43"/>
        <v>0.43407451638763023</v>
      </c>
      <c r="Q94" s="85">
        <f t="shared" si="44"/>
        <v>77.63762871195803</v>
      </c>
      <c r="R94" s="85">
        <f t="shared" si="45"/>
        <v>0.30883586757343634</v>
      </c>
      <c r="S94" s="85">
        <f t="shared" si="46"/>
        <v>0.17477808771334274</v>
      </c>
      <c r="T94" s="84">
        <f t="shared" si="47"/>
        <v>744479277</v>
      </c>
      <c r="U94" s="86">
        <f t="shared" si="48"/>
        <v>399201883</v>
      </c>
      <c r="V94" s="86">
        <f t="shared" si="49"/>
        <v>26962244.5</v>
      </c>
      <c r="W94" s="86">
        <f t="shared" si="50"/>
        <v>427405863.5</v>
      </c>
      <c r="X94" s="86">
        <f t="shared" si="51"/>
        <v>185525993.5</v>
      </c>
      <c r="Y94" s="86">
        <f t="shared" si="52"/>
        <v>241879870</v>
      </c>
      <c r="Z94" s="86">
        <f t="shared" si="53"/>
        <v>74701179.5</v>
      </c>
      <c r="AA94" s="86">
        <f t="shared" si="54"/>
        <v>962177.5</v>
      </c>
      <c r="AB94" s="138">
        <f t="shared" si="37"/>
        <v>8.1456517077289217</v>
      </c>
      <c r="AC94" s="137">
        <f t="shared" si="38"/>
        <v>0.28143646482775053</v>
      </c>
      <c r="AD94" s="139">
        <f t="shared" si="39"/>
        <v>20.019306631389536</v>
      </c>
      <c r="AE94" s="137">
        <f t="shared" si="40"/>
        <v>0.19199459715859479</v>
      </c>
      <c r="AF94" s="137">
        <f t="shared" si="41"/>
        <v>0.1379603164682518</v>
      </c>
      <c r="AG94" s="103">
        <f t="shared" si="55"/>
        <v>8729606599</v>
      </c>
    </row>
    <row r="95" spans="1:33" s="87" customFormat="1" ht="11.25" x14ac:dyDescent="0.2">
      <c r="A95" s="83">
        <v>78</v>
      </c>
      <c r="B95" s="134">
        <v>51</v>
      </c>
      <c r="C95" s="112" t="s">
        <v>119</v>
      </c>
      <c r="D95" s="112">
        <v>900709306</v>
      </c>
      <c r="E95" s="112">
        <v>2021</v>
      </c>
      <c r="F95" s="112" t="s">
        <v>205</v>
      </c>
      <c r="G95" s="113">
        <v>0.75</v>
      </c>
      <c r="H95" s="65">
        <v>1167370499</v>
      </c>
      <c r="I95" s="65">
        <v>1661136738</v>
      </c>
      <c r="J95" s="65">
        <v>90494245</v>
      </c>
      <c r="K95" s="65">
        <v>90494245</v>
      </c>
      <c r="L95" s="65">
        <v>1570642493</v>
      </c>
      <c r="M95" s="66">
        <v>267085278</v>
      </c>
      <c r="N95" s="66">
        <v>142000</v>
      </c>
      <c r="O95" s="85">
        <f t="shared" si="42"/>
        <v>12.899941858181148</v>
      </c>
      <c r="P95" s="85">
        <f t="shared" si="43"/>
        <v>5.4477300350935953E-2</v>
      </c>
      <c r="Q95" s="85">
        <f t="shared" si="44"/>
        <v>1880.8822394366198</v>
      </c>
      <c r="R95" s="85">
        <f t="shared" si="45"/>
        <v>0.17004842234330153</v>
      </c>
      <c r="S95" s="85">
        <f t="shared" si="46"/>
        <v>0.16078464336510268</v>
      </c>
      <c r="T95" s="84">
        <f t="shared" si="47"/>
        <v>1076876254</v>
      </c>
      <c r="U95" s="86">
        <f t="shared" si="48"/>
        <v>875527874.25</v>
      </c>
      <c r="V95" s="86">
        <f t="shared" si="49"/>
        <v>67870683.75</v>
      </c>
      <c r="W95" s="86">
        <f t="shared" si="50"/>
        <v>1245852553.5</v>
      </c>
      <c r="X95" s="86">
        <f t="shared" si="51"/>
        <v>67870683.75</v>
      </c>
      <c r="Y95" s="86">
        <f t="shared" si="52"/>
        <v>1177981869.75</v>
      </c>
      <c r="Z95" s="86">
        <f t="shared" si="53"/>
        <v>200313958.5</v>
      </c>
      <c r="AA95" s="86">
        <f t="shared" si="54"/>
        <v>106500</v>
      </c>
      <c r="AB95" s="138">
        <f t="shared" si="37"/>
        <v>11.976304084625204</v>
      </c>
      <c r="AC95" s="137">
        <f t="shared" si="38"/>
        <v>5.989683854085965E-2</v>
      </c>
      <c r="AD95" s="139">
        <f t="shared" si="39"/>
        <v>1930.7624522727272</v>
      </c>
      <c r="AE95" s="137">
        <f t="shared" si="40"/>
        <v>0.17243423207054742</v>
      </c>
      <c r="AF95" s="137">
        <f t="shared" si="41"/>
        <v>0.16210596671330071</v>
      </c>
      <c r="AG95" s="103">
        <f t="shared" si="55"/>
        <v>1291670510</v>
      </c>
    </row>
    <row r="96" spans="1:33" s="88" customFormat="1" ht="11.25" x14ac:dyDescent="0.2">
      <c r="A96" s="83">
        <v>79</v>
      </c>
      <c r="B96" s="134">
        <v>51</v>
      </c>
      <c r="C96" s="112" t="s">
        <v>206</v>
      </c>
      <c r="D96" s="112">
        <v>900974559</v>
      </c>
      <c r="E96" s="112">
        <v>2021</v>
      </c>
      <c r="F96" s="112" t="s">
        <v>205</v>
      </c>
      <c r="G96" s="113">
        <v>0.25</v>
      </c>
      <c r="H96" s="65">
        <v>257207983</v>
      </c>
      <c r="I96" s="65">
        <v>257207983</v>
      </c>
      <c r="J96" s="65">
        <v>42413727</v>
      </c>
      <c r="K96" s="65">
        <v>42413727</v>
      </c>
      <c r="L96" s="65">
        <v>214794256</v>
      </c>
      <c r="M96" s="66">
        <v>48279645</v>
      </c>
      <c r="N96" s="66">
        <v>14000</v>
      </c>
      <c r="O96" s="85">
        <f t="shared" si="42"/>
        <v>6.0642627090988723</v>
      </c>
      <c r="P96" s="85">
        <f t="shared" si="43"/>
        <v>0.16490050777311993</v>
      </c>
      <c r="Q96" s="85">
        <f t="shared" si="44"/>
        <v>3448.5460714285714</v>
      </c>
      <c r="R96" s="85">
        <f t="shared" si="45"/>
        <v>0.22477158327734797</v>
      </c>
      <c r="S96" s="85">
        <f t="shared" si="46"/>
        <v>0.18770663506194518</v>
      </c>
      <c r="T96" s="84">
        <f t="shared" si="47"/>
        <v>214794256</v>
      </c>
      <c r="U96" s="86">
        <f t="shared" si="48"/>
        <v>64301995.75</v>
      </c>
      <c r="V96" s="86">
        <f t="shared" si="49"/>
        <v>10603431.75</v>
      </c>
      <c r="W96" s="86">
        <f t="shared" si="50"/>
        <v>64301995.75</v>
      </c>
      <c r="X96" s="86">
        <f t="shared" si="51"/>
        <v>10603431.75</v>
      </c>
      <c r="Y96" s="86">
        <f t="shared" si="52"/>
        <v>53698564</v>
      </c>
      <c r="Z96" s="86">
        <f t="shared" si="53"/>
        <v>12069911.25</v>
      </c>
      <c r="AA96" s="86">
        <f t="shared" si="54"/>
        <v>3500</v>
      </c>
      <c r="AB96" s="138">
        <f t="shared" si="37"/>
        <v>11.976304084625204</v>
      </c>
      <c r="AC96" s="137">
        <f t="shared" si="38"/>
        <v>5.989683854085965E-2</v>
      </c>
      <c r="AD96" s="139">
        <f t="shared" si="39"/>
        <v>1930.7624522727272</v>
      </c>
      <c r="AE96" s="137">
        <f t="shared" si="40"/>
        <v>0.17243423207054742</v>
      </c>
      <c r="AF96" s="137">
        <f t="shared" si="41"/>
        <v>0.16210596671330071</v>
      </c>
      <c r="AG96" s="103">
        <f t="shared" si="55"/>
        <v>1291670510</v>
      </c>
    </row>
    <row r="97" spans="1:33" s="88" customFormat="1" ht="11.25" x14ac:dyDescent="0.2">
      <c r="A97" s="83">
        <v>80</v>
      </c>
      <c r="B97" s="134">
        <v>52</v>
      </c>
      <c r="C97" s="112" t="s">
        <v>128</v>
      </c>
      <c r="D97" s="112">
        <v>900916608</v>
      </c>
      <c r="E97" s="112">
        <v>2021</v>
      </c>
      <c r="F97" s="112" t="s">
        <v>207</v>
      </c>
      <c r="G97" s="113">
        <v>0.5</v>
      </c>
      <c r="H97" s="65">
        <v>7904119656</v>
      </c>
      <c r="I97" s="65">
        <v>9552061510</v>
      </c>
      <c r="J97" s="65">
        <v>1254798193</v>
      </c>
      <c r="K97" s="65">
        <v>3341531429</v>
      </c>
      <c r="L97" s="65">
        <v>6210530081</v>
      </c>
      <c r="M97" s="66">
        <v>1223475359</v>
      </c>
      <c r="N97" s="66">
        <v>238765658</v>
      </c>
      <c r="O97" s="85">
        <f t="shared" si="42"/>
        <v>6.2991162245003327</v>
      </c>
      <c r="P97" s="85">
        <f t="shared" si="43"/>
        <v>0.34982306442455058</v>
      </c>
      <c r="Q97" s="85">
        <f t="shared" si="44"/>
        <v>5.1241680618910443</v>
      </c>
      <c r="R97" s="85">
        <f t="shared" si="45"/>
        <v>0.19700015023564621</v>
      </c>
      <c r="S97" s="85">
        <f t="shared" si="46"/>
        <v>0.12808495398811559</v>
      </c>
      <c r="T97" s="84">
        <f t="shared" si="47"/>
        <v>6649321463</v>
      </c>
      <c r="U97" s="86">
        <f t="shared" si="48"/>
        <v>3952059828</v>
      </c>
      <c r="V97" s="86">
        <f t="shared" si="49"/>
        <v>627399096.5</v>
      </c>
      <c r="W97" s="86">
        <f t="shared" si="50"/>
        <v>4776030755</v>
      </c>
      <c r="X97" s="86">
        <f t="shared" si="51"/>
        <v>1670765714.5</v>
      </c>
      <c r="Y97" s="86">
        <f t="shared" si="52"/>
        <v>3105265040.5</v>
      </c>
      <c r="Z97" s="86">
        <f t="shared" si="53"/>
        <v>611737679.5</v>
      </c>
      <c r="AA97" s="86">
        <f t="shared" si="54"/>
        <v>119382829</v>
      </c>
      <c r="AB97" s="138">
        <f t="shared" si="37"/>
        <v>6.3487609120932813</v>
      </c>
      <c r="AC97" s="137">
        <f t="shared" si="38"/>
        <v>0.41865863627075728</v>
      </c>
      <c r="AD97" s="139">
        <f t="shared" si="39"/>
        <v>7.0867903728381707</v>
      </c>
      <c r="AE97" s="137">
        <f t="shared" si="40"/>
        <v>0.29515336557117966</v>
      </c>
      <c r="AF97" s="137">
        <f t="shared" si="41"/>
        <v>0.17158486005042531</v>
      </c>
      <c r="AG97" s="103">
        <f t="shared" si="55"/>
        <v>10304884091</v>
      </c>
    </row>
    <row r="98" spans="1:33" s="88" customFormat="1" ht="11.25" x14ac:dyDescent="0.2">
      <c r="A98" s="83">
        <v>81</v>
      </c>
      <c r="B98" s="134">
        <v>52</v>
      </c>
      <c r="C98" s="112" t="s">
        <v>81</v>
      </c>
      <c r="D98" s="112">
        <v>890405995</v>
      </c>
      <c r="E98" s="112">
        <v>2021</v>
      </c>
      <c r="F98" s="112" t="s">
        <v>207</v>
      </c>
      <c r="G98" s="113">
        <v>0.5</v>
      </c>
      <c r="H98" s="65">
        <v>4327357203</v>
      </c>
      <c r="I98" s="65">
        <v>5971007100</v>
      </c>
      <c r="J98" s="65">
        <v>671794575</v>
      </c>
      <c r="K98" s="65">
        <v>3157335306</v>
      </c>
      <c r="L98" s="65">
        <v>2813671794</v>
      </c>
      <c r="M98" s="66">
        <v>1440048196</v>
      </c>
      <c r="N98" s="66">
        <v>137077765.44999999</v>
      </c>
      <c r="O98" s="85">
        <f t="shared" si="42"/>
        <v>6.4414887586729916</v>
      </c>
      <c r="P98" s="85">
        <f t="shared" si="43"/>
        <v>0.52877768408615689</v>
      </c>
      <c r="Q98" s="85">
        <f t="shared" si="44"/>
        <v>10.505337545243739</v>
      </c>
      <c r="R98" s="85">
        <f t="shared" si="45"/>
        <v>0.51180389947072835</v>
      </c>
      <c r="S98" s="85">
        <f t="shared" si="46"/>
        <v>0.24117341880233237</v>
      </c>
      <c r="T98" s="84">
        <f t="shared" si="47"/>
        <v>3655562628</v>
      </c>
      <c r="U98" s="86">
        <f t="shared" si="48"/>
        <v>2163678601.5</v>
      </c>
      <c r="V98" s="86">
        <f t="shared" si="49"/>
        <v>335897287.5</v>
      </c>
      <c r="W98" s="86">
        <f t="shared" si="50"/>
        <v>2985503550</v>
      </c>
      <c r="X98" s="86">
        <f t="shared" si="51"/>
        <v>1578667653</v>
      </c>
      <c r="Y98" s="86">
        <f t="shared" si="52"/>
        <v>1406835897</v>
      </c>
      <c r="Z98" s="86">
        <f t="shared" si="53"/>
        <v>720024098</v>
      </c>
      <c r="AA98" s="86">
        <f t="shared" si="54"/>
        <v>68538882.724999994</v>
      </c>
      <c r="AB98" s="138">
        <f t="shared" si="37"/>
        <v>6.3487609120932813</v>
      </c>
      <c r="AC98" s="137">
        <f t="shared" si="38"/>
        <v>0.41865863627075728</v>
      </c>
      <c r="AD98" s="139">
        <f t="shared" si="39"/>
        <v>7.0867903728381707</v>
      </c>
      <c r="AE98" s="137">
        <f t="shared" si="40"/>
        <v>0.29515336557117966</v>
      </c>
      <c r="AF98" s="137">
        <f t="shared" si="41"/>
        <v>0.17158486005042531</v>
      </c>
      <c r="AG98" s="103">
        <f t="shared" si="55"/>
        <v>10304884091</v>
      </c>
    </row>
    <row r="99" spans="1:33" s="88" customFormat="1" ht="11.25" x14ac:dyDescent="0.2">
      <c r="A99" s="83">
        <v>82</v>
      </c>
      <c r="B99" s="134">
        <v>53</v>
      </c>
      <c r="C99" s="112" t="s">
        <v>118</v>
      </c>
      <c r="D99" s="112">
        <v>900426155</v>
      </c>
      <c r="E99" s="112">
        <v>2021</v>
      </c>
      <c r="F99" s="112" t="s">
        <v>118</v>
      </c>
      <c r="G99" s="113">
        <v>1</v>
      </c>
      <c r="H99" s="65">
        <v>4744189000</v>
      </c>
      <c r="I99" s="65">
        <v>7198504000</v>
      </c>
      <c r="J99" s="65">
        <v>647872000</v>
      </c>
      <c r="K99" s="65">
        <v>3549582000</v>
      </c>
      <c r="L99" s="65">
        <v>3648922000</v>
      </c>
      <c r="M99" s="66">
        <v>689288000</v>
      </c>
      <c r="N99" s="66">
        <v>106015275</v>
      </c>
      <c r="O99" s="85">
        <f t="shared" si="42"/>
        <v>7.3227257853403138</v>
      </c>
      <c r="P99" s="85">
        <f t="shared" si="43"/>
        <v>0.49309995521291644</v>
      </c>
      <c r="Q99" s="85">
        <f t="shared" si="44"/>
        <v>6.5017800500918383</v>
      </c>
      <c r="R99" s="85">
        <f t="shared" si="45"/>
        <v>0.18890181812601092</v>
      </c>
      <c r="S99" s="85">
        <f t="shared" si="46"/>
        <v>9.5754340068436444E-2</v>
      </c>
      <c r="T99" s="84">
        <f t="shared" si="47"/>
        <v>4096317000</v>
      </c>
      <c r="U99" s="86">
        <f t="shared" si="48"/>
        <v>4744189000</v>
      </c>
      <c r="V99" s="86">
        <f t="shared" si="49"/>
        <v>647872000</v>
      </c>
      <c r="W99" s="86">
        <f t="shared" si="50"/>
        <v>7198504000</v>
      </c>
      <c r="X99" s="86">
        <f t="shared" si="51"/>
        <v>3549582000</v>
      </c>
      <c r="Y99" s="86">
        <f t="shared" si="52"/>
        <v>3648922000</v>
      </c>
      <c r="Z99" s="86">
        <f t="shared" si="53"/>
        <v>689288000</v>
      </c>
      <c r="AA99" s="86">
        <f t="shared" si="54"/>
        <v>106015275</v>
      </c>
      <c r="AB99" s="138">
        <f t="shared" si="37"/>
        <v>7.3227257853403138</v>
      </c>
      <c r="AC99" s="137">
        <f t="shared" si="38"/>
        <v>0.49309995521291644</v>
      </c>
      <c r="AD99" s="139">
        <f t="shared" si="39"/>
        <v>6.5017800500918383</v>
      </c>
      <c r="AE99" s="137">
        <f t="shared" si="40"/>
        <v>0.18890181812601092</v>
      </c>
      <c r="AF99" s="137">
        <f t="shared" si="41"/>
        <v>9.5754340068436444E-2</v>
      </c>
      <c r="AG99" s="103">
        <f t="shared" si="55"/>
        <v>4096317000</v>
      </c>
    </row>
    <row r="100" spans="1:33" s="88" customFormat="1" ht="11.25" x14ac:dyDescent="0.2">
      <c r="A100" s="83">
        <v>83</v>
      </c>
      <c r="B100" s="134">
        <v>54</v>
      </c>
      <c r="C100" s="112" t="s">
        <v>208</v>
      </c>
      <c r="D100" s="112">
        <v>800032277</v>
      </c>
      <c r="E100" s="112">
        <v>2021</v>
      </c>
      <c r="F100" s="112" t="s">
        <v>208</v>
      </c>
      <c r="G100" s="113">
        <v>1</v>
      </c>
      <c r="H100" s="65">
        <v>5802368783</v>
      </c>
      <c r="I100" s="65">
        <v>10305647220</v>
      </c>
      <c r="J100" s="65">
        <v>1434118626</v>
      </c>
      <c r="K100" s="65">
        <v>3799517203</v>
      </c>
      <c r="L100" s="65">
        <v>6506130017</v>
      </c>
      <c r="M100" s="66">
        <v>1572808883</v>
      </c>
      <c r="N100" s="66">
        <v>214725199</v>
      </c>
      <c r="O100" s="85">
        <f t="shared" si="42"/>
        <v>4.0459475790951762</v>
      </c>
      <c r="P100" s="85">
        <f t="shared" si="43"/>
        <v>0.3686830261011011</v>
      </c>
      <c r="Q100" s="85">
        <f t="shared" si="44"/>
        <v>7.3247522429819707</v>
      </c>
      <c r="R100" s="85">
        <f t="shared" si="45"/>
        <v>0.24174261487095638</v>
      </c>
      <c r="S100" s="85">
        <f t="shared" si="46"/>
        <v>0.15261621608273915</v>
      </c>
      <c r="T100" s="84">
        <f t="shared" si="47"/>
        <v>4368250157</v>
      </c>
      <c r="U100" s="86">
        <f t="shared" si="48"/>
        <v>5802368783</v>
      </c>
      <c r="V100" s="86">
        <f t="shared" si="49"/>
        <v>1434118626</v>
      </c>
      <c r="W100" s="86">
        <f t="shared" si="50"/>
        <v>10305647220</v>
      </c>
      <c r="X100" s="86">
        <f t="shared" si="51"/>
        <v>3799517203</v>
      </c>
      <c r="Y100" s="86">
        <f t="shared" si="52"/>
        <v>6506130017</v>
      </c>
      <c r="Z100" s="86">
        <f t="shared" si="53"/>
        <v>1572808883</v>
      </c>
      <c r="AA100" s="86">
        <f t="shared" si="54"/>
        <v>214725199</v>
      </c>
      <c r="AB100" s="138">
        <f t="shared" si="37"/>
        <v>4.0459475790951762</v>
      </c>
      <c r="AC100" s="137">
        <f t="shared" si="38"/>
        <v>0.3686830261011011</v>
      </c>
      <c r="AD100" s="139">
        <f t="shared" si="39"/>
        <v>7.3247522429819707</v>
      </c>
      <c r="AE100" s="137">
        <f t="shared" si="40"/>
        <v>0.24174261487095638</v>
      </c>
      <c r="AF100" s="137">
        <f t="shared" si="41"/>
        <v>0.15261621608273915</v>
      </c>
      <c r="AG100" s="103">
        <f t="shared" si="55"/>
        <v>4368250157</v>
      </c>
    </row>
    <row r="101" spans="1:33" s="88" customFormat="1" ht="11.25" x14ac:dyDescent="0.2">
      <c r="A101" s="83">
        <v>84</v>
      </c>
      <c r="B101" s="134">
        <v>55</v>
      </c>
      <c r="C101" s="112" t="s">
        <v>210</v>
      </c>
      <c r="D101" s="112">
        <v>900334140</v>
      </c>
      <c r="E101" s="112">
        <v>2021</v>
      </c>
      <c r="F101" s="112" t="s">
        <v>209</v>
      </c>
      <c r="G101" s="113">
        <v>0.95</v>
      </c>
      <c r="H101" s="65">
        <v>2488780267</v>
      </c>
      <c r="I101" s="65">
        <v>2806113780</v>
      </c>
      <c r="J101" s="65">
        <v>593654429</v>
      </c>
      <c r="K101" s="65">
        <v>1202774380</v>
      </c>
      <c r="L101" s="65">
        <v>1603339400</v>
      </c>
      <c r="M101" s="66">
        <v>683802028</v>
      </c>
      <c r="N101" s="66">
        <v>6908347</v>
      </c>
      <c r="O101" s="85">
        <f t="shared" si="42"/>
        <v>4.1923047237974869</v>
      </c>
      <c r="P101" s="85">
        <f t="shared" si="43"/>
        <v>0.42862637594117797</v>
      </c>
      <c r="Q101" s="85">
        <f t="shared" si="44"/>
        <v>98.982003654419785</v>
      </c>
      <c r="R101" s="85">
        <f t="shared" si="45"/>
        <v>0.4264861376200198</v>
      </c>
      <c r="S101" s="85">
        <f t="shared" si="46"/>
        <v>0.24368293006280023</v>
      </c>
      <c r="T101" s="84">
        <f t="shared" si="47"/>
        <v>1895125838</v>
      </c>
      <c r="U101" s="86">
        <f t="shared" si="48"/>
        <v>2364341253.6500001</v>
      </c>
      <c r="V101" s="86">
        <f t="shared" si="49"/>
        <v>563971707.54999995</v>
      </c>
      <c r="W101" s="86">
        <f t="shared" si="50"/>
        <v>2665808091</v>
      </c>
      <c r="X101" s="86">
        <f t="shared" si="51"/>
        <v>1142635661</v>
      </c>
      <c r="Y101" s="86">
        <f t="shared" si="52"/>
        <v>1523172430</v>
      </c>
      <c r="Z101" s="86">
        <f t="shared" si="53"/>
        <v>649611926.60000002</v>
      </c>
      <c r="AA101" s="86">
        <f t="shared" si="54"/>
        <v>6562929.6499999994</v>
      </c>
      <c r="AB101" s="138">
        <f t="shared" si="37"/>
        <v>4.2396886457026017</v>
      </c>
      <c r="AC101" s="137">
        <f t="shared" si="38"/>
        <v>0.42437072665381836</v>
      </c>
      <c r="AD101" s="139">
        <f t="shared" si="39"/>
        <v>99.168521021955598</v>
      </c>
      <c r="AE101" s="137">
        <f t="shared" si="40"/>
        <v>0.41870568294892213</v>
      </c>
      <c r="AF101" s="137">
        <f t="shared" si="41"/>
        <v>0.24101924802180472</v>
      </c>
      <c r="AG101" s="103">
        <f t="shared" si="55"/>
        <v>2557499619</v>
      </c>
    </row>
    <row r="102" spans="1:33" s="88" customFormat="1" ht="11.25" x14ac:dyDescent="0.2">
      <c r="A102" s="83">
        <v>85</v>
      </c>
      <c r="B102" s="134">
        <v>55</v>
      </c>
      <c r="C102" s="112" t="s">
        <v>211</v>
      </c>
      <c r="D102" s="112">
        <v>830046422</v>
      </c>
      <c r="E102" s="112">
        <v>2021</v>
      </c>
      <c r="F102" s="112" t="s">
        <v>209</v>
      </c>
      <c r="G102" s="113">
        <v>0.05</v>
      </c>
      <c r="H102" s="65">
        <v>701855956</v>
      </c>
      <c r="I102" s="65">
        <v>701855956</v>
      </c>
      <c r="J102" s="65">
        <v>39482175</v>
      </c>
      <c r="K102" s="65">
        <v>70952236</v>
      </c>
      <c r="L102" s="65">
        <v>630903720</v>
      </c>
      <c r="M102" s="66">
        <v>27143492</v>
      </c>
      <c r="N102" s="66">
        <v>26838</v>
      </c>
      <c r="O102" s="85">
        <f t="shared" si="42"/>
        <v>17.776527154342435</v>
      </c>
      <c r="P102" s="85">
        <f t="shared" si="43"/>
        <v>0.10109230447279983</v>
      </c>
      <c r="Q102" s="85">
        <f t="shared" si="44"/>
        <v>1011.3828154109844</v>
      </c>
      <c r="R102" s="85">
        <f t="shared" si="45"/>
        <v>4.3023192191670702E-2</v>
      </c>
      <c r="S102" s="85">
        <f t="shared" si="46"/>
        <v>3.8673878547238548E-2</v>
      </c>
      <c r="T102" s="84">
        <f t="shared" si="47"/>
        <v>662373781</v>
      </c>
      <c r="U102" s="86">
        <f t="shared" si="48"/>
        <v>35092797.800000004</v>
      </c>
      <c r="V102" s="86">
        <f t="shared" si="49"/>
        <v>1974108.75</v>
      </c>
      <c r="W102" s="86">
        <f t="shared" si="50"/>
        <v>35092797.800000004</v>
      </c>
      <c r="X102" s="86">
        <f t="shared" si="51"/>
        <v>3547611.8000000003</v>
      </c>
      <c r="Y102" s="86">
        <f t="shared" si="52"/>
        <v>31545186</v>
      </c>
      <c r="Z102" s="86">
        <f t="shared" si="53"/>
        <v>1357174.6</v>
      </c>
      <c r="AA102" s="86">
        <f t="shared" si="54"/>
        <v>1341.9</v>
      </c>
      <c r="AB102" s="138">
        <f t="shared" si="37"/>
        <v>4.2396886457026017</v>
      </c>
      <c r="AC102" s="137">
        <f t="shared" si="38"/>
        <v>0.42437072665381836</v>
      </c>
      <c r="AD102" s="139">
        <f t="shared" si="39"/>
        <v>99.168521021955598</v>
      </c>
      <c r="AE102" s="137">
        <f t="shared" si="40"/>
        <v>0.41870568294892213</v>
      </c>
      <c r="AF102" s="137">
        <f t="shared" si="41"/>
        <v>0.24101924802180472</v>
      </c>
      <c r="AG102" s="103">
        <f t="shared" si="55"/>
        <v>2557499619</v>
      </c>
    </row>
    <row r="103" spans="1:33" s="88" customFormat="1" ht="11.25" x14ac:dyDescent="0.2">
      <c r="A103" s="83">
        <v>86</v>
      </c>
      <c r="B103" s="134">
        <v>56</v>
      </c>
      <c r="C103" s="112" t="s">
        <v>111</v>
      </c>
      <c r="D103" s="112">
        <v>900834413</v>
      </c>
      <c r="E103" s="112">
        <v>2021</v>
      </c>
      <c r="F103" s="112" t="s">
        <v>110</v>
      </c>
      <c r="G103" s="113">
        <v>0.5</v>
      </c>
      <c r="H103" s="65">
        <v>2558492954</v>
      </c>
      <c r="I103" s="65">
        <v>6118942739</v>
      </c>
      <c r="J103" s="65">
        <v>1375593437</v>
      </c>
      <c r="K103" s="65">
        <v>1423430589</v>
      </c>
      <c r="L103" s="65">
        <v>4695512150</v>
      </c>
      <c r="M103" s="66">
        <v>104065045</v>
      </c>
      <c r="N103" s="66">
        <v>0</v>
      </c>
      <c r="O103" s="85">
        <f t="shared" si="42"/>
        <v>1.859919424724618</v>
      </c>
      <c r="P103" s="85">
        <f t="shared" si="43"/>
        <v>0.23262688502174592</v>
      </c>
      <c r="Q103" s="85" t="str">
        <f t="shared" si="44"/>
        <v/>
      </c>
      <c r="R103" s="85">
        <f t="shared" si="45"/>
        <v>2.2162661212579336E-2</v>
      </c>
      <c r="S103" s="85">
        <f t="shared" si="46"/>
        <v>1.7007030370904733E-2</v>
      </c>
      <c r="T103" s="84">
        <f t="shared" si="47"/>
        <v>1182899517</v>
      </c>
      <c r="U103" s="86">
        <f t="shared" si="48"/>
        <v>1279246477</v>
      </c>
      <c r="V103" s="86">
        <f t="shared" si="49"/>
        <v>687796718.5</v>
      </c>
      <c r="W103" s="86">
        <f t="shared" si="50"/>
        <v>3059471369.5</v>
      </c>
      <c r="X103" s="86">
        <f t="shared" si="51"/>
        <v>711715294.5</v>
      </c>
      <c r="Y103" s="86">
        <f t="shared" si="52"/>
        <v>2347756075</v>
      </c>
      <c r="Z103" s="86">
        <f t="shared" si="53"/>
        <v>52032522.5</v>
      </c>
      <c r="AA103" s="86">
        <f t="shared" si="54"/>
        <v>0</v>
      </c>
      <c r="AB103" s="138">
        <f t="shared" si="37"/>
        <v>1.8631327817629946</v>
      </c>
      <c r="AC103" s="137">
        <f t="shared" si="38"/>
        <v>0.23323154996243406</v>
      </c>
      <c r="AD103" s="139" t="str">
        <f t="shared" si="39"/>
        <v>Indeterminado</v>
      </c>
      <c r="AE103" s="137">
        <f t="shared" si="40"/>
        <v>2.2036759507644575E-2</v>
      </c>
      <c r="AF103" s="137">
        <f t="shared" si="41"/>
        <v>1.6897091931527226E-2</v>
      </c>
      <c r="AG103" s="103">
        <f t="shared" si="55"/>
        <v>1194541110</v>
      </c>
    </row>
    <row r="104" spans="1:33" s="88" customFormat="1" ht="11.25" x14ac:dyDescent="0.2">
      <c r="A104" s="83">
        <v>87</v>
      </c>
      <c r="B104" s="134">
        <v>56</v>
      </c>
      <c r="C104" s="112" t="s">
        <v>112</v>
      </c>
      <c r="D104" s="112">
        <v>901268368</v>
      </c>
      <c r="E104" s="112">
        <v>2021</v>
      </c>
      <c r="F104" s="112" t="s">
        <v>110</v>
      </c>
      <c r="G104" s="113">
        <v>0.5</v>
      </c>
      <c r="H104" s="65">
        <v>20008000</v>
      </c>
      <c r="I104" s="65">
        <v>20008000</v>
      </c>
      <c r="J104" s="65">
        <v>8366407</v>
      </c>
      <c r="K104" s="65">
        <v>8366407</v>
      </c>
      <c r="L104" s="65">
        <v>11641593</v>
      </c>
      <c r="M104" s="66">
        <v>-334630</v>
      </c>
      <c r="N104" s="66">
        <v>0</v>
      </c>
      <c r="O104" s="85">
        <f t="shared" si="42"/>
        <v>2.3914686435885799</v>
      </c>
      <c r="P104" s="85">
        <f t="shared" si="43"/>
        <v>0.4181530887644942</v>
      </c>
      <c r="Q104" s="85" t="str">
        <f t="shared" si="44"/>
        <v/>
      </c>
      <c r="R104" s="85">
        <f t="shared" si="45"/>
        <v>-2.8744347959939846E-2</v>
      </c>
      <c r="S104" s="85">
        <f t="shared" si="46"/>
        <v>-1.6724810075969612E-2</v>
      </c>
      <c r="T104" s="84">
        <f t="shared" si="47"/>
        <v>11641593</v>
      </c>
      <c r="U104" s="86">
        <f t="shared" si="48"/>
        <v>10004000</v>
      </c>
      <c r="V104" s="86">
        <f t="shared" si="49"/>
        <v>4183203.5</v>
      </c>
      <c r="W104" s="86">
        <f t="shared" si="50"/>
        <v>10004000</v>
      </c>
      <c r="X104" s="86">
        <f t="shared" si="51"/>
        <v>4183203.5</v>
      </c>
      <c r="Y104" s="86">
        <f t="shared" si="52"/>
        <v>5820796.5</v>
      </c>
      <c r="Z104" s="86">
        <f t="shared" si="53"/>
        <v>-167315</v>
      </c>
      <c r="AA104" s="86">
        <f t="shared" si="54"/>
        <v>0</v>
      </c>
      <c r="AB104" s="138">
        <f t="shared" si="37"/>
        <v>1.8631327817629946</v>
      </c>
      <c r="AC104" s="137">
        <f t="shared" si="38"/>
        <v>0.23323154996243406</v>
      </c>
      <c r="AD104" s="139" t="str">
        <f t="shared" si="39"/>
        <v>Indeterminado</v>
      </c>
      <c r="AE104" s="137">
        <f t="shared" si="40"/>
        <v>2.2036759507644575E-2</v>
      </c>
      <c r="AF104" s="137">
        <f t="shared" si="41"/>
        <v>1.6897091931527226E-2</v>
      </c>
      <c r="AG104" s="103">
        <f t="shared" si="55"/>
        <v>1194541110</v>
      </c>
    </row>
    <row r="105" spans="1:33" s="88" customFormat="1" ht="11.25" x14ac:dyDescent="0.2">
      <c r="A105" s="83">
        <v>88</v>
      </c>
      <c r="B105" s="134">
        <v>57</v>
      </c>
      <c r="C105" s="112" t="s">
        <v>74</v>
      </c>
      <c r="D105" s="112">
        <v>830028126</v>
      </c>
      <c r="E105" s="112">
        <v>2020</v>
      </c>
      <c r="F105" s="112" t="s">
        <v>74</v>
      </c>
      <c r="G105" s="113">
        <v>1</v>
      </c>
      <c r="H105" s="65">
        <v>5725462134</v>
      </c>
      <c r="I105" s="65">
        <v>6646999413</v>
      </c>
      <c r="J105" s="65">
        <v>749796926</v>
      </c>
      <c r="K105" s="65">
        <v>749796926</v>
      </c>
      <c r="L105" s="65">
        <v>5897202487</v>
      </c>
      <c r="M105" s="66">
        <v>906823045</v>
      </c>
      <c r="N105" s="66">
        <v>3620892</v>
      </c>
      <c r="O105" s="85">
        <f t="shared" si="42"/>
        <v>7.6360170807101975</v>
      </c>
      <c r="P105" s="85">
        <f t="shared" si="43"/>
        <v>0.11280231566345107</v>
      </c>
      <c r="Q105" s="85">
        <f t="shared" si="44"/>
        <v>250.44189249499848</v>
      </c>
      <c r="R105" s="85">
        <f t="shared" si="45"/>
        <v>0.15377173278330403</v>
      </c>
      <c r="S105" s="85">
        <f t="shared" si="46"/>
        <v>0.13642592524176592</v>
      </c>
      <c r="T105" s="84">
        <f t="shared" si="47"/>
        <v>4975665208</v>
      </c>
      <c r="U105" s="86">
        <f t="shared" si="48"/>
        <v>5725462134</v>
      </c>
      <c r="V105" s="86">
        <f t="shared" si="49"/>
        <v>749796926</v>
      </c>
      <c r="W105" s="86">
        <f t="shared" si="50"/>
        <v>6646999413</v>
      </c>
      <c r="X105" s="86">
        <f t="shared" si="51"/>
        <v>749796926</v>
      </c>
      <c r="Y105" s="86">
        <f t="shared" si="52"/>
        <v>5897202487</v>
      </c>
      <c r="Z105" s="86">
        <f t="shared" si="53"/>
        <v>906823045</v>
      </c>
      <c r="AA105" s="86">
        <f t="shared" si="54"/>
        <v>3620892</v>
      </c>
      <c r="AB105" s="138">
        <f t="shared" si="37"/>
        <v>7.6360170807101975</v>
      </c>
      <c r="AC105" s="137">
        <f t="shared" si="38"/>
        <v>0.11280231566345107</v>
      </c>
      <c r="AD105" s="139">
        <f t="shared" si="39"/>
        <v>250.44189249499848</v>
      </c>
      <c r="AE105" s="137">
        <f t="shared" si="40"/>
        <v>0.15377173278330403</v>
      </c>
      <c r="AF105" s="137">
        <f t="shared" si="41"/>
        <v>0.13642592524176592</v>
      </c>
      <c r="AG105" s="103">
        <f t="shared" si="55"/>
        <v>4975665208</v>
      </c>
    </row>
    <row r="106" spans="1:33" s="88" customFormat="1" ht="11.25" x14ac:dyDescent="0.2">
      <c r="A106" s="83">
        <v>89</v>
      </c>
      <c r="B106" s="134">
        <v>58</v>
      </c>
      <c r="C106" s="112" t="s">
        <v>72</v>
      </c>
      <c r="D106" s="112">
        <v>830103289</v>
      </c>
      <c r="E106" s="112">
        <v>2021</v>
      </c>
      <c r="F106" s="112" t="s">
        <v>212</v>
      </c>
      <c r="G106" s="113">
        <v>0.6</v>
      </c>
      <c r="H106" s="65">
        <v>4897916896</v>
      </c>
      <c r="I106" s="65">
        <v>5149162768</v>
      </c>
      <c r="J106" s="65">
        <v>762060385</v>
      </c>
      <c r="K106" s="65">
        <v>764346785</v>
      </c>
      <c r="L106" s="65">
        <v>4384815982</v>
      </c>
      <c r="M106" s="66">
        <v>73920215</v>
      </c>
      <c r="N106" s="66">
        <v>42157471</v>
      </c>
      <c r="O106" s="85">
        <f t="shared" si="42"/>
        <v>6.4272031356150343</v>
      </c>
      <c r="P106" s="85">
        <f t="shared" si="43"/>
        <v>0.14844098340610079</v>
      </c>
      <c r="Q106" s="85">
        <f t="shared" si="44"/>
        <v>1.753430963636315</v>
      </c>
      <c r="R106" s="85">
        <f t="shared" si="45"/>
        <v>1.6858225134976715E-2</v>
      </c>
      <c r="S106" s="85">
        <f t="shared" si="46"/>
        <v>1.4355773614185351E-2</v>
      </c>
      <c r="T106" s="84">
        <f t="shared" si="47"/>
        <v>4135856511</v>
      </c>
      <c r="U106" s="86">
        <f t="shared" si="48"/>
        <v>2938750137.5999999</v>
      </c>
      <c r="V106" s="86">
        <f t="shared" si="49"/>
        <v>457236231</v>
      </c>
      <c r="W106" s="86">
        <f t="shared" si="50"/>
        <v>3089497660.7999997</v>
      </c>
      <c r="X106" s="86">
        <f t="shared" si="51"/>
        <v>458608071</v>
      </c>
      <c r="Y106" s="86">
        <f t="shared" si="52"/>
        <v>2630889589.1999998</v>
      </c>
      <c r="Z106" s="86">
        <f t="shared" si="53"/>
        <v>44352129</v>
      </c>
      <c r="AA106" s="86">
        <f t="shared" si="54"/>
        <v>25294482.599999998</v>
      </c>
      <c r="AB106" s="138">
        <f t="shared" si="37"/>
        <v>4.3548592808910307</v>
      </c>
      <c r="AC106" s="137">
        <f t="shared" si="38"/>
        <v>0.25848904196635453</v>
      </c>
      <c r="AD106" s="139">
        <f t="shared" si="39"/>
        <v>4.4127066999567468</v>
      </c>
      <c r="AE106" s="137">
        <f t="shared" si="40"/>
        <v>8.0109581444614927E-2</v>
      </c>
      <c r="AF106" s="137">
        <f t="shared" si="41"/>
        <v>5.9402132478064036E-2</v>
      </c>
      <c r="AG106" s="103">
        <f t="shared" si="55"/>
        <v>10013342739</v>
      </c>
    </row>
    <row r="107" spans="1:33" s="88" customFormat="1" ht="11.25" x14ac:dyDescent="0.2">
      <c r="A107" s="83">
        <v>90</v>
      </c>
      <c r="B107" s="134">
        <v>58</v>
      </c>
      <c r="C107" s="112" t="s">
        <v>213</v>
      </c>
      <c r="D107" s="112">
        <v>800007208</v>
      </c>
      <c r="E107" s="112">
        <v>2021</v>
      </c>
      <c r="F107" s="112" t="s">
        <v>212</v>
      </c>
      <c r="G107" s="113">
        <v>0.4</v>
      </c>
      <c r="H107" s="65">
        <v>8335521654</v>
      </c>
      <c r="I107" s="65">
        <v>10464445942</v>
      </c>
      <c r="J107" s="65">
        <v>2458035426</v>
      </c>
      <c r="K107" s="65">
        <v>3554927655</v>
      </c>
      <c r="L107" s="65">
        <v>6909518287</v>
      </c>
      <c r="M107" s="66">
        <v>969536955</v>
      </c>
      <c r="N107" s="66">
        <v>181606098</v>
      </c>
      <c r="O107" s="85">
        <f t="shared" si="42"/>
        <v>3.3911316191095451</v>
      </c>
      <c r="P107" s="85">
        <f t="shared" si="43"/>
        <v>0.33971484727461548</v>
      </c>
      <c r="Q107" s="85">
        <f t="shared" si="44"/>
        <v>5.3386806152291211</v>
      </c>
      <c r="R107" s="85">
        <f t="shared" si="45"/>
        <v>0.14031903741019797</v>
      </c>
      <c r="S107" s="85">
        <f t="shared" si="46"/>
        <v>9.2650577046671512E-2</v>
      </c>
      <c r="T107" s="84">
        <f t="shared" si="47"/>
        <v>5877486228</v>
      </c>
      <c r="U107" s="86">
        <f t="shared" si="48"/>
        <v>3334208661.6000004</v>
      </c>
      <c r="V107" s="86">
        <f t="shared" si="49"/>
        <v>983214170.4000001</v>
      </c>
      <c r="W107" s="86">
        <f t="shared" si="50"/>
        <v>4185778376.8000002</v>
      </c>
      <c r="X107" s="86">
        <f t="shared" si="51"/>
        <v>1421971062</v>
      </c>
      <c r="Y107" s="86">
        <f t="shared" si="52"/>
        <v>2763807314.8000002</v>
      </c>
      <c r="Z107" s="86">
        <f t="shared" si="53"/>
        <v>387814782</v>
      </c>
      <c r="AA107" s="86">
        <f t="shared" si="54"/>
        <v>72642439.200000003</v>
      </c>
      <c r="AB107" s="138">
        <f t="shared" si="37"/>
        <v>4.3548592808910307</v>
      </c>
      <c r="AC107" s="137">
        <f t="shared" si="38"/>
        <v>0.25848904196635453</v>
      </c>
      <c r="AD107" s="139">
        <f t="shared" si="39"/>
        <v>4.4127066999567468</v>
      </c>
      <c r="AE107" s="137">
        <f t="shared" si="40"/>
        <v>8.0109581444614927E-2</v>
      </c>
      <c r="AF107" s="137">
        <f t="shared" si="41"/>
        <v>5.9402132478064036E-2</v>
      </c>
      <c r="AG107" s="103">
        <f t="shared" si="55"/>
        <v>10013342739</v>
      </c>
    </row>
    <row r="108" spans="1:33" s="88" customFormat="1" ht="11.25" x14ac:dyDescent="0.2">
      <c r="A108" s="83">
        <v>91</v>
      </c>
      <c r="B108" s="134">
        <v>59</v>
      </c>
      <c r="C108" s="112" t="s">
        <v>69</v>
      </c>
      <c r="D108" s="112">
        <v>860403102</v>
      </c>
      <c r="E108" s="112">
        <v>2021</v>
      </c>
      <c r="F108" s="112" t="s">
        <v>214</v>
      </c>
      <c r="G108" s="113">
        <v>0.7</v>
      </c>
      <c r="H108" s="65">
        <v>9687359957</v>
      </c>
      <c r="I108" s="65">
        <v>10504252670</v>
      </c>
      <c r="J108" s="65">
        <v>1222907164</v>
      </c>
      <c r="K108" s="65">
        <v>1222907164</v>
      </c>
      <c r="L108" s="65">
        <v>9281345506</v>
      </c>
      <c r="M108" s="66">
        <v>2151716079</v>
      </c>
      <c r="N108" s="66">
        <v>1016838</v>
      </c>
      <c r="O108" s="85">
        <f t="shared" si="42"/>
        <v>7.921582473450945</v>
      </c>
      <c r="P108" s="85">
        <f t="shared" si="43"/>
        <v>0.11642019688774299</v>
      </c>
      <c r="Q108" s="85">
        <f t="shared" si="44"/>
        <v>2116.085432487771</v>
      </c>
      <c r="R108" s="85">
        <f t="shared" si="45"/>
        <v>0.231832343447295</v>
      </c>
      <c r="S108" s="85">
        <f t="shared" si="46"/>
        <v>0.20484237637821406</v>
      </c>
      <c r="T108" s="84">
        <f t="shared" si="47"/>
        <v>8464452793</v>
      </c>
      <c r="U108" s="86">
        <f t="shared" si="48"/>
        <v>6781151969.8999996</v>
      </c>
      <c r="V108" s="86">
        <f t="shared" si="49"/>
        <v>856035014.79999995</v>
      </c>
      <c r="W108" s="86">
        <f t="shared" si="50"/>
        <v>7352976869</v>
      </c>
      <c r="X108" s="86">
        <f t="shared" si="51"/>
        <v>856035014.79999995</v>
      </c>
      <c r="Y108" s="86">
        <f t="shared" si="52"/>
        <v>6496941854.1999998</v>
      </c>
      <c r="Z108" s="86">
        <f t="shared" si="53"/>
        <v>1506201255.3</v>
      </c>
      <c r="AA108" s="86">
        <f t="shared" si="54"/>
        <v>711786.6</v>
      </c>
      <c r="AB108" s="138">
        <f t="shared" si="37"/>
        <v>7.9133468322037253</v>
      </c>
      <c r="AC108" s="137">
        <f t="shared" si="38"/>
        <v>0.12647453745002771</v>
      </c>
      <c r="AD108" s="139">
        <f t="shared" si="39"/>
        <v>2446.8020557004024</v>
      </c>
      <c r="AE108" s="137">
        <f t="shared" si="40"/>
        <v>0.24368513232779332</v>
      </c>
      <c r="AF108" s="137">
        <f t="shared" si="41"/>
        <v>0.21286516793318686</v>
      </c>
      <c r="AG108" s="103">
        <f t="shared" si="55"/>
        <v>10808395137</v>
      </c>
    </row>
    <row r="109" spans="1:33" s="88" customFormat="1" ht="11.25" x14ac:dyDescent="0.2">
      <c r="A109" s="83">
        <v>92</v>
      </c>
      <c r="B109" s="134">
        <v>59</v>
      </c>
      <c r="C109" s="112" t="s">
        <v>70</v>
      </c>
      <c r="D109" s="112">
        <v>860034155</v>
      </c>
      <c r="E109" s="112">
        <v>2021</v>
      </c>
      <c r="F109" s="112" t="s">
        <v>214</v>
      </c>
      <c r="G109" s="113">
        <v>0.3</v>
      </c>
      <c r="H109" s="65">
        <v>2686387529</v>
      </c>
      <c r="I109" s="65">
        <v>2762441311</v>
      </c>
      <c r="J109" s="65">
        <v>342445185</v>
      </c>
      <c r="K109" s="65">
        <v>595809599</v>
      </c>
      <c r="L109" s="65">
        <v>2166631712</v>
      </c>
      <c r="M109" s="66">
        <v>784665536</v>
      </c>
      <c r="N109" s="66">
        <v>0</v>
      </c>
      <c r="O109" s="85">
        <f t="shared" si="42"/>
        <v>7.8447227371586488</v>
      </c>
      <c r="P109" s="85">
        <f t="shared" si="43"/>
        <v>0.21568226504124996</v>
      </c>
      <c r="Q109" s="85" t="str">
        <f t="shared" si="44"/>
        <v/>
      </c>
      <c r="R109" s="85">
        <f t="shared" si="45"/>
        <v>0.36215916699367501</v>
      </c>
      <c r="S109" s="85">
        <f t="shared" si="46"/>
        <v>0.28404785755102691</v>
      </c>
      <c r="T109" s="84">
        <f t="shared" si="47"/>
        <v>2343942344</v>
      </c>
      <c r="U109" s="86">
        <f t="shared" si="48"/>
        <v>805916258.69999993</v>
      </c>
      <c r="V109" s="86">
        <f t="shared" si="49"/>
        <v>102733555.5</v>
      </c>
      <c r="W109" s="86">
        <f t="shared" si="50"/>
        <v>828732393.29999995</v>
      </c>
      <c r="X109" s="86">
        <f t="shared" si="51"/>
        <v>178742879.69999999</v>
      </c>
      <c r="Y109" s="86">
        <f t="shared" si="52"/>
        <v>649989513.60000002</v>
      </c>
      <c r="Z109" s="86">
        <f t="shared" si="53"/>
        <v>235399660.79999998</v>
      </c>
      <c r="AA109" s="86">
        <f t="shared" si="54"/>
        <v>0</v>
      </c>
      <c r="AB109" s="138">
        <f t="shared" si="37"/>
        <v>7.9133468322037253</v>
      </c>
      <c r="AC109" s="137">
        <f t="shared" si="38"/>
        <v>0.12647453745002771</v>
      </c>
      <c r="AD109" s="139">
        <f t="shared" si="39"/>
        <v>2446.8020557004024</v>
      </c>
      <c r="AE109" s="137">
        <f t="shared" si="40"/>
        <v>0.24368513232779332</v>
      </c>
      <c r="AF109" s="137">
        <f t="shared" si="41"/>
        <v>0.21286516793318686</v>
      </c>
      <c r="AG109" s="103">
        <f t="shared" si="55"/>
        <v>10808395137</v>
      </c>
    </row>
    <row r="110" spans="1:33" s="88" customFormat="1" ht="11.25" x14ac:dyDescent="0.2">
      <c r="A110" s="83">
        <v>93</v>
      </c>
      <c r="B110" s="134">
        <v>60</v>
      </c>
      <c r="C110" s="112" t="s">
        <v>215</v>
      </c>
      <c r="D110" s="112">
        <v>900241875</v>
      </c>
      <c r="E110" s="112">
        <v>2020</v>
      </c>
      <c r="F110" s="112" t="s">
        <v>215</v>
      </c>
      <c r="G110" s="113">
        <v>1</v>
      </c>
      <c r="H110" s="65">
        <v>9466689745</v>
      </c>
      <c r="I110" s="65">
        <v>9632261601</v>
      </c>
      <c r="J110" s="65">
        <v>578082934</v>
      </c>
      <c r="K110" s="65">
        <v>3615452093</v>
      </c>
      <c r="L110" s="65">
        <v>6016809508</v>
      </c>
      <c r="M110" s="66">
        <v>3788705455</v>
      </c>
      <c r="N110" s="66">
        <v>12146311</v>
      </c>
      <c r="O110" s="85">
        <f t="shared" si="42"/>
        <v>16.376006258299263</v>
      </c>
      <c r="P110" s="85">
        <f t="shared" si="43"/>
        <v>0.37534820406296399</v>
      </c>
      <c r="Q110" s="85">
        <f t="shared" si="44"/>
        <v>311.92231575496459</v>
      </c>
      <c r="R110" s="85">
        <f t="shared" si="45"/>
        <v>0.62968678831571878</v>
      </c>
      <c r="S110" s="85">
        <f t="shared" si="46"/>
        <v>0.39333498319923799</v>
      </c>
      <c r="T110" s="84">
        <f t="shared" si="47"/>
        <v>8888606811</v>
      </c>
      <c r="U110" s="86">
        <f t="shared" si="48"/>
        <v>9466689745</v>
      </c>
      <c r="V110" s="86">
        <f t="shared" si="49"/>
        <v>578082934</v>
      </c>
      <c r="W110" s="86">
        <f t="shared" si="50"/>
        <v>9632261601</v>
      </c>
      <c r="X110" s="86">
        <f t="shared" si="51"/>
        <v>3615452093</v>
      </c>
      <c r="Y110" s="86">
        <f t="shared" si="52"/>
        <v>6016809508</v>
      </c>
      <c r="Z110" s="86">
        <f t="shared" si="53"/>
        <v>3788705455</v>
      </c>
      <c r="AA110" s="86">
        <f t="shared" si="54"/>
        <v>12146311</v>
      </c>
      <c r="AB110" s="138">
        <f t="shared" si="37"/>
        <v>16.376006258299263</v>
      </c>
      <c r="AC110" s="137">
        <f t="shared" si="38"/>
        <v>0.37534820406296399</v>
      </c>
      <c r="AD110" s="139">
        <f t="shared" si="39"/>
        <v>311.92231575496459</v>
      </c>
      <c r="AE110" s="137">
        <f t="shared" si="40"/>
        <v>0.62968678831571878</v>
      </c>
      <c r="AF110" s="137">
        <f t="shared" si="41"/>
        <v>0.39333498319923799</v>
      </c>
      <c r="AG110" s="103">
        <f t="shared" si="55"/>
        <v>8888606811</v>
      </c>
    </row>
    <row r="111" spans="1:33" s="88" customFormat="1" ht="11.25" x14ac:dyDescent="0.2">
      <c r="A111" s="83">
        <v>94</v>
      </c>
      <c r="B111" s="134">
        <v>61</v>
      </c>
      <c r="C111" s="112" t="s">
        <v>116</v>
      </c>
      <c r="D111" s="112">
        <v>830018821</v>
      </c>
      <c r="E111" s="112">
        <v>2021</v>
      </c>
      <c r="F111" s="112" t="s">
        <v>116</v>
      </c>
      <c r="G111" s="113">
        <v>1</v>
      </c>
      <c r="H111" s="65">
        <v>3025424340</v>
      </c>
      <c r="I111" s="65">
        <v>3103458991</v>
      </c>
      <c r="J111" s="65">
        <v>392373356</v>
      </c>
      <c r="K111" s="65">
        <v>392373356</v>
      </c>
      <c r="L111" s="65">
        <v>2711085635</v>
      </c>
      <c r="M111" s="66">
        <v>211862009</v>
      </c>
      <c r="N111" s="66">
        <v>0</v>
      </c>
      <c r="O111" s="85">
        <f t="shared" si="42"/>
        <v>7.7105753837169315</v>
      </c>
      <c r="P111" s="85">
        <f t="shared" si="43"/>
        <v>0.12643097818849186</v>
      </c>
      <c r="Q111" s="85" t="str">
        <f t="shared" si="44"/>
        <v/>
      </c>
      <c r="R111" s="85">
        <f t="shared" si="45"/>
        <v>7.8146557329237587E-2</v>
      </c>
      <c r="S111" s="85">
        <f t="shared" si="46"/>
        <v>6.826641164403903E-2</v>
      </c>
      <c r="T111" s="84">
        <f t="shared" si="47"/>
        <v>2633050984</v>
      </c>
      <c r="U111" s="86">
        <f t="shared" si="48"/>
        <v>3025424340</v>
      </c>
      <c r="V111" s="86">
        <f t="shared" si="49"/>
        <v>392373356</v>
      </c>
      <c r="W111" s="86">
        <f t="shared" si="50"/>
        <v>3103458991</v>
      </c>
      <c r="X111" s="86">
        <f t="shared" si="51"/>
        <v>392373356</v>
      </c>
      <c r="Y111" s="86">
        <f t="shared" si="52"/>
        <v>2711085635</v>
      </c>
      <c r="Z111" s="86">
        <f t="shared" si="53"/>
        <v>211862009</v>
      </c>
      <c r="AA111" s="86">
        <f t="shared" si="54"/>
        <v>0</v>
      </c>
      <c r="AB111" s="138">
        <f t="shared" si="37"/>
        <v>7.7105753837169315</v>
      </c>
      <c r="AC111" s="137">
        <f t="shared" si="38"/>
        <v>0.12643097818849186</v>
      </c>
      <c r="AD111" s="139" t="str">
        <f t="shared" si="39"/>
        <v>Indeterminado</v>
      </c>
      <c r="AE111" s="137">
        <f t="shared" si="40"/>
        <v>7.8146557329237587E-2</v>
      </c>
      <c r="AF111" s="137">
        <f t="shared" si="41"/>
        <v>6.826641164403903E-2</v>
      </c>
      <c r="AG111" s="103">
        <f t="shared" si="55"/>
        <v>2633050984</v>
      </c>
    </row>
    <row r="112" spans="1:33" s="88" customFormat="1" ht="11.25" x14ac:dyDescent="0.2">
      <c r="A112" s="83">
        <v>95</v>
      </c>
      <c r="B112" s="134">
        <v>62</v>
      </c>
      <c r="C112" s="112" t="s">
        <v>217</v>
      </c>
      <c r="D112" s="112">
        <v>900984598</v>
      </c>
      <c r="E112" s="112">
        <v>2021</v>
      </c>
      <c r="F112" s="112" t="s">
        <v>216</v>
      </c>
      <c r="G112" s="113">
        <v>0.5</v>
      </c>
      <c r="H112" s="65">
        <v>1436222000</v>
      </c>
      <c r="I112" s="65">
        <v>2832842000</v>
      </c>
      <c r="J112" s="65">
        <v>185026000</v>
      </c>
      <c r="K112" s="65">
        <v>200545000</v>
      </c>
      <c r="L112" s="65">
        <v>2632297000</v>
      </c>
      <c r="M112" s="66">
        <v>225641000</v>
      </c>
      <c r="N112" s="66">
        <v>0</v>
      </c>
      <c r="O112" s="85">
        <f t="shared" si="42"/>
        <v>7.7622712483650949</v>
      </c>
      <c r="P112" s="85">
        <f t="shared" si="43"/>
        <v>7.0792864550864462E-2</v>
      </c>
      <c r="Q112" s="85" t="str">
        <f t="shared" si="44"/>
        <v/>
      </c>
      <c r="R112" s="85">
        <f t="shared" si="45"/>
        <v>8.5720190388850495E-2</v>
      </c>
      <c r="S112" s="85">
        <f t="shared" si="46"/>
        <v>7.9651812561378293E-2</v>
      </c>
      <c r="T112" s="84">
        <f t="shared" si="47"/>
        <v>1251196000</v>
      </c>
      <c r="U112" s="86">
        <f t="shared" si="48"/>
        <v>718111000</v>
      </c>
      <c r="V112" s="86">
        <f t="shared" si="49"/>
        <v>92513000</v>
      </c>
      <c r="W112" s="86">
        <f t="shared" si="50"/>
        <v>1416421000</v>
      </c>
      <c r="X112" s="86">
        <f t="shared" si="51"/>
        <v>100272500</v>
      </c>
      <c r="Y112" s="86">
        <f t="shared" si="52"/>
        <v>1316148500</v>
      </c>
      <c r="Z112" s="86">
        <f t="shared" si="53"/>
        <v>112820500</v>
      </c>
      <c r="AA112" s="86">
        <f t="shared" si="54"/>
        <v>0</v>
      </c>
      <c r="AB112" s="138">
        <f t="shared" si="37"/>
        <v>10.118999112709272</v>
      </c>
      <c r="AC112" s="137">
        <f t="shared" si="38"/>
        <v>5.564617532778466E-2</v>
      </c>
      <c r="AD112" s="139" t="str">
        <f t="shared" si="39"/>
        <v>Indeterminado</v>
      </c>
      <c r="AE112" s="137">
        <f t="shared" si="40"/>
        <v>9.0053284163335093E-2</v>
      </c>
      <c r="AF112" s="137">
        <f t="shared" si="41"/>
        <v>8.5042163323939338E-2</v>
      </c>
      <c r="AG112" s="103">
        <f t="shared" si="55"/>
        <v>3124315000</v>
      </c>
    </row>
    <row r="113" spans="1:33" s="88" customFormat="1" ht="11.25" x14ac:dyDescent="0.2">
      <c r="A113" s="83">
        <v>96</v>
      </c>
      <c r="B113" s="134">
        <v>62</v>
      </c>
      <c r="C113" s="112" t="s">
        <v>218</v>
      </c>
      <c r="D113" s="112">
        <v>51976458</v>
      </c>
      <c r="E113" s="112">
        <v>2021</v>
      </c>
      <c r="F113" s="112" t="s">
        <v>216</v>
      </c>
      <c r="G113" s="113">
        <v>0.5</v>
      </c>
      <c r="H113" s="65">
        <v>2030709000</v>
      </c>
      <c r="I113" s="65">
        <v>3733054000</v>
      </c>
      <c r="J113" s="65">
        <v>157590000</v>
      </c>
      <c r="K113" s="65">
        <v>164822000</v>
      </c>
      <c r="L113" s="65">
        <v>3568232000</v>
      </c>
      <c r="M113" s="66">
        <v>332737000</v>
      </c>
      <c r="N113" s="66">
        <v>0</v>
      </c>
      <c r="O113" s="85">
        <f>IFERROR(H113/J113,"")</f>
        <v>12.886027032172093</v>
      </c>
      <c r="P113" s="85">
        <f>IFERROR(K113/I113,"")</f>
        <v>4.4152053519718709E-2</v>
      </c>
      <c r="Q113" s="85" t="str">
        <f>IFERROR(M113/N113,"")</f>
        <v/>
      </c>
      <c r="R113" s="85">
        <f>IFERROR(M113/L113,"")</f>
        <v>9.3249822320970163E-2</v>
      </c>
      <c r="S113" s="85">
        <f>IFERROR(M113/I113,"")</f>
        <v>8.9132651175150429E-2</v>
      </c>
      <c r="T113" s="84">
        <f>IFERROR(H113-J113,"")</f>
        <v>1873119000</v>
      </c>
      <c r="U113" s="86">
        <f>IF($B113="","",H113*$G113)</f>
        <v>1015354500</v>
      </c>
      <c r="V113" s="86">
        <f>IF($B113="","",J113*$G113)</f>
        <v>78795000</v>
      </c>
      <c r="W113" s="86">
        <f>IF($B113="","",I113*$G113)</f>
        <v>1866527000</v>
      </c>
      <c r="X113" s="86">
        <f t="shared" ref="X113:AA114" si="56">IF($B113="","",K113*$G113)</f>
        <v>82411000</v>
      </c>
      <c r="Y113" s="86">
        <f t="shared" si="56"/>
        <v>1784116000</v>
      </c>
      <c r="Z113" s="86">
        <f t="shared" si="56"/>
        <v>166368500</v>
      </c>
      <c r="AA113" s="86">
        <f t="shared" si="56"/>
        <v>0</v>
      </c>
      <c r="AB113" s="138">
        <f t="shared" si="37"/>
        <v>10.118999112709272</v>
      </c>
      <c r="AC113" s="137">
        <f t="shared" si="38"/>
        <v>5.564617532778466E-2</v>
      </c>
      <c r="AD113" s="139" t="str">
        <f t="shared" si="39"/>
        <v>Indeterminado</v>
      </c>
      <c r="AE113" s="137">
        <f t="shared" si="40"/>
        <v>9.0053284163335093E-2</v>
      </c>
      <c r="AF113" s="137">
        <f t="shared" si="41"/>
        <v>8.5042163323939338E-2</v>
      </c>
      <c r="AG113" s="103">
        <f t="shared" si="55"/>
        <v>3124315000</v>
      </c>
    </row>
    <row r="114" spans="1:33" s="88" customFormat="1" ht="11.25" x14ac:dyDescent="0.2">
      <c r="A114" s="83">
        <v>97</v>
      </c>
      <c r="B114" s="134">
        <v>63</v>
      </c>
      <c r="C114" s="112" t="s">
        <v>103</v>
      </c>
      <c r="D114" s="112">
        <v>800245246</v>
      </c>
      <c r="E114" s="112">
        <v>2021</v>
      </c>
      <c r="F114" s="112" t="s">
        <v>219</v>
      </c>
      <c r="G114" s="113">
        <v>0.95</v>
      </c>
      <c r="H114" s="65">
        <v>2122250318</v>
      </c>
      <c r="I114" s="65">
        <v>2328254693</v>
      </c>
      <c r="J114" s="65">
        <v>164865562</v>
      </c>
      <c r="K114" s="65">
        <v>523425159</v>
      </c>
      <c r="L114" s="65">
        <v>1804829534</v>
      </c>
      <c r="M114" s="66">
        <v>293457040</v>
      </c>
      <c r="N114" s="66">
        <v>1575535</v>
      </c>
      <c r="O114" s="85">
        <f>IFERROR(H114/J114,"")</f>
        <v>12.872611431124712</v>
      </c>
      <c r="P114" s="85">
        <f>IFERROR(K114/I114,"")</f>
        <v>0.22481439018407254</v>
      </c>
      <c r="Q114" s="85">
        <f>IFERROR(M114/N114,"")</f>
        <v>186.25866134360709</v>
      </c>
      <c r="R114" s="85">
        <f>IFERROR(M114/L114,"")</f>
        <v>0.16259543323718681</v>
      </c>
      <c r="S114" s="85">
        <f>IFERROR(M114/I114,"")</f>
        <v>0.12604164006725357</v>
      </c>
      <c r="T114" s="84">
        <f>IFERROR(H114-J114,"")</f>
        <v>1957384756</v>
      </c>
      <c r="U114" s="86">
        <f>IF($B114="","",H114*$G114)</f>
        <v>2016137802.0999999</v>
      </c>
      <c r="V114" s="86">
        <f>IF($B114="","",J114*$G114)</f>
        <v>156622283.90000001</v>
      </c>
      <c r="W114" s="86">
        <f>IF($B114="","",I114*$G114)</f>
        <v>2211841958.3499999</v>
      </c>
      <c r="X114" s="86">
        <f t="shared" si="56"/>
        <v>497253901.04999995</v>
      </c>
      <c r="Y114" s="86">
        <f t="shared" si="56"/>
        <v>1714588057.3</v>
      </c>
      <c r="Z114" s="86">
        <f t="shared" si="56"/>
        <v>278784188</v>
      </c>
      <c r="AA114" s="86">
        <f t="shared" si="56"/>
        <v>1496758.25</v>
      </c>
      <c r="AB114" s="138">
        <f t="shared" ref="AB114:AB145" si="57">IF(J114="","",IFERROR(SUMIFS($U:$U,$B:$B,B114)/SUMIFS($V:$V,$B:$B,B114),"Indeterminado"))</f>
        <v>12.680172431982506</v>
      </c>
      <c r="AC114" s="137">
        <f t="shared" ref="AC114:AC145" si="58">IFERROR(SUMIFS($X:$X,$B:$B,B114)/SUMIFS(W:W,$B:$B,B114),"")</f>
        <v>0.24104800172296739</v>
      </c>
      <c r="AD114" s="139">
        <f t="shared" ref="AD114:AD145" si="59">IF(OR(B114="",H114=""),"",IFERROR(SUMIFS($Z:$Z,$B:$B,B114)/SUMIFS($AA:$AA,$B:$B,B114),"Indeterminado"))</f>
        <v>187.65130478394951</v>
      </c>
      <c r="AE114" s="137">
        <f t="shared" ref="AE114:AE145" si="60">IFERROR(SUMIFS($Z:$Z,$B:$B,B114)/SUMIFS($Y:$Y,$B:$B,B114),"")</f>
        <v>0.16565503205287771</v>
      </c>
      <c r="AF114" s="137">
        <f t="shared" ref="AF114:AF145" si="61">IFERROR(SUMIFS($Z:$Z,$B:$B,B114)/SUMIFS($W:$W,$B:$B,B114),"")</f>
        <v>0.12572421760476085</v>
      </c>
      <c r="AG114" s="103">
        <f t="shared" si="55"/>
        <v>3517551437</v>
      </c>
    </row>
    <row r="115" spans="1:33" s="88" customFormat="1" ht="11.25" x14ac:dyDescent="0.2">
      <c r="A115" s="83">
        <v>98</v>
      </c>
      <c r="B115" s="134">
        <v>63</v>
      </c>
      <c r="C115" s="112" t="s">
        <v>220</v>
      </c>
      <c r="D115" s="112">
        <v>79368586</v>
      </c>
      <c r="E115" s="112">
        <v>2021</v>
      </c>
      <c r="F115" s="112" t="s">
        <v>219</v>
      </c>
      <c r="G115" s="113">
        <v>0.05</v>
      </c>
      <c r="H115" s="65">
        <v>1745349854</v>
      </c>
      <c r="I115" s="65">
        <v>1991541854</v>
      </c>
      <c r="J115" s="65">
        <v>185183173</v>
      </c>
      <c r="K115" s="65">
        <v>1198180847</v>
      </c>
      <c r="L115" s="65">
        <v>793361008</v>
      </c>
      <c r="M115" s="66">
        <v>236343275</v>
      </c>
      <c r="N115" s="66">
        <v>1037319</v>
      </c>
      <c r="O115" s="85">
        <f t="shared" si="42"/>
        <v>9.4249916216739624</v>
      </c>
      <c r="P115" s="85">
        <f t="shared" si="43"/>
        <v>0.60163478090779809</v>
      </c>
      <c r="Q115" s="85">
        <f t="shared" si="44"/>
        <v>227.84049554669298</v>
      </c>
      <c r="R115" s="85">
        <f t="shared" si="45"/>
        <v>0.2979012991775366</v>
      </c>
      <c r="S115" s="85">
        <f t="shared" si="46"/>
        <v>0.11867351646429421</v>
      </c>
      <c r="T115" s="84">
        <f t="shared" si="47"/>
        <v>1560166681</v>
      </c>
      <c r="U115" s="86">
        <f t="shared" si="48"/>
        <v>87267492.700000003</v>
      </c>
      <c r="V115" s="86">
        <f t="shared" si="49"/>
        <v>9259158.6500000004</v>
      </c>
      <c r="W115" s="86">
        <f t="shared" si="50"/>
        <v>99577092.700000003</v>
      </c>
      <c r="X115" s="86">
        <f t="shared" si="51"/>
        <v>59909042.350000001</v>
      </c>
      <c r="Y115" s="86">
        <f t="shared" si="52"/>
        <v>39668050.399999999</v>
      </c>
      <c r="Z115" s="86">
        <f t="shared" si="53"/>
        <v>11817163.75</v>
      </c>
      <c r="AA115" s="86">
        <f t="shared" si="54"/>
        <v>51865.950000000004</v>
      </c>
      <c r="AB115" s="138">
        <f t="shared" si="57"/>
        <v>12.680172431982506</v>
      </c>
      <c r="AC115" s="137">
        <f t="shared" si="58"/>
        <v>0.24104800172296739</v>
      </c>
      <c r="AD115" s="139">
        <f t="shared" si="59"/>
        <v>187.65130478394951</v>
      </c>
      <c r="AE115" s="137">
        <f t="shared" si="60"/>
        <v>0.16565503205287771</v>
      </c>
      <c r="AF115" s="137">
        <f t="shared" si="61"/>
        <v>0.12572421760476085</v>
      </c>
      <c r="AG115" s="103">
        <f t="shared" si="55"/>
        <v>3517551437</v>
      </c>
    </row>
    <row r="116" spans="1:33" s="88" customFormat="1" ht="11.25" x14ac:dyDescent="0.2">
      <c r="A116" s="83">
        <v>99</v>
      </c>
      <c r="B116" s="134">
        <v>64</v>
      </c>
      <c r="C116" s="112" t="s">
        <v>221</v>
      </c>
      <c r="D116" s="112">
        <v>830027712</v>
      </c>
      <c r="E116" s="112">
        <v>2021</v>
      </c>
      <c r="F116" s="112" t="s">
        <v>221</v>
      </c>
      <c r="G116" s="113">
        <v>1</v>
      </c>
      <c r="H116" s="65">
        <v>3034257047</v>
      </c>
      <c r="I116" s="65">
        <v>3840605758</v>
      </c>
      <c r="J116" s="65">
        <v>80344151</v>
      </c>
      <c r="K116" s="65">
        <v>1360479111</v>
      </c>
      <c r="L116" s="65">
        <v>2480126647</v>
      </c>
      <c r="M116" s="66">
        <v>558644409</v>
      </c>
      <c r="N116" s="66">
        <v>10873019</v>
      </c>
      <c r="O116" s="85">
        <f t="shared" si="42"/>
        <v>37.765749083589171</v>
      </c>
      <c r="P116" s="85">
        <f t="shared" si="43"/>
        <v>0.35423555468199658</v>
      </c>
      <c r="Q116" s="85">
        <f t="shared" si="44"/>
        <v>51.378960066196889</v>
      </c>
      <c r="R116" s="85">
        <f t="shared" si="45"/>
        <v>0.22524833950546236</v>
      </c>
      <c r="S116" s="85">
        <f t="shared" si="46"/>
        <v>0.1454573690195462</v>
      </c>
      <c r="T116" s="84">
        <f t="shared" si="47"/>
        <v>2953912896</v>
      </c>
      <c r="U116" s="86">
        <f t="shared" si="48"/>
        <v>3034257047</v>
      </c>
      <c r="V116" s="86">
        <f t="shared" si="49"/>
        <v>80344151</v>
      </c>
      <c r="W116" s="86">
        <f t="shared" si="50"/>
        <v>3840605758</v>
      </c>
      <c r="X116" s="86">
        <f t="shared" si="51"/>
        <v>1360479111</v>
      </c>
      <c r="Y116" s="86">
        <f t="shared" si="52"/>
        <v>2480126647</v>
      </c>
      <c r="Z116" s="86">
        <f t="shared" si="53"/>
        <v>558644409</v>
      </c>
      <c r="AA116" s="86">
        <f t="shared" si="54"/>
        <v>10873019</v>
      </c>
      <c r="AB116" s="138">
        <f t="shared" si="57"/>
        <v>37.765749083589171</v>
      </c>
      <c r="AC116" s="137">
        <f t="shared" si="58"/>
        <v>0.35423555468199658</v>
      </c>
      <c r="AD116" s="139">
        <f t="shared" si="59"/>
        <v>51.378960066196889</v>
      </c>
      <c r="AE116" s="137">
        <f t="shared" si="60"/>
        <v>0.22524833950546236</v>
      </c>
      <c r="AF116" s="137">
        <f t="shared" si="61"/>
        <v>0.1454573690195462</v>
      </c>
      <c r="AG116" s="103">
        <f t="shared" si="55"/>
        <v>2953912896</v>
      </c>
    </row>
    <row r="117" spans="1:33" s="88" customFormat="1" ht="11.25" x14ac:dyDescent="0.2">
      <c r="A117" s="83">
        <v>100</v>
      </c>
      <c r="B117" s="134">
        <v>65</v>
      </c>
      <c r="C117" s="112" t="s">
        <v>223</v>
      </c>
      <c r="D117" s="112">
        <v>901345411</v>
      </c>
      <c r="E117" s="112">
        <v>2021</v>
      </c>
      <c r="F117" s="112" t="s">
        <v>222</v>
      </c>
      <c r="G117" s="113">
        <v>0.5</v>
      </c>
      <c r="H117" s="65">
        <v>922265888</v>
      </c>
      <c r="I117" s="65">
        <v>953964393</v>
      </c>
      <c r="J117" s="65">
        <v>65032896</v>
      </c>
      <c r="K117" s="65">
        <v>65032896</v>
      </c>
      <c r="L117" s="65">
        <v>888931497</v>
      </c>
      <c r="M117" s="66">
        <v>116616384</v>
      </c>
      <c r="N117" s="66">
        <v>0</v>
      </c>
      <c r="O117" s="85">
        <f t="shared" si="42"/>
        <v>14.181528806590437</v>
      </c>
      <c r="P117" s="85">
        <f t="shared" si="43"/>
        <v>6.8171198503003252E-2</v>
      </c>
      <c r="Q117" s="85" t="str">
        <f t="shared" si="44"/>
        <v/>
      </c>
      <c r="R117" s="85">
        <f t="shared" si="45"/>
        <v>0.13118714365905745</v>
      </c>
      <c r="S117" s="85">
        <f t="shared" si="46"/>
        <v>0.12224395884763384</v>
      </c>
      <c r="T117" s="84">
        <f t="shared" si="47"/>
        <v>857232992</v>
      </c>
      <c r="U117" s="86">
        <f t="shared" si="48"/>
        <v>461132944</v>
      </c>
      <c r="V117" s="86">
        <f t="shared" si="49"/>
        <v>32516448</v>
      </c>
      <c r="W117" s="86">
        <f t="shared" si="50"/>
        <v>476982196.5</v>
      </c>
      <c r="X117" s="86">
        <f t="shared" si="51"/>
        <v>32516448</v>
      </c>
      <c r="Y117" s="86">
        <f t="shared" si="52"/>
        <v>444465748.5</v>
      </c>
      <c r="Z117" s="86">
        <f t="shared" si="53"/>
        <v>58308192</v>
      </c>
      <c r="AA117" s="86">
        <f t="shared" si="54"/>
        <v>0</v>
      </c>
      <c r="AB117" s="138">
        <f t="shared" si="57"/>
        <v>8.838840100535478</v>
      </c>
      <c r="AC117" s="137">
        <f t="shared" si="58"/>
        <v>0.51813696678861554</v>
      </c>
      <c r="AD117" s="139">
        <f t="shared" si="59"/>
        <v>35.035240233981042</v>
      </c>
      <c r="AE117" s="137">
        <f t="shared" si="60"/>
        <v>0.42689551817688037</v>
      </c>
      <c r="AF117" s="137">
        <f t="shared" si="61"/>
        <v>0.20570516925305732</v>
      </c>
      <c r="AG117" s="103">
        <f t="shared" ref="AG117:AG148" si="62">IFERROR(IF(T117=0,"",SUMIFS($T:$T,$B:$B,B117)),"")</f>
        <v>6159649992</v>
      </c>
    </row>
    <row r="118" spans="1:33" s="88" customFormat="1" ht="11.25" x14ac:dyDescent="0.2">
      <c r="A118" s="83">
        <v>101</v>
      </c>
      <c r="B118" s="134">
        <v>65</v>
      </c>
      <c r="C118" s="112" t="s">
        <v>79</v>
      </c>
      <c r="D118" s="112">
        <v>822007239</v>
      </c>
      <c r="E118" s="112">
        <v>2021</v>
      </c>
      <c r="F118" s="112" t="s">
        <v>222</v>
      </c>
      <c r="G118" s="113">
        <v>0.5</v>
      </c>
      <c r="H118" s="65">
        <v>6023170000</v>
      </c>
      <c r="I118" s="65">
        <v>6645443000</v>
      </c>
      <c r="J118" s="65">
        <v>720753000</v>
      </c>
      <c r="K118" s="65">
        <v>3872501000</v>
      </c>
      <c r="L118" s="65">
        <v>2772942000</v>
      </c>
      <c r="M118" s="66">
        <v>1446621000</v>
      </c>
      <c r="N118" s="66">
        <v>44619000</v>
      </c>
      <c r="O118" s="85">
        <f t="shared" si="42"/>
        <v>8.3567740959801764</v>
      </c>
      <c r="P118" s="85">
        <f t="shared" si="43"/>
        <v>0.58273030104990742</v>
      </c>
      <c r="Q118" s="85">
        <f t="shared" si="44"/>
        <v>32.421636522557655</v>
      </c>
      <c r="R118" s="85">
        <f t="shared" si="45"/>
        <v>0.52169176275594653</v>
      </c>
      <c r="S118" s="85">
        <f t="shared" si="46"/>
        <v>0.21768616478991695</v>
      </c>
      <c r="T118" s="84">
        <f t="shared" si="47"/>
        <v>5302417000</v>
      </c>
      <c r="U118" s="86">
        <f t="shared" si="48"/>
        <v>3011585000</v>
      </c>
      <c r="V118" s="86">
        <f t="shared" si="49"/>
        <v>360376500</v>
      </c>
      <c r="W118" s="86">
        <f t="shared" si="50"/>
        <v>3322721500</v>
      </c>
      <c r="X118" s="86">
        <f t="shared" si="51"/>
        <v>1936250500</v>
      </c>
      <c r="Y118" s="86">
        <f t="shared" si="52"/>
        <v>1386471000</v>
      </c>
      <c r="Z118" s="86">
        <f t="shared" si="53"/>
        <v>723310500</v>
      </c>
      <c r="AA118" s="86">
        <f t="shared" si="54"/>
        <v>22309500</v>
      </c>
      <c r="AB118" s="138">
        <f t="shared" si="57"/>
        <v>8.838840100535478</v>
      </c>
      <c r="AC118" s="137">
        <f t="shared" si="58"/>
        <v>0.51813696678861554</v>
      </c>
      <c r="AD118" s="139">
        <f t="shared" si="59"/>
        <v>35.035240233981042</v>
      </c>
      <c r="AE118" s="137">
        <f t="shared" si="60"/>
        <v>0.42689551817688037</v>
      </c>
      <c r="AF118" s="137">
        <f t="shared" si="61"/>
        <v>0.20570516925305732</v>
      </c>
      <c r="AG118" s="103">
        <f t="shared" si="62"/>
        <v>6159649992</v>
      </c>
    </row>
    <row r="119" spans="1:33" s="88" customFormat="1" ht="11.25" x14ac:dyDescent="0.2">
      <c r="A119" s="83">
        <v>102</v>
      </c>
      <c r="B119" s="134">
        <v>66</v>
      </c>
      <c r="C119" s="112" t="s">
        <v>224</v>
      </c>
      <c r="D119" s="112">
        <v>901413091</v>
      </c>
      <c r="E119" s="112">
        <v>2021</v>
      </c>
      <c r="F119" s="112" t="s">
        <v>224</v>
      </c>
      <c r="G119" s="113">
        <v>1</v>
      </c>
      <c r="H119" s="65">
        <v>8896825410</v>
      </c>
      <c r="I119" s="65">
        <v>8948328677</v>
      </c>
      <c r="J119" s="65">
        <v>2515564498</v>
      </c>
      <c r="K119" s="65">
        <v>2539710213</v>
      </c>
      <c r="L119" s="65">
        <v>6408618464</v>
      </c>
      <c r="M119" s="66">
        <v>474555410</v>
      </c>
      <c r="N119" s="66">
        <v>14756198</v>
      </c>
      <c r="O119" s="85">
        <f t="shared" si="42"/>
        <v>3.5367113095583207</v>
      </c>
      <c r="P119" s="85">
        <f t="shared" si="43"/>
        <v>0.28381950470011774</v>
      </c>
      <c r="Q119" s="85">
        <f t="shared" si="44"/>
        <v>32.159734506137696</v>
      </c>
      <c r="R119" s="85">
        <f t="shared" si="45"/>
        <v>7.4049565076433302E-2</v>
      </c>
      <c r="S119" s="85">
        <f t="shared" si="46"/>
        <v>5.3032854193180864E-2</v>
      </c>
      <c r="T119" s="84">
        <f t="shared" si="47"/>
        <v>6381260912</v>
      </c>
      <c r="U119" s="86">
        <f t="shared" si="48"/>
        <v>8896825410</v>
      </c>
      <c r="V119" s="86">
        <f t="shared" si="49"/>
        <v>2515564498</v>
      </c>
      <c r="W119" s="86">
        <f t="shared" si="50"/>
        <v>8948328677</v>
      </c>
      <c r="X119" s="86">
        <f t="shared" si="51"/>
        <v>2539710213</v>
      </c>
      <c r="Y119" s="86">
        <f t="shared" si="52"/>
        <v>6408618464</v>
      </c>
      <c r="Z119" s="86">
        <f t="shared" si="53"/>
        <v>474555410</v>
      </c>
      <c r="AA119" s="86">
        <f t="shared" si="54"/>
        <v>14756198</v>
      </c>
      <c r="AB119" s="138">
        <f t="shared" si="57"/>
        <v>3.5367113095583207</v>
      </c>
      <c r="AC119" s="137">
        <f t="shared" si="58"/>
        <v>0.28381950470011774</v>
      </c>
      <c r="AD119" s="139">
        <f t="shared" si="59"/>
        <v>32.159734506137696</v>
      </c>
      <c r="AE119" s="137">
        <f t="shared" si="60"/>
        <v>7.4049565076433302E-2</v>
      </c>
      <c r="AF119" s="137">
        <f t="shared" si="61"/>
        <v>5.3032854193180864E-2</v>
      </c>
      <c r="AG119" s="103">
        <f t="shared" si="62"/>
        <v>6381260912</v>
      </c>
    </row>
    <row r="120" spans="1:33" s="88" customFormat="1" ht="11.25" x14ac:dyDescent="0.2">
      <c r="A120" s="83">
        <v>103</v>
      </c>
      <c r="B120" s="134">
        <v>67</v>
      </c>
      <c r="C120" s="112" t="s">
        <v>78</v>
      </c>
      <c r="D120" s="112">
        <v>900614304</v>
      </c>
      <c r="E120" s="112">
        <v>2021</v>
      </c>
      <c r="F120" s="112" t="s">
        <v>225</v>
      </c>
      <c r="G120" s="113">
        <v>0.5</v>
      </c>
      <c r="H120" s="65">
        <v>3339541531</v>
      </c>
      <c r="I120" s="65">
        <v>3986438045</v>
      </c>
      <c r="J120" s="65">
        <v>1716185231</v>
      </c>
      <c r="K120" s="65">
        <v>2441388929</v>
      </c>
      <c r="L120" s="65">
        <v>1545049116</v>
      </c>
      <c r="M120" s="66">
        <v>118082398</v>
      </c>
      <c r="N120" s="66">
        <v>11288815</v>
      </c>
      <c r="O120" s="85">
        <f t="shared" si="42"/>
        <v>1.9459097250557797</v>
      </c>
      <c r="P120" s="85">
        <f t="shared" si="43"/>
        <v>0.61242364773788927</v>
      </c>
      <c r="Q120" s="85">
        <f t="shared" si="44"/>
        <v>10.460123405335281</v>
      </c>
      <c r="R120" s="85">
        <f t="shared" si="45"/>
        <v>7.6426306955021103E-2</v>
      </c>
      <c r="S120" s="85">
        <f t="shared" si="46"/>
        <v>2.9621029266491461E-2</v>
      </c>
      <c r="T120" s="84">
        <f t="shared" si="47"/>
        <v>1623356300</v>
      </c>
      <c r="U120" s="86">
        <f t="shared" si="48"/>
        <v>1669770765.5</v>
      </c>
      <c r="V120" s="86">
        <f t="shared" si="49"/>
        <v>858092615.5</v>
      </c>
      <c r="W120" s="86">
        <f t="shared" si="50"/>
        <v>1993219022.5</v>
      </c>
      <c r="X120" s="86">
        <f t="shared" si="51"/>
        <v>1220694464.5</v>
      </c>
      <c r="Y120" s="86">
        <f t="shared" si="52"/>
        <v>772524558</v>
      </c>
      <c r="Z120" s="86">
        <f t="shared" si="53"/>
        <v>59041199</v>
      </c>
      <c r="AA120" s="86">
        <f t="shared" si="54"/>
        <v>5644407.5</v>
      </c>
      <c r="AB120" s="138">
        <f t="shared" si="57"/>
        <v>2.2252183568978223</v>
      </c>
      <c r="AC120" s="137">
        <f t="shared" si="58"/>
        <v>0.53302627061222907</v>
      </c>
      <c r="AD120" s="139">
        <f t="shared" si="59"/>
        <v>26.281695997321243</v>
      </c>
      <c r="AE120" s="137">
        <f t="shared" si="60"/>
        <v>9.7535530343842186E-2</v>
      </c>
      <c r="AF120" s="137">
        <f t="shared" si="61"/>
        <v>4.5546530352478083E-2</v>
      </c>
      <c r="AG120" s="103">
        <f t="shared" si="62"/>
        <v>3210078563</v>
      </c>
    </row>
    <row r="121" spans="1:33" s="88" customFormat="1" ht="11.25" x14ac:dyDescent="0.2">
      <c r="A121" s="83">
        <v>104</v>
      </c>
      <c r="B121" s="134">
        <v>67</v>
      </c>
      <c r="C121" s="112" t="s">
        <v>226</v>
      </c>
      <c r="D121" s="112">
        <v>900516663</v>
      </c>
      <c r="E121" s="112">
        <v>2021</v>
      </c>
      <c r="F121" s="112" t="s">
        <v>225</v>
      </c>
      <c r="G121" s="113">
        <v>0.5</v>
      </c>
      <c r="H121" s="65">
        <v>2490542311</v>
      </c>
      <c r="I121" s="65">
        <v>2527542311</v>
      </c>
      <c r="J121" s="65">
        <v>903820048</v>
      </c>
      <c r="K121" s="65">
        <v>1030733727</v>
      </c>
      <c r="L121" s="65">
        <v>1496808584</v>
      </c>
      <c r="M121" s="66">
        <v>178606806</v>
      </c>
      <c r="N121" s="66">
        <v>0</v>
      </c>
      <c r="O121" s="85">
        <f t="shared" si="42"/>
        <v>2.7555732100777655</v>
      </c>
      <c r="P121" s="85">
        <f t="shared" si="43"/>
        <v>0.40780078043172269</v>
      </c>
      <c r="Q121" s="85" t="str">
        <f t="shared" si="44"/>
        <v/>
      </c>
      <c r="R121" s="85">
        <f t="shared" si="45"/>
        <v>0.11932508131580838</v>
      </c>
      <c r="S121" s="85">
        <f t="shared" si="46"/>
        <v>7.0664220030142944E-2</v>
      </c>
      <c r="T121" s="84">
        <f t="shared" si="47"/>
        <v>1586722263</v>
      </c>
      <c r="U121" s="86">
        <f t="shared" si="48"/>
        <v>1245271155.5</v>
      </c>
      <c r="V121" s="86">
        <f t="shared" si="49"/>
        <v>451910024</v>
      </c>
      <c r="W121" s="86">
        <f t="shared" si="50"/>
        <v>1263771155.5</v>
      </c>
      <c r="X121" s="86">
        <f t="shared" si="51"/>
        <v>515366863.5</v>
      </c>
      <c r="Y121" s="86">
        <f t="shared" si="52"/>
        <v>748404292</v>
      </c>
      <c r="Z121" s="86">
        <f t="shared" si="53"/>
        <v>89303403</v>
      </c>
      <c r="AA121" s="86">
        <f t="shared" si="54"/>
        <v>0</v>
      </c>
      <c r="AB121" s="138">
        <f t="shared" si="57"/>
        <v>2.2252183568978223</v>
      </c>
      <c r="AC121" s="137">
        <f t="shared" si="58"/>
        <v>0.53302627061222907</v>
      </c>
      <c r="AD121" s="139">
        <f t="shared" si="59"/>
        <v>26.281695997321243</v>
      </c>
      <c r="AE121" s="137">
        <f t="shared" si="60"/>
        <v>9.7535530343842186E-2</v>
      </c>
      <c r="AF121" s="137">
        <f t="shared" si="61"/>
        <v>4.5546530352478083E-2</v>
      </c>
      <c r="AG121" s="103">
        <f t="shared" si="62"/>
        <v>3210078563</v>
      </c>
    </row>
    <row r="122" spans="1:33" s="88" customFormat="1" ht="11.25" x14ac:dyDescent="0.2">
      <c r="A122" s="83">
        <v>105</v>
      </c>
      <c r="B122" s="134">
        <v>68</v>
      </c>
      <c r="C122" s="112" t="s">
        <v>107</v>
      </c>
      <c r="D122" s="112">
        <v>901218749</v>
      </c>
      <c r="E122" s="112">
        <v>2021</v>
      </c>
      <c r="F122" s="112" t="s">
        <v>106</v>
      </c>
      <c r="G122" s="113">
        <v>0.6</v>
      </c>
      <c r="H122" s="65">
        <v>2089636787</v>
      </c>
      <c r="I122" s="65">
        <v>2089636787</v>
      </c>
      <c r="J122" s="65">
        <v>486553532</v>
      </c>
      <c r="K122" s="65">
        <v>486553532</v>
      </c>
      <c r="L122" s="65">
        <v>1603083255</v>
      </c>
      <c r="M122" s="66">
        <v>97893535</v>
      </c>
      <c r="N122" s="66">
        <v>2972000</v>
      </c>
      <c r="O122" s="85">
        <f t="shared" si="42"/>
        <v>4.2947726191822202</v>
      </c>
      <c r="P122" s="85">
        <f t="shared" si="43"/>
        <v>0.23284119758368324</v>
      </c>
      <c r="Q122" s="85">
        <f t="shared" si="44"/>
        <v>32.938605316285333</v>
      </c>
      <c r="R122" s="85">
        <f t="shared" si="45"/>
        <v>6.1065783511037919E-2</v>
      </c>
      <c r="S122" s="85">
        <f t="shared" si="46"/>
        <v>4.6847153346941915E-2</v>
      </c>
      <c r="T122" s="84">
        <f t="shared" si="47"/>
        <v>1603083255</v>
      </c>
      <c r="U122" s="86">
        <f t="shared" si="48"/>
        <v>1253782072.2</v>
      </c>
      <c r="V122" s="86">
        <f t="shared" si="49"/>
        <v>291932119.19999999</v>
      </c>
      <c r="W122" s="86">
        <f t="shared" si="50"/>
        <v>1253782072.2</v>
      </c>
      <c r="X122" s="86">
        <f t="shared" si="51"/>
        <v>291932119.19999999</v>
      </c>
      <c r="Y122" s="86">
        <f t="shared" si="52"/>
        <v>961849953</v>
      </c>
      <c r="Z122" s="86">
        <f t="shared" si="53"/>
        <v>58736121</v>
      </c>
      <c r="AA122" s="86">
        <f t="shared" si="54"/>
        <v>1783200</v>
      </c>
      <c r="AB122" s="138">
        <f t="shared" si="57"/>
        <v>6.743610920215767</v>
      </c>
      <c r="AC122" s="137">
        <f t="shared" si="58"/>
        <v>0.20601762135648524</v>
      </c>
      <c r="AD122" s="139">
        <f t="shared" si="59"/>
        <v>16.658172524531707</v>
      </c>
      <c r="AE122" s="137">
        <f t="shared" si="60"/>
        <v>0.12168676140726876</v>
      </c>
      <c r="AF122" s="137">
        <f t="shared" si="61"/>
        <v>9.6617144271569089E-2</v>
      </c>
      <c r="AG122" s="103">
        <f t="shared" si="62"/>
        <v>4074194554</v>
      </c>
    </row>
    <row r="123" spans="1:33" s="88" customFormat="1" ht="11.25" x14ac:dyDescent="0.2">
      <c r="A123" s="83">
        <v>106</v>
      </c>
      <c r="B123" s="134">
        <v>68</v>
      </c>
      <c r="C123" s="112" t="s">
        <v>227</v>
      </c>
      <c r="D123" s="112">
        <v>980312697</v>
      </c>
      <c r="E123" s="112">
        <v>2020</v>
      </c>
      <c r="F123" s="112" t="s">
        <v>106</v>
      </c>
      <c r="G123" s="113">
        <v>0.4</v>
      </c>
      <c r="H123" s="65">
        <v>2590178367</v>
      </c>
      <c r="I123" s="65">
        <v>3486761699</v>
      </c>
      <c r="J123" s="65">
        <v>119067068</v>
      </c>
      <c r="K123" s="65">
        <v>634257054</v>
      </c>
      <c r="L123" s="65">
        <v>2852504645</v>
      </c>
      <c r="M123" s="66">
        <v>492882764</v>
      </c>
      <c r="N123" s="66">
        <v>33944956</v>
      </c>
      <c r="O123" s="85">
        <f t="shared" si="42"/>
        <v>21.753944314812557</v>
      </c>
      <c r="P123" s="85">
        <f t="shared" si="43"/>
        <v>0.18190433093890654</v>
      </c>
      <c r="Q123" s="85">
        <f t="shared" si="44"/>
        <v>14.520059003758909</v>
      </c>
      <c r="R123" s="85">
        <f t="shared" si="45"/>
        <v>0.17278946937525494</v>
      </c>
      <c r="S123" s="85">
        <f t="shared" si="46"/>
        <v>0.14135831655526052</v>
      </c>
      <c r="T123" s="84">
        <f t="shared" si="47"/>
        <v>2471111299</v>
      </c>
      <c r="U123" s="86">
        <f t="shared" si="48"/>
        <v>1036071346.8000001</v>
      </c>
      <c r="V123" s="86">
        <f t="shared" si="49"/>
        <v>47626827.200000003</v>
      </c>
      <c r="W123" s="86">
        <f t="shared" si="50"/>
        <v>1394704679.6000001</v>
      </c>
      <c r="X123" s="86">
        <f t="shared" si="51"/>
        <v>253702821.60000002</v>
      </c>
      <c r="Y123" s="86">
        <f t="shared" si="52"/>
        <v>1141001858</v>
      </c>
      <c r="Z123" s="86">
        <f t="shared" si="53"/>
        <v>197153105.60000002</v>
      </c>
      <c r="AA123" s="86">
        <f t="shared" si="54"/>
        <v>13577982.4</v>
      </c>
      <c r="AB123" s="138">
        <f t="shared" si="57"/>
        <v>6.743610920215767</v>
      </c>
      <c r="AC123" s="137">
        <f t="shared" si="58"/>
        <v>0.20601762135648524</v>
      </c>
      <c r="AD123" s="139">
        <f t="shared" si="59"/>
        <v>16.658172524531707</v>
      </c>
      <c r="AE123" s="137">
        <f t="shared" si="60"/>
        <v>0.12168676140726876</v>
      </c>
      <c r="AF123" s="137">
        <f t="shared" si="61"/>
        <v>9.6617144271569089E-2</v>
      </c>
      <c r="AG123" s="103">
        <f t="shared" si="62"/>
        <v>4074194554</v>
      </c>
    </row>
    <row r="124" spans="1:33" s="88" customFormat="1" ht="11.25" x14ac:dyDescent="0.2">
      <c r="A124" s="83">
        <v>107</v>
      </c>
      <c r="B124" s="134">
        <v>69</v>
      </c>
      <c r="C124" s="112" t="s">
        <v>228</v>
      </c>
      <c r="D124" s="112">
        <v>900457115</v>
      </c>
      <c r="E124" s="112">
        <v>2021</v>
      </c>
      <c r="F124" s="112" t="s">
        <v>228</v>
      </c>
      <c r="G124" s="113">
        <v>1</v>
      </c>
      <c r="H124" s="65">
        <v>2214750008</v>
      </c>
      <c r="I124" s="65">
        <v>2270060008</v>
      </c>
      <c r="J124" s="65">
        <v>9883345</v>
      </c>
      <c r="K124" s="65">
        <v>9883345</v>
      </c>
      <c r="L124" s="65">
        <v>2260176663</v>
      </c>
      <c r="M124" s="66">
        <v>463832474</v>
      </c>
      <c r="N124" s="66">
        <v>0</v>
      </c>
      <c r="O124" s="85">
        <f t="shared" si="42"/>
        <v>224.08911234000229</v>
      </c>
      <c r="P124" s="85">
        <f t="shared" si="43"/>
        <v>4.3537813825051978E-3</v>
      </c>
      <c r="Q124" s="85" t="str">
        <f t="shared" si="44"/>
        <v/>
      </c>
      <c r="R124" s="85">
        <f t="shared" si="45"/>
        <v>0.20521956606008898</v>
      </c>
      <c r="S124" s="85">
        <f t="shared" si="46"/>
        <v>0.20432608493405077</v>
      </c>
      <c r="T124" s="84">
        <f t="shared" si="47"/>
        <v>2204866663</v>
      </c>
      <c r="U124" s="86">
        <f t="shared" si="48"/>
        <v>2214750008</v>
      </c>
      <c r="V124" s="86">
        <f t="shared" si="49"/>
        <v>9883345</v>
      </c>
      <c r="W124" s="86">
        <f t="shared" si="50"/>
        <v>2270060008</v>
      </c>
      <c r="X124" s="86">
        <f t="shared" si="51"/>
        <v>9883345</v>
      </c>
      <c r="Y124" s="86">
        <f t="shared" si="52"/>
        <v>2260176663</v>
      </c>
      <c r="Z124" s="86">
        <f t="shared" si="53"/>
        <v>463832474</v>
      </c>
      <c r="AA124" s="86">
        <f t="shared" si="54"/>
        <v>0</v>
      </c>
      <c r="AB124" s="138">
        <f t="shared" si="57"/>
        <v>224.08911234000229</v>
      </c>
      <c r="AC124" s="137">
        <f t="shared" si="58"/>
        <v>4.3537813825051978E-3</v>
      </c>
      <c r="AD124" s="139" t="str">
        <f t="shared" si="59"/>
        <v>Indeterminado</v>
      </c>
      <c r="AE124" s="137">
        <f t="shared" si="60"/>
        <v>0.20521956606008898</v>
      </c>
      <c r="AF124" s="137">
        <f t="shared" si="61"/>
        <v>0.20432608493405077</v>
      </c>
      <c r="AG124" s="103">
        <f t="shared" si="62"/>
        <v>2204866663</v>
      </c>
    </row>
    <row r="125" spans="1:33" s="88" customFormat="1" ht="11.25" x14ac:dyDescent="0.2">
      <c r="A125" s="83">
        <v>108</v>
      </c>
      <c r="B125" s="134">
        <v>70</v>
      </c>
      <c r="C125" s="112" t="s">
        <v>230</v>
      </c>
      <c r="D125" s="112">
        <v>901384670</v>
      </c>
      <c r="E125" s="112">
        <v>2021</v>
      </c>
      <c r="F125" s="112" t="s">
        <v>229</v>
      </c>
      <c r="G125" s="113">
        <v>0.7</v>
      </c>
      <c r="H125" s="65">
        <v>1150135287</v>
      </c>
      <c r="I125" s="65">
        <v>1150135287</v>
      </c>
      <c r="J125" s="65">
        <v>20298718</v>
      </c>
      <c r="K125" s="65">
        <v>20298718</v>
      </c>
      <c r="L125" s="65">
        <v>1129836569</v>
      </c>
      <c r="M125" s="66">
        <v>189849230</v>
      </c>
      <c r="N125" s="66">
        <v>999999</v>
      </c>
      <c r="O125" s="85">
        <f t="shared" si="42"/>
        <v>56.660488953046197</v>
      </c>
      <c r="P125" s="85">
        <f t="shared" si="43"/>
        <v>1.7648982888740811E-2</v>
      </c>
      <c r="Q125" s="85">
        <f t="shared" si="44"/>
        <v>189.84941984941986</v>
      </c>
      <c r="R125" s="85">
        <f t="shared" si="45"/>
        <v>0.16803247054397652</v>
      </c>
      <c r="S125" s="85">
        <f t="shared" si="46"/>
        <v>0.16506686834659304</v>
      </c>
      <c r="T125" s="84">
        <f t="shared" si="47"/>
        <v>1129836569</v>
      </c>
      <c r="U125" s="86">
        <f t="shared" si="48"/>
        <v>805094700.89999998</v>
      </c>
      <c r="V125" s="86">
        <f t="shared" si="49"/>
        <v>14209102.6</v>
      </c>
      <c r="W125" s="86">
        <f t="shared" si="50"/>
        <v>805094700.89999998</v>
      </c>
      <c r="X125" s="86">
        <f t="shared" si="51"/>
        <v>14209102.6</v>
      </c>
      <c r="Y125" s="86">
        <f t="shared" si="52"/>
        <v>790885598.29999995</v>
      </c>
      <c r="Z125" s="86">
        <f t="shared" si="53"/>
        <v>132894460.99999999</v>
      </c>
      <c r="AA125" s="86">
        <f t="shared" si="54"/>
        <v>699999.29999999993</v>
      </c>
      <c r="AB125" s="138">
        <f t="shared" si="57"/>
        <v>4.9739232865943297</v>
      </c>
      <c r="AC125" s="137">
        <f t="shared" si="58"/>
        <v>0.16569567090427831</v>
      </c>
      <c r="AD125" s="139">
        <f t="shared" si="59"/>
        <v>252.09286152143298</v>
      </c>
      <c r="AE125" s="137">
        <f t="shared" si="60"/>
        <v>0.15193084541042151</v>
      </c>
      <c r="AF125" s="137">
        <f t="shared" si="61"/>
        <v>0.12675656204908753</v>
      </c>
      <c r="AG125" s="103">
        <f t="shared" si="62"/>
        <v>1549155372</v>
      </c>
    </row>
    <row r="126" spans="1:33" s="88" customFormat="1" ht="11.25" x14ac:dyDescent="0.2">
      <c r="A126" s="83">
        <v>109</v>
      </c>
      <c r="B126" s="134">
        <v>70</v>
      </c>
      <c r="C126" s="112" t="s">
        <v>71</v>
      </c>
      <c r="D126" s="112">
        <v>901158110</v>
      </c>
      <c r="E126" s="112">
        <v>2021</v>
      </c>
      <c r="F126" s="112" t="s">
        <v>229</v>
      </c>
      <c r="G126" s="113">
        <v>0.3</v>
      </c>
      <c r="H126" s="65">
        <v>1140868846</v>
      </c>
      <c r="I126" s="65">
        <v>1956868846</v>
      </c>
      <c r="J126" s="65">
        <v>721550043</v>
      </c>
      <c r="K126" s="65">
        <v>721550043</v>
      </c>
      <c r="L126" s="65">
        <v>1235318803</v>
      </c>
      <c r="M126" s="66">
        <v>145234552</v>
      </c>
      <c r="N126" s="66">
        <v>0</v>
      </c>
      <c r="O126" s="85">
        <f t="shared" si="42"/>
        <v>1.5811361347254469</v>
      </c>
      <c r="P126" s="85">
        <f t="shared" si="43"/>
        <v>0.36872682830783848</v>
      </c>
      <c r="Q126" s="85" t="str">
        <f t="shared" si="44"/>
        <v/>
      </c>
      <c r="R126" s="85">
        <f t="shared" si="45"/>
        <v>0.11756847839383207</v>
      </c>
      <c r="S126" s="85">
        <f t="shared" si="46"/>
        <v>7.4217826246695734E-2</v>
      </c>
      <c r="T126" s="84">
        <f t="shared" si="47"/>
        <v>419318803</v>
      </c>
      <c r="U126" s="86">
        <f t="shared" si="48"/>
        <v>342260653.80000001</v>
      </c>
      <c r="V126" s="86">
        <f t="shared" si="49"/>
        <v>216465012.90000001</v>
      </c>
      <c r="W126" s="86">
        <f t="shared" si="50"/>
        <v>587060653.79999995</v>
      </c>
      <c r="X126" s="86">
        <f t="shared" si="51"/>
        <v>216465012.90000001</v>
      </c>
      <c r="Y126" s="86">
        <f t="shared" si="52"/>
        <v>370595640.89999998</v>
      </c>
      <c r="Z126" s="86">
        <f t="shared" si="53"/>
        <v>43570365.600000001</v>
      </c>
      <c r="AA126" s="86">
        <f t="shared" si="54"/>
        <v>0</v>
      </c>
      <c r="AB126" s="138">
        <f t="shared" si="57"/>
        <v>4.9739232865943297</v>
      </c>
      <c r="AC126" s="137">
        <f t="shared" si="58"/>
        <v>0.16569567090427831</v>
      </c>
      <c r="AD126" s="139">
        <f t="shared" si="59"/>
        <v>252.09286152143298</v>
      </c>
      <c r="AE126" s="137">
        <f t="shared" si="60"/>
        <v>0.15193084541042151</v>
      </c>
      <c r="AF126" s="137">
        <f t="shared" si="61"/>
        <v>0.12675656204908753</v>
      </c>
      <c r="AG126" s="103">
        <f t="shared" si="62"/>
        <v>1549155372</v>
      </c>
    </row>
    <row r="127" spans="1:33" s="88" customFormat="1" ht="11.25" x14ac:dyDescent="0.2">
      <c r="A127" s="83">
        <v>110</v>
      </c>
      <c r="B127" s="134">
        <v>71</v>
      </c>
      <c r="C127" s="112" t="s">
        <v>80</v>
      </c>
      <c r="D127" s="112">
        <v>901506984</v>
      </c>
      <c r="E127" s="112">
        <v>2021</v>
      </c>
      <c r="F127" s="112" t="s">
        <v>231</v>
      </c>
      <c r="G127" s="113">
        <v>0.95</v>
      </c>
      <c r="H127" s="65">
        <v>693073656</v>
      </c>
      <c r="I127" s="65">
        <v>693073656</v>
      </c>
      <c r="J127" s="65">
        <v>53948446</v>
      </c>
      <c r="K127" s="65">
        <v>53948446</v>
      </c>
      <c r="L127" s="65">
        <v>639125210</v>
      </c>
      <c r="M127" s="66">
        <v>56625659</v>
      </c>
      <c r="N127" s="66">
        <v>0</v>
      </c>
      <c r="O127" s="85">
        <f t="shared" si="42"/>
        <v>12.846962375894943</v>
      </c>
      <c r="P127" s="85">
        <f t="shared" si="43"/>
        <v>7.7839412208159306E-2</v>
      </c>
      <c r="Q127" s="85" t="str">
        <f t="shared" si="44"/>
        <v/>
      </c>
      <c r="R127" s="85">
        <f t="shared" si="45"/>
        <v>8.85986941432024E-2</v>
      </c>
      <c r="S127" s="85">
        <f t="shared" si="46"/>
        <v>8.1702223868685031E-2</v>
      </c>
      <c r="T127" s="84">
        <f t="shared" si="47"/>
        <v>639125210</v>
      </c>
      <c r="U127" s="86">
        <f t="shared" si="48"/>
        <v>658419973.19999993</v>
      </c>
      <c r="V127" s="86">
        <f t="shared" si="49"/>
        <v>51251023.699999996</v>
      </c>
      <c r="W127" s="86">
        <f t="shared" si="50"/>
        <v>658419973.19999993</v>
      </c>
      <c r="X127" s="86">
        <f t="shared" si="51"/>
        <v>51251023.699999996</v>
      </c>
      <c r="Y127" s="86">
        <f t="shared" si="52"/>
        <v>607168949.5</v>
      </c>
      <c r="Z127" s="86">
        <f t="shared" si="53"/>
        <v>53794376.049999997</v>
      </c>
      <c r="AA127" s="86">
        <f t="shared" si="54"/>
        <v>0</v>
      </c>
      <c r="AB127" s="138">
        <f t="shared" si="57"/>
        <v>11.070948567613245</v>
      </c>
      <c r="AC127" s="137">
        <f t="shared" si="58"/>
        <v>9.0119885717548365E-2</v>
      </c>
      <c r="AD127" s="139">
        <f t="shared" si="59"/>
        <v>392.00384735807836</v>
      </c>
      <c r="AE127" s="137">
        <f t="shared" si="60"/>
        <v>9.5792385227193258E-2</v>
      </c>
      <c r="AF127" s="137">
        <f t="shared" si="61"/>
        <v>8.7159586417907234E-2</v>
      </c>
      <c r="AG127" s="103">
        <f t="shared" si="62"/>
        <v>1897933657</v>
      </c>
    </row>
    <row r="128" spans="1:33" s="88" customFormat="1" ht="11.25" x14ac:dyDescent="0.2">
      <c r="A128" s="83">
        <v>111</v>
      </c>
      <c r="B128" s="134">
        <v>71</v>
      </c>
      <c r="C128" s="142" t="s">
        <v>115</v>
      </c>
      <c r="D128" s="112">
        <v>900922872</v>
      </c>
      <c r="E128" s="112">
        <v>2021</v>
      </c>
      <c r="F128" s="112" t="s">
        <v>231</v>
      </c>
      <c r="G128" s="113">
        <v>0.05</v>
      </c>
      <c r="H128" s="65">
        <v>1564565044</v>
      </c>
      <c r="I128" s="65">
        <v>1598342198</v>
      </c>
      <c r="J128" s="65">
        <v>305756597</v>
      </c>
      <c r="K128" s="65">
        <v>305756597</v>
      </c>
      <c r="L128" s="65">
        <v>1292585601</v>
      </c>
      <c r="M128" s="66">
        <v>211175575</v>
      </c>
      <c r="N128" s="66">
        <v>3283292</v>
      </c>
      <c r="O128" s="85">
        <f t="shared" si="42"/>
        <v>5.1170279213959198</v>
      </c>
      <c r="P128" s="85">
        <f t="shared" si="43"/>
        <v>0.19129608001502565</v>
      </c>
      <c r="Q128" s="85">
        <f t="shared" si="44"/>
        <v>64.318243701748131</v>
      </c>
      <c r="R128" s="85">
        <f t="shared" si="45"/>
        <v>0.16337453769918639</v>
      </c>
      <c r="S128" s="85">
        <f t="shared" si="46"/>
        <v>0.13212162906306502</v>
      </c>
      <c r="T128" s="84">
        <f t="shared" si="47"/>
        <v>1258808447</v>
      </c>
      <c r="U128" s="86">
        <f t="shared" si="48"/>
        <v>78228252.200000003</v>
      </c>
      <c r="V128" s="86">
        <f t="shared" si="49"/>
        <v>15287829.850000001</v>
      </c>
      <c r="W128" s="86">
        <f t="shared" si="50"/>
        <v>79917109.900000006</v>
      </c>
      <c r="X128" s="86">
        <f t="shared" si="51"/>
        <v>15287829.850000001</v>
      </c>
      <c r="Y128" s="86">
        <f t="shared" si="52"/>
        <v>64629280.050000004</v>
      </c>
      <c r="Z128" s="86">
        <f t="shared" si="53"/>
        <v>10558778.75</v>
      </c>
      <c r="AA128" s="86">
        <f t="shared" si="54"/>
        <v>164164.6</v>
      </c>
      <c r="AB128" s="138">
        <f t="shared" si="57"/>
        <v>11.070948567613245</v>
      </c>
      <c r="AC128" s="137">
        <f t="shared" si="58"/>
        <v>9.0119885717548365E-2</v>
      </c>
      <c r="AD128" s="139">
        <f t="shared" si="59"/>
        <v>392.00384735807836</v>
      </c>
      <c r="AE128" s="137">
        <f t="shared" si="60"/>
        <v>9.5792385227193258E-2</v>
      </c>
      <c r="AF128" s="137">
        <f t="shared" si="61"/>
        <v>8.7159586417907234E-2</v>
      </c>
      <c r="AG128" s="103">
        <f t="shared" si="62"/>
        <v>1897933657</v>
      </c>
    </row>
    <row r="129" spans="1:33" s="88" customFormat="1" ht="11.25" x14ac:dyDescent="0.2">
      <c r="A129" s="83">
        <v>112</v>
      </c>
      <c r="B129" s="134">
        <v>72</v>
      </c>
      <c r="C129" s="142" t="s">
        <v>233</v>
      </c>
      <c r="D129" s="112">
        <v>900773426</v>
      </c>
      <c r="E129" s="112">
        <v>2021</v>
      </c>
      <c r="F129" s="112" t="s">
        <v>232</v>
      </c>
      <c r="G129" s="113">
        <v>0.05</v>
      </c>
      <c r="H129" s="65">
        <v>1919489000</v>
      </c>
      <c r="I129" s="65">
        <v>1954378000</v>
      </c>
      <c r="J129" s="65">
        <v>479000000</v>
      </c>
      <c r="K129" s="65">
        <v>966333000</v>
      </c>
      <c r="L129" s="65">
        <v>988045000</v>
      </c>
      <c r="M129" s="66">
        <v>378442000</v>
      </c>
      <c r="N129" s="66">
        <v>0</v>
      </c>
      <c r="O129" s="85">
        <f t="shared" si="42"/>
        <v>4.0072839248434242</v>
      </c>
      <c r="P129" s="85">
        <f t="shared" si="43"/>
        <v>0.49444529154544309</v>
      </c>
      <c r="Q129" s="85" t="str">
        <f t="shared" si="44"/>
        <v/>
      </c>
      <c r="R129" s="85">
        <f t="shared" si="45"/>
        <v>0.38302101624925988</v>
      </c>
      <c r="S129" s="85">
        <f t="shared" si="46"/>
        <v>0.19363807820186268</v>
      </c>
      <c r="T129" s="84">
        <f t="shared" si="47"/>
        <v>1440489000</v>
      </c>
      <c r="U129" s="86">
        <f t="shared" si="48"/>
        <v>95974450</v>
      </c>
      <c r="V129" s="86">
        <f t="shared" si="49"/>
        <v>23950000</v>
      </c>
      <c r="W129" s="86">
        <f t="shared" si="50"/>
        <v>97718900</v>
      </c>
      <c r="X129" s="86">
        <f t="shared" si="51"/>
        <v>48316650</v>
      </c>
      <c r="Y129" s="86">
        <f t="shared" si="52"/>
        <v>49402250</v>
      </c>
      <c r="Z129" s="86">
        <f t="shared" si="53"/>
        <v>18922100</v>
      </c>
      <c r="AA129" s="86">
        <f t="shared" si="54"/>
        <v>0</v>
      </c>
      <c r="AB129" s="138">
        <f t="shared" si="57"/>
        <v>3.2111125391742044</v>
      </c>
      <c r="AC129" s="137">
        <f t="shared" si="58"/>
        <v>0.63252630676302668</v>
      </c>
      <c r="AD129" s="139">
        <f t="shared" si="59"/>
        <v>12.571624795292248</v>
      </c>
      <c r="AE129" s="137">
        <f t="shared" si="60"/>
        <v>9.2464608988279268E-2</v>
      </c>
      <c r="AF129" s="137">
        <f t="shared" si="61"/>
        <v>3.3978311358635625E-2</v>
      </c>
      <c r="AG129" s="103">
        <f t="shared" si="62"/>
        <v>2829643617</v>
      </c>
    </row>
    <row r="130" spans="1:33" s="88" customFormat="1" ht="11.25" x14ac:dyDescent="0.2">
      <c r="A130" s="83">
        <v>113</v>
      </c>
      <c r="B130" s="134">
        <v>72</v>
      </c>
      <c r="C130" s="142" t="s">
        <v>234</v>
      </c>
      <c r="D130" s="112">
        <v>901264150</v>
      </c>
      <c r="E130" s="112">
        <v>2021</v>
      </c>
      <c r="F130" s="112" t="s">
        <v>232</v>
      </c>
      <c r="G130" s="113">
        <v>0.95</v>
      </c>
      <c r="H130" s="65">
        <v>2026492831</v>
      </c>
      <c r="I130" s="65">
        <v>2064441761</v>
      </c>
      <c r="J130" s="65">
        <v>637338214</v>
      </c>
      <c r="K130" s="65">
        <v>1320017012</v>
      </c>
      <c r="L130" s="65">
        <v>744424749</v>
      </c>
      <c r="M130" s="66">
        <v>53723322</v>
      </c>
      <c r="N130" s="66">
        <v>5857741</v>
      </c>
      <c r="O130" s="85">
        <f t="shared" si="42"/>
        <v>3.1796192139202248</v>
      </c>
      <c r="P130" s="85">
        <f t="shared" si="43"/>
        <v>0.63940627289025276</v>
      </c>
      <c r="Q130" s="85">
        <f t="shared" si="44"/>
        <v>9.1713378928839635</v>
      </c>
      <c r="R130" s="85">
        <f t="shared" si="45"/>
        <v>7.2167565723960103E-2</v>
      </c>
      <c r="S130" s="85">
        <f t="shared" si="46"/>
        <v>2.6023171500840415E-2</v>
      </c>
      <c r="T130" s="84">
        <f t="shared" si="47"/>
        <v>1389154617</v>
      </c>
      <c r="U130" s="86">
        <f t="shared" si="48"/>
        <v>1925168189.4499998</v>
      </c>
      <c r="V130" s="86">
        <f t="shared" si="49"/>
        <v>605471303.29999995</v>
      </c>
      <c r="W130" s="86">
        <f t="shared" si="50"/>
        <v>1961219672.9499998</v>
      </c>
      <c r="X130" s="86">
        <f t="shared" si="51"/>
        <v>1254016161.3999999</v>
      </c>
      <c r="Y130" s="86">
        <f t="shared" si="52"/>
        <v>707203511.54999995</v>
      </c>
      <c r="Z130" s="86">
        <f t="shared" si="53"/>
        <v>51037155.899999999</v>
      </c>
      <c r="AA130" s="86">
        <f t="shared" si="54"/>
        <v>5564853.9500000002</v>
      </c>
      <c r="AB130" s="138">
        <f t="shared" si="57"/>
        <v>3.2111125391742044</v>
      </c>
      <c r="AC130" s="137">
        <f t="shared" si="58"/>
        <v>0.63252630676302668</v>
      </c>
      <c r="AD130" s="139">
        <f t="shared" si="59"/>
        <v>12.571624795292248</v>
      </c>
      <c r="AE130" s="137">
        <f t="shared" si="60"/>
        <v>9.2464608988279268E-2</v>
      </c>
      <c r="AF130" s="137">
        <f t="shared" si="61"/>
        <v>3.3978311358635625E-2</v>
      </c>
      <c r="AG130" s="103">
        <f t="shared" si="62"/>
        <v>2829643617</v>
      </c>
    </row>
    <row r="131" spans="1:33" s="88" customFormat="1" ht="11.25" x14ac:dyDescent="0.2">
      <c r="A131" s="83">
        <v>114</v>
      </c>
      <c r="B131" s="134">
        <v>73</v>
      </c>
      <c r="C131" s="142" t="s">
        <v>114</v>
      </c>
      <c r="D131" s="112">
        <v>19266128</v>
      </c>
      <c r="E131" s="112">
        <v>2021</v>
      </c>
      <c r="F131" s="112" t="s">
        <v>235</v>
      </c>
      <c r="G131" s="113">
        <v>0.95</v>
      </c>
      <c r="H131" s="65">
        <v>1134516646</v>
      </c>
      <c r="I131" s="65">
        <v>1744093053</v>
      </c>
      <c r="J131" s="65">
        <v>830892</v>
      </c>
      <c r="K131" s="65">
        <v>118247870</v>
      </c>
      <c r="L131" s="65">
        <v>1625845183</v>
      </c>
      <c r="M131" s="66">
        <v>363894030</v>
      </c>
      <c r="N131" s="66">
        <v>0</v>
      </c>
      <c r="O131" s="85">
        <f t="shared" si="42"/>
        <v>1365.4201099541217</v>
      </c>
      <c r="P131" s="85">
        <f t="shared" si="43"/>
        <v>6.7799060260347238E-2</v>
      </c>
      <c r="Q131" s="85" t="str">
        <f t="shared" si="44"/>
        <v/>
      </c>
      <c r="R131" s="85">
        <f t="shared" si="45"/>
        <v>0.22381837693091103</v>
      </c>
      <c r="S131" s="85">
        <f t="shared" si="46"/>
        <v>0.20864370130599907</v>
      </c>
      <c r="T131" s="84">
        <f t="shared" si="47"/>
        <v>1133685754</v>
      </c>
      <c r="U131" s="86">
        <f t="shared" si="48"/>
        <v>1077790813.7</v>
      </c>
      <c r="V131" s="86">
        <f t="shared" si="49"/>
        <v>789347.39999999991</v>
      </c>
      <c r="W131" s="86">
        <f t="shared" si="50"/>
        <v>1656888400.3499999</v>
      </c>
      <c r="X131" s="86">
        <f t="shared" si="51"/>
        <v>112335476.5</v>
      </c>
      <c r="Y131" s="86">
        <f t="shared" si="52"/>
        <v>1544552923.8499999</v>
      </c>
      <c r="Z131" s="86">
        <f t="shared" si="53"/>
        <v>345699328.5</v>
      </c>
      <c r="AA131" s="86">
        <f t="shared" si="54"/>
        <v>0</v>
      </c>
      <c r="AB131" s="138">
        <f t="shared" si="57"/>
        <v>1021.5736109578088</v>
      </c>
      <c r="AC131" s="137">
        <f t="shared" si="58"/>
        <v>6.7902157030007404E-2</v>
      </c>
      <c r="AD131" s="139" t="str">
        <f t="shared" si="59"/>
        <v>Indeterminado</v>
      </c>
      <c r="AE131" s="137">
        <f t="shared" si="60"/>
        <v>0.2236536854193929</v>
      </c>
      <c r="AF131" s="137">
        <f t="shared" si="61"/>
        <v>0.20846711775170543</v>
      </c>
      <c r="AG131" s="103">
        <f t="shared" si="62"/>
        <v>1137281571</v>
      </c>
    </row>
    <row r="132" spans="1:33" s="88" customFormat="1" ht="11.25" x14ac:dyDescent="0.2">
      <c r="A132" s="83">
        <v>115</v>
      </c>
      <c r="B132" s="134">
        <v>73</v>
      </c>
      <c r="C132" s="142" t="s">
        <v>236</v>
      </c>
      <c r="D132" s="112">
        <v>860054116</v>
      </c>
      <c r="E132" s="112">
        <v>2021</v>
      </c>
      <c r="F132" s="112" t="s">
        <v>235</v>
      </c>
      <c r="G132" s="113">
        <v>0.05</v>
      </c>
      <c r="H132" s="65">
        <v>8918199</v>
      </c>
      <c r="I132" s="65">
        <v>28069582</v>
      </c>
      <c r="J132" s="65">
        <v>5322382</v>
      </c>
      <c r="K132" s="65">
        <v>5322382</v>
      </c>
      <c r="L132" s="65">
        <v>22747200</v>
      </c>
      <c r="M132" s="66">
        <v>0</v>
      </c>
      <c r="N132" s="66">
        <v>0</v>
      </c>
      <c r="O132" s="85">
        <f t="shared" si="42"/>
        <v>1.6756029537150847</v>
      </c>
      <c r="P132" s="85">
        <f t="shared" si="43"/>
        <v>0.18961386742417469</v>
      </c>
      <c r="Q132" s="85" t="str">
        <f t="shared" si="44"/>
        <v/>
      </c>
      <c r="R132" s="85">
        <f t="shared" si="45"/>
        <v>0</v>
      </c>
      <c r="S132" s="85">
        <f t="shared" si="46"/>
        <v>0</v>
      </c>
      <c r="T132" s="84">
        <f t="shared" si="47"/>
        <v>3595817</v>
      </c>
      <c r="U132" s="86">
        <f t="shared" si="48"/>
        <v>445909.95</v>
      </c>
      <c r="V132" s="86">
        <f t="shared" si="49"/>
        <v>266119.10000000003</v>
      </c>
      <c r="W132" s="86">
        <f t="shared" si="50"/>
        <v>1403479.1</v>
      </c>
      <c r="X132" s="86">
        <f t="shared" si="51"/>
        <v>266119.10000000003</v>
      </c>
      <c r="Y132" s="86">
        <f t="shared" si="52"/>
        <v>1137360</v>
      </c>
      <c r="Z132" s="86">
        <f t="shared" si="53"/>
        <v>0</v>
      </c>
      <c r="AA132" s="86">
        <f t="shared" si="54"/>
        <v>0</v>
      </c>
      <c r="AB132" s="138">
        <f t="shared" si="57"/>
        <v>1021.5736109578088</v>
      </c>
      <c r="AC132" s="137">
        <f t="shared" si="58"/>
        <v>6.7902157030007404E-2</v>
      </c>
      <c r="AD132" s="139" t="str">
        <f t="shared" si="59"/>
        <v>Indeterminado</v>
      </c>
      <c r="AE132" s="137">
        <f t="shared" si="60"/>
        <v>0.2236536854193929</v>
      </c>
      <c r="AF132" s="137">
        <f t="shared" si="61"/>
        <v>0.20846711775170543</v>
      </c>
      <c r="AG132" s="103">
        <f t="shared" si="62"/>
        <v>1137281571</v>
      </c>
    </row>
    <row r="133" spans="1:33" s="88" customFormat="1" ht="11.25" x14ac:dyDescent="0.2">
      <c r="A133" s="83">
        <v>116</v>
      </c>
      <c r="B133" s="134">
        <v>74</v>
      </c>
      <c r="C133" s="142" t="s">
        <v>238</v>
      </c>
      <c r="D133" s="112">
        <v>901013246</v>
      </c>
      <c r="E133" s="112">
        <v>2021</v>
      </c>
      <c r="F133" s="112" t="s">
        <v>237</v>
      </c>
      <c r="G133" s="113">
        <v>0.05</v>
      </c>
      <c r="H133" s="65">
        <v>42650000</v>
      </c>
      <c r="I133" s="65">
        <v>112650000</v>
      </c>
      <c r="J133" s="65">
        <v>1050000</v>
      </c>
      <c r="K133" s="65">
        <v>16050000</v>
      </c>
      <c r="L133" s="65">
        <v>96600000</v>
      </c>
      <c r="M133" s="66">
        <v>20840000</v>
      </c>
      <c r="N133" s="66">
        <v>35800</v>
      </c>
      <c r="O133" s="85">
        <f t="shared" si="42"/>
        <v>40.61904761904762</v>
      </c>
      <c r="P133" s="85">
        <f t="shared" si="43"/>
        <v>0.14247669773635152</v>
      </c>
      <c r="Q133" s="85">
        <f t="shared" si="44"/>
        <v>582.12290502793292</v>
      </c>
      <c r="R133" s="85">
        <f t="shared" si="45"/>
        <v>0.21573498964803312</v>
      </c>
      <c r="S133" s="85">
        <f t="shared" si="46"/>
        <v>0.18499778073679538</v>
      </c>
      <c r="T133" s="84">
        <f t="shared" si="47"/>
        <v>41600000</v>
      </c>
      <c r="U133" s="86">
        <f t="shared" si="48"/>
        <v>2132500</v>
      </c>
      <c r="V133" s="86">
        <f t="shared" si="49"/>
        <v>52500</v>
      </c>
      <c r="W133" s="86">
        <f t="shared" si="50"/>
        <v>5632500</v>
      </c>
      <c r="X133" s="86">
        <f t="shared" si="51"/>
        <v>802500</v>
      </c>
      <c r="Y133" s="86">
        <f t="shared" si="52"/>
        <v>4830000</v>
      </c>
      <c r="Z133" s="86">
        <f t="shared" si="53"/>
        <v>1042000</v>
      </c>
      <c r="AA133" s="86">
        <f t="shared" si="54"/>
        <v>1790</v>
      </c>
      <c r="AB133" s="138">
        <f t="shared" si="57"/>
        <v>159.54786882766618</v>
      </c>
      <c r="AC133" s="137">
        <f t="shared" si="58"/>
        <v>4.9062997176825072E-2</v>
      </c>
      <c r="AD133" s="139">
        <f t="shared" si="59"/>
        <v>110.41475362330927</v>
      </c>
      <c r="AE133" s="137">
        <f t="shared" si="60"/>
        <v>0.19850108445089509</v>
      </c>
      <c r="AF133" s="137">
        <f t="shared" si="61"/>
        <v>0.18876202630488412</v>
      </c>
      <c r="AG133" s="103">
        <f t="shared" si="62"/>
        <v>1694692000</v>
      </c>
    </row>
    <row r="134" spans="1:33" s="88" customFormat="1" ht="11.25" x14ac:dyDescent="0.2">
      <c r="A134" s="83">
        <v>117</v>
      </c>
      <c r="B134" s="134">
        <v>74</v>
      </c>
      <c r="C134" s="142" t="s">
        <v>239</v>
      </c>
      <c r="D134" s="112">
        <v>79838206</v>
      </c>
      <c r="E134" s="112">
        <v>2021</v>
      </c>
      <c r="F134" s="112" t="s">
        <v>237</v>
      </c>
      <c r="G134" s="113">
        <v>0.95</v>
      </c>
      <c r="H134" s="65">
        <v>1663477000</v>
      </c>
      <c r="I134" s="65">
        <v>2209177000</v>
      </c>
      <c r="J134" s="65">
        <v>10385000</v>
      </c>
      <c r="K134" s="65">
        <v>107835000</v>
      </c>
      <c r="L134" s="65">
        <v>2101342000</v>
      </c>
      <c r="M134" s="66">
        <v>417031045</v>
      </c>
      <c r="N134" s="66">
        <v>3785000</v>
      </c>
      <c r="O134" s="85">
        <f t="shared" si="42"/>
        <v>160.18074145402022</v>
      </c>
      <c r="P134" s="85">
        <f t="shared" si="43"/>
        <v>4.8812295257464659E-2</v>
      </c>
      <c r="Q134" s="85">
        <f t="shared" si="44"/>
        <v>110.17993262879789</v>
      </c>
      <c r="R134" s="85">
        <f t="shared" si="45"/>
        <v>0.19845938690608192</v>
      </c>
      <c r="S134" s="85">
        <f t="shared" si="46"/>
        <v>0.18877212871580684</v>
      </c>
      <c r="T134" s="84">
        <f t="shared" si="47"/>
        <v>1653092000</v>
      </c>
      <c r="U134" s="86">
        <f t="shared" si="48"/>
        <v>1580303150</v>
      </c>
      <c r="V134" s="86">
        <f t="shared" si="49"/>
        <v>9865750</v>
      </c>
      <c r="W134" s="86">
        <f t="shared" si="50"/>
        <v>2098718150</v>
      </c>
      <c r="X134" s="86">
        <f t="shared" si="51"/>
        <v>102443250</v>
      </c>
      <c r="Y134" s="86">
        <f t="shared" si="52"/>
        <v>1996274900</v>
      </c>
      <c r="Z134" s="86">
        <f t="shared" si="53"/>
        <v>396179492.75</v>
      </c>
      <c r="AA134" s="86">
        <f t="shared" si="54"/>
        <v>3595750</v>
      </c>
      <c r="AB134" s="138">
        <f t="shared" si="57"/>
        <v>159.54786882766618</v>
      </c>
      <c r="AC134" s="137">
        <f t="shared" si="58"/>
        <v>4.9062997176825072E-2</v>
      </c>
      <c r="AD134" s="139">
        <f t="shared" si="59"/>
        <v>110.41475362330927</v>
      </c>
      <c r="AE134" s="137">
        <f t="shared" si="60"/>
        <v>0.19850108445089509</v>
      </c>
      <c r="AF134" s="137">
        <f t="shared" si="61"/>
        <v>0.18876202630488412</v>
      </c>
      <c r="AG134" s="103">
        <f t="shared" si="62"/>
        <v>1694692000</v>
      </c>
    </row>
    <row r="135" spans="1:33" s="88" customFormat="1" ht="11.25" x14ac:dyDescent="0.2">
      <c r="A135" s="83">
        <v>118</v>
      </c>
      <c r="B135" s="134">
        <v>75</v>
      </c>
      <c r="C135" s="142" t="s">
        <v>240</v>
      </c>
      <c r="D135" s="112">
        <v>900218054</v>
      </c>
      <c r="E135" s="112">
        <v>2021</v>
      </c>
      <c r="F135" s="112" t="s">
        <v>108</v>
      </c>
      <c r="G135" s="113">
        <v>0.95</v>
      </c>
      <c r="H135" s="65">
        <v>5864733047</v>
      </c>
      <c r="I135" s="65">
        <v>5891884865</v>
      </c>
      <c r="J135" s="65">
        <v>55067079</v>
      </c>
      <c r="K135" s="65">
        <v>1045257685</v>
      </c>
      <c r="L135" s="65">
        <v>4846627180</v>
      </c>
      <c r="M135" s="66">
        <v>1015866489</v>
      </c>
      <c r="N135" s="66">
        <v>1238860</v>
      </c>
      <c r="O135" s="85">
        <f t="shared" si="42"/>
        <v>106.50161863497426</v>
      </c>
      <c r="P135" s="85">
        <f t="shared" si="43"/>
        <v>0.17740633243008899</v>
      </c>
      <c r="Q135" s="85">
        <f t="shared" si="44"/>
        <v>820.00104047269269</v>
      </c>
      <c r="R135" s="85">
        <f t="shared" si="45"/>
        <v>0.20960277142670586</v>
      </c>
      <c r="S135" s="85">
        <f t="shared" si="46"/>
        <v>0.17241791248071173</v>
      </c>
      <c r="T135" s="84">
        <f t="shared" si="47"/>
        <v>5809665968</v>
      </c>
      <c r="U135" s="86">
        <f t="shared" si="48"/>
        <v>5571496394.6499996</v>
      </c>
      <c r="V135" s="86">
        <f t="shared" si="49"/>
        <v>52313725.049999997</v>
      </c>
      <c r="W135" s="86">
        <f t="shared" si="50"/>
        <v>5597290621.75</v>
      </c>
      <c r="X135" s="86">
        <f t="shared" si="51"/>
        <v>992994800.75</v>
      </c>
      <c r="Y135" s="86">
        <f t="shared" si="52"/>
        <v>4604295821</v>
      </c>
      <c r="Z135" s="86">
        <f t="shared" si="53"/>
        <v>965073164.54999995</v>
      </c>
      <c r="AA135" s="86">
        <f t="shared" si="54"/>
        <v>1176917</v>
      </c>
      <c r="AB135" s="138">
        <f t="shared" si="57"/>
        <v>93.482687045631749</v>
      </c>
      <c r="AC135" s="137">
        <f t="shared" si="58"/>
        <v>0.17865828438278236</v>
      </c>
      <c r="AD135" s="139">
        <f t="shared" si="59"/>
        <v>823.50487790811917</v>
      </c>
      <c r="AE135" s="137">
        <f t="shared" si="60"/>
        <v>0.21109766380278758</v>
      </c>
      <c r="AF135" s="137">
        <f t="shared" si="61"/>
        <v>0.17338331735056817</v>
      </c>
      <c r="AG135" s="103">
        <f t="shared" si="62"/>
        <v>6743367607</v>
      </c>
    </row>
    <row r="136" spans="1:33" s="88" customFormat="1" ht="11.25" x14ac:dyDescent="0.2">
      <c r="A136" s="83">
        <v>119</v>
      </c>
      <c r="B136" s="134">
        <v>75</v>
      </c>
      <c r="C136" s="142" t="s">
        <v>109</v>
      </c>
      <c r="D136" s="112">
        <v>901007077</v>
      </c>
      <c r="E136" s="112">
        <v>2021</v>
      </c>
      <c r="F136" s="112" t="s">
        <v>108</v>
      </c>
      <c r="G136" s="113">
        <v>0.05</v>
      </c>
      <c r="H136" s="65">
        <v>1091083288</v>
      </c>
      <c r="I136" s="65">
        <v>1212754501</v>
      </c>
      <c r="J136" s="65">
        <v>157381649</v>
      </c>
      <c r="K136" s="65">
        <v>356819417</v>
      </c>
      <c r="L136" s="65">
        <v>855935084</v>
      </c>
      <c r="M136" s="66">
        <v>318344431</v>
      </c>
      <c r="N136" s="66">
        <v>286422</v>
      </c>
      <c r="O136" s="85">
        <f t="shared" si="42"/>
        <v>6.9327224294110685</v>
      </c>
      <c r="P136" s="85">
        <f t="shared" si="43"/>
        <v>0.29422229866455057</v>
      </c>
      <c r="Q136" s="85">
        <f t="shared" si="44"/>
        <v>1111.4524408041282</v>
      </c>
      <c r="R136" s="85">
        <f t="shared" si="45"/>
        <v>0.37192590530615521</v>
      </c>
      <c r="S136" s="85">
        <f t="shared" si="46"/>
        <v>0.26249701051408425</v>
      </c>
      <c r="T136" s="84">
        <f t="shared" si="47"/>
        <v>933701639</v>
      </c>
      <c r="U136" s="86">
        <f t="shared" si="48"/>
        <v>54554164.400000006</v>
      </c>
      <c r="V136" s="86">
        <f t="shared" si="49"/>
        <v>7869082.4500000002</v>
      </c>
      <c r="W136" s="86">
        <f t="shared" si="50"/>
        <v>60637725.050000004</v>
      </c>
      <c r="X136" s="86">
        <f t="shared" si="51"/>
        <v>17840970.850000001</v>
      </c>
      <c r="Y136" s="86">
        <f t="shared" si="52"/>
        <v>42796754.200000003</v>
      </c>
      <c r="Z136" s="86">
        <f t="shared" si="53"/>
        <v>15917221.550000001</v>
      </c>
      <c r="AA136" s="86">
        <f t="shared" si="54"/>
        <v>14321.1</v>
      </c>
      <c r="AB136" s="138">
        <f t="shared" si="57"/>
        <v>93.482687045631749</v>
      </c>
      <c r="AC136" s="137">
        <f t="shared" si="58"/>
        <v>0.17865828438278236</v>
      </c>
      <c r="AD136" s="139">
        <f t="shared" si="59"/>
        <v>823.50487790811917</v>
      </c>
      <c r="AE136" s="137">
        <f t="shared" si="60"/>
        <v>0.21109766380278758</v>
      </c>
      <c r="AF136" s="137">
        <f t="shared" si="61"/>
        <v>0.17338331735056817</v>
      </c>
      <c r="AG136" s="103">
        <f t="shared" si="62"/>
        <v>6743367607</v>
      </c>
    </row>
    <row r="137" spans="1:33" s="88" customFormat="1" ht="11.25" x14ac:dyDescent="0.2">
      <c r="A137" s="83">
        <v>120</v>
      </c>
      <c r="B137" s="134">
        <v>76</v>
      </c>
      <c r="C137" s="142" t="s">
        <v>241</v>
      </c>
      <c r="D137" s="112">
        <v>901291993</v>
      </c>
      <c r="E137" s="112">
        <v>2021</v>
      </c>
      <c r="F137" s="112" t="s">
        <v>123</v>
      </c>
      <c r="G137" s="113">
        <v>0.05</v>
      </c>
      <c r="H137" s="65">
        <v>10807357</v>
      </c>
      <c r="I137" s="65">
        <v>24807357</v>
      </c>
      <c r="J137" s="65">
        <v>5967850</v>
      </c>
      <c r="K137" s="65">
        <v>6230675</v>
      </c>
      <c r="L137" s="65">
        <v>18576682</v>
      </c>
      <c r="M137" s="66">
        <v>584997</v>
      </c>
      <c r="N137" s="66">
        <v>261195</v>
      </c>
      <c r="O137" s="85">
        <f t="shared" si="42"/>
        <v>1.8109297318129645</v>
      </c>
      <c r="P137" s="85">
        <f t="shared" si="43"/>
        <v>0.25116238702897692</v>
      </c>
      <c r="Q137" s="85">
        <f t="shared" si="44"/>
        <v>2.2396944811347845</v>
      </c>
      <c r="R137" s="85">
        <f t="shared" si="45"/>
        <v>3.149093040404094E-2</v>
      </c>
      <c r="S137" s="85">
        <f t="shared" si="46"/>
        <v>2.3581593153998631E-2</v>
      </c>
      <c r="T137" s="84">
        <f t="shared" si="47"/>
        <v>4839507</v>
      </c>
      <c r="U137" s="86">
        <f t="shared" si="48"/>
        <v>540367.85</v>
      </c>
      <c r="V137" s="86">
        <f t="shared" si="49"/>
        <v>298392.5</v>
      </c>
      <c r="W137" s="86">
        <f t="shared" si="50"/>
        <v>1240367.8500000001</v>
      </c>
      <c r="X137" s="86">
        <f t="shared" si="51"/>
        <v>311533.75</v>
      </c>
      <c r="Y137" s="86">
        <f t="shared" si="52"/>
        <v>928834.10000000009</v>
      </c>
      <c r="Z137" s="86">
        <f t="shared" si="53"/>
        <v>29249.850000000002</v>
      </c>
      <c r="AA137" s="86">
        <f t="shared" si="54"/>
        <v>13059.75</v>
      </c>
      <c r="AB137" s="138">
        <f t="shared" si="57"/>
        <v>20.778233829344682</v>
      </c>
      <c r="AC137" s="137">
        <f t="shared" si="58"/>
        <v>0.1647920475655536</v>
      </c>
      <c r="AD137" s="139">
        <f t="shared" si="59"/>
        <v>1516.8601911238791</v>
      </c>
      <c r="AE137" s="137">
        <f t="shared" si="60"/>
        <v>0.29007478207485971</v>
      </c>
      <c r="AF137" s="137">
        <f t="shared" si="61"/>
        <v>0.2422727646554286</v>
      </c>
      <c r="AG137" s="103">
        <f t="shared" si="62"/>
        <v>3778675055.0799999</v>
      </c>
    </row>
    <row r="138" spans="1:33" s="88" customFormat="1" ht="11.25" x14ac:dyDescent="0.2">
      <c r="A138" s="83">
        <v>121</v>
      </c>
      <c r="B138" s="134">
        <v>76</v>
      </c>
      <c r="C138" s="142" t="s">
        <v>64</v>
      </c>
      <c r="D138" s="112">
        <v>822003568</v>
      </c>
      <c r="E138" s="112">
        <v>2021</v>
      </c>
      <c r="F138" s="112" t="s">
        <v>123</v>
      </c>
      <c r="G138" s="113">
        <v>0.95</v>
      </c>
      <c r="H138" s="65">
        <v>3964341839</v>
      </c>
      <c r="I138" s="141">
        <v>4322256951.46</v>
      </c>
      <c r="J138" s="141">
        <v>190506290.91999999</v>
      </c>
      <c r="K138" s="141">
        <v>712160803.66999996</v>
      </c>
      <c r="L138" s="141">
        <v>3610096145.79</v>
      </c>
      <c r="M138" s="143">
        <v>1047450675.39</v>
      </c>
      <c r="N138" s="143">
        <v>676811.9</v>
      </c>
      <c r="O138" s="85">
        <f t="shared" si="42"/>
        <v>20.809506184049116</v>
      </c>
      <c r="P138" s="85">
        <f t="shared" si="43"/>
        <v>0.16476595715334361</v>
      </c>
      <c r="Q138" s="85">
        <f t="shared" si="44"/>
        <v>1547.6244956538146</v>
      </c>
      <c r="R138" s="85">
        <f t="shared" si="45"/>
        <v>0.29014481417939786</v>
      </c>
      <c r="S138" s="85">
        <f t="shared" si="46"/>
        <v>0.2423388260237942</v>
      </c>
      <c r="T138" s="84">
        <f t="shared" si="47"/>
        <v>3773835548.0799999</v>
      </c>
      <c r="U138" s="86">
        <f t="shared" si="48"/>
        <v>3766124747.0499997</v>
      </c>
      <c r="V138" s="86">
        <f t="shared" si="49"/>
        <v>180980976.37399998</v>
      </c>
      <c r="W138" s="86">
        <f t="shared" si="50"/>
        <v>4106144103.8869996</v>
      </c>
      <c r="X138" s="86">
        <f t="shared" si="51"/>
        <v>676552763.48649991</v>
      </c>
      <c r="Y138" s="86">
        <f t="shared" si="52"/>
        <v>3429591338.5004997</v>
      </c>
      <c r="Z138" s="86">
        <f t="shared" si="53"/>
        <v>995078141.62049997</v>
      </c>
      <c r="AA138" s="86">
        <f t="shared" si="54"/>
        <v>642971.30499999993</v>
      </c>
      <c r="AB138" s="139">
        <f t="shared" si="57"/>
        <v>20.778233829344682</v>
      </c>
      <c r="AC138" s="137">
        <f t="shared" si="58"/>
        <v>0.1647920475655536</v>
      </c>
      <c r="AD138" s="139">
        <f t="shared" si="59"/>
        <v>1516.8601911238791</v>
      </c>
      <c r="AE138" s="137">
        <f t="shared" si="60"/>
        <v>0.29007478207485971</v>
      </c>
      <c r="AF138" s="137">
        <f t="shared" si="61"/>
        <v>0.2422727646554286</v>
      </c>
      <c r="AG138" s="103">
        <f t="shared" si="62"/>
        <v>3778675055.0799999</v>
      </c>
    </row>
    <row r="139" spans="1:33" s="88" customFormat="1" ht="11.25" x14ac:dyDescent="0.2">
      <c r="A139" s="83">
        <v>122</v>
      </c>
      <c r="B139" s="134">
        <v>77</v>
      </c>
      <c r="C139" s="142" t="s">
        <v>76</v>
      </c>
      <c r="D139" s="112">
        <v>900416314</v>
      </c>
      <c r="E139" s="112">
        <v>2021</v>
      </c>
      <c r="F139" s="112" t="s">
        <v>242</v>
      </c>
      <c r="G139" s="113">
        <v>0.5</v>
      </c>
      <c r="H139" s="65">
        <v>1851465938</v>
      </c>
      <c r="I139" s="65">
        <v>3498931186</v>
      </c>
      <c r="J139" s="65">
        <v>466477134</v>
      </c>
      <c r="K139" s="65">
        <v>1581815658</v>
      </c>
      <c r="L139" s="65">
        <v>1917115528</v>
      </c>
      <c r="M139" s="66">
        <v>325526566</v>
      </c>
      <c r="N139" s="66">
        <v>26826678</v>
      </c>
      <c r="O139" s="85">
        <f t="shared" si="42"/>
        <v>3.9690390011699908</v>
      </c>
      <c r="P139" s="85">
        <f t="shared" si="43"/>
        <v>0.45208538662583458</v>
      </c>
      <c r="Q139" s="85">
        <f t="shared" si="44"/>
        <v>12.134434461098762</v>
      </c>
      <c r="R139" s="85">
        <f t="shared" si="45"/>
        <v>0.16980018222459467</v>
      </c>
      <c r="S139" s="85">
        <f t="shared" si="46"/>
        <v>9.3036001194451615E-2</v>
      </c>
      <c r="T139" s="84">
        <f t="shared" si="47"/>
        <v>1384988804</v>
      </c>
      <c r="U139" s="86">
        <f t="shared" si="48"/>
        <v>925732969</v>
      </c>
      <c r="V139" s="86">
        <f t="shared" si="49"/>
        <v>233238567</v>
      </c>
      <c r="W139" s="86">
        <f t="shared" si="50"/>
        <v>1749465593</v>
      </c>
      <c r="X139" s="86">
        <f t="shared" si="51"/>
        <v>790907829</v>
      </c>
      <c r="Y139" s="86">
        <f t="shared" si="52"/>
        <v>958557764</v>
      </c>
      <c r="Z139" s="86">
        <f t="shared" si="53"/>
        <v>162763283</v>
      </c>
      <c r="AA139" s="86">
        <f t="shared" si="54"/>
        <v>13413339</v>
      </c>
      <c r="AB139" s="138">
        <f t="shared" si="57"/>
        <v>4.2387790131326968</v>
      </c>
      <c r="AC139" s="137">
        <f t="shared" si="58"/>
        <v>0.43329572137526134</v>
      </c>
      <c r="AD139" s="139">
        <f t="shared" si="59"/>
        <v>24.166383217482238</v>
      </c>
      <c r="AE139" s="137">
        <f t="shared" si="60"/>
        <v>0.24834196543595688</v>
      </c>
      <c r="AF139" s="137">
        <f t="shared" si="61"/>
        <v>0.14073645437463372</v>
      </c>
      <c r="AG139" s="103">
        <f t="shared" si="62"/>
        <v>1919792187</v>
      </c>
    </row>
    <row r="140" spans="1:33" s="88" customFormat="1" ht="11.25" x14ac:dyDescent="0.2">
      <c r="A140" s="83">
        <v>123</v>
      </c>
      <c r="B140" s="134">
        <v>77</v>
      </c>
      <c r="C140" s="142" t="s">
        <v>120</v>
      </c>
      <c r="D140" s="112">
        <v>901256066</v>
      </c>
      <c r="E140" s="112">
        <v>2021</v>
      </c>
      <c r="F140" s="112" t="s">
        <v>242</v>
      </c>
      <c r="G140" s="113">
        <v>0.5</v>
      </c>
      <c r="H140" s="65">
        <v>661078079</v>
      </c>
      <c r="I140" s="65">
        <v>1107578079</v>
      </c>
      <c r="J140" s="65">
        <v>126274696</v>
      </c>
      <c r="K140" s="65">
        <v>414165097</v>
      </c>
      <c r="L140" s="65">
        <v>693412982</v>
      </c>
      <c r="M140" s="66">
        <v>322777215</v>
      </c>
      <c r="N140" s="66">
        <v>0</v>
      </c>
      <c r="O140" s="85">
        <f t="shared" si="42"/>
        <v>5.2352379371398365</v>
      </c>
      <c r="P140" s="85">
        <f t="shared" si="43"/>
        <v>0.37393760751742</v>
      </c>
      <c r="Q140" s="85" t="str">
        <f t="shared" si="44"/>
        <v/>
      </c>
      <c r="R140" s="85">
        <f t="shared" si="45"/>
        <v>0.46549058552238065</v>
      </c>
      <c r="S140" s="85">
        <f t="shared" si="46"/>
        <v>0.29142614965025865</v>
      </c>
      <c r="T140" s="84">
        <f t="shared" si="47"/>
        <v>534803383</v>
      </c>
      <c r="U140" s="86">
        <f t="shared" si="48"/>
        <v>330539039.5</v>
      </c>
      <c r="V140" s="86">
        <f t="shared" si="49"/>
        <v>63137348</v>
      </c>
      <c r="W140" s="86">
        <f t="shared" si="50"/>
        <v>553789039.5</v>
      </c>
      <c r="X140" s="86">
        <f t="shared" si="51"/>
        <v>207082548.5</v>
      </c>
      <c r="Y140" s="86">
        <f t="shared" si="52"/>
        <v>346706491</v>
      </c>
      <c r="Z140" s="86">
        <f t="shared" si="53"/>
        <v>161388607.5</v>
      </c>
      <c r="AA140" s="86">
        <f t="shared" si="54"/>
        <v>0</v>
      </c>
      <c r="AB140" s="138">
        <f t="shared" si="57"/>
        <v>4.2387790131326968</v>
      </c>
      <c r="AC140" s="137">
        <f t="shared" si="58"/>
        <v>0.43329572137526134</v>
      </c>
      <c r="AD140" s="139">
        <f t="shared" si="59"/>
        <v>24.166383217482238</v>
      </c>
      <c r="AE140" s="137">
        <f t="shared" si="60"/>
        <v>0.24834196543595688</v>
      </c>
      <c r="AF140" s="137">
        <f t="shared" si="61"/>
        <v>0.14073645437463372</v>
      </c>
      <c r="AG140" s="103">
        <f t="shared" si="62"/>
        <v>1919792187</v>
      </c>
    </row>
    <row r="141" spans="1:33" s="88" customFormat="1" ht="11.25" x14ac:dyDescent="0.2">
      <c r="A141" s="83">
        <v>124</v>
      </c>
      <c r="B141" s="134">
        <v>78</v>
      </c>
      <c r="C141" s="142" t="s">
        <v>67</v>
      </c>
      <c r="D141" s="112">
        <v>810002747</v>
      </c>
      <c r="E141" s="112">
        <v>2020</v>
      </c>
      <c r="F141" s="112" t="s">
        <v>67</v>
      </c>
      <c r="G141" s="113">
        <v>1</v>
      </c>
      <c r="H141" s="65">
        <v>7349286000</v>
      </c>
      <c r="I141" s="65">
        <v>10100361000</v>
      </c>
      <c r="J141" s="65">
        <v>1970263000</v>
      </c>
      <c r="K141" s="65">
        <v>5410250000</v>
      </c>
      <c r="L141" s="65">
        <v>4690111000</v>
      </c>
      <c r="M141" s="66">
        <v>1471322000</v>
      </c>
      <c r="N141" s="66">
        <v>1167083</v>
      </c>
      <c r="O141" s="85">
        <f t="shared" si="42"/>
        <v>3.7301040520986284</v>
      </c>
      <c r="P141" s="85">
        <f t="shared" si="43"/>
        <v>0.53564917135140022</v>
      </c>
      <c r="Q141" s="85">
        <f t="shared" si="44"/>
        <v>1260.6832590312772</v>
      </c>
      <c r="R141" s="85">
        <f t="shared" si="45"/>
        <v>0.31370728752475152</v>
      </c>
      <c r="S141" s="85">
        <f t="shared" si="46"/>
        <v>0.14567023891522293</v>
      </c>
      <c r="T141" s="84">
        <f t="shared" si="47"/>
        <v>5379023000</v>
      </c>
      <c r="U141" s="86">
        <f t="shared" si="48"/>
        <v>7349286000</v>
      </c>
      <c r="V141" s="86">
        <f t="shared" si="49"/>
        <v>1970263000</v>
      </c>
      <c r="W141" s="86">
        <f t="shared" si="50"/>
        <v>10100361000</v>
      </c>
      <c r="X141" s="86">
        <f t="shared" si="51"/>
        <v>5410250000</v>
      </c>
      <c r="Y141" s="86">
        <f t="shared" si="52"/>
        <v>4690111000</v>
      </c>
      <c r="Z141" s="86">
        <f t="shared" si="53"/>
        <v>1471322000</v>
      </c>
      <c r="AA141" s="86">
        <f t="shared" si="54"/>
        <v>1167083</v>
      </c>
      <c r="AB141" s="138">
        <f t="shared" si="57"/>
        <v>3.7301040520986284</v>
      </c>
      <c r="AC141" s="137">
        <f t="shared" si="58"/>
        <v>0.53564917135140022</v>
      </c>
      <c r="AD141" s="139">
        <f t="shared" si="59"/>
        <v>1260.6832590312772</v>
      </c>
      <c r="AE141" s="137">
        <f t="shared" si="60"/>
        <v>0.31370728752475152</v>
      </c>
      <c r="AF141" s="137">
        <f t="shared" si="61"/>
        <v>0.14567023891522293</v>
      </c>
      <c r="AG141" s="103">
        <f t="shared" si="62"/>
        <v>5379023000</v>
      </c>
    </row>
    <row r="142" spans="1:33" s="88" customFormat="1" ht="11.25" x14ac:dyDescent="0.2">
      <c r="A142" s="83">
        <v>125</v>
      </c>
      <c r="B142" s="134">
        <v>79</v>
      </c>
      <c r="C142" s="142" t="s">
        <v>243</v>
      </c>
      <c r="D142" s="112">
        <v>900107376</v>
      </c>
      <c r="E142" s="112">
        <v>2021</v>
      </c>
      <c r="F142" s="112" t="s">
        <v>243</v>
      </c>
      <c r="G142" s="113">
        <v>1</v>
      </c>
      <c r="H142" s="65">
        <v>1071811782</v>
      </c>
      <c r="I142" s="65">
        <v>2947754489</v>
      </c>
      <c r="J142" s="65">
        <v>197482969</v>
      </c>
      <c r="K142" s="65">
        <v>197482969</v>
      </c>
      <c r="L142" s="65">
        <v>2750271520</v>
      </c>
      <c r="M142" s="66">
        <v>464730623</v>
      </c>
      <c r="N142" s="66">
        <v>0</v>
      </c>
      <c r="O142" s="85">
        <f t="shared" si="42"/>
        <v>5.4273631160568589</v>
      </c>
      <c r="P142" s="85">
        <f t="shared" si="43"/>
        <v>6.6994374781528823E-2</v>
      </c>
      <c r="Q142" s="85" t="str">
        <f t="shared" si="44"/>
        <v/>
      </c>
      <c r="R142" s="85">
        <f t="shared" si="45"/>
        <v>0.1689762700229685</v>
      </c>
      <c r="S142" s="85">
        <f t="shared" si="46"/>
        <v>0.15765581045986493</v>
      </c>
      <c r="T142" s="84">
        <f t="shared" si="47"/>
        <v>874328813</v>
      </c>
      <c r="U142" s="86">
        <f t="shared" si="48"/>
        <v>1071811782</v>
      </c>
      <c r="V142" s="86">
        <f t="shared" si="49"/>
        <v>197482969</v>
      </c>
      <c r="W142" s="86">
        <f t="shared" si="50"/>
        <v>2947754489</v>
      </c>
      <c r="X142" s="86">
        <f t="shared" si="51"/>
        <v>197482969</v>
      </c>
      <c r="Y142" s="86">
        <f t="shared" si="52"/>
        <v>2750271520</v>
      </c>
      <c r="Z142" s="86">
        <f t="shared" si="53"/>
        <v>464730623</v>
      </c>
      <c r="AA142" s="86">
        <f t="shared" si="54"/>
        <v>0</v>
      </c>
      <c r="AB142" s="138">
        <f t="shared" si="57"/>
        <v>5.4273631160568589</v>
      </c>
      <c r="AC142" s="137">
        <f t="shared" si="58"/>
        <v>6.6994374781528823E-2</v>
      </c>
      <c r="AD142" s="139" t="str">
        <f t="shared" si="59"/>
        <v>Indeterminado</v>
      </c>
      <c r="AE142" s="137">
        <f t="shared" si="60"/>
        <v>0.1689762700229685</v>
      </c>
      <c r="AF142" s="137">
        <f t="shared" si="61"/>
        <v>0.15765581045986493</v>
      </c>
      <c r="AG142" s="103">
        <f t="shared" si="62"/>
        <v>874328813</v>
      </c>
    </row>
    <row r="143" spans="1:33" s="88" customFormat="1" ht="11.25" x14ac:dyDescent="0.2">
      <c r="A143" s="83">
        <v>126</v>
      </c>
      <c r="B143" s="134">
        <v>80</v>
      </c>
      <c r="C143" s="142" t="s">
        <v>245</v>
      </c>
      <c r="D143" s="112">
        <v>901235914</v>
      </c>
      <c r="E143" s="112">
        <v>2021</v>
      </c>
      <c r="F143" s="112" t="s">
        <v>244</v>
      </c>
      <c r="G143" s="113">
        <v>0.48</v>
      </c>
      <c r="H143" s="65">
        <v>198505062</v>
      </c>
      <c r="I143" s="65">
        <v>224850732</v>
      </c>
      <c r="J143" s="65">
        <v>0</v>
      </c>
      <c r="K143" s="65">
        <v>18650000</v>
      </c>
      <c r="L143" s="65">
        <v>206200732</v>
      </c>
      <c r="M143" s="66">
        <v>14813070</v>
      </c>
      <c r="N143" s="66">
        <v>0</v>
      </c>
      <c r="O143" s="85" t="str">
        <f t="shared" si="42"/>
        <v/>
      </c>
      <c r="P143" s="85">
        <f t="shared" si="43"/>
        <v>8.2943914988010806E-2</v>
      </c>
      <c r="Q143" s="85" t="str">
        <f t="shared" si="44"/>
        <v/>
      </c>
      <c r="R143" s="85">
        <f t="shared" si="45"/>
        <v>7.1838105792951301E-2</v>
      </c>
      <c r="S143" s="85">
        <f t="shared" si="46"/>
        <v>6.5879572053161028E-2</v>
      </c>
      <c r="T143" s="84">
        <f t="shared" si="47"/>
        <v>198505062</v>
      </c>
      <c r="U143" s="86">
        <f t="shared" si="48"/>
        <v>95282429.75999999</v>
      </c>
      <c r="V143" s="86">
        <f t="shared" si="49"/>
        <v>0</v>
      </c>
      <c r="W143" s="86">
        <f t="shared" si="50"/>
        <v>107928351.36</v>
      </c>
      <c r="X143" s="86">
        <f t="shared" si="51"/>
        <v>8952000</v>
      </c>
      <c r="Y143" s="86">
        <f t="shared" si="52"/>
        <v>98976351.359999999</v>
      </c>
      <c r="Z143" s="86">
        <f t="shared" si="53"/>
        <v>7110273.5999999996</v>
      </c>
      <c r="AA143" s="86">
        <f t="shared" si="54"/>
        <v>0</v>
      </c>
      <c r="AB143" s="138" t="str">
        <f t="shared" si="57"/>
        <v>Indeterminado</v>
      </c>
      <c r="AC143" s="137">
        <f t="shared" si="58"/>
        <v>2.1317922381300584E-2</v>
      </c>
      <c r="AD143" s="139" t="str">
        <f t="shared" si="59"/>
        <v>Indeterminado</v>
      </c>
      <c r="AE143" s="137">
        <f t="shared" si="60"/>
        <v>1.730093124937903E-2</v>
      </c>
      <c r="AF143" s="137">
        <f t="shared" si="61"/>
        <v>1.6932111339880547E-2</v>
      </c>
      <c r="AG143" s="103">
        <f t="shared" si="62"/>
        <v>798505062</v>
      </c>
    </row>
    <row r="144" spans="1:33" x14ac:dyDescent="0.25">
      <c r="A144" s="83">
        <v>127</v>
      </c>
      <c r="B144" s="134">
        <v>80</v>
      </c>
      <c r="C144" s="142" t="s">
        <v>246</v>
      </c>
      <c r="D144" s="112">
        <v>901486370</v>
      </c>
      <c r="E144" s="112">
        <v>2021</v>
      </c>
      <c r="F144" s="112" t="s">
        <v>244</v>
      </c>
      <c r="G144" s="113">
        <v>0.52</v>
      </c>
      <c r="H144" s="65">
        <v>600000000</v>
      </c>
      <c r="I144" s="65">
        <v>600000000</v>
      </c>
      <c r="J144" s="65">
        <v>0</v>
      </c>
      <c r="K144" s="65">
        <v>0</v>
      </c>
      <c r="L144" s="65">
        <v>600000000</v>
      </c>
      <c r="M144" s="66">
        <v>0</v>
      </c>
      <c r="N144" s="66">
        <v>0</v>
      </c>
      <c r="O144" s="85" t="str">
        <f t="shared" si="42"/>
        <v/>
      </c>
      <c r="P144" s="85">
        <f t="shared" si="43"/>
        <v>0</v>
      </c>
      <c r="Q144" s="85" t="str">
        <f t="shared" si="44"/>
        <v/>
      </c>
      <c r="R144" s="85">
        <f t="shared" si="45"/>
        <v>0</v>
      </c>
      <c r="S144" s="85">
        <f t="shared" si="46"/>
        <v>0</v>
      </c>
      <c r="T144" s="84">
        <f t="shared" si="47"/>
        <v>600000000</v>
      </c>
      <c r="U144" s="86">
        <f t="shared" si="48"/>
        <v>312000000</v>
      </c>
      <c r="V144" s="86">
        <f t="shared" si="49"/>
        <v>0</v>
      </c>
      <c r="W144" s="86">
        <f t="shared" si="50"/>
        <v>312000000</v>
      </c>
      <c r="X144" s="86">
        <f t="shared" si="51"/>
        <v>0</v>
      </c>
      <c r="Y144" s="86">
        <f t="shared" si="52"/>
        <v>312000000</v>
      </c>
      <c r="Z144" s="86">
        <f t="shared" si="53"/>
        <v>0</v>
      </c>
      <c r="AA144" s="86">
        <f t="shared" si="54"/>
        <v>0</v>
      </c>
      <c r="AB144" s="138" t="str">
        <f t="shared" si="57"/>
        <v>Indeterminado</v>
      </c>
      <c r="AC144" s="137">
        <f t="shared" si="58"/>
        <v>2.1317922381300584E-2</v>
      </c>
      <c r="AD144" s="139" t="str">
        <f t="shared" si="59"/>
        <v>Indeterminado</v>
      </c>
      <c r="AE144" s="137">
        <f t="shared" si="60"/>
        <v>1.730093124937903E-2</v>
      </c>
      <c r="AF144" s="137">
        <f t="shared" si="61"/>
        <v>1.6932111339880547E-2</v>
      </c>
      <c r="AG144" s="103">
        <f t="shared" si="62"/>
        <v>798505062</v>
      </c>
    </row>
    <row r="145" spans="1:33" x14ac:dyDescent="0.25">
      <c r="A145" s="83">
        <v>128</v>
      </c>
      <c r="B145" s="62">
        <v>81</v>
      </c>
      <c r="C145" s="142" t="s">
        <v>105</v>
      </c>
      <c r="D145" s="63">
        <v>901410673</v>
      </c>
      <c r="E145" s="63">
        <v>2021</v>
      </c>
      <c r="F145" s="63" t="s">
        <v>105</v>
      </c>
      <c r="G145" s="64">
        <v>1</v>
      </c>
      <c r="H145" s="65">
        <v>1392913000</v>
      </c>
      <c r="I145" s="65">
        <v>2185904000</v>
      </c>
      <c r="J145" s="65">
        <v>202938000</v>
      </c>
      <c r="K145" s="65">
        <v>202938000</v>
      </c>
      <c r="L145" s="65">
        <v>1982966000</v>
      </c>
      <c r="M145" s="66">
        <v>234368000</v>
      </c>
      <c r="N145" s="66">
        <v>0</v>
      </c>
      <c r="O145" s="85">
        <f t="shared" si="42"/>
        <v>6.8637367077629623</v>
      </c>
      <c r="P145" s="85">
        <f t="shared" si="43"/>
        <v>9.2839392763817627E-2</v>
      </c>
      <c r="Q145" s="85" t="str">
        <f t="shared" si="44"/>
        <v/>
      </c>
      <c r="R145" s="85">
        <f t="shared" si="45"/>
        <v>0.11819062959223708</v>
      </c>
      <c r="S145" s="85">
        <f t="shared" si="46"/>
        <v>0.1072178833105205</v>
      </c>
      <c r="T145" s="84">
        <f t="shared" si="47"/>
        <v>1189975000</v>
      </c>
      <c r="U145" s="86">
        <f t="shared" si="48"/>
        <v>1392913000</v>
      </c>
      <c r="V145" s="86">
        <f t="shared" si="49"/>
        <v>202938000</v>
      </c>
      <c r="W145" s="86">
        <f t="shared" si="50"/>
        <v>2185904000</v>
      </c>
      <c r="X145" s="86">
        <f t="shared" si="51"/>
        <v>202938000</v>
      </c>
      <c r="Y145" s="86">
        <f t="shared" si="52"/>
        <v>1982966000</v>
      </c>
      <c r="Z145" s="86">
        <f t="shared" si="53"/>
        <v>234368000</v>
      </c>
      <c r="AA145" s="86">
        <f t="shared" si="54"/>
        <v>0</v>
      </c>
      <c r="AB145" s="138">
        <f t="shared" si="57"/>
        <v>6.8637367077629623</v>
      </c>
      <c r="AC145" s="137">
        <f t="shared" si="58"/>
        <v>9.2839392763817627E-2</v>
      </c>
      <c r="AD145" s="139" t="str">
        <f t="shared" si="59"/>
        <v>Indeterminado</v>
      </c>
      <c r="AE145" s="137">
        <f t="shared" si="60"/>
        <v>0.11819062959223708</v>
      </c>
      <c r="AF145" s="137">
        <f t="shared" si="61"/>
        <v>0.1072178833105205</v>
      </c>
      <c r="AG145" s="103">
        <f t="shared" si="62"/>
        <v>1189975000</v>
      </c>
    </row>
    <row r="146" spans="1:33" x14ac:dyDescent="0.25">
      <c r="A146" s="83">
        <v>129</v>
      </c>
      <c r="B146" s="62">
        <v>82</v>
      </c>
      <c r="C146" s="63" t="s">
        <v>88</v>
      </c>
      <c r="D146" s="63">
        <v>830090010</v>
      </c>
      <c r="E146" s="63">
        <v>2021</v>
      </c>
      <c r="F146" s="63" t="s">
        <v>247</v>
      </c>
      <c r="G146" s="64">
        <v>0.7</v>
      </c>
      <c r="H146" s="65">
        <v>3430444011</v>
      </c>
      <c r="I146" s="65">
        <v>5636888600</v>
      </c>
      <c r="J146" s="65">
        <v>1054148220</v>
      </c>
      <c r="K146" s="65">
        <v>2847342799</v>
      </c>
      <c r="L146" s="65">
        <v>2789545801</v>
      </c>
      <c r="M146" s="66">
        <v>686927991</v>
      </c>
      <c r="N146" s="66">
        <v>12226928.98</v>
      </c>
      <c r="O146" s="85">
        <f t="shared" si="42"/>
        <v>3.254233082137159</v>
      </c>
      <c r="P146" s="85">
        <f t="shared" si="43"/>
        <v>0.50512667555644086</v>
      </c>
      <c r="Q146" s="85">
        <f t="shared" si="44"/>
        <v>56.181563835336839</v>
      </c>
      <c r="R146" s="85">
        <f t="shared" si="45"/>
        <v>0.24625083795137873</v>
      </c>
      <c r="S146" s="85">
        <f t="shared" si="46"/>
        <v>0.12186297082401096</v>
      </c>
      <c r="T146" s="84">
        <f t="shared" si="47"/>
        <v>2376295791</v>
      </c>
      <c r="U146" s="86">
        <f t="shared" si="48"/>
        <v>2401310807.6999998</v>
      </c>
      <c r="V146" s="86">
        <f t="shared" si="49"/>
        <v>737903754</v>
      </c>
      <c r="W146" s="86">
        <f t="shared" si="50"/>
        <v>3945822019.9999995</v>
      </c>
      <c r="X146" s="86">
        <f t="shared" si="51"/>
        <v>1993139959.3</v>
      </c>
      <c r="Y146" s="86">
        <f t="shared" si="52"/>
        <v>1952682060.6999998</v>
      </c>
      <c r="Z146" s="86">
        <f t="shared" si="53"/>
        <v>480849593.69999999</v>
      </c>
      <c r="AA146" s="86">
        <f t="shared" si="54"/>
        <v>8558850.2860000003</v>
      </c>
      <c r="AB146" s="138">
        <f t="shared" ref="AB146:AB180" si="63">IF(J146="","",IFERROR(SUMIFS($U:$U,$B:$B,B146)/SUMIFS($V:$V,$B:$B,B146),"Indeterminado"))</f>
        <v>3.3084458951021869</v>
      </c>
      <c r="AC146" s="137">
        <f t="shared" ref="AC146:AC180" si="64">IFERROR(SUMIFS($X:$X,$B:$B,B146)/SUMIFS(W:W,$B:$B,B146),"")</f>
        <v>0.49929362117803755</v>
      </c>
      <c r="AD146" s="139">
        <f t="shared" ref="AD146:AD180" si="65">IF(OR(B146="",H146=""),"",IFERROR(SUMIFS($Z:$Z,$B:$B,B146)/SUMIFS($AA:$AA,$B:$B,B146),"Indeterminado"))</f>
        <v>56.791579154375988</v>
      </c>
      <c r="AE146" s="137">
        <f t="shared" ref="AE146:AE180" si="66">IFERROR(SUMIFS($Z:$Z,$B:$B,B146)/SUMIFS($Y:$Y,$B:$B,B146),"")</f>
        <v>0.2431364603408496</v>
      </c>
      <c r="AF146" s="137">
        <f t="shared" ref="AF146:AF180" si="67">IFERROR(SUMIFS($Z:$Z,$B:$B,B146)/SUMIFS($W:$W,$B:$B,B146),"")</f>
        <v>0.1217399766168565</v>
      </c>
      <c r="AG146" s="103">
        <f t="shared" si="62"/>
        <v>2997189592</v>
      </c>
    </row>
    <row r="147" spans="1:33" x14ac:dyDescent="0.25">
      <c r="A147" s="83">
        <v>130</v>
      </c>
      <c r="B147" s="62">
        <v>82</v>
      </c>
      <c r="C147" s="63" t="s">
        <v>89</v>
      </c>
      <c r="D147" s="63">
        <v>901499397</v>
      </c>
      <c r="E147" s="63">
        <v>2021</v>
      </c>
      <c r="F147" s="63" t="s">
        <v>247</v>
      </c>
      <c r="G147" s="64">
        <v>0.25</v>
      </c>
      <c r="H147" s="65">
        <v>127943280</v>
      </c>
      <c r="I147" s="65">
        <v>127943280</v>
      </c>
      <c r="J147" s="65">
        <v>16703058</v>
      </c>
      <c r="K147" s="65">
        <v>16703058</v>
      </c>
      <c r="L147" s="65">
        <v>111240222</v>
      </c>
      <c r="M147" s="66">
        <v>16290220</v>
      </c>
      <c r="N147" s="66">
        <v>0</v>
      </c>
      <c r="O147" s="85">
        <f t="shared" ref="O147:O150" si="68">IFERROR(H147/J147,"")</f>
        <v>7.6598716235075042</v>
      </c>
      <c r="P147" s="85">
        <f t="shared" ref="P147:P150" si="69">IFERROR(K147/I147,"")</f>
        <v>0.13055049081124073</v>
      </c>
      <c r="Q147" s="85" t="str">
        <f t="shared" ref="Q147:Q150" si="70">IFERROR(M147/N147,"")</f>
        <v/>
      </c>
      <c r="R147" s="85">
        <f t="shared" ref="R147:R150" si="71">IFERROR(M147/L147,"")</f>
        <v>0.14644181490396521</v>
      </c>
      <c r="S147" s="85">
        <f t="shared" ref="S147:S150" si="72">IFERROR(M147/I147,"")</f>
        <v>0.1273237640929637</v>
      </c>
      <c r="T147" s="84">
        <f t="shared" ref="T147:T150" si="73">IFERROR(H147-J147,"")</f>
        <v>111240222</v>
      </c>
      <c r="U147" s="86">
        <f t="shared" ref="U147:U150" si="74">IF($B147="","",H147*$G147)</f>
        <v>31985820</v>
      </c>
      <c r="V147" s="86">
        <f t="shared" ref="V147:V150" si="75">IF($B147="","",J147*$G147)</f>
        <v>4175764.5</v>
      </c>
      <c r="W147" s="86">
        <f t="shared" ref="W147:W150" si="76">IF($B147="","",I147*$G147)</f>
        <v>31985820</v>
      </c>
      <c r="X147" s="86">
        <f t="shared" ref="X147:X150" si="77">IF($B147="","",K147*$G147)</f>
        <v>4175764.5</v>
      </c>
      <c r="Y147" s="86">
        <f t="shared" ref="Y147:Y150" si="78">IF($B147="","",L147*$G147)</f>
        <v>27810055.5</v>
      </c>
      <c r="Z147" s="86">
        <f t="shared" ref="Z147:Z150" si="79">IF($B147="","",M147*$G147)</f>
        <v>4072555</v>
      </c>
      <c r="AA147" s="86">
        <f t="shared" ref="AA147:AA150" si="80">IF($B147="","",N147*$G147)</f>
        <v>0</v>
      </c>
      <c r="AB147" s="138">
        <f t="shared" si="63"/>
        <v>3.3084458951021869</v>
      </c>
      <c r="AC147" s="137">
        <f t="shared" si="64"/>
        <v>0.49929362117803755</v>
      </c>
      <c r="AD147" s="139">
        <f t="shared" si="65"/>
        <v>56.791579154375988</v>
      </c>
      <c r="AE147" s="137">
        <f t="shared" si="66"/>
        <v>0.2431364603408496</v>
      </c>
      <c r="AF147" s="137">
        <f t="shared" si="67"/>
        <v>0.1217399766168565</v>
      </c>
      <c r="AG147" s="103">
        <f t="shared" si="62"/>
        <v>2997189592</v>
      </c>
    </row>
    <row r="148" spans="1:33" x14ac:dyDescent="0.25">
      <c r="A148" s="83">
        <v>131</v>
      </c>
      <c r="B148" s="62">
        <v>82</v>
      </c>
      <c r="C148" s="63" t="s">
        <v>248</v>
      </c>
      <c r="D148" s="63">
        <v>900553162</v>
      </c>
      <c r="E148" s="63">
        <v>2021</v>
      </c>
      <c r="F148" s="63" t="s">
        <v>247</v>
      </c>
      <c r="G148" s="64">
        <v>0.05</v>
      </c>
      <c r="H148" s="65">
        <v>541271126</v>
      </c>
      <c r="I148" s="65">
        <v>571423105</v>
      </c>
      <c r="J148" s="65">
        <v>31617547</v>
      </c>
      <c r="K148" s="65">
        <v>60875051</v>
      </c>
      <c r="L148" s="65">
        <v>510548054</v>
      </c>
      <c r="M148" s="66">
        <v>56286730</v>
      </c>
      <c r="N148" s="66">
        <v>586658</v>
      </c>
      <c r="O148" s="85">
        <f t="shared" si="68"/>
        <v>17.119326999023674</v>
      </c>
      <c r="P148" s="85">
        <f t="shared" si="69"/>
        <v>0.1065323583651732</v>
      </c>
      <c r="Q148" s="85">
        <f t="shared" si="70"/>
        <v>95.944707137719078</v>
      </c>
      <c r="R148" s="85">
        <f t="shared" si="71"/>
        <v>0.11024766338645177</v>
      </c>
      <c r="S148" s="85">
        <f t="shared" si="72"/>
        <v>9.8502719801643296E-2</v>
      </c>
      <c r="T148" s="84">
        <f t="shared" si="73"/>
        <v>509653579</v>
      </c>
      <c r="U148" s="86">
        <f t="shared" si="74"/>
        <v>27063556.300000001</v>
      </c>
      <c r="V148" s="86">
        <f t="shared" si="75"/>
        <v>1580877.35</v>
      </c>
      <c r="W148" s="86">
        <f t="shared" si="76"/>
        <v>28571155.25</v>
      </c>
      <c r="X148" s="86">
        <f t="shared" si="77"/>
        <v>3043752.5500000003</v>
      </c>
      <c r="Y148" s="86">
        <f t="shared" si="78"/>
        <v>25527402.700000003</v>
      </c>
      <c r="Z148" s="86">
        <f t="shared" si="79"/>
        <v>2814336.5</v>
      </c>
      <c r="AA148" s="86">
        <f t="shared" si="80"/>
        <v>29332.9</v>
      </c>
      <c r="AB148" s="138">
        <f t="shared" si="63"/>
        <v>3.3084458951021869</v>
      </c>
      <c r="AC148" s="137">
        <f t="shared" si="64"/>
        <v>0.49929362117803755</v>
      </c>
      <c r="AD148" s="139">
        <f t="shared" si="65"/>
        <v>56.791579154375988</v>
      </c>
      <c r="AE148" s="137">
        <f t="shared" si="66"/>
        <v>0.2431364603408496</v>
      </c>
      <c r="AF148" s="137">
        <f t="shared" si="67"/>
        <v>0.1217399766168565</v>
      </c>
      <c r="AG148" s="103">
        <f t="shared" si="62"/>
        <v>2997189592</v>
      </c>
    </row>
    <row r="149" spans="1:33" x14ac:dyDescent="0.25">
      <c r="A149" s="83">
        <v>132</v>
      </c>
      <c r="B149" s="62">
        <v>83</v>
      </c>
      <c r="C149" s="63" t="s">
        <v>86</v>
      </c>
      <c r="D149" s="63">
        <v>800097991</v>
      </c>
      <c r="E149" s="63">
        <v>2021</v>
      </c>
      <c r="F149" s="63" t="s">
        <v>249</v>
      </c>
      <c r="G149" s="64">
        <v>0.7</v>
      </c>
      <c r="H149" s="65">
        <v>17563066576</v>
      </c>
      <c r="I149" s="65">
        <v>19330741481</v>
      </c>
      <c r="J149" s="65">
        <v>5180695199</v>
      </c>
      <c r="K149" s="65">
        <v>8211143853</v>
      </c>
      <c r="L149" s="65">
        <v>11119597628</v>
      </c>
      <c r="M149" s="66">
        <v>1793398946</v>
      </c>
      <c r="N149" s="66">
        <v>3572299</v>
      </c>
      <c r="O149" s="85">
        <f t="shared" si="68"/>
        <v>3.3900984137013306</v>
      </c>
      <c r="P149" s="85">
        <f t="shared" si="69"/>
        <v>0.42477128262620728</v>
      </c>
      <c r="Q149" s="85">
        <f t="shared" si="70"/>
        <v>502.02935028674813</v>
      </c>
      <c r="R149" s="85">
        <f t="shared" si="71"/>
        <v>0.16128271957288129</v>
      </c>
      <c r="S149" s="85">
        <f t="shared" si="72"/>
        <v>9.2774451914465594E-2</v>
      </c>
      <c r="T149" s="84">
        <f t="shared" si="73"/>
        <v>12382371377</v>
      </c>
      <c r="U149" s="86">
        <f t="shared" si="74"/>
        <v>12294146603.199999</v>
      </c>
      <c r="V149" s="86">
        <f t="shared" si="75"/>
        <v>3626486639.2999997</v>
      </c>
      <c r="W149" s="86">
        <f t="shared" si="76"/>
        <v>13531519036.699999</v>
      </c>
      <c r="X149" s="86">
        <f t="shared" si="77"/>
        <v>5747800697.0999994</v>
      </c>
      <c r="Y149" s="86">
        <f t="shared" si="78"/>
        <v>7783718339.5999994</v>
      </c>
      <c r="Z149" s="86">
        <f t="shared" si="79"/>
        <v>1255379262.1999998</v>
      </c>
      <c r="AA149" s="86">
        <f t="shared" si="80"/>
        <v>2500609.2999999998</v>
      </c>
      <c r="AB149" s="138">
        <f t="shared" si="63"/>
        <v>3.2773500737598376</v>
      </c>
      <c r="AC149" s="137">
        <f t="shared" si="64"/>
        <v>0.4237745718240597</v>
      </c>
      <c r="AD149" s="139">
        <f t="shared" si="65"/>
        <v>323.97720667836546</v>
      </c>
      <c r="AE149" s="137">
        <f t="shared" si="66"/>
        <v>0.15794614493762985</v>
      </c>
      <c r="AF149" s="137">
        <f t="shared" si="67"/>
        <v>9.1012584995424889E-2</v>
      </c>
      <c r="AG149" s="103">
        <f t="shared" ref="AG149:AG180" si="81">IFERROR(IF(T149=0,"",SUMIFS($T:$T,$B:$B,B149)),"")</f>
        <v>13535108847</v>
      </c>
    </row>
    <row r="150" spans="1:33" x14ac:dyDescent="0.25">
      <c r="A150" s="83">
        <v>133</v>
      </c>
      <c r="B150" s="62">
        <v>83</v>
      </c>
      <c r="C150" s="63" t="s">
        <v>87</v>
      </c>
      <c r="D150" s="63">
        <v>900135636</v>
      </c>
      <c r="E150" s="63">
        <v>2021</v>
      </c>
      <c r="F150" s="63" t="s">
        <v>249</v>
      </c>
      <c r="G150" s="64">
        <v>0.3</v>
      </c>
      <c r="H150" s="65">
        <v>2257386243</v>
      </c>
      <c r="I150" s="65">
        <v>2714786666</v>
      </c>
      <c r="J150" s="65">
        <v>1104648773</v>
      </c>
      <c r="K150" s="65">
        <v>1105500853</v>
      </c>
      <c r="L150" s="65">
        <v>1609285813</v>
      </c>
      <c r="M150" s="66">
        <v>167610633</v>
      </c>
      <c r="N150" s="66">
        <v>5098322</v>
      </c>
      <c r="O150" s="85">
        <f t="shared" si="68"/>
        <v>2.0435330198841402</v>
      </c>
      <c r="P150" s="85">
        <f t="shared" si="69"/>
        <v>0.40721463194338525</v>
      </c>
      <c r="Q150" s="85">
        <f t="shared" si="70"/>
        <v>32.875646732395481</v>
      </c>
      <c r="R150" s="85">
        <f t="shared" si="71"/>
        <v>0.10415218455666582</v>
      </c>
      <c r="S150" s="85">
        <f t="shared" si="72"/>
        <v>6.1739891056323611E-2</v>
      </c>
      <c r="T150" s="84">
        <f t="shared" si="73"/>
        <v>1152737470</v>
      </c>
      <c r="U150" s="86">
        <f t="shared" si="74"/>
        <v>677215872.89999998</v>
      </c>
      <c r="V150" s="86">
        <f t="shared" si="75"/>
        <v>331394631.89999998</v>
      </c>
      <c r="W150" s="86">
        <f t="shared" si="76"/>
        <v>814435999.79999995</v>
      </c>
      <c r="X150" s="86">
        <f t="shared" si="77"/>
        <v>331650255.89999998</v>
      </c>
      <c r="Y150" s="86">
        <f t="shared" si="78"/>
        <v>482785743.89999998</v>
      </c>
      <c r="Z150" s="86">
        <f t="shared" si="79"/>
        <v>50283189.899999999</v>
      </c>
      <c r="AA150" s="86">
        <f t="shared" si="80"/>
        <v>1529496.5999999999</v>
      </c>
      <c r="AB150" s="138">
        <f t="shared" si="63"/>
        <v>3.2773500737598376</v>
      </c>
      <c r="AC150" s="137">
        <f t="shared" si="64"/>
        <v>0.4237745718240597</v>
      </c>
      <c r="AD150" s="139">
        <f t="shared" si="65"/>
        <v>323.97720667836546</v>
      </c>
      <c r="AE150" s="137">
        <f t="shared" si="66"/>
        <v>0.15794614493762985</v>
      </c>
      <c r="AF150" s="137">
        <f t="shared" si="67"/>
        <v>9.1012584995424889E-2</v>
      </c>
      <c r="AG150" s="103">
        <f t="shared" si="81"/>
        <v>13535108847</v>
      </c>
    </row>
    <row r="151" spans="1:33" x14ac:dyDescent="0.25">
      <c r="A151" s="83">
        <v>134</v>
      </c>
      <c r="B151" s="62">
        <v>84</v>
      </c>
      <c r="C151" s="63" t="s">
        <v>100</v>
      </c>
      <c r="D151" s="63">
        <v>6762843</v>
      </c>
      <c r="E151" s="63">
        <v>2021</v>
      </c>
      <c r="F151" s="63" t="s">
        <v>250</v>
      </c>
      <c r="G151" s="64">
        <v>0.6</v>
      </c>
      <c r="H151" s="65">
        <v>2171298143</v>
      </c>
      <c r="I151" s="65">
        <v>6805755307</v>
      </c>
      <c r="J151" s="65">
        <v>151844524</v>
      </c>
      <c r="K151" s="65">
        <v>3380122679</v>
      </c>
      <c r="L151" s="65">
        <v>3425632628</v>
      </c>
      <c r="M151" s="66">
        <v>501186753</v>
      </c>
      <c r="N151" s="66">
        <v>55314541</v>
      </c>
      <c r="O151" s="85">
        <f t="shared" ref="O151:O180" si="82">IFERROR(H151/J151,"")</f>
        <v>14.299482693231663</v>
      </c>
      <c r="P151" s="85">
        <f t="shared" ref="P151:P180" si="83">IFERROR(K151/I151,"")</f>
        <v>0.49665651004575562</v>
      </c>
      <c r="Q151" s="85">
        <f t="shared" ref="Q151:Q180" si="84">IFERROR(M151/N151,"")</f>
        <v>9.0606691104966419</v>
      </c>
      <c r="R151" s="85">
        <f t="shared" ref="R151:R180" si="85">IFERROR(M151/L151,"")</f>
        <v>0.14630487487288144</v>
      </c>
      <c r="S151" s="85">
        <f t="shared" ref="S151:S180" si="86">IFERROR(M151/I151,"")</f>
        <v>7.3641606315835176E-2</v>
      </c>
      <c r="T151" s="84">
        <f t="shared" ref="T151:T180" si="87">IFERROR(H151-J151,"")</f>
        <v>2019453619</v>
      </c>
      <c r="U151" s="86">
        <f t="shared" ref="U151:U180" si="88">IF($B151="","",H151*$G151)</f>
        <v>1302778885.8</v>
      </c>
      <c r="V151" s="86">
        <f t="shared" ref="V151:V180" si="89">IF($B151="","",J151*$G151)</f>
        <v>91106714.399999991</v>
      </c>
      <c r="W151" s="86">
        <f t="shared" ref="W151:W180" si="90">IF($B151="","",I151*$G151)</f>
        <v>4083453184.1999998</v>
      </c>
      <c r="X151" s="86">
        <f t="shared" ref="X151:X180" si="91">IF($B151="","",K151*$G151)</f>
        <v>2028073607.3999999</v>
      </c>
      <c r="Y151" s="86">
        <f t="shared" ref="Y151:Y180" si="92">IF($B151="","",L151*$G151)</f>
        <v>2055379576.8</v>
      </c>
      <c r="Z151" s="86">
        <f t="shared" ref="Z151:Z180" si="93">IF($B151="","",M151*$G151)</f>
        <v>300712051.80000001</v>
      </c>
      <c r="AA151" s="86">
        <f t="shared" ref="AA151:AA180" si="94">IF($B151="","",N151*$G151)</f>
        <v>33188724.599999998</v>
      </c>
      <c r="AB151" s="138">
        <f t="shared" si="63"/>
        <v>9.2820350104956386</v>
      </c>
      <c r="AC151" s="137">
        <f t="shared" si="64"/>
        <v>0.40989765765654967</v>
      </c>
      <c r="AD151" s="139">
        <f t="shared" si="65"/>
        <v>22.938957892219189</v>
      </c>
      <c r="AE151" s="137">
        <f t="shared" si="66"/>
        <v>0.16775000969357493</v>
      </c>
      <c r="AF151" s="137">
        <f t="shared" si="67"/>
        <v>9.8989673648315069E-2</v>
      </c>
      <c r="AG151" s="103">
        <f t="shared" si="81"/>
        <v>8517174440</v>
      </c>
    </row>
    <row r="152" spans="1:33" x14ac:dyDescent="0.25">
      <c r="A152" s="83">
        <v>135</v>
      </c>
      <c r="B152" s="62">
        <v>84</v>
      </c>
      <c r="C152" s="63" t="s">
        <v>99</v>
      </c>
      <c r="D152" s="63">
        <v>820000836</v>
      </c>
      <c r="E152" s="63">
        <v>2021</v>
      </c>
      <c r="F152" s="63" t="s">
        <v>250</v>
      </c>
      <c r="G152" s="64">
        <v>0.4</v>
      </c>
      <c r="H152" s="65">
        <v>7420263257</v>
      </c>
      <c r="I152" s="65">
        <v>9428831624</v>
      </c>
      <c r="J152" s="65">
        <v>922542436</v>
      </c>
      <c r="K152" s="65">
        <v>2979166717</v>
      </c>
      <c r="L152" s="65">
        <v>6449664907</v>
      </c>
      <c r="M152" s="66">
        <v>1192126081</v>
      </c>
      <c r="N152" s="66">
        <v>1770757</v>
      </c>
      <c r="O152" s="85">
        <f t="shared" si="82"/>
        <v>8.0432758076399207</v>
      </c>
      <c r="P152" s="85">
        <f t="shared" si="83"/>
        <v>0.3159635080784427</v>
      </c>
      <c r="Q152" s="85">
        <f t="shared" si="84"/>
        <v>673.22963060431221</v>
      </c>
      <c r="R152" s="85">
        <f t="shared" si="85"/>
        <v>0.18483535163294337</v>
      </c>
      <c r="S152" s="85">
        <f t="shared" si="86"/>
        <v>0.12643412551408606</v>
      </c>
      <c r="T152" s="84">
        <f t="shared" si="87"/>
        <v>6497720821</v>
      </c>
      <c r="U152" s="86">
        <f t="shared" si="88"/>
        <v>2968105302.8000002</v>
      </c>
      <c r="V152" s="86">
        <f t="shared" si="89"/>
        <v>369016974.40000004</v>
      </c>
      <c r="W152" s="86">
        <f t="shared" si="90"/>
        <v>3771532649.6000004</v>
      </c>
      <c r="X152" s="86">
        <f t="shared" si="91"/>
        <v>1191666686.8</v>
      </c>
      <c r="Y152" s="86">
        <f t="shared" si="92"/>
        <v>2579865962.8000002</v>
      </c>
      <c r="Z152" s="86">
        <f t="shared" si="93"/>
        <v>476850432.40000004</v>
      </c>
      <c r="AA152" s="86">
        <f t="shared" si="94"/>
        <v>708302.8</v>
      </c>
      <c r="AB152" s="138">
        <f t="shared" si="63"/>
        <v>9.2820350104956386</v>
      </c>
      <c r="AC152" s="137">
        <f t="shared" si="64"/>
        <v>0.40989765765654967</v>
      </c>
      <c r="AD152" s="139">
        <f t="shared" si="65"/>
        <v>22.938957892219189</v>
      </c>
      <c r="AE152" s="137">
        <f t="shared" si="66"/>
        <v>0.16775000969357493</v>
      </c>
      <c r="AF152" s="137">
        <f t="shared" si="67"/>
        <v>9.8989673648315069E-2</v>
      </c>
      <c r="AG152" s="103">
        <f t="shared" si="81"/>
        <v>8517174440</v>
      </c>
    </row>
    <row r="153" spans="1:33" x14ac:dyDescent="0.25">
      <c r="A153" s="83">
        <v>136</v>
      </c>
      <c r="B153" s="62">
        <v>85</v>
      </c>
      <c r="C153" s="63" t="s">
        <v>252</v>
      </c>
      <c r="D153" s="63">
        <v>901417454</v>
      </c>
      <c r="E153" s="63">
        <v>2021</v>
      </c>
      <c r="F153" s="63" t="s">
        <v>251</v>
      </c>
      <c r="G153" s="64">
        <v>0.05</v>
      </c>
      <c r="H153" s="65">
        <v>3153960058</v>
      </c>
      <c r="I153" s="65">
        <v>3171199643</v>
      </c>
      <c r="J153" s="65">
        <v>542800272</v>
      </c>
      <c r="K153" s="65">
        <v>1720278405</v>
      </c>
      <c r="L153" s="65">
        <v>1450921238</v>
      </c>
      <c r="M153" s="66">
        <v>878335611</v>
      </c>
      <c r="N153" s="66">
        <v>0</v>
      </c>
      <c r="O153" s="85">
        <f t="shared" si="82"/>
        <v>5.8105351465262345</v>
      </c>
      <c r="P153" s="85">
        <f t="shared" si="83"/>
        <v>0.54246928565260311</v>
      </c>
      <c r="Q153" s="85" t="str">
        <f t="shared" si="84"/>
        <v/>
      </c>
      <c r="R153" s="85">
        <f t="shared" si="85"/>
        <v>0.60536408730961044</v>
      </c>
      <c r="S153" s="85">
        <f t="shared" si="86"/>
        <v>0.27697266330702597</v>
      </c>
      <c r="T153" s="84">
        <f t="shared" si="87"/>
        <v>2611159786</v>
      </c>
      <c r="U153" s="86">
        <f t="shared" si="88"/>
        <v>157698002.90000001</v>
      </c>
      <c r="V153" s="86">
        <f t="shared" si="89"/>
        <v>27140013.600000001</v>
      </c>
      <c r="W153" s="86">
        <f t="shared" si="90"/>
        <v>158559982.15000001</v>
      </c>
      <c r="X153" s="86">
        <f t="shared" si="91"/>
        <v>86013920.25</v>
      </c>
      <c r="Y153" s="86">
        <f t="shared" si="92"/>
        <v>72546061.900000006</v>
      </c>
      <c r="Z153" s="86">
        <f t="shared" si="93"/>
        <v>43916780.550000004</v>
      </c>
      <c r="AA153" s="86">
        <f t="shared" si="94"/>
        <v>0</v>
      </c>
      <c r="AB153" s="138">
        <f t="shared" si="63"/>
        <v>56.48735312185439</v>
      </c>
      <c r="AC153" s="137">
        <f t="shared" si="64"/>
        <v>0.23626725343647548</v>
      </c>
      <c r="AD153" s="139">
        <f t="shared" si="65"/>
        <v>31.513052196224052</v>
      </c>
      <c r="AE153" s="137">
        <f t="shared" si="66"/>
        <v>0.71701872963291469</v>
      </c>
      <c r="AF153" s="137">
        <f t="shared" si="67"/>
        <v>0.54761068372003507</v>
      </c>
      <c r="AG153" s="103">
        <f t="shared" si="81"/>
        <v>4809488840</v>
      </c>
    </row>
    <row r="154" spans="1:33" x14ac:dyDescent="0.25">
      <c r="A154" s="83">
        <v>137</v>
      </c>
      <c r="B154" s="62">
        <v>85</v>
      </c>
      <c r="C154" s="63" t="s">
        <v>253</v>
      </c>
      <c r="D154" s="63">
        <v>830509427</v>
      </c>
      <c r="E154" s="63">
        <v>2021</v>
      </c>
      <c r="F154" s="63" t="s">
        <v>251</v>
      </c>
      <c r="G154" s="64">
        <v>0.95</v>
      </c>
      <c r="H154" s="65">
        <v>2211855950</v>
      </c>
      <c r="I154" s="65">
        <v>2415085073</v>
      </c>
      <c r="J154" s="65">
        <v>13526896</v>
      </c>
      <c r="K154" s="65">
        <v>519498792</v>
      </c>
      <c r="L154" s="65">
        <v>1895586281</v>
      </c>
      <c r="M154" s="66">
        <v>1367697293</v>
      </c>
      <c r="N154" s="66">
        <v>44867932</v>
      </c>
      <c r="O154" s="85">
        <f t="shared" si="82"/>
        <v>163.51541033508352</v>
      </c>
      <c r="P154" s="85">
        <f t="shared" si="83"/>
        <v>0.21510579391502868</v>
      </c>
      <c r="Q154" s="85">
        <f t="shared" si="84"/>
        <v>30.482735264018853</v>
      </c>
      <c r="R154" s="85">
        <f t="shared" si="85"/>
        <v>0.72151677120098334</v>
      </c>
      <c r="S154" s="85">
        <f t="shared" si="86"/>
        <v>0.56631433330878778</v>
      </c>
      <c r="T154" s="84">
        <f t="shared" si="87"/>
        <v>2198329054</v>
      </c>
      <c r="U154" s="86">
        <f t="shared" si="88"/>
        <v>2101263152.5</v>
      </c>
      <c r="V154" s="86">
        <f t="shared" si="89"/>
        <v>12850551.199999999</v>
      </c>
      <c r="W154" s="86">
        <f t="shared" si="90"/>
        <v>2294330819.3499999</v>
      </c>
      <c r="X154" s="86">
        <f t="shared" si="91"/>
        <v>493523852.39999998</v>
      </c>
      <c r="Y154" s="86">
        <f t="shared" si="92"/>
        <v>1800806966.9499998</v>
      </c>
      <c r="Z154" s="86">
        <f t="shared" si="93"/>
        <v>1299312428.3499999</v>
      </c>
      <c r="AA154" s="86">
        <f t="shared" si="94"/>
        <v>42624535.399999999</v>
      </c>
      <c r="AB154" s="138">
        <f t="shared" si="63"/>
        <v>56.48735312185439</v>
      </c>
      <c r="AC154" s="137">
        <f t="shared" si="64"/>
        <v>0.23626725343647548</v>
      </c>
      <c r="AD154" s="139">
        <f t="shared" si="65"/>
        <v>31.513052196224052</v>
      </c>
      <c r="AE154" s="137">
        <f t="shared" si="66"/>
        <v>0.71701872963291469</v>
      </c>
      <c r="AF154" s="137">
        <f t="shared" si="67"/>
        <v>0.54761068372003507</v>
      </c>
      <c r="AG154" s="103">
        <f t="shared" si="81"/>
        <v>4809488840</v>
      </c>
    </row>
    <row r="155" spans="1:33" x14ac:dyDescent="0.25">
      <c r="A155" s="83">
        <v>138</v>
      </c>
      <c r="B155" s="62">
        <v>86</v>
      </c>
      <c r="C155" s="63" t="s">
        <v>254</v>
      </c>
      <c r="D155" s="63">
        <v>860038275</v>
      </c>
      <c r="E155" s="63">
        <v>2021</v>
      </c>
      <c r="F155" s="63" t="s">
        <v>254</v>
      </c>
      <c r="G155" s="64">
        <v>1</v>
      </c>
      <c r="H155" s="65">
        <v>1264870948</v>
      </c>
      <c r="I155" s="65">
        <v>1791728318</v>
      </c>
      <c r="J155" s="65">
        <v>256288169</v>
      </c>
      <c r="K155" s="65">
        <v>431370000</v>
      </c>
      <c r="L155" s="65">
        <v>1360358318</v>
      </c>
      <c r="M155" s="66">
        <v>350790733</v>
      </c>
      <c r="N155" s="66">
        <v>11065821</v>
      </c>
      <c r="O155" s="85">
        <f t="shared" si="82"/>
        <v>4.9353466175803069</v>
      </c>
      <c r="P155" s="85">
        <f t="shared" si="83"/>
        <v>0.24075636672501372</v>
      </c>
      <c r="Q155" s="85">
        <f t="shared" si="84"/>
        <v>31.700380206764596</v>
      </c>
      <c r="R155" s="85">
        <f t="shared" si="85"/>
        <v>0.25786642266115067</v>
      </c>
      <c r="S155" s="85">
        <f t="shared" si="86"/>
        <v>0.19578343964087527</v>
      </c>
      <c r="T155" s="84">
        <f t="shared" si="87"/>
        <v>1008582779</v>
      </c>
      <c r="U155" s="86">
        <f t="shared" si="88"/>
        <v>1264870948</v>
      </c>
      <c r="V155" s="86">
        <f t="shared" si="89"/>
        <v>256288169</v>
      </c>
      <c r="W155" s="86">
        <f t="shared" si="90"/>
        <v>1791728318</v>
      </c>
      <c r="X155" s="86">
        <f t="shared" si="91"/>
        <v>431370000</v>
      </c>
      <c r="Y155" s="86">
        <f t="shared" si="92"/>
        <v>1360358318</v>
      </c>
      <c r="Z155" s="86">
        <f t="shared" si="93"/>
        <v>350790733</v>
      </c>
      <c r="AA155" s="86">
        <f t="shared" si="94"/>
        <v>11065821</v>
      </c>
      <c r="AB155" s="138">
        <f t="shared" si="63"/>
        <v>4.9353466175803069</v>
      </c>
      <c r="AC155" s="137">
        <f t="shared" si="64"/>
        <v>0.24075636672501372</v>
      </c>
      <c r="AD155" s="139">
        <f t="shared" si="65"/>
        <v>31.700380206764596</v>
      </c>
      <c r="AE155" s="137">
        <f t="shared" si="66"/>
        <v>0.25786642266115067</v>
      </c>
      <c r="AF155" s="137">
        <f t="shared" si="67"/>
        <v>0.19578343964087527</v>
      </c>
      <c r="AG155" s="103">
        <f t="shared" si="81"/>
        <v>1008582779</v>
      </c>
    </row>
    <row r="156" spans="1:33" x14ac:dyDescent="0.25">
      <c r="A156" s="83">
        <v>139</v>
      </c>
      <c r="B156" s="62">
        <v>87</v>
      </c>
      <c r="C156" s="63" t="s">
        <v>256</v>
      </c>
      <c r="D156" s="63">
        <v>900396810</v>
      </c>
      <c r="E156" s="63">
        <v>2021</v>
      </c>
      <c r="F156" s="63" t="s">
        <v>255</v>
      </c>
      <c r="G156" s="64">
        <v>0.05</v>
      </c>
      <c r="H156" s="65">
        <v>547081162</v>
      </c>
      <c r="I156" s="65">
        <v>562337062</v>
      </c>
      <c r="J156" s="65">
        <v>23191473</v>
      </c>
      <c r="K156" s="65">
        <v>173540732</v>
      </c>
      <c r="L156" s="65">
        <v>388796330</v>
      </c>
      <c r="M156" s="66">
        <v>42291720</v>
      </c>
      <c r="N156" s="66">
        <v>0</v>
      </c>
      <c r="O156" s="85">
        <f t="shared" si="82"/>
        <v>23.589754820661888</v>
      </c>
      <c r="P156" s="85">
        <f t="shared" si="83"/>
        <v>0.30860625010698656</v>
      </c>
      <c r="Q156" s="85" t="str">
        <f t="shared" si="84"/>
        <v/>
      </c>
      <c r="R156" s="85">
        <f t="shared" si="85"/>
        <v>0.10877602676959425</v>
      </c>
      <c r="S156" s="85">
        <f t="shared" si="86"/>
        <v>7.5207065046692584E-2</v>
      </c>
      <c r="T156" s="84">
        <f t="shared" si="87"/>
        <v>523889689</v>
      </c>
      <c r="U156" s="86">
        <f t="shared" si="88"/>
        <v>27354058.100000001</v>
      </c>
      <c r="V156" s="86">
        <f t="shared" si="89"/>
        <v>1159573.6500000001</v>
      </c>
      <c r="W156" s="86">
        <f t="shared" si="90"/>
        <v>28116853.100000001</v>
      </c>
      <c r="X156" s="86">
        <f t="shared" si="91"/>
        <v>8677036.5999999996</v>
      </c>
      <c r="Y156" s="86">
        <f t="shared" si="92"/>
        <v>19439816.5</v>
      </c>
      <c r="Z156" s="86">
        <f t="shared" si="93"/>
        <v>2114586</v>
      </c>
      <c r="AA156" s="86">
        <f t="shared" si="94"/>
        <v>0</v>
      </c>
      <c r="AB156" s="138">
        <f t="shared" si="63"/>
        <v>7.1626502093153306</v>
      </c>
      <c r="AC156" s="137">
        <f t="shared" si="64"/>
        <v>0.34875568160305398</v>
      </c>
      <c r="AD156" s="139">
        <f t="shared" si="65"/>
        <v>1.5195395389590445</v>
      </c>
      <c r="AE156" s="137">
        <f t="shared" si="66"/>
        <v>8.1017884735470933E-2</v>
      </c>
      <c r="AF156" s="137">
        <f t="shared" si="67"/>
        <v>5.2762437122514126E-2</v>
      </c>
      <c r="AG156" s="103">
        <f t="shared" si="81"/>
        <v>1498822551</v>
      </c>
    </row>
    <row r="157" spans="1:33" x14ac:dyDescent="0.25">
      <c r="A157" s="83">
        <v>140</v>
      </c>
      <c r="B157" s="62">
        <v>87</v>
      </c>
      <c r="C157" s="63" t="s">
        <v>77</v>
      </c>
      <c r="D157" s="63">
        <v>900614314</v>
      </c>
      <c r="E157" s="63">
        <v>2021</v>
      </c>
      <c r="F157" s="63" t="s">
        <v>255</v>
      </c>
      <c r="G157" s="64">
        <v>0.95</v>
      </c>
      <c r="H157" s="65">
        <v>1136386752</v>
      </c>
      <c r="I157" s="65">
        <v>1136464252</v>
      </c>
      <c r="J157" s="65">
        <v>161453890</v>
      </c>
      <c r="K157" s="65">
        <v>397536655</v>
      </c>
      <c r="L157" s="65">
        <v>738927597</v>
      </c>
      <c r="M157" s="66">
        <v>59298337</v>
      </c>
      <c r="N157" s="66">
        <v>40488724</v>
      </c>
      <c r="O157" s="85">
        <f t="shared" si="82"/>
        <v>7.0384600333878611</v>
      </c>
      <c r="P157" s="85">
        <f t="shared" si="83"/>
        <v>0.34980128437863084</v>
      </c>
      <c r="Q157" s="85">
        <f t="shared" si="84"/>
        <v>1.4645642327478634</v>
      </c>
      <c r="R157" s="85">
        <f t="shared" si="85"/>
        <v>8.0249184413665908E-2</v>
      </c>
      <c r="S157" s="85">
        <f t="shared" si="86"/>
        <v>5.2177916635427965E-2</v>
      </c>
      <c r="T157" s="84">
        <f t="shared" si="87"/>
        <v>974932862</v>
      </c>
      <c r="U157" s="86">
        <f t="shared" si="88"/>
        <v>1079567414.3999999</v>
      </c>
      <c r="V157" s="86">
        <f t="shared" si="89"/>
        <v>153381195.5</v>
      </c>
      <c r="W157" s="86">
        <f t="shared" si="90"/>
        <v>1079641039.3999999</v>
      </c>
      <c r="X157" s="86">
        <f t="shared" si="91"/>
        <v>377659822.25</v>
      </c>
      <c r="Y157" s="86">
        <f t="shared" si="92"/>
        <v>701981217.14999998</v>
      </c>
      <c r="Z157" s="86">
        <f t="shared" si="93"/>
        <v>56333420.149999999</v>
      </c>
      <c r="AA157" s="86">
        <f t="shared" si="94"/>
        <v>38464287.799999997</v>
      </c>
      <c r="AB157" s="138">
        <f t="shared" si="63"/>
        <v>7.1626502093153306</v>
      </c>
      <c r="AC157" s="137">
        <f t="shared" si="64"/>
        <v>0.34875568160305398</v>
      </c>
      <c r="AD157" s="139">
        <f t="shared" si="65"/>
        <v>1.5195395389590445</v>
      </c>
      <c r="AE157" s="137">
        <f t="shared" si="66"/>
        <v>8.1017884735470933E-2</v>
      </c>
      <c r="AF157" s="137">
        <f t="shared" si="67"/>
        <v>5.2762437122514126E-2</v>
      </c>
      <c r="AG157" s="103">
        <f t="shared" si="81"/>
        <v>1498822551</v>
      </c>
    </row>
    <row r="158" spans="1:33" x14ac:dyDescent="0.25">
      <c r="A158" s="83">
        <v>141</v>
      </c>
      <c r="B158" s="62">
        <v>88</v>
      </c>
      <c r="C158" s="63" t="s">
        <v>90</v>
      </c>
      <c r="D158" s="63">
        <v>7227602</v>
      </c>
      <c r="E158" s="63">
        <v>2021</v>
      </c>
      <c r="F158" s="63" t="s">
        <v>257</v>
      </c>
      <c r="G158" s="64">
        <v>0.5</v>
      </c>
      <c r="H158" s="65">
        <v>4138258672</v>
      </c>
      <c r="I158" s="65">
        <v>4952226972</v>
      </c>
      <c r="J158" s="65">
        <v>138004416</v>
      </c>
      <c r="K158" s="65">
        <v>659377249</v>
      </c>
      <c r="L158" s="65">
        <v>4292849723</v>
      </c>
      <c r="M158" s="66">
        <v>686710491</v>
      </c>
      <c r="N158" s="66">
        <v>16511363</v>
      </c>
      <c r="O158" s="85">
        <f t="shared" si="82"/>
        <v>29.98642211565172</v>
      </c>
      <c r="P158" s="85">
        <f t="shared" si="83"/>
        <v>0.13314762282264797</v>
      </c>
      <c r="Q158" s="85">
        <f t="shared" si="84"/>
        <v>41.590175868582136</v>
      </c>
      <c r="R158" s="85">
        <f t="shared" si="85"/>
        <v>0.15996611465823724</v>
      </c>
      <c r="S158" s="85">
        <f t="shared" si="86"/>
        <v>0.13866700675931781</v>
      </c>
      <c r="T158" s="84">
        <f t="shared" si="87"/>
        <v>4000254256</v>
      </c>
      <c r="U158" s="86">
        <f t="shared" si="88"/>
        <v>2069129336</v>
      </c>
      <c r="V158" s="86">
        <f t="shared" si="89"/>
        <v>69002208</v>
      </c>
      <c r="W158" s="86">
        <f t="shared" si="90"/>
        <v>2476113486</v>
      </c>
      <c r="X158" s="86">
        <f t="shared" si="91"/>
        <v>329688624.5</v>
      </c>
      <c r="Y158" s="86">
        <f t="shared" si="92"/>
        <v>2146424861.5</v>
      </c>
      <c r="Z158" s="86">
        <f t="shared" si="93"/>
        <v>343355245.5</v>
      </c>
      <c r="AA158" s="86">
        <f t="shared" si="94"/>
        <v>8255681.5</v>
      </c>
      <c r="AB158" s="138">
        <f t="shared" si="63"/>
        <v>28.971709953285071</v>
      </c>
      <c r="AC158" s="137">
        <f t="shared" si="64"/>
        <v>0.17475891399849908</v>
      </c>
      <c r="AD158" s="139">
        <f t="shared" si="65"/>
        <v>38.72188365735596</v>
      </c>
      <c r="AE158" s="137">
        <f t="shared" si="66"/>
        <v>0.18493806963444109</v>
      </c>
      <c r="AF158" s="137">
        <f t="shared" si="67"/>
        <v>0.15261849342814734</v>
      </c>
      <c r="AG158" s="103">
        <f t="shared" si="81"/>
        <v>6814158673</v>
      </c>
    </row>
    <row r="159" spans="1:33" x14ac:dyDescent="0.25">
      <c r="A159" s="83">
        <v>142</v>
      </c>
      <c r="B159" s="62">
        <v>88</v>
      </c>
      <c r="C159" s="63" t="s">
        <v>91</v>
      </c>
      <c r="D159" s="63">
        <v>5689243</v>
      </c>
      <c r="E159" s="63">
        <v>2021</v>
      </c>
      <c r="F159" s="63" t="s">
        <v>257</v>
      </c>
      <c r="G159" s="64">
        <v>0.2</v>
      </c>
      <c r="H159" s="65">
        <v>368298673</v>
      </c>
      <c r="I159" s="65">
        <v>817137695</v>
      </c>
      <c r="J159" s="65">
        <v>23500000</v>
      </c>
      <c r="K159" s="65">
        <v>26400000</v>
      </c>
      <c r="L159" s="65">
        <v>790737695</v>
      </c>
      <c r="M159" s="66">
        <v>121166033</v>
      </c>
      <c r="N159" s="66">
        <v>250000</v>
      </c>
      <c r="O159" s="85">
        <f t="shared" si="82"/>
        <v>15.672283957446808</v>
      </c>
      <c r="P159" s="85">
        <f t="shared" si="83"/>
        <v>3.23078964066148E-2</v>
      </c>
      <c r="Q159" s="85">
        <f t="shared" si="84"/>
        <v>484.664132</v>
      </c>
      <c r="R159" s="85">
        <f t="shared" si="85"/>
        <v>0.15323163896973446</v>
      </c>
      <c r="S159" s="85">
        <f t="shared" si="86"/>
        <v>0.14828104705168449</v>
      </c>
      <c r="T159" s="84">
        <f t="shared" si="87"/>
        <v>344798673</v>
      </c>
      <c r="U159" s="86">
        <f t="shared" si="88"/>
        <v>73659734.600000009</v>
      </c>
      <c r="V159" s="86">
        <f t="shared" si="89"/>
        <v>4700000</v>
      </c>
      <c r="W159" s="86">
        <f t="shared" si="90"/>
        <v>163427539</v>
      </c>
      <c r="X159" s="86">
        <f t="shared" si="91"/>
        <v>5280000</v>
      </c>
      <c r="Y159" s="86">
        <f t="shared" si="92"/>
        <v>158147539</v>
      </c>
      <c r="Z159" s="86">
        <f t="shared" si="93"/>
        <v>24233206.600000001</v>
      </c>
      <c r="AA159" s="86">
        <f t="shared" si="94"/>
        <v>50000</v>
      </c>
      <c r="AB159" s="138">
        <f t="shared" si="63"/>
        <v>28.971709953285071</v>
      </c>
      <c r="AC159" s="137">
        <f t="shared" si="64"/>
        <v>0.17475891399849908</v>
      </c>
      <c r="AD159" s="139">
        <f t="shared" si="65"/>
        <v>38.72188365735596</v>
      </c>
      <c r="AE159" s="137">
        <f t="shared" si="66"/>
        <v>0.18493806963444109</v>
      </c>
      <c r="AF159" s="137">
        <f t="shared" si="67"/>
        <v>0.15261849342814734</v>
      </c>
      <c r="AG159" s="103">
        <f t="shared" si="81"/>
        <v>6814158673</v>
      </c>
    </row>
    <row r="160" spans="1:33" x14ac:dyDescent="0.25">
      <c r="A160" s="83">
        <v>143</v>
      </c>
      <c r="B160" s="62">
        <v>88</v>
      </c>
      <c r="C160" s="63" t="s">
        <v>92</v>
      </c>
      <c r="D160" s="63">
        <v>7162821</v>
      </c>
      <c r="E160" s="63">
        <v>2021</v>
      </c>
      <c r="F160" s="63" t="s">
        <v>257</v>
      </c>
      <c r="G160" s="64">
        <v>0.3</v>
      </c>
      <c r="H160" s="65">
        <v>2558272239</v>
      </c>
      <c r="I160" s="65">
        <v>2939212835</v>
      </c>
      <c r="J160" s="65">
        <v>89166495</v>
      </c>
      <c r="K160" s="65">
        <v>934702638</v>
      </c>
      <c r="L160" s="65">
        <v>2004510197</v>
      </c>
      <c r="M160" s="66">
        <v>566092643</v>
      </c>
      <c r="N160" s="66">
        <v>18577317</v>
      </c>
      <c r="O160" s="85">
        <f t="shared" si="82"/>
        <v>28.690958851752555</v>
      </c>
      <c r="P160" s="85">
        <f t="shared" si="83"/>
        <v>0.3180112126857938</v>
      </c>
      <c r="Q160" s="85">
        <f t="shared" si="84"/>
        <v>30.472249733371079</v>
      </c>
      <c r="R160" s="85">
        <f t="shared" si="85"/>
        <v>0.28240946034957987</v>
      </c>
      <c r="S160" s="85">
        <f t="shared" si="86"/>
        <v>0.19260008538986936</v>
      </c>
      <c r="T160" s="84">
        <f t="shared" si="87"/>
        <v>2469105744</v>
      </c>
      <c r="U160" s="86">
        <f t="shared" si="88"/>
        <v>767481671.69999993</v>
      </c>
      <c r="V160" s="86">
        <f t="shared" si="89"/>
        <v>26749948.5</v>
      </c>
      <c r="W160" s="86">
        <f t="shared" si="90"/>
        <v>881763850.5</v>
      </c>
      <c r="X160" s="86">
        <f t="shared" si="91"/>
        <v>280410791.39999998</v>
      </c>
      <c r="Y160" s="86">
        <f t="shared" si="92"/>
        <v>601353059.10000002</v>
      </c>
      <c r="Z160" s="86">
        <f t="shared" si="93"/>
        <v>169827792.90000001</v>
      </c>
      <c r="AA160" s="86">
        <f t="shared" si="94"/>
        <v>5573195.0999999996</v>
      </c>
      <c r="AB160" s="138">
        <f t="shared" si="63"/>
        <v>28.971709953285071</v>
      </c>
      <c r="AC160" s="137">
        <f t="shared" si="64"/>
        <v>0.17475891399849908</v>
      </c>
      <c r="AD160" s="139">
        <f t="shared" si="65"/>
        <v>38.72188365735596</v>
      </c>
      <c r="AE160" s="137">
        <f t="shared" si="66"/>
        <v>0.18493806963444109</v>
      </c>
      <c r="AF160" s="137">
        <f t="shared" si="67"/>
        <v>0.15261849342814734</v>
      </c>
      <c r="AG160" s="103">
        <f t="shared" si="81"/>
        <v>6814158673</v>
      </c>
    </row>
    <row r="161" spans="1:33" x14ac:dyDescent="0.25">
      <c r="A161" s="83">
        <v>144</v>
      </c>
      <c r="B161" s="62">
        <v>89</v>
      </c>
      <c r="C161" s="63" t="s">
        <v>259</v>
      </c>
      <c r="D161" s="63">
        <v>901494426</v>
      </c>
      <c r="E161" s="63">
        <v>2021</v>
      </c>
      <c r="F161" s="63" t="s">
        <v>258</v>
      </c>
      <c r="G161" s="64">
        <v>0.4</v>
      </c>
      <c r="H161" s="65">
        <v>337637903</v>
      </c>
      <c r="I161" s="65">
        <v>337637903</v>
      </c>
      <c r="J161" s="65">
        <v>36425898</v>
      </c>
      <c r="K161" s="65">
        <v>38359989</v>
      </c>
      <c r="L161" s="65">
        <v>299277913</v>
      </c>
      <c r="M161" s="66">
        <v>0</v>
      </c>
      <c r="N161" s="66">
        <v>0</v>
      </c>
      <c r="O161" s="85">
        <f t="shared" si="82"/>
        <v>9.2691717030558856</v>
      </c>
      <c r="P161" s="85">
        <f t="shared" si="83"/>
        <v>0.11361280430651176</v>
      </c>
      <c r="Q161" s="85" t="str">
        <f t="shared" si="84"/>
        <v/>
      </c>
      <c r="R161" s="85">
        <f t="shared" si="85"/>
        <v>0</v>
      </c>
      <c r="S161" s="85">
        <f t="shared" si="86"/>
        <v>0</v>
      </c>
      <c r="T161" s="84">
        <f t="shared" si="87"/>
        <v>301212005</v>
      </c>
      <c r="U161" s="86">
        <f t="shared" si="88"/>
        <v>135055161.20000002</v>
      </c>
      <c r="V161" s="86">
        <f t="shared" si="89"/>
        <v>14570359.200000001</v>
      </c>
      <c r="W161" s="86">
        <f t="shared" si="90"/>
        <v>135055161.20000002</v>
      </c>
      <c r="X161" s="86">
        <f t="shared" si="91"/>
        <v>15343995.600000001</v>
      </c>
      <c r="Y161" s="86">
        <f t="shared" si="92"/>
        <v>119711165.2</v>
      </c>
      <c r="Z161" s="86">
        <f t="shared" si="93"/>
        <v>0</v>
      </c>
      <c r="AA161" s="86">
        <f t="shared" si="94"/>
        <v>0</v>
      </c>
      <c r="AB161" s="138">
        <f t="shared" si="63"/>
        <v>12.802633209605997</v>
      </c>
      <c r="AC161" s="137">
        <f t="shared" si="64"/>
        <v>0.33179509830228948</v>
      </c>
      <c r="AD161" s="139">
        <f t="shared" si="65"/>
        <v>6.226960246913972</v>
      </c>
      <c r="AE161" s="137">
        <f t="shared" si="66"/>
        <v>0.23811803318453206</v>
      </c>
      <c r="AF161" s="137">
        <f t="shared" si="67"/>
        <v>0.1591116369235277</v>
      </c>
      <c r="AG161" s="103">
        <f t="shared" si="81"/>
        <v>4463112912</v>
      </c>
    </row>
    <row r="162" spans="1:33" x14ac:dyDescent="0.25">
      <c r="A162" s="83">
        <v>145</v>
      </c>
      <c r="B162" s="62">
        <v>89</v>
      </c>
      <c r="C162" s="63" t="s">
        <v>127</v>
      </c>
      <c r="D162" s="63">
        <v>830023761</v>
      </c>
      <c r="E162" s="63">
        <v>2021</v>
      </c>
      <c r="F162" s="63" t="s">
        <v>258</v>
      </c>
      <c r="G162" s="64">
        <v>0.6</v>
      </c>
      <c r="H162" s="65">
        <v>4507255583</v>
      </c>
      <c r="I162" s="65">
        <v>4586135193</v>
      </c>
      <c r="J162" s="65">
        <v>345354676</v>
      </c>
      <c r="K162" s="65">
        <v>1570768252</v>
      </c>
      <c r="L162" s="65">
        <v>3015366941</v>
      </c>
      <c r="M162" s="66">
        <v>765522224</v>
      </c>
      <c r="N162" s="66">
        <v>122936745</v>
      </c>
      <c r="O162" s="85">
        <f t="shared" si="82"/>
        <v>13.051091808584633</v>
      </c>
      <c r="P162" s="85">
        <f t="shared" si="83"/>
        <v>0.34250369557302318</v>
      </c>
      <c r="Q162" s="85">
        <f t="shared" si="84"/>
        <v>6.226960246913972</v>
      </c>
      <c r="R162" s="85">
        <f t="shared" si="85"/>
        <v>0.25387365417826274</v>
      </c>
      <c r="S162" s="85">
        <f t="shared" si="86"/>
        <v>0.16692098941358008</v>
      </c>
      <c r="T162" s="84">
        <f t="shared" si="87"/>
        <v>4161900907</v>
      </c>
      <c r="U162" s="86">
        <f t="shared" si="88"/>
        <v>2704353349.7999997</v>
      </c>
      <c r="V162" s="86">
        <f t="shared" si="89"/>
        <v>207212805.59999999</v>
      </c>
      <c r="W162" s="86">
        <f t="shared" si="90"/>
        <v>2751681115.7999997</v>
      </c>
      <c r="X162" s="86">
        <f t="shared" si="91"/>
        <v>942460951.19999993</v>
      </c>
      <c r="Y162" s="86">
        <f t="shared" si="92"/>
        <v>1809220164.5999999</v>
      </c>
      <c r="Z162" s="86">
        <f t="shared" si="93"/>
        <v>459313334.39999998</v>
      </c>
      <c r="AA162" s="86">
        <f t="shared" si="94"/>
        <v>73762047</v>
      </c>
      <c r="AB162" s="138">
        <f t="shared" si="63"/>
        <v>12.802633209605997</v>
      </c>
      <c r="AC162" s="137">
        <f t="shared" si="64"/>
        <v>0.33179509830228948</v>
      </c>
      <c r="AD162" s="139">
        <f t="shared" si="65"/>
        <v>6.226960246913972</v>
      </c>
      <c r="AE162" s="137">
        <f t="shared" si="66"/>
        <v>0.23811803318453206</v>
      </c>
      <c r="AF162" s="137">
        <f t="shared" si="67"/>
        <v>0.1591116369235277</v>
      </c>
      <c r="AG162" s="103">
        <f t="shared" si="81"/>
        <v>4463112912</v>
      </c>
    </row>
    <row r="163" spans="1:33" x14ac:dyDescent="0.25">
      <c r="A163" s="83">
        <v>146</v>
      </c>
      <c r="B163" s="62">
        <v>90</v>
      </c>
      <c r="C163" s="63" t="s">
        <v>125</v>
      </c>
      <c r="D163" s="63">
        <v>901213717</v>
      </c>
      <c r="E163" s="63">
        <v>2020</v>
      </c>
      <c r="F163" s="63" t="s">
        <v>260</v>
      </c>
      <c r="G163" s="64">
        <v>0.5</v>
      </c>
      <c r="H163" s="65">
        <v>61776479</v>
      </c>
      <c r="I163" s="65">
        <v>146626479</v>
      </c>
      <c r="J163" s="65">
        <v>5554229</v>
      </c>
      <c r="K163" s="65">
        <v>5554229</v>
      </c>
      <c r="L163" s="65">
        <v>141072250</v>
      </c>
      <c r="M163" s="66">
        <v>9105479</v>
      </c>
      <c r="N163" s="66">
        <v>125000</v>
      </c>
      <c r="O163" s="85">
        <f t="shared" si="82"/>
        <v>11.122422031932786</v>
      </c>
      <c r="P163" s="85">
        <f t="shared" si="83"/>
        <v>3.7880122593682411E-2</v>
      </c>
      <c r="Q163" s="85">
        <f t="shared" si="84"/>
        <v>72.843832000000006</v>
      </c>
      <c r="R163" s="85">
        <f t="shared" si="85"/>
        <v>6.4544791764503645E-2</v>
      </c>
      <c r="S163" s="85">
        <f t="shared" si="86"/>
        <v>6.2099827139680548E-2</v>
      </c>
      <c r="T163" s="84">
        <f t="shared" si="87"/>
        <v>56222250</v>
      </c>
      <c r="U163" s="86">
        <f t="shared" si="88"/>
        <v>30888239.5</v>
      </c>
      <c r="V163" s="86">
        <f t="shared" si="89"/>
        <v>2777114.5</v>
      </c>
      <c r="W163" s="86">
        <f t="shared" si="90"/>
        <v>73313239.5</v>
      </c>
      <c r="X163" s="86">
        <f t="shared" si="91"/>
        <v>2777114.5</v>
      </c>
      <c r="Y163" s="86">
        <f t="shared" si="92"/>
        <v>70536125</v>
      </c>
      <c r="Z163" s="86">
        <f t="shared" si="93"/>
        <v>4552739.5</v>
      </c>
      <c r="AA163" s="86">
        <f t="shared" si="94"/>
        <v>62500</v>
      </c>
      <c r="AB163" s="138">
        <f t="shared" si="63"/>
        <v>11.821418091626953</v>
      </c>
      <c r="AC163" s="137">
        <f t="shared" si="64"/>
        <v>8.9691480951074321E-2</v>
      </c>
      <c r="AD163" s="139">
        <f t="shared" si="65"/>
        <v>380.29553608806089</v>
      </c>
      <c r="AE163" s="137">
        <f t="shared" si="66"/>
        <v>0.16595185837180287</v>
      </c>
      <c r="AF163" s="137">
        <f t="shared" si="67"/>
        <v>0.15106739042785294</v>
      </c>
      <c r="AG163" s="103">
        <f t="shared" si="81"/>
        <v>792354924.23000002</v>
      </c>
    </row>
    <row r="164" spans="1:33" x14ac:dyDescent="0.25">
      <c r="A164" s="83">
        <v>147</v>
      </c>
      <c r="B164" s="62">
        <v>90</v>
      </c>
      <c r="C164" s="63" t="s">
        <v>126</v>
      </c>
      <c r="D164" s="63">
        <v>900805213</v>
      </c>
      <c r="E164" s="63">
        <v>2020</v>
      </c>
      <c r="F164" s="63" t="s">
        <v>260</v>
      </c>
      <c r="G164" s="64">
        <v>0.5</v>
      </c>
      <c r="H164" s="65">
        <v>803799433.23000002</v>
      </c>
      <c r="I164" s="65">
        <v>833562108.23000002</v>
      </c>
      <c r="J164" s="65">
        <v>67666759</v>
      </c>
      <c r="K164" s="65">
        <v>82360337</v>
      </c>
      <c r="L164" s="65">
        <v>751201771.23000002</v>
      </c>
      <c r="M164" s="66">
        <v>138969053</v>
      </c>
      <c r="N164" s="66">
        <v>264367</v>
      </c>
      <c r="O164" s="85">
        <f t="shared" si="82"/>
        <v>11.87879314908521</v>
      </c>
      <c r="P164" s="85">
        <f t="shared" si="83"/>
        <v>9.880527939889848E-2</v>
      </c>
      <c r="Q164" s="85">
        <f t="shared" si="84"/>
        <v>525.66717101604968</v>
      </c>
      <c r="R164" s="85">
        <f t="shared" si="85"/>
        <v>0.18499564074836425</v>
      </c>
      <c r="S164" s="85">
        <f t="shared" si="86"/>
        <v>0.16671709477664387</v>
      </c>
      <c r="T164" s="84">
        <f t="shared" si="87"/>
        <v>736132674.23000002</v>
      </c>
      <c r="U164" s="86">
        <f t="shared" si="88"/>
        <v>401899716.61500001</v>
      </c>
      <c r="V164" s="86">
        <f t="shared" si="89"/>
        <v>33833379.5</v>
      </c>
      <c r="W164" s="86">
        <f t="shared" si="90"/>
        <v>416781054.11500001</v>
      </c>
      <c r="X164" s="86">
        <f t="shared" si="91"/>
        <v>41180168.5</v>
      </c>
      <c r="Y164" s="86">
        <f t="shared" si="92"/>
        <v>375600885.61500001</v>
      </c>
      <c r="Z164" s="86">
        <f t="shared" si="93"/>
        <v>69484526.5</v>
      </c>
      <c r="AA164" s="86">
        <f t="shared" si="94"/>
        <v>132183.5</v>
      </c>
      <c r="AB164" s="138">
        <f t="shared" si="63"/>
        <v>11.821418091626953</v>
      </c>
      <c r="AC164" s="137">
        <f t="shared" si="64"/>
        <v>8.9691480951074321E-2</v>
      </c>
      <c r="AD164" s="139">
        <f t="shared" si="65"/>
        <v>380.29553608806089</v>
      </c>
      <c r="AE164" s="137">
        <f t="shared" si="66"/>
        <v>0.16595185837180287</v>
      </c>
      <c r="AF164" s="137">
        <f t="shared" si="67"/>
        <v>0.15106739042785294</v>
      </c>
      <c r="AG164" s="103">
        <f t="shared" si="81"/>
        <v>792354924.23000002</v>
      </c>
    </row>
    <row r="165" spans="1:33" x14ac:dyDescent="0.25">
      <c r="A165" s="83">
        <v>148</v>
      </c>
      <c r="B165" s="62">
        <v>91</v>
      </c>
      <c r="C165" s="142" t="s">
        <v>93</v>
      </c>
      <c r="D165" s="63">
        <v>900503599</v>
      </c>
      <c r="E165" s="63">
        <v>2021</v>
      </c>
      <c r="F165" s="63" t="s">
        <v>93</v>
      </c>
      <c r="G165" s="64">
        <v>1</v>
      </c>
      <c r="H165" s="65">
        <v>1383247532</v>
      </c>
      <c r="I165" s="65">
        <v>1393247396</v>
      </c>
      <c r="J165" s="65">
        <v>411318964</v>
      </c>
      <c r="K165" s="65">
        <v>811410536</v>
      </c>
      <c r="L165" s="65">
        <v>581836860</v>
      </c>
      <c r="M165" s="66">
        <v>123776567</v>
      </c>
      <c r="N165" s="66">
        <v>14813523</v>
      </c>
      <c r="O165" s="85">
        <f t="shared" si="82"/>
        <v>3.3629558884136448</v>
      </c>
      <c r="P165" s="85">
        <f t="shared" si="83"/>
        <v>0.58238797957171995</v>
      </c>
      <c r="Q165" s="85">
        <f t="shared" si="84"/>
        <v>8.3556468640174248</v>
      </c>
      <c r="R165" s="85">
        <f t="shared" si="85"/>
        <v>0.21273414510039806</v>
      </c>
      <c r="S165" s="85">
        <f t="shared" si="86"/>
        <v>8.8840336149460131E-2</v>
      </c>
      <c r="T165" s="84">
        <f t="shared" si="87"/>
        <v>971928568</v>
      </c>
      <c r="U165" s="86">
        <f t="shared" si="88"/>
        <v>1383247532</v>
      </c>
      <c r="V165" s="86">
        <f t="shared" si="89"/>
        <v>411318964</v>
      </c>
      <c r="W165" s="86">
        <f t="shared" si="90"/>
        <v>1393247396</v>
      </c>
      <c r="X165" s="86">
        <f t="shared" si="91"/>
        <v>811410536</v>
      </c>
      <c r="Y165" s="86">
        <f t="shared" si="92"/>
        <v>581836860</v>
      </c>
      <c r="Z165" s="86">
        <f t="shared" si="93"/>
        <v>123776567</v>
      </c>
      <c r="AA165" s="86">
        <f t="shared" si="94"/>
        <v>14813523</v>
      </c>
      <c r="AB165" s="138">
        <f t="shared" si="63"/>
        <v>3.3629558884136448</v>
      </c>
      <c r="AC165" s="137">
        <f t="shared" si="64"/>
        <v>0.58238797957171995</v>
      </c>
      <c r="AD165" s="139">
        <f t="shared" si="65"/>
        <v>8.3556468640174248</v>
      </c>
      <c r="AE165" s="137">
        <f t="shared" si="66"/>
        <v>0.21273414510039806</v>
      </c>
      <c r="AF165" s="137">
        <f t="shared" si="67"/>
        <v>8.8840336149460131E-2</v>
      </c>
      <c r="AG165" s="103">
        <f t="shared" si="81"/>
        <v>971928568</v>
      </c>
    </row>
    <row r="166" spans="1:33" x14ac:dyDescent="0.25">
      <c r="A166" s="83">
        <v>149</v>
      </c>
      <c r="B166" s="62">
        <v>92</v>
      </c>
      <c r="C166" s="142" t="s">
        <v>261</v>
      </c>
      <c r="D166" s="63">
        <v>830101071</v>
      </c>
      <c r="E166" s="63">
        <v>2021</v>
      </c>
      <c r="F166" s="63" t="s">
        <v>261</v>
      </c>
      <c r="G166" s="64">
        <v>1</v>
      </c>
      <c r="H166" s="65">
        <v>9694030676</v>
      </c>
      <c r="I166" s="65">
        <v>10360036117</v>
      </c>
      <c r="J166" s="65">
        <v>3522707285</v>
      </c>
      <c r="K166" s="65">
        <v>3522707285</v>
      </c>
      <c r="L166" s="65">
        <v>6837328832</v>
      </c>
      <c r="M166" s="66">
        <v>777836934</v>
      </c>
      <c r="N166" s="66">
        <v>589108</v>
      </c>
      <c r="O166" s="85">
        <f t="shared" si="82"/>
        <v>2.7518694832460371</v>
      </c>
      <c r="P166" s="85">
        <f t="shared" si="83"/>
        <v>0.3400284753080654</v>
      </c>
      <c r="Q166" s="85">
        <f t="shared" si="84"/>
        <v>1320.3638959240072</v>
      </c>
      <c r="R166" s="85">
        <f t="shared" si="85"/>
        <v>0.11376327702122138</v>
      </c>
      <c r="S166" s="85">
        <f t="shared" si="86"/>
        <v>7.5080523389646409E-2</v>
      </c>
      <c r="T166" s="84">
        <f t="shared" si="87"/>
        <v>6171323391</v>
      </c>
      <c r="U166" s="86">
        <f t="shared" si="88"/>
        <v>9694030676</v>
      </c>
      <c r="V166" s="86">
        <f t="shared" si="89"/>
        <v>3522707285</v>
      </c>
      <c r="W166" s="86">
        <f t="shared" si="90"/>
        <v>10360036117</v>
      </c>
      <c r="X166" s="86">
        <f t="shared" si="91"/>
        <v>3522707285</v>
      </c>
      <c r="Y166" s="86">
        <f t="shared" si="92"/>
        <v>6837328832</v>
      </c>
      <c r="Z166" s="86">
        <f t="shared" si="93"/>
        <v>777836934</v>
      </c>
      <c r="AA166" s="86">
        <f t="shared" si="94"/>
        <v>589108</v>
      </c>
      <c r="AB166" s="138">
        <f t="shared" si="63"/>
        <v>2.7518694832460371</v>
      </c>
      <c r="AC166" s="137">
        <f t="shared" si="64"/>
        <v>0.3400284753080654</v>
      </c>
      <c r="AD166" s="139">
        <f t="shared" si="65"/>
        <v>1320.3638959240072</v>
      </c>
      <c r="AE166" s="137">
        <f t="shared" si="66"/>
        <v>0.11376327702122138</v>
      </c>
      <c r="AF166" s="137">
        <f t="shared" si="67"/>
        <v>7.5080523389646409E-2</v>
      </c>
      <c r="AG166" s="103">
        <f t="shared" si="81"/>
        <v>6171323391</v>
      </c>
    </row>
    <row r="167" spans="1:33" x14ac:dyDescent="0.25">
      <c r="A167" s="83">
        <v>150</v>
      </c>
      <c r="B167" s="62">
        <v>93</v>
      </c>
      <c r="C167" s="142" t="s">
        <v>263</v>
      </c>
      <c r="D167" s="63">
        <v>890104625</v>
      </c>
      <c r="E167" s="63">
        <v>2021</v>
      </c>
      <c r="F167" s="63" t="s">
        <v>262</v>
      </c>
      <c r="G167" s="64">
        <v>0.95</v>
      </c>
      <c r="H167" s="65">
        <v>15453453623</v>
      </c>
      <c r="I167" s="65">
        <v>17068137796</v>
      </c>
      <c r="J167" s="65">
        <v>1416909845</v>
      </c>
      <c r="K167" s="65">
        <v>6387341676</v>
      </c>
      <c r="L167" s="65">
        <v>10680796120</v>
      </c>
      <c r="M167" s="66">
        <v>1999914555</v>
      </c>
      <c r="N167" s="66">
        <v>107601743</v>
      </c>
      <c r="O167" s="85">
        <f t="shared" si="82"/>
        <v>10.906448054921942</v>
      </c>
      <c r="P167" s="85">
        <f t="shared" si="83"/>
        <v>0.37422604342325522</v>
      </c>
      <c r="Q167" s="85">
        <f t="shared" si="84"/>
        <v>18.586265419510909</v>
      </c>
      <c r="R167" s="85">
        <f t="shared" si="85"/>
        <v>0.18724395939504179</v>
      </c>
      <c r="S167" s="85">
        <f t="shared" si="86"/>
        <v>0.11717239331573065</v>
      </c>
      <c r="T167" s="84">
        <f t="shared" si="87"/>
        <v>14036543778</v>
      </c>
      <c r="U167" s="86">
        <f t="shared" si="88"/>
        <v>14680780941.849998</v>
      </c>
      <c r="V167" s="86">
        <f t="shared" si="89"/>
        <v>1346064352.75</v>
      </c>
      <c r="W167" s="86">
        <f t="shared" si="90"/>
        <v>16214730906.199999</v>
      </c>
      <c r="X167" s="86">
        <f t="shared" si="91"/>
        <v>6067974592.1999998</v>
      </c>
      <c r="Y167" s="86">
        <f t="shared" si="92"/>
        <v>10146756314</v>
      </c>
      <c r="Z167" s="86">
        <f t="shared" si="93"/>
        <v>1899918827.25</v>
      </c>
      <c r="AA167" s="86">
        <f t="shared" si="94"/>
        <v>102221655.84999999</v>
      </c>
      <c r="AB167" s="138">
        <f t="shared" si="63"/>
        <v>10.854179501342204</v>
      </c>
      <c r="AC167" s="137">
        <f t="shared" si="64"/>
        <v>0.37426129038930395</v>
      </c>
      <c r="AD167" s="139">
        <f t="shared" si="65"/>
        <v>18.619494143617906</v>
      </c>
      <c r="AE167" s="137">
        <f t="shared" si="66"/>
        <v>0.18735651603873257</v>
      </c>
      <c r="AF167" s="137">
        <f t="shared" si="67"/>
        <v>0.11723622458323224</v>
      </c>
      <c r="AG167" s="103">
        <f t="shared" si="81"/>
        <v>14227932501</v>
      </c>
    </row>
    <row r="168" spans="1:33" x14ac:dyDescent="0.25">
      <c r="A168" s="83">
        <v>151</v>
      </c>
      <c r="B168" s="62">
        <v>93</v>
      </c>
      <c r="C168" s="142" t="s">
        <v>264</v>
      </c>
      <c r="D168" s="63">
        <v>800244072</v>
      </c>
      <c r="E168" s="63">
        <v>2021</v>
      </c>
      <c r="F168" s="63" t="s">
        <v>262</v>
      </c>
      <c r="G168" s="64">
        <v>0.05</v>
      </c>
      <c r="H168" s="65">
        <v>353606740</v>
      </c>
      <c r="I168" s="65">
        <v>402893966</v>
      </c>
      <c r="J168" s="65">
        <v>162218017</v>
      </c>
      <c r="K168" s="65">
        <v>162218017</v>
      </c>
      <c r="L168" s="65">
        <v>240675949</v>
      </c>
      <c r="M168" s="66">
        <v>67933904</v>
      </c>
      <c r="N168" s="66">
        <v>0</v>
      </c>
      <c r="O168" s="85">
        <f t="shared" si="82"/>
        <v>2.1798240820561872</v>
      </c>
      <c r="P168" s="85">
        <f t="shared" si="83"/>
        <v>0.40263203395803648</v>
      </c>
      <c r="Q168" s="85" t="str">
        <f t="shared" si="84"/>
        <v/>
      </c>
      <c r="R168" s="85">
        <f t="shared" si="85"/>
        <v>0.28226295266420659</v>
      </c>
      <c r="S168" s="85">
        <f t="shared" si="86"/>
        <v>0.16861484592201612</v>
      </c>
      <c r="T168" s="84">
        <f t="shared" si="87"/>
        <v>191388723</v>
      </c>
      <c r="U168" s="86">
        <f t="shared" si="88"/>
        <v>17680337</v>
      </c>
      <c r="V168" s="86">
        <f t="shared" si="89"/>
        <v>8110900.8500000006</v>
      </c>
      <c r="W168" s="86">
        <f t="shared" si="90"/>
        <v>20144698.300000001</v>
      </c>
      <c r="X168" s="86">
        <f t="shared" si="91"/>
        <v>8110900.8500000006</v>
      </c>
      <c r="Y168" s="86">
        <f t="shared" si="92"/>
        <v>12033797.450000001</v>
      </c>
      <c r="Z168" s="86">
        <f t="shared" si="93"/>
        <v>3396695.2</v>
      </c>
      <c r="AA168" s="86">
        <f t="shared" si="94"/>
        <v>0</v>
      </c>
      <c r="AB168" s="138">
        <f t="shared" si="63"/>
        <v>10.854179501342204</v>
      </c>
      <c r="AC168" s="137">
        <f t="shared" si="64"/>
        <v>0.37426129038930395</v>
      </c>
      <c r="AD168" s="139">
        <f t="shared" si="65"/>
        <v>18.619494143617906</v>
      </c>
      <c r="AE168" s="137">
        <f t="shared" si="66"/>
        <v>0.18735651603873257</v>
      </c>
      <c r="AF168" s="137">
        <f t="shared" si="67"/>
        <v>0.11723622458323224</v>
      </c>
      <c r="AG168" s="103">
        <f t="shared" si="81"/>
        <v>14227932501</v>
      </c>
    </row>
    <row r="169" spans="1:33" x14ac:dyDescent="0.25">
      <c r="A169" s="83">
        <v>152</v>
      </c>
      <c r="B169" s="62">
        <v>94</v>
      </c>
      <c r="C169" s="142" t="s">
        <v>265</v>
      </c>
      <c r="D169" s="63">
        <v>900090780</v>
      </c>
      <c r="E169" s="63">
        <v>2021</v>
      </c>
      <c r="F169" s="63" t="s">
        <v>265</v>
      </c>
      <c r="G169" s="64">
        <v>1</v>
      </c>
      <c r="H169" s="65">
        <v>5106505039</v>
      </c>
      <c r="I169" s="65">
        <v>9164695111</v>
      </c>
      <c r="J169" s="65">
        <v>2268835166</v>
      </c>
      <c r="K169" s="65">
        <v>4610695689</v>
      </c>
      <c r="L169" s="65">
        <v>4553999422</v>
      </c>
      <c r="M169" s="66">
        <v>315587047</v>
      </c>
      <c r="N169" s="66">
        <v>131360415</v>
      </c>
      <c r="O169" s="85">
        <f t="shared" si="82"/>
        <v>2.2507166300683124</v>
      </c>
      <c r="P169" s="85">
        <f t="shared" si="83"/>
        <v>0.50309318893390953</v>
      </c>
      <c r="Q169" s="85">
        <f t="shared" si="84"/>
        <v>2.4024516594287557</v>
      </c>
      <c r="R169" s="85">
        <f t="shared" si="85"/>
        <v>6.9298877262791186E-2</v>
      </c>
      <c r="S169" s="85">
        <f t="shared" si="86"/>
        <v>3.443508411111397E-2</v>
      </c>
      <c r="T169" s="84">
        <f t="shared" si="87"/>
        <v>2837669873</v>
      </c>
      <c r="U169" s="86">
        <f t="shared" si="88"/>
        <v>5106505039</v>
      </c>
      <c r="V169" s="86">
        <f t="shared" si="89"/>
        <v>2268835166</v>
      </c>
      <c r="W169" s="86">
        <f t="shared" si="90"/>
        <v>9164695111</v>
      </c>
      <c r="X169" s="86">
        <f t="shared" si="91"/>
        <v>4610695689</v>
      </c>
      <c r="Y169" s="86">
        <f t="shared" si="92"/>
        <v>4553999422</v>
      </c>
      <c r="Z169" s="86">
        <f t="shared" si="93"/>
        <v>315587047</v>
      </c>
      <c r="AA169" s="86">
        <f t="shared" si="94"/>
        <v>131360415</v>
      </c>
      <c r="AB169" s="138">
        <f t="shared" si="63"/>
        <v>2.2507166300683124</v>
      </c>
      <c r="AC169" s="137">
        <f t="shared" si="64"/>
        <v>0.50309318893390953</v>
      </c>
      <c r="AD169" s="139">
        <f t="shared" si="65"/>
        <v>2.4024516594287557</v>
      </c>
      <c r="AE169" s="137">
        <f t="shared" si="66"/>
        <v>6.9298877262791186E-2</v>
      </c>
      <c r="AF169" s="137">
        <f t="shared" si="67"/>
        <v>3.443508411111397E-2</v>
      </c>
      <c r="AG169" s="103">
        <f t="shared" si="81"/>
        <v>2837669873</v>
      </c>
    </row>
    <row r="170" spans="1:33" x14ac:dyDescent="0.25">
      <c r="A170" s="83">
        <v>153</v>
      </c>
      <c r="B170" s="62">
        <v>95</v>
      </c>
      <c r="C170" s="142" t="s">
        <v>267</v>
      </c>
      <c r="D170" s="63">
        <v>900045355</v>
      </c>
      <c r="E170" s="63">
        <v>2021</v>
      </c>
      <c r="F170" s="63" t="s">
        <v>266</v>
      </c>
      <c r="G170" s="64">
        <v>0.8</v>
      </c>
      <c r="H170" s="65">
        <v>3856241985</v>
      </c>
      <c r="I170" s="65">
        <v>3864697512</v>
      </c>
      <c r="J170" s="65">
        <v>341556816</v>
      </c>
      <c r="K170" s="65">
        <v>636663768</v>
      </c>
      <c r="L170" s="65">
        <v>3228033744</v>
      </c>
      <c r="M170" s="66">
        <v>853825345</v>
      </c>
      <c r="N170" s="66">
        <v>8439050</v>
      </c>
      <c r="O170" s="85">
        <f t="shared" si="82"/>
        <v>11.290191863716167</v>
      </c>
      <c r="P170" s="85">
        <f t="shared" si="83"/>
        <v>0.16473831807615996</v>
      </c>
      <c r="Q170" s="85">
        <f t="shared" si="84"/>
        <v>101.17552864362695</v>
      </c>
      <c r="R170" s="85">
        <f t="shared" si="85"/>
        <v>0.26450322788199454</v>
      </c>
      <c r="S170" s="85">
        <f t="shared" si="86"/>
        <v>0.22092941099499949</v>
      </c>
      <c r="T170" s="84">
        <f t="shared" si="87"/>
        <v>3514685169</v>
      </c>
      <c r="U170" s="86">
        <f t="shared" si="88"/>
        <v>3084993588</v>
      </c>
      <c r="V170" s="86">
        <f t="shared" si="89"/>
        <v>273245452.80000001</v>
      </c>
      <c r="W170" s="86">
        <f t="shared" si="90"/>
        <v>3091758009.6000004</v>
      </c>
      <c r="X170" s="86">
        <f t="shared" si="91"/>
        <v>509331014.40000004</v>
      </c>
      <c r="Y170" s="86">
        <f t="shared" si="92"/>
        <v>2582426995.2000003</v>
      </c>
      <c r="Z170" s="86">
        <f t="shared" si="93"/>
        <v>683060276</v>
      </c>
      <c r="AA170" s="86">
        <f t="shared" si="94"/>
        <v>6751240</v>
      </c>
      <c r="AB170" s="138">
        <f t="shared" si="63"/>
        <v>11.479835608435708</v>
      </c>
      <c r="AC170" s="137">
        <f t="shared" si="64"/>
        <v>0.16041692569819191</v>
      </c>
      <c r="AD170" s="139">
        <f t="shared" si="65"/>
        <v>91.211511986824846</v>
      </c>
      <c r="AE170" s="137">
        <f t="shared" si="66"/>
        <v>0.27071312368515049</v>
      </c>
      <c r="AF170" s="137">
        <f t="shared" si="67"/>
        <v>0.2272861566374243</v>
      </c>
      <c r="AG170" s="103">
        <f t="shared" si="81"/>
        <v>4083251169</v>
      </c>
    </row>
    <row r="171" spans="1:33" x14ac:dyDescent="0.25">
      <c r="A171" s="83">
        <v>154</v>
      </c>
      <c r="B171" s="62">
        <v>95</v>
      </c>
      <c r="C171" s="142" t="s">
        <v>268</v>
      </c>
      <c r="D171" s="63">
        <v>7700841</v>
      </c>
      <c r="E171" s="63">
        <v>2021</v>
      </c>
      <c r="F171" s="63" t="s">
        <v>266</v>
      </c>
      <c r="G171" s="64">
        <v>0.2</v>
      </c>
      <c r="H171" s="65">
        <v>598096000</v>
      </c>
      <c r="I171" s="65">
        <v>818701000</v>
      </c>
      <c r="J171" s="65">
        <v>29530000</v>
      </c>
      <c r="K171" s="65">
        <v>64530000</v>
      </c>
      <c r="L171" s="65">
        <v>754171000</v>
      </c>
      <c r="M171" s="66">
        <v>284347000</v>
      </c>
      <c r="N171" s="66">
        <v>6805000</v>
      </c>
      <c r="O171" s="85">
        <f t="shared" si="82"/>
        <v>20.25384354893329</v>
      </c>
      <c r="P171" s="85">
        <f t="shared" si="83"/>
        <v>7.8819984341047589E-2</v>
      </c>
      <c r="Q171" s="85">
        <f t="shared" si="84"/>
        <v>41.785011021307859</v>
      </c>
      <c r="R171" s="85">
        <f t="shared" si="85"/>
        <v>0.37703252975784007</v>
      </c>
      <c r="S171" s="85">
        <f t="shared" si="86"/>
        <v>0.34731483166626154</v>
      </c>
      <c r="T171" s="84">
        <f t="shared" si="87"/>
        <v>568566000</v>
      </c>
      <c r="U171" s="86">
        <f t="shared" si="88"/>
        <v>119619200</v>
      </c>
      <c r="V171" s="86">
        <f t="shared" si="89"/>
        <v>5906000</v>
      </c>
      <c r="W171" s="86">
        <f t="shared" si="90"/>
        <v>163740200</v>
      </c>
      <c r="X171" s="86">
        <f t="shared" si="91"/>
        <v>12906000</v>
      </c>
      <c r="Y171" s="86">
        <f t="shared" si="92"/>
        <v>150834200</v>
      </c>
      <c r="Z171" s="86">
        <f t="shared" si="93"/>
        <v>56869400</v>
      </c>
      <c r="AA171" s="86">
        <f t="shared" si="94"/>
        <v>1361000</v>
      </c>
      <c r="AB171" s="138">
        <f t="shared" si="63"/>
        <v>11.479835608435708</v>
      </c>
      <c r="AC171" s="137">
        <f t="shared" si="64"/>
        <v>0.16041692569819191</v>
      </c>
      <c r="AD171" s="139">
        <f t="shared" si="65"/>
        <v>91.211511986824846</v>
      </c>
      <c r="AE171" s="137">
        <f t="shared" si="66"/>
        <v>0.27071312368515049</v>
      </c>
      <c r="AF171" s="137">
        <f t="shared" si="67"/>
        <v>0.2272861566374243</v>
      </c>
      <c r="AG171" s="103">
        <f t="shared" si="81"/>
        <v>4083251169</v>
      </c>
    </row>
    <row r="172" spans="1:33" x14ac:dyDescent="0.25">
      <c r="A172" s="83">
        <v>155</v>
      </c>
      <c r="B172" s="62">
        <v>96</v>
      </c>
      <c r="C172" s="142" t="s">
        <v>269</v>
      </c>
      <c r="D172" s="63">
        <v>860450644</v>
      </c>
      <c r="E172" s="63">
        <v>2021</v>
      </c>
      <c r="F172" s="63" t="s">
        <v>269</v>
      </c>
      <c r="G172" s="64">
        <v>1</v>
      </c>
      <c r="H172" s="65">
        <v>2972054000</v>
      </c>
      <c r="I172" s="65">
        <v>3005731000</v>
      </c>
      <c r="J172" s="65">
        <v>603505000</v>
      </c>
      <c r="K172" s="65">
        <v>1090172000</v>
      </c>
      <c r="L172" s="65">
        <v>1915559000</v>
      </c>
      <c r="M172" s="66">
        <v>150374000</v>
      </c>
      <c r="N172" s="66">
        <v>10531000</v>
      </c>
      <c r="O172" s="85">
        <f t="shared" si="82"/>
        <v>4.9246551395597384</v>
      </c>
      <c r="P172" s="85">
        <f t="shared" si="83"/>
        <v>0.36269779298280519</v>
      </c>
      <c r="Q172" s="85">
        <f t="shared" si="84"/>
        <v>14.279175766783782</v>
      </c>
      <c r="R172" s="85">
        <f t="shared" si="85"/>
        <v>7.8501366963899311E-2</v>
      </c>
      <c r="S172" s="85">
        <f t="shared" si="86"/>
        <v>5.0029094419959737E-2</v>
      </c>
      <c r="T172" s="84">
        <f t="shared" si="87"/>
        <v>2368549000</v>
      </c>
      <c r="U172" s="86">
        <f t="shared" si="88"/>
        <v>2972054000</v>
      </c>
      <c r="V172" s="86">
        <f t="shared" si="89"/>
        <v>603505000</v>
      </c>
      <c r="W172" s="86">
        <f t="shared" si="90"/>
        <v>3005731000</v>
      </c>
      <c r="X172" s="86">
        <f t="shared" si="91"/>
        <v>1090172000</v>
      </c>
      <c r="Y172" s="86">
        <f t="shared" si="92"/>
        <v>1915559000</v>
      </c>
      <c r="Z172" s="86">
        <f t="shared" si="93"/>
        <v>150374000</v>
      </c>
      <c r="AA172" s="86">
        <f t="shared" si="94"/>
        <v>10531000</v>
      </c>
      <c r="AB172" s="138">
        <f t="shared" si="63"/>
        <v>4.9246551395597384</v>
      </c>
      <c r="AC172" s="137">
        <f t="shared" si="64"/>
        <v>0.36269779298280519</v>
      </c>
      <c r="AD172" s="139">
        <f t="shared" si="65"/>
        <v>14.279175766783782</v>
      </c>
      <c r="AE172" s="137">
        <f t="shared" si="66"/>
        <v>7.8501366963899311E-2</v>
      </c>
      <c r="AF172" s="137">
        <f t="shared" si="67"/>
        <v>5.0029094419959737E-2</v>
      </c>
      <c r="AG172" s="103">
        <f t="shared" si="81"/>
        <v>2368549000</v>
      </c>
    </row>
    <row r="173" spans="1:33" x14ac:dyDescent="0.25">
      <c r="A173" s="83">
        <v>156</v>
      </c>
      <c r="B173" s="62"/>
      <c r="C173" s="63"/>
      <c r="D173" s="63"/>
      <c r="E173" s="63"/>
      <c r="F173" s="63"/>
      <c r="G173" s="64"/>
      <c r="H173" s="65"/>
      <c r="I173" s="65"/>
      <c r="J173" s="65"/>
      <c r="K173" s="65"/>
      <c r="L173" s="65"/>
      <c r="M173" s="66"/>
      <c r="N173" s="66"/>
      <c r="O173" s="85" t="str">
        <f t="shared" si="82"/>
        <v/>
      </c>
      <c r="P173" s="85" t="str">
        <f t="shared" si="83"/>
        <v/>
      </c>
      <c r="Q173" s="85" t="str">
        <f t="shared" si="84"/>
        <v/>
      </c>
      <c r="R173" s="85" t="str">
        <f t="shared" si="85"/>
        <v/>
      </c>
      <c r="S173" s="85" t="str">
        <f t="shared" si="86"/>
        <v/>
      </c>
      <c r="T173" s="84">
        <f t="shared" si="87"/>
        <v>0</v>
      </c>
      <c r="U173" s="86" t="str">
        <f t="shared" si="88"/>
        <v/>
      </c>
      <c r="V173" s="86" t="str">
        <f t="shared" si="89"/>
        <v/>
      </c>
      <c r="W173" s="86" t="str">
        <f t="shared" si="90"/>
        <v/>
      </c>
      <c r="X173" s="86" t="str">
        <f t="shared" si="91"/>
        <v/>
      </c>
      <c r="Y173" s="86" t="str">
        <f t="shared" si="92"/>
        <v/>
      </c>
      <c r="Z173" s="86" t="str">
        <f t="shared" si="93"/>
        <v/>
      </c>
      <c r="AA173" s="86" t="str">
        <f t="shared" si="94"/>
        <v/>
      </c>
      <c r="AB173" s="138" t="str">
        <f t="shared" si="63"/>
        <v/>
      </c>
      <c r="AC173" s="137" t="str">
        <f t="shared" si="64"/>
        <v/>
      </c>
      <c r="AD173" s="139" t="str">
        <f t="shared" si="65"/>
        <v/>
      </c>
      <c r="AE173" s="137" t="str">
        <f t="shared" si="66"/>
        <v/>
      </c>
      <c r="AF173" s="137" t="str">
        <f t="shared" si="67"/>
        <v/>
      </c>
      <c r="AG173" s="103" t="str">
        <f t="shared" si="81"/>
        <v/>
      </c>
    </row>
    <row r="174" spans="1:33" x14ac:dyDescent="0.25">
      <c r="A174" s="83">
        <v>157</v>
      </c>
      <c r="B174" s="62"/>
      <c r="C174" s="63"/>
      <c r="D174" s="63"/>
      <c r="E174" s="63"/>
      <c r="F174" s="63"/>
      <c r="G174" s="64"/>
      <c r="H174" s="65"/>
      <c r="I174" s="65"/>
      <c r="J174" s="65"/>
      <c r="K174" s="65"/>
      <c r="L174" s="65"/>
      <c r="M174" s="66"/>
      <c r="N174" s="66"/>
      <c r="O174" s="85" t="str">
        <f t="shared" si="82"/>
        <v/>
      </c>
      <c r="P174" s="85" t="str">
        <f t="shared" si="83"/>
        <v/>
      </c>
      <c r="Q174" s="85" t="str">
        <f t="shared" si="84"/>
        <v/>
      </c>
      <c r="R174" s="85" t="str">
        <f t="shared" si="85"/>
        <v/>
      </c>
      <c r="S174" s="85" t="str">
        <f t="shared" si="86"/>
        <v/>
      </c>
      <c r="T174" s="84">
        <f t="shared" si="87"/>
        <v>0</v>
      </c>
      <c r="U174" s="86" t="str">
        <f t="shared" si="88"/>
        <v/>
      </c>
      <c r="V174" s="86" t="str">
        <f t="shared" si="89"/>
        <v/>
      </c>
      <c r="W174" s="86" t="str">
        <f t="shared" si="90"/>
        <v/>
      </c>
      <c r="X174" s="86" t="str">
        <f t="shared" si="91"/>
        <v/>
      </c>
      <c r="Y174" s="86" t="str">
        <f t="shared" si="92"/>
        <v/>
      </c>
      <c r="Z174" s="86" t="str">
        <f t="shared" si="93"/>
        <v/>
      </c>
      <c r="AA174" s="86" t="str">
        <f t="shared" si="94"/>
        <v/>
      </c>
      <c r="AB174" s="138" t="str">
        <f t="shared" si="63"/>
        <v/>
      </c>
      <c r="AC174" s="137" t="str">
        <f t="shared" si="64"/>
        <v/>
      </c>
      <c r="AD174" s="139" t="str">
        <f t="shared" si="65"/>
        <v/>
      </c>
      <c r="AE174" s="137" t="str">
        <f t="shared" si="66"/>
        <v/>
      </c>
      <c r="AF174" s="137" t="str">
        <f t="shared" si="67"/>
        <v/>
      </c>
      <c r="AG174" s="103" t="str">
        <f t="shared" si="81"/>
        <v/>
      </c>
    </row>
    <row r="175" spans="1:33" x14ac:dyDescent="0.25">
      <c r="A175" s="83">
        <v>158</v>
      </c>
      <c r="B175" s="62"/>
      <c r="C175" s="63"/>
      <c r="D175" s="63"/>
      <c r="E175" s="63"/>
      <c r="F175" s="63"/>
      <c r="G175" s="64"/>
      <c r="H175" s="65"/>
      <c r="I175" s="65"/>
      <c r="J175" s="65"/>
      <c r="K175" s="65"/>
      <c r="L175" s="65"/>
      <c r="M175" s="66"/>
      <c r="N175" s="66"/>
      <c r="O175" s="85" t="str">
        <f t="shared" si="82"/>
        <v/>
      </c>
      <c r="P175" s="85" t="str">
        <f t="shared" si="83"/>
        <v/>
      </c>
      <c r="Q175" s="85" t="str">
        <f t="shared" si="84"/>
        <v/>
      </c>
      <c r="R175" s="85" t="str">
        <f t="shared" si="85"/>
        <v/>
      </c>
      <c r="S175" s="85" t="str">
        <f t="shared" si="86"/>
        <v/>
      </c>
      <c r="T175" s="84">
        <f t="shared" si="87"/>
        <v>0</v>
      </c>
      <c r="U175" s="86" t="str">
        <f t="shared" si="88"/>
        <v/>
      </c>
      <c r="V175" s="86" t="str">
        <f t="shared" si="89"/>
        <v/>
      </c>
      <c r="W175" s="86" t="str">
        <f t="shared" si="90"/>
        <v/>
      </c>
      <c r="X175" s="86" t="str">
        <f t="shared" si="91"/>
        <v/>
      </c>
      <c r="Y175" s="86" t="str">
        <f t="shared" si="92"/>
        <v/>
      </c>
      <c r="Z175" s="86" t="str">
        <f t="shared" si="93"/>
        <v/>
      </c>
      <c r="AA175" s="86" t="str">
        <f t="shared" si="94"/>
        <v/>
      </c>
      <c r="AB175" s="138" t="str">
        <f t="shared" si="63"/>
        <v/>
      </c>
      <c r="AC175" s="137" t="str">
        <f t="shared" si="64"/>
        <v/>
      </c>
      <c r="AD175" s="139" t="str">
        <f t="shared" si="65"/>
        <v/>
      </c>
      <c r="AE175" s="137" t="str">
        <f t="shared" si="66"/>
        <v/>
      </c>
      <c r="AF175" s="137" t="str">
        <f t="shared" si="67"/>
        <v/>
      </c>
      <c r="AG175" s="103" t="str">
        <f t="shared" si="81"/>
        <v/>
      </c>
    </row>
    <row r="176" spans="1:33" x14ac:dyDescent="0.25">
      <c r="A176" s="83">
        <v>159</v>
      </c>
      <c r="B176" s="62"/>
      <c r="C176" s="63"/>
      <c r="D176" s="63"/>
      <c r="E176" s="63"/>
      <c r="F176" s="63"/>
      <c r="G176" s="64"/>
      <c r="H176" s="65"/>
      <c r="I176" s="65"/>
      <c r="J176" s="65"/>
      <c r="K176" s="65"/>
      <c r="L176" s="65"/>
      <c r="M176" s="66"/>
      <c r="N176" s="66"/>
      <c r="O176" s="85" t="str">
        <f t="shared" si="82"/>
        <v/>
      </c>
      <c r="P176" s="85" t="str">
        <f t="shared" si="83"/>
        <v/>
      </c>
      <c r="Q176" s="85" t="str">
        <f t="shared" si="84"/>
        <v/>
      </c>
      <c r="R176" s="85" t="str">
        <f t="shared" si="85"/>
        <v/>
      </c>
      <c r="S176" s="85" t="str">
        <f t="shared" si="86"/>
        <v/>
      </c>
      <c r="T176" s="84">
        <f t="shared" si="87"/>
        <v>0</v>
      </c>
      <c r="U176" s="86" t="str">
        <f t="shared" si="88"/>
        <v/>
      </c>
      <c r="V176" s="86" t="str">
        <f t="shared" si="89"/>
        <v/>
      </c>
      <c r="W176" s="86" t="str">
        <f t="shared" si="90"/>
        <v/>
      </c>
      <c r="X176" s="86" t="str">
        <f t="shared" si="91"/>
        <v/>
      </c>
      <c r="Y176" s="86" t="str">
        <f t="shared" si="92"/>
        <v/>
      </c>
      <c r="Z176" s="86" t="str">
        <f t="shared" si="93"/>
        <v/>
      </c>
      <c r="AA176" s="86" t="str">
        <f t="shared" si="94"/>
        <v/>
      </c>
      <c r="AB176" s="138" t="str">
        <f t="shared" si="63"/>
        <v/>
      </c>
      <c r="AC176" s="137" t="str">
        <f t="shared" si="64"/>
        <v/>
      </c>
      <c r="AD176" s="139" t="str">
        <f t="shared" si="65"/>
        <v/>
      </c>
      <c r="AE176" s="137" t="str">
        <f t="shared" si="66"/>
        <v/>
      </c>
      <c r="AF176" s="137" t="str">
        <f t="shared" si="67"/>
        <v/>
      </c>
      <c r="AG176" s="103" t="str">
        <f t="shared" si="81"/>
        <v/>
      </c>
    </row>
    <row r="177" spans="1:33" x14ac:dyDescent="0.25">
      <c r="A177" s="83">
        <v>160</v>
      </c>
      <c r="B177" s="62"/>
      <c r="C177" s="63"/>
      <c r="D177" s="63"/>
      <c r="E177" s="63"/>
      <c r="F177" s="63"/>
      <c r="G177" s="64"/>
      <c r="H177" s="65"/>
      <c r="I177" s="65"/>
      <c r="J177" s="65"/>
      <c r="K177" s="65"/>
      <c r="L177" s="65"/>
      <c r="M177" s="66"/>
      <c r="N177" s="66"/>
      <c r="O177" s="85" t="str">
        <f t="shared" si="82"/>
        <v/>
      </c>
      <c r="P177" s="85" t="str">
        <f t="shared" si="83"/>
        <v/>
      </c>
      <c r="Q177" s="85" t="str">
        <f t="shared" si="84"/>
        <v/>
      </c>
      <c r="R177" s="85" t="str">
        <f t="shared" si="85"/>
        <v/>
      </c>
      <c r="S177" s="85" t="str">
        <f t="shared" si="86"/>
        <v/>
      </c>
      <c r="T177" s="84">
        <f t="shared" si="87"/>
        <v>0</v>
      </c>
      <c r="U177" s="86" t="str">
        <f t="shared" si="88"/>
        <v/>
      </c>
      <c r="V177" s="86" t="str">
        <f t="shared" si="89"/>
        <v/>
      </c>
      <c r="W177" s="86" t="str">
        <f t="shared" si="90"/>
        <v/>
      </c>
      <c r="X177" s="86" t="str">
        <f t="shared" si="91"/>
        <v/>
      </c>
      <c r="Y177" s="86" t="str">
        <f t="shared" si="92"/>
        <v/>
      </c>
      <c r="Z177" s="86" t="str">
        <f t="shared" si="93"/>
        <v/>
      </c>
      <c r="AA177" s="86" t="str">
        <f t="shared" si="94"/>
        <v/>
      </c>
      <c r="AB177" s="138" t="str">
        <f t="shared" si="63"/>
        <v/>
      </c>
      <c r="AC177" s="137" t="str">
        <f t="shared" si="64"/>
        <v/>
      </c>
      <c r="AD177" s="139" t="str">
        <f t="shared" si="65"/>
        <v/>
      </c>
      <c r="AE177" s="137" t="str">
        <f t="shared" si="66"/>
        <v/>
      </c>
      <c r="AF177" s="137" t="str">
        <f t="shared" si="67"/>
        <v/>
      </c>
      <c r="AG177" s="103" t="str">
        <f t="shared" si="81"/>
        <v/>
      </c>
    </row>
    <row r="178" spans="1:33" x14ac:dyDescent="0.25">
      <c r="A178" s="83">
        <v>161</v>
      </c>
      <c r="B178" s="62"/>
      <c r="C178" s="63"/>
      <c r="D178" s="63"/>
      <c r="E178" s="63"/>
      <c r="F178" s="63"/>
      <c r="G178" s="64"/>
      <c r="H178" s="65"/>
      <c r="I178" s="65"/>
      <c r="J178" s="65"/>
      <c r="K178" s="65"/>
      <c r="L178" s="65"/>
      <c r="M178" s="66"/>
      <c r="N178" s="66"/>
      <c r="O178" s="85" t="str">
        <f t="shared" si="82"/>
        <v/>
      </c>
      <c r="P178" s="85" t="str">
        <f t="shared" si="83"/>
        <v/>
      </c>
      <c r="Q178" s="85" t="str">
        <f t="shared" si="84"/>
        <v/>
      </c>
      <c r="R178" s="85" t="str">
        <f t="shared" si="85"/>
        <v/>
      </c>
      <c r="S178" s="85" t="str">
        <f t="shared" si="86"/>
        <v/>
      </c>
      <c r="T178" s="84">
        <f t="shared" si="87"/>
        <v>0</v>
      </c>
      <c r="U178" s="86" t="str">
        <f t="shared" si="88"/>
        <v/>
      </c>
      <c r="V178" s="86" t="str">
        <f t="shared" si="89"/>
        <v/>
      </c>
      <c r="W178" s="86" t="str">
        <f t="shared" si="90"/>
        <v/>
      </c>
      <c r="X178" s="86" t="str">
        <f t="shared" si="91"/>
        <v/>
      </c>
      <c r="Y178" s="86" t="str">
        <f t="shared" si="92"/>
        <v/>
      </c>
      <c r="Z178" s="86" t="str">
        <f t="shared" si="93"/>
        <v/>
      </c>
      <c r="AA178" s="86" t="str">
        <f t="shared" si="94"/>
        <v/>
      </c>
      <c r="AB178" s="138" t="str">
        <f t="shared" si="63"/>
        <v/>
      </c>
      <c r="AC178" s="137" t="str">
        <f t="shared" si="64"/>
        <v/>
      </c>
      <c r="AD178" s="139" t="str">
        <f t="shared" si="65"/>
        <v/>
      </c>
      <c r="AE178" s="137" t="str">
        <f t="shared" si="66"/>
        <v/>
      </c>
      <c r="AF178" s="137" t="str">
        <f t="shared" si="67"/>
        <v/>
      </c>
      <c r="AG178" s="103" t="str">
        <f t="shared" si="81"/>
        <v/>
      </c>
    </row>
    <row r="179" spans="1:33" x14ac:dyDescent="0.25">
      <c r="A179" s="83">
        <v>162</v>
      </c>
      <c r="B179" s="62"/>
      <c r="C179" s="63"/>
      <c r="D179" s="63"/>
      <c r="E179" s="63"/>
      <c r="F179" s="63"/>
      <c r="G179" s="64"/>
      <c r="H179" s="65"/>
      <c r="I179" s="65"/>
      <c r="J179" s="65"/>
      <c r="K179" s="65"/>
      <c r="L179" s="65"/>
      <c r="M179" s="66"/>
      <c r="N179" s="66"/>
      <c r="O179" s="85" t="str">
        <f t="shared" si="82"/>
        <v/>
      </c>
      <c r="P179" s="85" t="str">
        <f t="shared" si="83"/>
        <v/>
      </c>
      <c r="Q179" s="85" t="str">
        <f t="shared" si="84"/>
        <v/>
      </c>
      <c r="R179" s="85" t="str">
        <f t="shared" si="85"/>
        <v/>
      </c>
      <c r="S179" s="85" t="str">
        <f t="shared" si="86"/>
        <v/>
      </c>
      <c r="T179" s="84">
        <f t="shared" si="87"/>
        <v>0</v>
      </c>
      <c r="U179" s="86" t="str">
        <f t="shared" si="88"/>
        <v/>
      </c>
      <c r="V179" s="86" t="str">
        <f t="shared" si="89"/>
        <v/>
      </c>
      <c r="W179" s="86" t="str">
        <f t="shared" si="90"/>
        <v/>
      </c>
      <c r="X179" s="86" t="str">
        <f t="shared" si="91"/>
        <v/>
      </c>
      <c r="Y179" s="86" t="str">
        <f t="shared" si="92"/>
        <v/>
      </c>
      <c r="Z179" s="86" t="str">
        <f t="shared" si="93"/>
        <v/>
      </c>
      <c r="AA179" s="86" t="str">
        <f t="shared" si="94"/>
        <v/>
      </c>
      <c r="AB179" s="138" t="str">
        <f t="shared" si="63"/>
        <v/>
      </c>
      <c r="AC179" s="137" t="str">
        <f t="shared" si="64"/>
        <v/>
      </c>
      <c r="AD179" s="139" t="str">
        <f t="shared" si="65"/>
        <v/>
      </c>
      <c r="AE179" s="137" t="str">
        <f t="shared" si="66"/>
        <v/>
      </c>
      <c r="AF179" s="137" t="str">
        <f t="shared" si="67"/>
        <v/>
      </c>
      <c r="AG179" s="103" t="str">
        <f t="shared" si="81"/>
        <v/>
      </c>
    </row>
    <row r="180" spans="1:33" x14ac:dyDescent="0.25">
      <c r="A180" s="83">
        <v>163</v>
      </c>
      <c r="B180" s="62"/>
      <c r="C180" s="63"/>
      <c r="D180" s="63"/>
      <c r="E180" s="63"/>
      <c r="F180" s="63"/>
      <c r="G180" s="64"/>
      <c r="H180" s="65"/>
      <c r="I180" s="65"/>
      <c r="J180" s="65"/>
      <c r="K180" s="65"/>
      <c r="L180" s="65"/>
      <c r="M180" s="66"/>
      <c r="N180" s="66"/>
      <c r="O180" s="85" t="str">
        <f t="shared" si="82"/>
        <v/>
      </c>
      <c r="P180" s="85" t="str">
        <f t="shared" si="83"/>
        <v/>
      </c>
      <c r="Q180" s="85" t="str">
        <f t="shared" si="84"/>
        <v/>
      </c>
      <c r="R180" s="85" t="str">
        <f t="shared" si="85"/>
        <v/>
      </c>
      <c r="S180" s="85" t="str">
        <f t="shared" si="86"/>
        <v/>
      </c>
      <c r="T180" s="84">
        <f t="shared" si="87"/>
        <v>0</v>
      </c>
      <c r="U180" s="86" t="str">
        <f t="shared" si="88"/>
        <v/>
      </c>
      <c r="V180" s="86" t="str">
        <f t="shared" si="89"/>
        <v/>
      </c>
      <c r="W180" s="86" t="str">
        <f t="shared" si="90"/>
        <v/>
      </c>
      <c r="X180" s="86" t="str">
        <f t="shared" si="91"/>
        <v/>
      </c>
      <c r="Y180" s="86" t="str">
        <f t="shared" si="92"/>
        <v/>
      </c>
      <c r="Z180" s="86" t="str">
        <f t="shared" si="93"/>
        <v/>
      </c>
      <c r="AA180" s="86" t="str">
        <f t="shared" si="94"/>
        <v/>
      </c>
      <c r="AB180" s="138" t="str">
        <f t="shared" si="63"/>
        <v/>
      </c>
      <c r="AC180" s="137" t="str">
        <f t="shared" si="64"/>
        <v/>
      </c>
      <c r="AD180" s="139" t="str">
        <f t="shared" si="65"/>
        <v/>
      </c>
      <c r="AE180" s="137" t="str">
        <f t="shared" si="66"/>
        <v/>
      </c>
      <c r="AF180" s="137" t="str">
        <f t="shared" si="67"/>
        <v/>
      </c>
      <c r="AG180" s="103" t="str">
        <f t="shared" si="81"/>
        <v/>
      </c>
    </row>
  </sheetData>
  <autoFilter ref="A17:AG180" xr:uid="{7220CA78-B0C9-4758-B90A-EA7F8213C0A0}"/>
  <mergeCells count="9">
    <mergeCell ref="A2:AG2"/>
    <mergeCell ref="B16:N16"/>
    <mergeCell ref="D6:F6"/>
    <mergeCell ref="D4:F4"/>
    <mergeCell ref="D5:F5"/>
    <mergeCell ref="AB16:AG16"/>
    <mergeCell ref="O16:T16"/>
    <mergeCell ref="U16:AA16"/>
    <mergeCell ref="B4:B14"/>
  </mergeCells>
  <phoneticPr fontId="3" type="noConversion"/>
  <conditionalFormatting sqref="AB18:AB180">
    <cfRule type="cellIs" dxfId="134" priority="98" stopIfTrue="1" operator="equal">
      <formula>""</formula>
    </cfRule>
    <cfRule type="cellIs" dxfId="133" priority="99" operator="greaterThanOrEqual">
      <formula>$D$9</formula>
    </cfRule>
  </conditionalFormatting>
  <conditionalFormatting sqref="AC18:AC85 AC87:AC150">
    <cfRule type="cellIs" dxfId="132" priority="96" stopIfTrue="1" operator="equal">
      <formula>""</formula>
    </cfRule>
    <cfRule type="cellIs" dxfId="131" priority="97" operator="lessThanOrEqual">
      <formula>$D$10</formula>
    </cfRule>
  </conditionalFormatting>
  <conditionalFormatting sqref="AD18:AD180">
    <cfRule type="cellIs" dxfId="130" priority="94" stopIfTrue="1" operator="equal">
      <formula>""</formula>
    </cfRule>
    <cfRule type="cellIs" dxfId="129" priority="95" operator="greaterThanOrEqual">
      <formula>$D$11</formula>
    </cfRule>
  </conditionalFormatting>
  <conditionalFormatting sqref="AE18:AE85 AE87:AE150">
    <cfRule type="cellIs" dxfId="128" priority="92" stopIfTrue="1" operator="equal">
      <formula>""</formula>
    </cfRule>
    <cfRule type="cellIs" dxfId="127" priority="93" operator="greaterThanOrEqual">
      <formula>$D$13</formula>
    </cfRule>
  </conditionalFormatting>
  <conditionalFormatting sqref="AF18:AF85 AF87:AF150">
    <cfRule type="cellIs" dxfId="126" priority="90" operator="equal">
      <formula>""</formula>
    </cfRule>
    <cfRule type="cellIs" dxfId="125" priority="91" operator="greaterThanOrEqual">
      <formula>$D$14</formula>
    </cfRule>
  </conditionalFormatting>
  <conditionalFormatting sqref="AG87:AG150 AG18:AG83 AG85">
    <cfRule type="cellIs" dxfId="124" priority="88" stopIfTrue="1" operator="equal">
      <formula>""</formula>
    </cfRule>
    <cfRule type="expression" dxfId="123" priority="89">
      <formula>(AG18/$D$5)&gt;=$D$12</formula>
    </cfRule>
  </conditionalFormatting>
  <conditionalFormatting sqref="AC151:AC180">
    <cfRule type="cellIs" dxfId="122" priority="12" stopIfTrue="1" operator="equal">
      <formula>""</formula>
    </cfRule>
    <cfRule type="cellIs" dxfId="121" priority="13" operator="lessThanOrEqual">
      <formula>$D$10</formula>
    </cfRule>
  </conditionalFormatting>
  <conditionalFormatting sqref="AE151:AE180">
    <cfRule type="cellIs" dxfId="120" priority="8" stopIfTrue="1" operator="equal">
      <formula>""</formula>
    </cfRule>
    <cfRule type="cellIs" dxfId="119" priority="9" operator="greaterThanOrEqual">
      <formula>$D$13</formula>
    </cfRule>
  </conditionalFormatting>
  <conditionalFormatting sqref="AF151:AF180">
    <cfRule type="cellIs" dxfId="118" priority="6" operator="equal">
      <formula>""</formula>
    </cfRule>
    <cfRule type="cellIs" dxfId="117" priority="7" operator="greaterThanOrEqual">
      <formula>$D$14</formula>
    </cfRule>
  </conditionalFormatting>
  <conditionalFormatting sqref="AG151:AG180">
    <cfRule type="cellIs" dxfId="116" priority="4" stopIfTrue="1" operator="equal">
      <formula>""</formula>
    </cfRule>
    <cfRule type="expression" dxfId="115" priority="5">
      <formula>(AG151/$D$5)&gt;=$D$12</formula>
    </cfRule>
  </conditionalFormatting>
  <conditionalFormatting sqref="AC86">
    <cfRule type="cellIs" dxfId="114" priority="24" stopIfTrue="1" operator="equal">
      <formula>""</formula>
    </cfRule>
    <cfRule type="cellIs" dxfId="113" priority="25" operator="lessThanOrEqual">
      <formula>$D$10</formula>
    </cfRule>
  </conditionalFormatting>
  <conditionalFormatting sqref="AE86">
    <cfRule type="cellIs" dxfId="112" priority="20" stopIfTrue="1" operator="equal">
      <formula>""</formula>
    </cfRule>
    <cfRule type="cellIs" dxfId="111" priority="21" operator="greaterThanOrEqual">
      <formula>$D$13</formula>
    </cfRule>
  </conditionalFormatting>
  <conditionalFormatting sqref="AF86">
    <cfRule type="cellIs" dxfId="110" priority="18" operator="equal">
      <formula>""</formula>
    </cfRule>
    <cfRule type="cellIs" dxfId="109" priority="19" operator="greaterThanOrEqual">
      <formula>$D$14</formula>
    </cfRule>
  </conditionalFormatting>
  <conditionalFormatting sqref="AG86">
    <cfRule type="cellIs" dxfId="108" priority="16" stopIfTrue="1" operator="equal">
      <formula>""</formula>
    </cfRule>
    <cfRule type="expression" dxfId="107" priority="17">
      <formula>(AG86/$D$5)&gt;=$D$12</formula>
    </cfRule>
  </conditionalFormatting>
  <conditionalFormatting sqref="AG84">
    <cfRule type="cellIs" dxfId="106" priority="1" stopIfTrue="1" operator="equal">
      <formula>""</formula>
    </cfRule>
    <cfRule type="expression" dxfId="105" priority="2">
      <formula>(AG84/$D$5)&gt;=$D$12</formula>
    </cfRule>
  </conditionalFormatting>
  <dataValidations count="7">
    <dataValidation allowBlank="1" showInputMessage="1" showErrorMessage="1" promptTitle="Nombre de Empresa" prompt="Nombre de la empresa como aparece en el RUP, en caso de proponentes plurales se debe indicar el nombre de las empresas que lo conforman. " sqref="C17" xr:uid="{BF14B25E-1D44-4AAA-A173-052C11E3CD96}"/>
    <dataValidation allowBlank="1" showInputMessage="1" showErrorMessage="1" promptTitle="NIT Empresa" prompt="NIT de la empresa como aparece en el RUP, en caso de proponentes plurales se debe indicar el NIT de las empresas que lo conforman. " sqref="D17" xr:uid="{F0366EE0-B3FB-4770-9298-83A4D4241F81}"/>
    <dataValidation allowBlank="1" showInputMessage="1" showErrorMessage="1" promptTitle="Año de los Indicadores" prompt="Digite el año de los indicadores seleccionados para la validación." sqref="E17" xr:uid="{AD2D7F1F-B40D-43EA-891E-231FA47C8375}"/>
    <dataValidation allowBlank="1" showInputMessage="1" showErrorMessage="1" promptTitle="Nombre del Proponente" prompt="Nombre del proponente individual o plural que carga la oferta." sqref="F17" xr:uid="{7BD3E360-1D26-446F-95B5-54F62C3D02DB}"/>
    <dataValidation allowBlank="1" showInputMessage="1" showErrorMessage="1" promptTitle="Porcentaje Participación" prompt="Digite el porcentaje de participación de la empresa dentro de la oferta economica." sqref="G17" xr:uid="{736718AA-4663-4FAC-AB46-44D1F9A437E7}"/>
    <dataValidation allowBlank="1" showInputMessage="1" showErrorMessage="1" promptTitle="Valores del RUP" prompt="Digite los valores correspondientes en el RUP y año seleccionado." sqref="H17:N17" xr:uid="{8598DB1C-06F6-4F3B-89B5-8A994D095990}"/>
    <dataValidation type="whole" allowBlank="1" showInputMessage="1" showErrorMessage="1" errorTitle="No digito un numero" error="Recuerde digitar unicamente numeros." promptTitle="Digite el número de la propuesta" prompt="Digite el número de la propuesta del proponente, este numero corresponde a la posición en orden de entrega de la oferta. " sqref="B18:B180" xr:uid="{830BB79F-C053-4BB4-A69C-EF63483C1CCB}">
      <formula1>1</formula1>
      <formula2>100</formula2>
    </dataValidation>
  </dataValidations>
  <pageMargins left="0.7" right="0.7" top="0.75" bottom="0.75" header="0.3" footer="0.3"/>
  <pageSetup scale="38" fitToHeight="0"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E01FA-BAE1-4E86-BE79-BE82C220F83B}">
  <sheetPr codeName="Hoja2">
    <pageSetUpPr fitToPage="1"/>
  </sheetPr>
  <dimension ref="A1:Q54"/>
  <sheetViews>
    <sheetView showGridLines="0" topLeftCell="A28" zoomScale="60" zoomScaleNormal="60" zoomScalePageLayoutView="90" workbookViewId="0">
      <selection activeCell="J51" sqref="J50:J51"/>
    </sheetView>
  </sheetViews>
  <sheetFormatPr baseColWidth="10" defaultColWidth="18.7109375" defaultRowHeight="15" x14ac:dyDescent="0.25"/>
  <cols>
    <col min="1" max="1" width="1.42578125" style="1" customWidth="1"/>
    <col min="2" max="2" width="56.7109375" style="1" customWidth="1"/>
    <col min="3" max="3" width="33.140625" style="1" customWidth="1"/>
    <col min="4" max="17" width="28.85546875" style="1" customWidth="1"/>
    <col min="18" max="16384" width="18.7109375" style="1"/>
  </cols>
  <sheetData>
    <row r="1" spans="1:17" x14ac:dyDescent="0.25">
      <c r="B1" s="156"/>
      <c r="C1" s="158" t="s">
        <v>18</v>
      </c>
      <c r="D1" s="159"/>
      <c r="E1" s="159"/>
      <c r="F1" s="159"/>
      <c r="G1" s="159"/>
      <c r="H1" s="159"/>
      <c r="I1" s="159"/>
      <c r="J1" s="159"/>
      <c r="K1" s="159"/>
      <c r="L1" s="159"/>
      <c r="M1" s="159"/>
      <c r="N1" s="159"/>
      <c r="O1" s="159"/>
      <c r="P1" s="160"/>
      <c r="Q1" s="167" t="s">
        <v>54</v>
      </c>
    </row>
    <row r="2" spans="1:17" x14ac:dyDescent="0.25">
      <c r="B2" s="157"/>
      <c r="C2" s="161"/>
      <c r="D2" s="162"/>
      <c r="E2" s="162"/>
      <c r="F2" s="162"/>
      <c r="G2" s="162"/>
      <c r="H2" s="162"/>
      <c r="I2" s="162"/>
      <c r="J2" s="162"/>
      <c r="K2" s="162"/>
      <c r="L2" s="162"/>
      <c r="M2" s="162"/>
      <c r="N2" s="162"/>
      <c r="O2" s="162"/>
      <c r="P2" s="163"/>
      <c r="Q2" s="168"/>
    </row>
    <row r="3" spans="1:17" ht="16.5" customHeight="1" x14ac:dyDescent="0.25">
      <c r="B3" s="157"/>
      <c r="C3" s="161"/>
      <c r="D3" s="162"/>
      <c r="E3" s="162"/>
      <c r="F3" s="162"/>
      <c r="G3" s="162"/>
      <c r="H3" s="162"/>
      <c r="I3" s="162"/>
      <c r="J3" s="162"/>
      <c r="K3" s="162"/>
      <c r="L3" s="162"/>
      <c r="M3" s="162"/>
      <c r="N3" s="162"/>
      <c r="O3" s="162"/>
      <c r="P3" s="163"/>
      <c r="Q3" s="168"/>
    </row>
    <row r="4" spans="1:17" x14ac:dyDescent="0.25">
      <c r="B4" s="157"/>
      <c r="C4" s="161"/>
      <c r="D4" s="162"/>
      <c r="E4" s="162"/>
      <c r="F4" s="162"/>
      <c r="G4" s="162"/>
      <c r="H4" s="162"/>
      <c r="I4" s="162"/>
      <c r="J4" s="162"/>
      <c r="K4" s="162"/>
      <c r="L4" s="162"/>
      <c r="M4" s="162"/>
      <c r="N4" s="162"/>
      <c r="O4" s="162"/>
      <c r="P4" s="163"/>
      <c r="Q4" s="168"/>
    </row>
    <row r="5" spans="1:17" ht="23.25" customHeight="1" x14ac:dyDescent="0.25">
      <c r="B5" s="157"/>
      <c r="C5" s="164"/>
      <c r="D5" s="165"/>
      <c r="E5" s="165"/>
      <c r="F5" s="165"/>
      <c r="G5" s="165"/>
      <c r="H5" s="165"/>
      <c r="I5" s="165"/>
      <c r="J5" s="165"/>
      <c r="K5" s="165"/>
      <c r="L5" s="165"/>
      <c r="M5" s="165"/>
      <c r="N5" s="165"/>
      <c r="O5" s="165"/>
      <c r="P5" s="166"/>
      <c r="Q5" s="168"/>
    </row>
    <row r="6" spans="1:17" s="3" customFormat="1" ht="26.25" customHeight="1" x14ac:dyDescent="0.25">
      <c r="B6" s="169" t="str">
        <f>"PROCESO DE SELECCIÓN "&amp;Indicadores_Generales!D4</f>
        <v>PROCESO DE SELECCIÓN  FDLBOSACM-004-2022(71937)</v>
      </c>
      <c r="C6" s="170"/>
      <c r="D6" s="170"/>
      <c r="E6" s="170"/>
      <c r="F6" s="170"/>
      <c r="G6" s="170"/>
      <c r="H6" s="170"/>
      <c r="I6" s="170"/>
      <c r="J6" s="170"/>
      <c r="K6" s="170"/>
      <c r="L6" s="170"/>
      <c r="M6" s="170"/>
      <c r="N6" s="170"/>
      <c r="O6" s="170"/>
      <c r="P6" s="170"/>
      <c r="Q6" s="171"/>
    </row>
    <row r="7" spans="1:17" s="42" customFormat="1" ht="42" customHeight="1" x14ac:dyDescent="0.25">
      <c r="B7" s="172" t="str">
        <f>"OBJETO: "&amp;UPPER(Indicadores_Generales!D6)</f>
        <v>OBJETO: REALIZAR LA INTERVENTORÍA
TÉCNICA, ADMINISTRATIVA, FINANCIERA, JURÍDICA, SOCIAL, AMBIENTAL Y
SST AL CONTRATO DE OBRA PÚBLICA QUE TENDRÁ POR OBJETO
CONTRACTUAL EJECUTAR POR EL SISTEMA DE PRECIOS UNITARIOS FIJOS SIN
FORMULA DE REAJUSTE Y A MONTO AGOTABLE LAS ACTIVIDADES
NECESARIAS PARA LA EJECUCIÓN DE LAS OBRAS DE CONSTRUCCIÓN DE
MALLA VIAL Y ESPACIO PUBLICO ASOCIADO DE LA LOCALIDAD DE BOSA, DE
ACUERDO CON LA DESCRIPCIÓN, ESPECIFICACIONES, ESTUDIOS, DISEÑOS Y
DEMÁS CONDICIONES ESTABLECIDAS EN EL ANEXO TÉCNICO</v>
      </c>
      <c r="C7" s="173"/>
      <c r="D7" s="173"/>
      <c r="E7" s="173"/>
      <c r="F7" s="173"/>
      <c r="G7" s="173"/>
      <c r="H7" s="173"/>
      <c r="I7" s="173"/>
      <c r="J7" s="173"/>
      <c r="K7" s="173"/>
      <c r="L7" s="173"/>
      <c r="M7" s="173"/>
      <c r="N7" s="173"/>
      <c r="O7" s="173"/>
      <c r="P7" s="173"/>
      <c r="Q7" s="174"/>
    </row>
    <row r="8" spans="1:17" s="42" customFormat="1" ht="75.75" customHeight="1" x14ac:dyDescent="0.25">
      <c r="B8" s="37" t="s">
        <v>53</v>
      </c>
      <c r="C8" s="35" t="str">
        <f>IFERROR(IF(VLOOKUP(C9,Indicadores_Generales!$B$17:$AG$143,5,0)=0,"",VLOOKUP(C9,Indicadores_Generales!$B$17:$AG$143,5,0)),"")</f>
        <v>SITELSA SAS</v>
      </c>
      <c r="D8" s="35" t="str">
        <f>IFERROR(IF(VLOOKUP(D9,Indicadores_Generales!$B$17:$AG$143,5,0)=0,"",VLOOKUP(D9,Indicadores_Generales!$B$17:$AG$143,5,0)),"")</f>
        <v xml:space="preserve">	PROESING</v>
      </c>
      <c r="E8" s="35" t="str">
        <f>IFERROR(IF(VLOOKUP(E9,Indicadores_Generales!$B$17:$AG$143,5,0)=0,"",VLOOKUP(E9,Indicadores_Generales!$B$17:$AG$143,5,0)),"")</f>
        <v>CB INGENIEROS SAS</v>
      </c>
      <c r="F8" s="35" t="str">
        <f>IFERROR(IF(VLOOKUP(F9,Indicadores_Generales!$B$17:$AG$143,5,0)=0,"",VLOOKUP(F9,Indicadores_Generales!$B$17:$AG$143,5,0)),"")</f>
        <v xml:space="preserve">	JASEN CONSULTORES S.A.S.</v>
      </c>
      <c r="G8" s="35" t="str">
        <f>IFERROR(IF(VLOOKUP(G9,Indicadores_Generales!$B$17:$AG$143,5,0)=0,"",VLOOKUP(G9,Indicadores_Generales!$B$17:$AG$143,5,0)),"")</f>
        <v xml:space="preserve">	BOSA SIGLO XXI</v>
      </c>
      <c r="H8" s="35" t="str">
        <f>IFERROR(IF(VLOOKUP(H9,Indicadores_Generales!$B$17:$AG$143,5,0)=0,"",VLOOKUP(H9,Indicadores_Generales!$B$17:$AG$143,5,0)),"")</f>
        <v>CONSORCIO ODESSA</v>
      </c>
      <c r="I8" s="35" t="str">
        <f>IFERROR(IF(VLOOKUP(I9,Indicadores_Generales!$B$17:$AG$143,5,0)=0,"",VLOOKUP(I9,Indicadores_Generales!$B$17:$AG$143,5,0)),"")</f>
        <v>GMC</v>
      </c>
      <c r="J8" s="35" t="str">
        <f>IFERROR(IF(VLOOKUP(J9,Indicadores_Generales!$B$17:$AG$143,5,0)=0,"",VLOOKUP(J9,Indicadores_Generales!$B$17:$AG$143,5,0)),"")</f>
        <v xml:space="preserve">	CONCIC S.A.S.</v>
      </c>
      <c r="K8" s="35" t="str">
        <f>IFERROR(IF(VLOOKUP(K9,Indicadores_Generales!$B$17:$AG$143,5,0)=0,"",VLOOKUP(K9,Indicadores_Generales!$B$17:$AG$143,5,0)),"")</f>
        <v>CONS GAB BOGOTA</v>
      </c>
      <c r="L8" s="35" t="str">
        <f>IFERROR(IF(VLOOKUP(L9,Indicadores_Generales!$B$17:$AG$143,5,0)=0,"",VLOOKUP(L9,Indicadores_Generales!$B$17:$AG$143,5,0)),"")</f>
        <v>CONSORCIO MT 2022 BOSA</v>
      </c>
      <c r="M8" s="35" t="str">
        <f>IFERROR(IF(VLOOKUP(M9,Indicadores_Generales!$B$17:$AG$143,5,0)=0,"",VLOOKUP(M9,Indicadores_Generales!$B$17:$AG$143,5,0)),"")</f>
        <v xml:space="preserve">	VELNEC S.A.</v>
      </c>
      <c r="N8" s="35" t="str">
        <f>IFERROR(IF(VLOOKUP(N9,Indicadores_Generales!$B$17:$AG$143,5,0)=0,"",VLOOKUP(N9,Indicadores_Generales!$B$17:$AG$143,5,0)),"")</f>
        <v xml:space="preserve">	CONSORCIO INTERVIAS CD</v>
      </c>
      <c r="O8" s="35" t="str">
        <f>IFERROR(IF(VLOOKUP(O9,Indicadores_Generales!$B$17:$AG$143,5,0)=0,"",VLOOKUP(O9,Indicadores_Generales!$B$17:$AG$143,5,0)),"")</f>
        <v>CONSORCIO GBM VIAS</v>
      </c>
      <c r="P8" s="35" t="str">
        <f>IFERROR(IF(VLOOKUP(P9,Indicadores_Generales!$B$17:$AG$143,5,0)=0,"",VLOOKUP(P9,Indicadores_Generales!$B$17:$AG$143,5,0)),"")</f>
        <v>CONSORCIO JGL</v>
      </c>
      <c r="Q8" s="43" t="str">
        <f>IFERROR(IF(VLOOKUP(Q9,Indicadores_Generales!$B$17:$AG$143,5,0)=0,"",VLOOKUP(Q9,Indicadores_Generales!$B$17:$AG$143,5,0)),"")</f>
        <v>PIV Ingenieria S.A.S.</v>
      </c>
    </row>
    <row r="9" spans="1:17" s="3" customFormat="1" ht="24" customHeight="1" x14ac:dyDescent="0.25">
      <c r="A9" s="2"/>
      <c r="B9" s="40" t="s">
        <v>2</v>
      </c>
      <c r="C9" s="36">
        <v>1</v>
      </c>
      <c r="D9" s="36">
        <v>2</v>
      </c>
      <c r="E9" s="36">
        <v>3</v>
      </c>
      <c r="F9" s="36">
        <v>4</v>
      </c>
      <c r="G9" s="36">
        <v>5</v>
      </c>
      <c r="H9" s="36">
        <v>6</v>
      </c>
      <c r="I9" s="36">
        <v>7</v>
      </c>
      <c r="J9" s="36">
        <v>8</v>
      </c>
      <c r="K9" s="36">
        <v>9</v>
      </c>
      <c r="L9" s="36">
        <v>10</v>
      </c>
      <c r="M9" s="36">
        <v>11</v>
      </c>
      <c r="N9" s="36">
        <v>12</v>
      </c>
      <c r="O9" s="36">
        <v>13</v>
      </c>
      <c r="P9" s="36">
        <v>14</v>
      </c>
      <c r="Q9" s="44">
        <v>15</v>
      </c>
    </row>
    <row r="10" spans="1:17" s="3" customFormat="1" ht="31.5" x14ac:dyDescent="0.25">
      <c r="B10" s="40" t="s">
        <v>48</v>
      </c>
      <c r="C10" s="4">
        <f>IF(C8="","",IFERROR(IF(VLOOKUP(C9,Indicadores_Generales!$B$17:$AG$143,4,0)=0,"",DATE(VLOOKUP(C9,Indicadores_Generales!$B$17:$AG$143,4,0),12,31)),""))</f>
        <v>44561</v>
      </c>
      <c r="D10" s="4">
        <f>IF(D8="","",IFERROR(IF(VLOOKUP(D9,Indicadores_Generales!$B$17:$AG$143,4,0)=0,"",DATE(VLOOKUP(D9,Indicadores_Generales!$B$17:$AG$143,4,0),12,31)),""))</f>
        <v>44561</v>
      </c>
      <c r="E10" s="4">
        <f>IF(E8="","",IFERROR(IF(VLOOKUP(E9,Indicadores_Generales!$B$17:$AG$143,4,0)=0,"",DATE(VLOOKUP(E9,Indicadores_Generales!$B$17:$AG$143,4,0),12,31)),""))</f>
        <v>44196</v>
      </c>
      <c r="F10" s="4">
        <f>IF(F8="","",IFERROR(IF(VLOOKUP(F9,Indicadores_Generales!$B$17:$AG$143,4,0)=0,"",DATE(VLOOKUP(F9,Indicadores_Generales!$B$17:$AG$143,4,0),12,31)),""))</f>
        <v>44561</v>
      </c>
      <c r="G10" s="4">
        <f>IF(G8="","",IFERROR(IF(VLOOKUP(G9,Indicadores_Generales!$B$17:$AG$143,4,0)=0,"",DATE(VLOOKUP(G9,Indicadores_Generales!$B$17:$AG$143,4,0),12,31)),""))</f>
        <v>44561</v>
      </c>
      <c r="H10" s="4">
        <f>IF(H8="","",IFERROR(IF(VLOOKUP(H9,Indicadores_Generales!$B$17:$AG$143,4,0)=0,"",DATE(VLOOKUP(H9,Indicadores_Generales!$B$17:$AG$143,4,0),12,31)),""))</f>
        <v>44561</v>
      </c>
      <c r="I10" s="4">
        <f>IF(I8="","",IFERROR(IF(VLOOKUP(I9,Indicadores_Generales!$B$17:$AG$143,4,0)=0,"",DATE(VLOOKUP(I9,Indicadores_Generales!$B$17:$AG$143,4,0),12,31)),""))</f>
        <v>44561</v>
      </c>
      <c r="J10" s="4">
        <f>IF(J8="","",IFERROR(IF(VLOOKUP(J9,Indicadores_Generales!$B$17:$AG$143,4,0)=0,"",DATE(VLOOKUP(J9,Indicadores_Generales!$B$17:$AG$143,4,0),12,31)),""))</f>
        <v>44561</v>
      </c>
      <c r="K10" s="4">
        <f>IF(K8="","",IFERROR(IF(VLOOKUP(K9,Indicadores_Generales!$B$17:$AG$143,4,0)=0,"",DATE(VLOOKUP(K9,Indicadores_Generales!$B$17:$AG$143,4,0),12,31)),""))</f>
        <v>44561</v>
      </c>
      <c r="L10" s="4">
        <f>IF(L8="","",IFERROR(IF(VLOOKUP(L9,Indicadores_Generales!$B$17:$AG$143,4,0)=0,"",DATE(VLOOKUP(L9,Indicadores_Generales!$B$17:$AG$143,4,0),12,31)),""))</f>
        <v>44561</v>
      </c>
      <c r="M10" s="4">
        <f>IF(M8="","",IFERROR(IF(VLOOKUP(M9,Indicadores_Generales!$B$17:$AG$143,4,0)=0,"",DATE(VLOOKUP(M9,Indicadores_Generales!$B$17:$AG$143,4,0),12,31)),""))</f>
        <v>44561</v>
      </c>
      <c r="N10" s="4">
        <f>IF(N8="","",IFERROR(IF(VLOOKUP(N9,Indicadores_Generales!$B$17:$AG$143,4,0)=0,"",DATE(VLOOKUP(N9,Indicadores_Generales!$B$17:$AG$143,4,0),12,31)),""))</f>
        <v>44561</v>
      </c>
      <c r="O10" s="4">
        <f>IF(O8="","",IFERROR(IF(VLOOKUP(O9,Indicadores_Generales!$B$17:$AG$143,4,0)=0,"",DATE(VLOOKUP(O9,Indicadores_Generales!$B$17:$AG$143,4,0),12,31)),""))</f>
        <v>44561</v>
      </c>
      <c r="P10" s="4">
        <f>IF(P8="","",IFERROR(IF(VLOOKUP(P9,Indicadores_Generales!$B$17:$AG$143,4,0)=0,"",DATE(VLOOKUP(P9,Indicadores_Generales!$B$17:$AG$143,4,0),12,31)),""))</f>
        <v>44561</v>
      </c>
      <c r="Q10" s="45">
        <f>IF(Q8="","",IFERROR(IF(VLOOKUP(Q9,Indicadores_Generales!$B$17:$AG$143,4,0)=0,"",DATE(VLOOKUP(Q9,Indicadores_Generales!$B$17:$AG$143,4,0),12,31)),""))</f>
        <v>44561</v>
      </c>
    </row>
    <row r="11" spans="1:17" s="3" customFormat="1" ht="24" customHeight="1" x14ac:dyDescent="0.25">
      <c r="B11" s="40" t="s">
        <v>21</v>
      </c>
      <c r="C11" s="38" t="str">
        <f>IF(C8="","",IF(C10="","","VIGENTE"))</f>
        <v>VIGENTE</v>
      </c>
      <c r="D11" s="38" t="str">
        <f t="shared" ref="D11:Q11" si="0">IF(D8="","",IF(D10="","","VIGENTE"))</f>
        <v>VIGENTE</v>
      </c>
      <c r="E11" s="38" t="str">
        <f t="shared" si="0"/>
        <v>VIGENTE</v>
      </c>
      <c r="F11" s="38" t="str">
        <f t="shared" si="0"/>
        <v>VIGENTE</v>
      </c>
      <c r="G11" s="38" t="str">
        <f t="shared" si="0"/>
        <v>VIGENTE</v>
      </c>
      <c r="H11" s="38" t="str">
        <f t="shared" si="0"/>
        <v>VIGENTE</v>
      </c>
      <c r="I11" s="38" t="str">
        <f t="shared" si="0"/>
        <v>VIGENTE</v>
      </c>
      <c r="J11" s="38" t="str">
        <f t="shared" si="0"/>
        <v>VIGENTE</v>
      </c>
      <c r="K11" s="38" t="str">
        <f t="shared" si="0"/>
        <v>VIGENTE</v>
      </c>
      <c r="L11" s="38" t="str">
        <f t="shared" si="0"/>
        <v>VIGENTE</v>
      </c>
      <c r="M11" s="38" t="str">
        <f t="shared" si="0"/>
        <v>VIGENTE</v>
      </c>
      <c r="N11" s="38" t="str">
        <f t="shared" si="0"/>
        <v>VIGENTE</v>
      </c>
      <c r="O11" s="38" t="str">
        <f t="shared" si="0"/>
        <v>VIGENTE</v>
      </c>
      <c r="P11" s="38" t="str">
        <f t="shared" si="0"/>
        <v>VIGENTE</v>
      </c>
      <c r="Q11" s="39" t="str">
        <f t="shared" si="0"/>
        <v>VIGENTE</v>
      </c>
    </row>
    <row r="12" spans="1:17" s="3" customFormat="1" ht="15.75" x14ac:dyDescent="0.25">
      <c r="B12" s="40" t="s">
        <v>22</v>
      </c>
      <c r="C12" s="7">
        <f>IF(C8="","",SUMIFS(Indicadores_Generales!$G:$G,Indicadores_Generales!$B:$B,C9))</f>
        <v>1</v>
      </c>
      <c r="D12" s="7">
        <f>IF(D8="","",SUMIFS(Indicadores_Generales!$G:$G,Indicadores_Generales!$B:$B,D9))</f>
        <v>1</v>
      </c>
      <c r="E12" s="7">
        <f>IF(E8="","",SUMIFS(Indicadores_Generales!$G:$G,Indicadores_Generales!$B:$B,E9))</f>
        <v>1</v>
      </c>
      <c r="F12" s="7">
        <f>IF(F8="","",SUMIFS(Indicadores_Generales!$G:$G,Indicadores_Generales!$B:$B,F9))</f>
        <v>1</v>
      </c>
      <c r="G12" s="7">
        <f>IF(G8="","",SUMIFS(Indicadores_Generales!$G:$G,Indicadores_Generales!$B:$B,G9))</f>
        <v>1</v>
      </c>
      <c r="H12" s="7">
        <f>IF(H8="","",SUMIFS(Indicadores_Generales!$G:$G,Indicadores_Generales!$B:$B,H9))</f>
        <v>1</v>
      </c>
      <c r="I12" s="7">
        <f>IF(I8="","",SUMIFS(Indicadores_Generales!$G:$G,Indicadores_Generales!$B:$B,I9))</f>
        <v>1</v>
      </c>
      <c r="J12" s="7">
        <f>IF(J8="","",SUMIFS(Indicadores_Generales!$G:$G,Indicadores_Generales!$B:$B,J9))</f>
        <v>1</v>
      </c>
      <c r="K12" s="7">
        <f>IF(K8="","",SUMIFS(Indicadores_Generales!$G:$G,Indicadores_Generales!$B:$B,K9))</f>
        <v>1</v>
      </c>
      <c r="L12" s="7">
        <f>IF(L8="","",SUMIFS(Indicadores_Generales!$G:$G,Indicadores_Generales!$B:$B,L9))</f>
        <v>1</v>
      </c>
      <c r="M12" s="7">
        <f>IF(M8="","",SUMIFS(Indicadores_Generales!$G:$G,Indicadores_Generales!$B:$B,M9))</f>
        <v>1</v>
      </c>
      <c r="N12" s="7">
        <f>IF(N8="","",SUMIFS(Indicadores_Generales!$G:$G,Indicadores_Generales!$B:$B,N9))</f>
        <v>1</v>
      </c>
      <c r="O12" s="7">
        <f>IF(O8="","",SUMIFS(Indicadores_Generales!$G:$G,Indicadores_Generales!$B:$B,O9))</f>
        <v>1</v>
      </c>
      <c r="P12" s="7">
        <f>IF(P8="","",SUMIFS(Indicadores_Generales!$G:$G,Indicadores_Generales!$B:$B,P9))</f>
        <v>1</v>
      </c>
      <c r="Q12" s="46">
        <f>IF(Q8="","",SUMIFS(Indicadores_Generales!$G:$G,Indicadores_Generales!$B:$B,Q9))</f>
        <v>1</v>
      </c>
    </row>
    <row r="13" spans="1:17" s="3" customFormat="1" ht="26.25" customHeight="1" x14ac:dyDescent="0.25">
      <c r="B13" s="40" t="s">
        <v>4</v>
      </c>
      <c r="C13" s="8">
        <f>IF(C8="","",SUMIFS(Indicadores_Generales!$U:$U,Indicadores_Generales!$B:$B,C9))</f>
        <v>4820015628</v>
      </c>
      <c r="D13" s="8">
        <f>IF(D8="","",SUMIFS(Indicadores_Generales!$U:$U,Indicadores_Generales!$B:$B,D9))</f>
        <v>680485318</v>
      </c>
      <c r="E13" s="8">
        <f>IF(E8="","",SUMIFS(Indicadores_Generales!$U:$U,Indicadores_Generales!$B:$B,E9))</f>
        <v>2106100738</v>
      </c>
      <c r="F13" s="8">
        <f>IF(F8="","",SUMIFS(Indicadores_Generales!$U:$U,Indicadores_Generales!$B:$B,F9))</f>
        <v>4136257451</v>
      </c>
      <c r="G13" s="8">
        <f>IF(G8="","",SUMIFS(Indicadores_Generales!$U:$U,Indicadores_Generales!$B:$B,G9))</f>
        <v>12025091828</v>
      </c>
      <c r="H13" s="8">
        <f>IF(H8="","",SUMIFS(Indicadores_Generales!$U:$U,Indicadores_Generales!$B:$B,H9))</f>
        <v>2507914395.5999999</v>
      </c>
      <c r="I13" s="8">
        <f>IF(I8="","",SUMIFS(Indicadores_Generales!$U:$U,Indicadores_Generales!$B:$B,I9))</f>
        <v>5568576842.5999994</v>
      </c>
      <c r="J13" s="8">
        <f>IF(J8="","",SUMIFS(Indicadores_Generales!$U:$U,Indicadores_Generales!$B:$B,J9))</f>
        <v>5823796147</v>
      </c>
      <c r="K13" s="8">
        <f>IF(K8="","",SUMIFS(Indicadores_Generales!$U:$U,Indicadores_Generales!$B:$B,K9))</f>
        <v>5063984134.5</v>
      </c>
      <c r="L13" s="8">
        <f>IF(L8="","",SUMIFS(Indicadores_Generales!$U:$U,Indicadores_Generales!$B:$B,L9))</f>
        <v>6935078504.1499996</v>
      </c>
      <c r="M13" s="8">
        <f>IF(M8="","",SUMIFS(Indicadores_Generales!$U:$U,Indicadores_Generales!$B:$B,M9))</f>
        <v>5916923640</v>
      </c>
      <c r="N13" s="8">
        <f>IF(N8="","",SUMIFS(Indicadores_Generales!$U:$U,Indicadores_Generales!$B:$B,N9))</f>
        <v>4349420565</v>
      </c>
      <c r="O13" s="8">
        <f>IF(O8="","",SUMIFS(Indicadores_Generales!$U:$U,Indicadores_Generales!$B:$B,O9))</f>
        <v>3208315019.3499999</v>
      </c>
      <c r="P13" s="8">
        <f>IF(P8="","",SUMIFS(Indicadores_Generales!$U:$U,Indicadores_Generales!$B:$B,P9))</f>
        <v>938766602.64999998</v>
      </c>
      <c r="Q13" s="47">
        <f>IF(Q8="","",SUMIFS(Indicadores_Generales!$U:$U,Indicadores_Generales!$B:$B,Q9))</f>
        <v>2056786073</v>
      </c>
    </row>
    <row r="14" spans="1:17" s="3" customFormat="1" ht="26.25" customHeight="1" x14ac:dyDescent="0.25">
      <c r="B14" s="40" t="s">
        <v>5</v>
      </c>
      <c r="C14" s="8">
        <f>IF(C8="","",SUMIFS(Indicadores_Generales!$V:$V,Indicadores_Generales!$B:$B,C9))</f>
        <v>237511652</v>
      </c>
      <c r="D14" s="8">
        <f>IF(D8="","",SUMIFS(Indicadores_Generales!$V:$V,Indicadores_Generales!$B:$B,D9))</f>
        <v>264354718</v>
      </c>
      <c r="E14" s="8">
        <f>IF(E8="","",SUMIFS(Indicadores_Generales!$V:$V,Indicadores_Generales!$B:$B,E9))</f>
        <v>223352757</v>
      </c>
      <c r="F14" s="8">
        <f>IF(F8="","",SUMIFS(Indicadores_Generales!$V:$V,Indicadores_Generales!$B:$B,F9))</f>
        <v>1009599294</v>
      </c>
      <c r="G14" s="8">
        <f>IF(G8="","",SUMIFS(Indicadores_Generales!$V:$V,Indicadores_Generales!$B:$B,G9))</f>
        <v>1860936211</v>
      </c>
      <c r="H14" s="8">
        <f>IF(H8="","",SUMIFS(Indicadores_Generales!$V:$V,Indicadores_Generales!$B:$B,H9))</f>
        <v>1201766083.55</v>
      </c>
      <c r="I14" s="8">
        <f>IF(I8="","",SUMIFS(Indicadores_Generales!$V:$V,Indicadores_Generales!$B:$B,I9))</f>
        <v>702905868.79999995</v>
      </c>
      <c r="J14" s="8">
        <f>IF(J8="","",SUMIFS(Indicadores_Generales!$V:$V,Indicadores_Generales!$B:$B,J9))</f>
        <v>351765345</v>
      </c>
      <c r="K14" s="8">
        <f>IF(K8="","",SUMIFS(Indicadores_Generales!$V:$V,Indicadores_Generales!$B:$B,K9))</f>
        <v>188153045.5</v>
      </c>
      <c r="L14" s="8">
        <f>IF(L8="","",SUMIFS(Indicadores_Generales!$V:$V,Indicadores_Generales!$B:$B,L9))</f>
        <v>116404928.79999998</v>
      </c>
      <c r="M14" s="8">
        <f>IF(M8="","",SUMIFS(Indicadores_Generales!$V:$V,Indicadores_Generales!$B:$B,M9))</f>
        <v>1809503324</v>
      </c>
      <c r="N14" s="8">
        <f>IF(N8="","",SUMIFS(Indicadores_Generales!$V:$V,Indicadores_Generales!$B:$B,N9))</f>
        <v>167799966.5</v>
      </c>
      <c r="O14" s="8">
        <f>IF(O8="","",SUMIFS(Indicadores_Generales!$V:$V,Indicadores_Generales!$B:$B,O9))</f>
        <v>1139470286.6500001</v>
      </c>
      <c r="P14" s="8">
        <f>IF(P8="","",SUMIFS(Indicadores_Generales!$V:$V,Indicadores_Generales!$B:$B,P9))</f>
        <v>172622532.30000001</v>
      </c>
      <c r="Q14" s="47">
        <f>IF(Q8="","",SUMIFS(Indicadores_Generales!$V:$V,Indicadores_Generales!$B:$B,Q9))</f>
        <v>1239780342</v>
      </c>
    </row>
    <row r="15" spans="1:17" s="3" customFormat="1" ht="26.25" customHeight="1" x14ac:dyDescent="0.25">
      <c r="B15" s="40" t="s">
        <v>6</v>
      </c>
      <c r="C15" s="8">
        <f>IF(C8="","",SUMIFS(Indicadores_Generales!$W:$W,Indicadores_Generales!$B:$B,C9))</f>
        <v>5236581840</v>
      </c>
      <c r="D15" s="8">
        <f>IF(D8="","",SUMIFS(Indicadores_Generales!$W:$W,Indicadores_Generales!$B:$B,D9))</f>
        <v>680485318</v>
      </c>
      <c r="E15" s="8">
        <f>IF(E8="","",SUMIFS(Indicadores_Generales!$W:$W,Indicadores_Generales!$B:$B,E9))</f>
        <v>3240135572</v>
      </c>
      <c r="F15" s="8">
        <f>IF(F8="","",SUMIFS(Indicadores_Generales!$W:$W,Indicadores_Generales!$B:$B,F9))</f>
        <v>4684320284</v>
      </c>
      <c r="G15" s="8">
        <f>IF(G8="","",SUMIFS(Indicadores_Generales!$W:$W,Indicadores_Generales!$B:$B,G9))</f>
        <v>13194376821</v>
      </c>
      <c r="H15" s="8">
        <f>IF(H8="","",SUMIFS(Indicadores_Generales!$W:$W,Indicadores_Generales!$B:$B,H9))</f>
        <v>4090194489.1999998</v>
      </c>
      <c r="I15" s="8">
        <f>IF(I8="","",SUMIFS(Indicadores_Generales!$W:$W,Indicadores_Generales!$B:$B,I9))</f>
        <v>5813629752.6999998</v>
      </c>
      <c r="J15" s="8">
        <f>IF(J8="","",SUMIFS(Indicadores_Generales!$W:$W,Indicadores_Generales!$B:$B,J9))</f>
        <v>5826285766</v>
      </c>
      <c r="K15" s="8">
        <f>IF(K8="","",SUMIFS(Indicadores_Generales!$W:$W,Indicadores_Generales!$B:$B,K9))</f>
        <v>5455400707</v>
      </c>
      <c r="L15" s="8">
        <f>IF(L8="","",SUMIFS(Indicadores_Generales!$W:$W,Indicadores_Generales!$B:$B,L9))</f>
        <v>7886010010.3499994</v>
      </c>
      <c r="M15" s="8">
        <f>IF(M8="","",SUMIFS(Indicadores_Generales!$W:$W,Indicadores_Generales!$B:$B,M9))</f>
        <v>10677035496</v>
      </c>
      <c r="N15" s="8">
        <f>IF(N8="","",SUMIFS(Indicadores_Generales!$W:$W,Indicadores_Generales!$B:$B,N9))</f>
        <v>5232745034.5</v>
      </c>
      <c r="O15" s="8">
        <f>IF(O8="","",SUMIFS(Indicadores_Generales!$W:$W,Indicadores_Generales!$B:$B,O9))</f>
        <v>3271756070.4499998</v>
      </c>
      <c r="P15" s="8">
        <f>IF(P8="","",SUMIFS(Indicadores_Generales!$W:$W,Indicadores_Generales!$B:$B,P9))</f>
        <v>1564544210.6500001</v>
      </c>
      <c r="Q15" s="47">
        <f>IF(Q8="","",SUMIFS(Indicadores_Generales!$W:$W,Indicadores_Generales!$B:$B,Q9))</f>
        <v>4893290691</v>
      </c>
    </row>
    <row r="16" spans="1:17" s="3" customFormat="1" ht="26.25" customHeight="1" x14ac:dyDescent="0.25">
      <c r="B16" s="40" t="s">
        <v>7</v>
      </c>
      <c r="C16" s="8">
        <f>IF(C8="","",SUMIFS(Indicadores_Generales!$X:$X,Indicadores_Generales!$B:$B,C9))</f>
        <v>1760253849</v>
      </c>
      <c r="D16" s="8">
        <f>IF(D8="","",SUMIFS(Indicadores_Generales!$X:$X,Indicadores_Generales!$B:$B,D9))</f>
        <v>264354718</v>
      </c>
      <c r="E16" s="8">
        <f>IF(E8="","",SUMIFS(Indicadores_Generales!$X:$X,Indicadores_Generales!$B:$B,E9))</f>
        <v>1799680207</v>
      </c>
      <c r="F16" s="8">
        <f>IF(F8="","",SUMIFS(Indicadores_Generales!$X:$X,Indicadores_Generales!$B:$B,F9))</f>
        <v>2189984072</v>
      </c>
      <c r="G16" s="8">
        <f>IF(G8="","",SUMIFS(Indicadores_Generales!$X:$X,Indicadores_Generales!$B:$B,G9))</f>
        <v>2750925837</v>
      </c>
      <c r="H16" s="8">
        <f>IF(H8="","",SUMIFS(Indicadores_Generales!$X:$X,Indicadores_Generales!$B:$B,H9))</f>
        <v>1213353410.05</v>
      </c>
      <c r="I16" s="8">
        <f>IF(I8="","",SUMIFS(Indicadores_Generales!$X:$X,Indicadores_Generales!$B:$B,I9))</f>
        <v>784302800.94999993</v>
      </c>
      <c r="J16" s="8">
        <f>IF(J8="","",SUMIFS(Indicadores_Generales!$X:$X,Indicadores_Generales!$B:$B,J9))</f>
        <v>2272754882</v>
      </c>
      <c r="K16" s="8">
        <f>IF(K8="","",SUMIFS(Indicadores_Generales!$X:$X,Indicadores_Generales!$B:$B,K9))</f>
        <v>2403244062.25</v>
      </c>
      <c r="L16" s="8">
        <f>IF(L8="","",SUMIFS(Indicadores_Generales!$X:$X,Indicadores_Generales!$B:$B,L9))</f>
        <v>711487428.79999995</v>
      </c>
      <c r="M16" s="8">
        <f>IF(M8="","",SUMIFS(Indicadores_Generales!$X:$X,Indicadores_Generales!$B:$B,M9))</f>
        <v>4627236227</v>
      </c>
      <c r="N16" s="8">
        <f>IF(N8="","",SUMIFS(Indicadores_Generales!$X:$X,Indicadores_Generales!$B:$B,N9))</f>
        <v>1779984936.5</v>
      </c>
      <c r="O16" s="8">
        <f>IF(O8="","",SUMIFS(Indicadores_Generales!$X:$X,Indicadores_Generales!$B:$B,O9))</f>
        <v>1276301852.8</v>
      </c>
      <c r="P16" s="8">
        <f>IF(P8="","",SUMIFS(Indicadores_Generales!$X:$X,Indicadores_Generales!$B:$B,P9))</f>
        <v>252058791.80000001</v>
      </c>
      <c r="Q16" s="47">
        <f>IF(Q8="","",SUMIFS(Indicadores_Generales!$X:$X,Indicadores_Generales!$B:$B,Q9))</f>
        <v>2680133333</v>
      </c>
    </row>
    <row r="17" spans="1:17" s="3" customFormat="1" ht="26.25" customHeight="1" x14ac:dyDescent="0.25">
      <c r="B17" s="40" t="s">
        <v>23</v>
      </c>
      <c r="C17" s="8">
        <f>IF(C8="","",SUMIFS(Indicadores_Generales!$Y:$Y,Indicadores_Generales!$B:$B,C9))</f>
        <v>3476327991</v>
      </c>
      <c r="D17" s="8">
        <f>IF(D8="","",SUMIFS(Indicadores_Generales!$Y:$Y,Indicadores_Generales!$B:$B,D9))</f>
        <v>416130600</v>
      </c>
      <c r="E17" s="8">
        <f>IF(E8="","",SUMIFS(Indicadores_Generales!$Y:$Y,Indicadores_Generales!$B:$B,E9))</f>
        <v>1440455365</v>
      </c>
      <c r="F17" s="8">
        <f>IF(F8="","",SUMIFS(Indicadores_Generales!$Y:$Y,Indicadores_Generales!$B:$B,F9))</f>
        <v>2494336212</v>
      </c>
      <c r="G17" s="8">
        <f>IF(G8="","",SUMIFS(Indicadores_Generales!$Y:$Y,Indicadores_Generales!$B:$B,G9))</f>
        <v>10543450984</v>
      </c>
      <c r="H17" s="8">
        <f>IF(H8="","",SUMIFS(Indicadores_Generales!$Y:$Y,Indicadores_Generales!$B:$B,H9))</f>
        <v>2876841079.1500001</v>
      </c>
      <c r="I17" s="8">
        <f>IF(I8="","",SUMIFS(Indicadores_Generales!$Y:$Y,Indicadores_Generales!$B:$B,I9))</f>
        <v>5029326951.75</v>
      </c>
      <c r="J17" s="8">
        <f>IF(J8="","",SUMIFS(Indicadores_Generales!$Y:$Y,Indicadores_Generales!$B:$B,J9))</f>
        <v>3553530884</v>
      </c>
      <c r="K17" s="8">
        <f>IF(K8="","",SUMIFS(Indicadores_Generales!$Y:$Y,Indicadores_Generales!$B:$B,K9))</f>
        <v>3052156644.75</v>
      </c>
      <c r="L17" s="8">
        <f>IF(L8="","",SUMIFS(Indicadores_Generales!$Y:$Y,Indicadores_Generales!$B:$B,L9))</f>
        <v>7174522581.5500002</v>
      </c>
      <c r="M17" s="8">
        <f>IF(M8="","",SUMIFS(Indicadores_Generales!$Y:$Y,Indicadores_Generales!$B:$B,M9))</f>
        <v>6049799269</v>
      </c>
      <c r="N17" s="8">
        <f>IF(N8="","",SUMIFS(Indicadores_Generales!$Y:$Y,Indicadores_Generales!$B:$B,N9))</f>
        <v>3457760098</v>
      </c>
      <c r="O17" s="8">
        <f>IF(O8="","",SUMIFS(Indicadores_Generales!$Y:$Y,Indicadores_Generales!$B:$B,O9))</f>
        <v>1995454417.6500001</v>
      </c>
      <c r="P17" s="8">
        <f>IF(P8="","",SUMIFS(Indicadores_Generales!$Y:$Y,Indicadores_Generales!$B:$B,P9))</f>
        <v>1312485418.8499999</v>
      </c>
      <c r="Q17" s="47">
        <f>IF(Q8="","",SUMIFS(Indicadores_Generales!$Y:$Y,Indicadores_Generales!$B:$B,Q9))</f>
        <v>2213157358</v>
      </c>
    </row>
    <row r="18" spans="1:17" s="3" customFormat="1" ht="36.75" customHeight="1" x14ac:dyDescent="0.25">
      <c r="B18" s="40" t="s">
        <v>24</v>
      </c>
      <c r="C18" s="8">
        <f>IF(C8="","",C15-C16-C17)</f>
        <v>0</v>
      </c>
      <c r="D18" s="8">
        <f t="shared" ref="D18:Q18" si="1">IF(D8="","",D15-D16-D17)</f>
        <v>0</v>
      </c>
      <c r="E18" s="8">
        <f t="shared" si="1"/>
        <v>0</v>
      </c>
      <c r="F18" s="8">
        <f t="shared" si="1"/>
        <v>0</v>
      </c>
      <c r="G18" s="8">
        <f t="shared" si="1"/>
        <v>-100000000</v>
      </c>
      <c r="H18" s="8">
        <f t="shared" si="1"/>
        <v>-4.76837158203125E-7</v>
      </c>
      <c r="I18" s="8">
        <f t="shared" si="1"/>
        <v>0</v>
      </c>
      <c r="J18" s="8">
        <f t="shared" si="1"/>
        <v>0</v>
      </c>
      <c r="K18" s="8">
        <f t="shared" si="1"/>
        <v>0</v>
      </c>
      <c r="L18" s="8">
        <f t="shared" si="1"/>
        <v>-9.5367431640625E-7</v>
      </c>
      <c r="M18" s="8">
        <f t="shared" si="1"/>
        <v>0</v>
      </c>
      <c r="N18" s="8">
        <f t="shared" si="1"/>
        <v>-5000000</v>
      </c>
      <c r="O18" s="8">
        <f t="shared" si="1"/>
        <v>-200.00000023841858</v>
      </c>
      <c r="P18" s="8">
        <f t="shared" si="1"/>
        <v>2.384185791015625E-7</v>
      </c>
      <c r="Q18" s="47">
        <f t="shared" si="1"/>
        <v>0</v>
      </c>
    </row>
    <row r="19" spans="1:17" s="3" customFormat="1" ht="26.25" customHeight="1" x14ac:dyDescent="0.25">
      <c r="B19" s="40" t="s">
        <v>25</v>
      </c>
      <c r="C19" s="8">
        <f>IF(C8="","",SUMIFS(Indicadores_Generales!$Z:$Z,Indicadores_Generales!$B:$B,C9))</f>
        <v>715304142</v>
      </c>
      <c r="D19" s="8">
        <f>IF(D8="","",SUMIFS(Indicadores_Generales!$Z:$Z,Indicadores_Generales!$B:$B,D9))</f>
        <v>81880663</v>
      </c>
      <c r="E19" s="8">
        <f>IF(E8="","",SUMIFS(Indicadores_Generales!$Z:$Z,Indicadores_Generales!$B:$B,E9))</f>
        <v>446836579</v>
      </c>
      <c r="F19" s="8">
        <f>IF(F8="","",SUMIFS(Indicadores_Generales!$Z:$Z,Indicadores_Generales!$B:$B,F9))</f>
        <v>1005374063</v>
      </c>
      <c r="G19" s="8">
        <f>IF(G8="","",SUMIFS(Indicadores_Generales!$Z:$Z,Indicadores_Generales!$B:$B,G9))</f>
        <v>2437652030</v>
      </c>
      <c r="H19" s="8">
        <f>IF(H8="","",SUMIFS(Indicadores_Generales!$Z:$Z,Indicadores_Generales!$B:$B,H9))</f>
        <v>542008150.95000005</v>
      </c>
      <c r="I19" s="8">
        <f>IF(I8="","",SUMIFS(Indicadores_Generales!$Z:$Z,Indicadores_Generales!$B:$B,I9))</f>
        <v>2962335611.9000001</v>
      </c>
      <c r="J19" s="8">
        <f>IF(J8="","",SUMIFS(Indicadores_Generales!$Z:$Z,Indicadores_Generales!$B:$B,J9))</f>
        <v>813217441</v>
      </c>
      <c r="K19" s="8">
        <f>IF(K8="","",SUMIFS(Indicadores_Generales!$Z:$Z,Indicadores_Generales!$B:$B,K9))</f>
        <v>1393945117.5</v>
      </c>
      <c r="L19" s="8">
        <f>IF(L8="","",SUMIFS(Indicadores_Generales!$Z:$Z,Indicadores_Generales!$B:$B,L9))</f>
        <v>1946423712.25</v>
      </c>
      <c r="M19" s="8">
        <f>IF(M8="","",SUMIFS(Indicadores_Generales!$Z:$Z,Indicadores_Generales!$B:$B,M9))</f>
        <v>748681144</v>
      </c>
      <c r="N19" s="8">
        <f>IF(N8="","",SUMIFS(Indicadores_Generales!$Z:$Z,Indicadores_Generales!$B:$B,N9))</f>
        <v>427427402</v>
      </c>
      <c r="O19" s="8">
        <f>IF(O8="","",SUMIFS(Indicadores_Generales!$Z:$Z,Indicadores_Generales!$B:$B,O9))</f>
        <v>250094294.59999999</v>
      </c>
      <c r="P19" s="8">
        <f>IF(P8="","",SUMIFS(Indicadores_Generales!$Z:$Z,Indicadores_Generales!$B:$B,P9))</f>
        <v>133616255.35000001</v>
      </c>
      <c r="Q19" s="47">
        <f>IF(Q8="","",SUMIFS(Indicadores_Generales!$Z:$Z,Indicadores_Generales!$B:$B,Q9))</f>
        <v>927348097</v>
      </c>
    </row>
    <row r="20" spans="1:17" s="3" customFormat="1" ht="26.25" customHeight="1" x14ac:dyDescent="0.25">
      <c r="B20" s="40" t="s">
        <v>26</v>
      </c>
      <c r="C20" s="8">
        <f>IF(C8="","",SUMIFS(Indicadores_Generales!$AA:$AA,Indicadores_Generales!$B:$B,C9))</f>
        <v>128398575</v>
      </c>
      <c r="D20" s="8">
        <f>IF(D8="","",SUMIFS(Indicadores_Generales!$AA:$AA,Indicadores_Generales!$B:$B,D9))</f>
        <v>5607667</v>
      </c>
      <c r="E20" s="8">
        <f>IF(E8="","",SUMIFS(Indicadores_Generales!$AA:$AA,Indicadores_Generales!$B:$B,E9))</f>
        <v>58621899</v>
      </c>
      <c r="F20" s="8">
        <f>IF(F8="","",SUMIFS(Indicadores_Generales!$AA:$AA,Indicadores_Generales!$B:$B,F9))</f>
        <v>93713114</v>
      </c>
      <c r="G20" s="8">
        <f>IF(G8="","",SUMIFS(Indicadores_Generales!$AA:$AA,Indicadores_Generales!$B:$B,G9))</f>
        <v>222985000</v>
      </c>
      <c r="H20" s="8">
        <f>IF(H8="","",SUMIFS(Indicadores_Generales!$AA:$AA,Indicadores_Generales!$B:$B,H9))</f>
        <v>2758455.15</v>
      </c>
      <c r="I20" s="8">
        <f>IF(I8="","",SUMIFS(Indicadores_Generales!$AA:$AA,Indicadores_Generales!$B:$B,I9))</f>
        <v>2532565.5</v>
      </c>
      <c r="J20" s="8">
        <f>IF(J8="","",SUMIFS(Indicadores_Generales!$AA:$AA,Indicadores_Generales!$B:$B,J9))</f>
        <v>29945362</v>
      </c>
      <c r="K20" s="8">
        <f>IF(K8="","",SUMIFS(Indicadores_Generales!$AA:$AA,Indicadores_Generales!$B:$B,K9))</f>
        <v>3315657.5</v>
      </c>
      <c r="L20" s="8">
        <f>IF(L8="","",SUMIFS(Indicadores_Generales!$AA:$AA,Indicadores_Generales!$B:$B,L9))</f>
        <v>24696021.949999999</v>
      </c>
      <c r="M20" s="8">
        <f>IF(M8="","",SUMIFS(Indicadores_Generales!$AA:$AA,Indicadores_Generales!$B:$B,M9))</f>
        <v>95456008</v>
      </c>
      <c r="N20" s="8">
        <f>IF(N8="","",SUMIFS(Indicadores_Generales!$AA:$AA,Indicadores_Generales!$B:$B,N9))</f>
        <v>0</v>
      </c>
      <c r="O20" s="8">
        <f>IF(O8="","",SUMIFS(Indicadores_Generales!$AA:$AA,Indicadores_Generales!$B:$B,O9))</f>
        <v>12391343</v>
      </c>
      <c r="P20" s="8">
        <f>IF(P8="","",SUMIFS(Indicadores_Generales!$AA:$AA,Indicadores_Generales!$B:$B,P9))</f>
        <v>10837078.4</v>
      </c>
      <c r="Q20" s="47">
        <f>IF(Q8="","",SUMIFS(Indicadores_Generales!$AA:$AA,Indicadores_Generales!$B:$B,Q9))</f>
        <v>12815847</v>
      </c>
    </row>
    <row r="21" spans="1:17" s="3" customFormat="1" ht="58.5" customHeight="1" x14ac:dyDescent="0.25">
      <c r="B21" s="40" t="s">
        <v>27</v>
      </c>
      <c r="C21" s="9">
        <f>IF(C8="","",C19/C17)</f>
        <v>0.20576428457035084</v>
      </c>
      <c r="D21" s="9">
        <f t="shared" ref="D21:Q21" si="2">IF(D8="","",D19/D17)</f>
        <v>0.19676674342141626</v>
      </c>
      <c r="E21" s="9">
        <f t="shared" si="2"/>
        <v>0.3102050850426733</v>
      </c>
      <c r="F21" s="9">
        <f t="shared" si="2"/>
        <v>0.40306277003206176</v>
      </c>
      <c r="G21" s="9">
        <f t="shared" si="2"/>
        <v>0.23120058448597233</v>
      </c>
      <c r="H21" s="9">
        <f t="shared" si="2"/>
        <v>0.1884039250128281</v>
      </c>
      <c r="I21" s="9">
        <f t="shared" si="2"/>
        <v>0.58901233511359374</v>
      </c>
      <c r="J21" s="9">
        <f t="shared" si="2"/>
        <v>0.22884772006951271</v>
      </c>
      <c r="K21" s="9">
        <f t="shared" si="2"/>
        <v>0.45670824919740549</v>
      </c>
      <c r="L21" s="9">
        <f t="shared" si="2"/>
        <v>0.2712966180154513</v>
      </c>
      <c r="M21" s="9">
        <f t="shared" si="2"/>
        <v>0.12375305538422485</v>
      </c>
      <c r="N21" s="9">
        <f t="shared" si="2"/>
        <v>0.12361395524438723</v>
      </c>
      <c r="O21" s="9">
        <f t="shared" si="2"/>
        <v>0.12533200076528442</v>
      </c>
      <c r="P21" s="9">
        <f t="shared" si="2"/>
        <v>0.10180399220516645</v>
      </c>
      <c r="Q21" s="48">
        <f t="shared" si="2"/>
        <v>0.41901588861174865</v>
      </c>
    </row>
    <row r="22" spans="1:17" s="3" customFormat="1" ht="57" customHeight="1" x14ac:dyDescent="0.25">
      <c r="B22" s="40" t="s">
        <v>28</v>
      </c>
      <c r="C22" s="9">
        <f>IF(C8="","",C19/C15)</f>
        <v>0.13659752942961739</v>
      </c>
      <c r="D22" s="9">
        <f t="shared" ref="D22:Q22" si="3">IF(D8="","",D19/D15)</f>
        <v>0.12032686207052008</v>
      </c>
      <c r="E22" s="9">
        <f t="shared" si="3"/>
        <v>0.13790675392146831</v>
      </c>
      <c r="F22" s="9">
        <f t="shared" si="3"/>
        <v>0.21462538896710506</v>
      </c>
      <c r="G22" s="9">
        <f t="shared" si="3"/>
        <v>0.18474931124600477</v>
      </c>
      <c r="H22" s="9">
        <f t="shared" si="3"/>
        <v>0.13251402894927164</v>
      </c>
      <c r="I22" s="9">
        <f t="shared" si="3"/>
        <v>0.5095500982882879</v>
      </c>
      <c r="J22" s="9">
        <f t="shared" si="3"/>
        <v>0.1395773351430219</v>
      </c>
      <c r="K22" s="9">
        <f t="shared" si="3"/>
        <v>0.25551654083106751</v>
      </c>
      <c r="L22" s="9">
        <f t="shared" si="3"/>
        <v>0.24681983787687498</v>
      </c>
      <c r="M22" s="9">
        <f t="shared" si="3"/>
        <v>7.012069448307845E-2</v>
      </c>
      <c r="N22" s="9">
        <f t="shared" si="3"/>
        <v>8.1683208178867747E-2</v>
      </c>
      <c r="O22" s="9">
        <f t="shared" si="3"/>
        <v>7.6440385289971158E-2</v>
      </c>
      <c r="P22" s="9">
        <f t="shared" si="3"/>
        <v>8.540267155153658E-2</v>
      </c>
      <c r="Q22" s="48">
        <f t="shared" si="3"/>
        <v>0.18951420538036456</v>
      </c>
    </row>
    <row r="23" spans="1:17" s="3" customFormat="1" ht="35.25" customHeight="1" x14ac:dyDescent="0.25">
      <c r="B23" s="10" t="s">
        <v>29</v>
      </c>
      <c r="C23" s="11">
        <f>IF(C8="","",Indicadores_Generales!$D$5)</f>
        <v>800053615</v>
      </c>
      <c r="D23" s="11">
        <f>IF(D8="","",Indicadores_Generales!$D$5)</f>
        <v>800053615</v>
      </c>
      <c r="E23" s="11">
        <f>IF(E8="","",Indicadores_Generales!$D$5)</f>
        <v>800053615</v>
      </c>
      <c r="F23" s="11">
        <f>IF(F8="","",Indicadores_Generales!$D$5)</f>
        <v>800053615</v>
      </c>
      <c r="G23" s="11">
        <f>IF(G8="","",Indicadores_Generales!$D$5)</f>
        <v>800053615</v>
      </c>
      <c r="H23" s="11">
        <f>IF(H8="","",Indicadores_Generales!$D$5)</f>
        <v>800053615</v>
      </c>
      <c r="I23" s="11">
        <f>IF(I8="","",Indicadores_Generales!$D$5)</f>
        <v>800053615</v>
      </c>
      <c r="J23" s="11">
        <f>IF(J8="","",Indicadores_Generales!$D$5)</f>
        <v>800053615</v>
      </c>
      <c r="K23" s="11">
        <f>IF(K8="","",Indicadores_Generales!$D$5)</f>
        <v>800053615</v>
      </c>
      <c r="L23" s="11">
        <f>IF(L8="","",Indicadores_Generales!$D$5)</f>
        <v>800053615</v>
      </c>
      <c r="M23" s="11">
        <f>IF(M8="","",Indicadores_Generales!$D$5)</f>
        <v>800053615</v>
      </c>
      <c r="N23" s="11">
        <f>IF(N8="","",Indicadores_Generales!$D$5)</f>
        <v>800053615</v>
      </c>
      <c r="O23" s="11">
        <f>IF(O8="","",Indicadores_Generales!$D$5)</f>
        <v>800053615</v>
      </c>
      <c r="P23" s="11">
        <f>IF(P8="","",Indicadores_Generales!$D$5)</f>
        <v>800053615</v>
      </c>
      <c r="Q23" s="49">
        <f>IF(Q8="","",Indicadores_Generales!$D$5)</f>
        <v>800053615</v>
      </c>
    </row>
    <row r="24" spans="1:17" s="3" customFormat="1" ht="30" customHeight="1" x14ac:dyDescent="0.25">
      <c r="B24" s="153" t="s">
        <v>30</v>
      </c>
      <c r="C24" s="154"/>
      <c r="D24" s="154"/>
      <c r="E24" s="154"/>
      <c r="F24" s="154"/>
      <c r="G24" s="154"/>
      <c r="H24" s="154"/>
      <c r="I24" s="154"/>
      <c r="J24" s="154"/>
      <c r="K24" s="154"/>
      <c r="L24" s="154"/>
      <c r="M24" s="154"/>
      <c r="N24" s="154"/>
      <c r="O24" s="154"/>
      <c r="P24" s="154"/>
      <c r="Q24" s="155"/>
    </row>
    <row r="25" spans="1:17" s="3" customFormat="1" ht="15.75" x14ac:dyDescent="0.25">
      <c r="A25" s="12"/>
      <c r="B25" s="13" t="s">
        <v>31</v>
      </c>
      <c r="C25" s="14"/>
      <c r="D25" s="14"/>
      <c r="E25" s="14"/>
      <c r="F25" s="14"/>
      <c r="G25" s="14"/>
      <c r="H25" s="14"/>
      <c r="I25" s="14"/>
      <c r="J25" s="14"/>
      <c r="K25" s="14"/>
      <c r="L25" s="14"/>
      <c r="M25" s="14"/>
      <c r="N25" s="14" t="s">
        <v>55</v>
      </c>
      <c r="O25" s="14"/>
      <c r="P25" s="14"/>
      <c r="Q25" s="15"/>
    </row>
    <row r="26" spans="1:17" s="3" customFormat="1" ht="15.75" hidden="1" x14ac:dyDescent="0.25">
      <c r="B26" s="16"/>
      <c r="C26" s="17"/>
      <c r="D26" s="17"/>
      <c r="E26" s="17"/>
      <c r="F26" s="17"/>
      <c r="G26" s="17"/>
      <c r="H26" s="17"/>
      <c r="I26" s="17"/>
      <c r="J26" s="17"/>
      <c r="K26" s="17"/>
      <c r="L26" s="17"/>
      <c r="M26" s="17"/>
      <c r="N26" s="17"/>
      <c r="O26" s="17"/>
      <c r="P26" s="17"/>
      <c r="Q26" s="18"/>
    </row>
    <row r="27" spans="1:17" s="3" customFormat="1" ht="15.75" x14ac:dyDescent="0.25">
      <c r="B27" s="153" t="s">
        <v>30</v>
      </c>
      <c r="C27" s="154"/>
      <c r="D27" s="154"/>
      <c r="E27" s="154"/>
      <c r="F27" s="154"/>
      <c r="G27" s="154"/>
      <c r="H27" s="154"/>
      <c r="I27" s="154"/>
      <c r="J27" s="154"/>
      <c r="K27" s="154"/>
      <c r="L27" s="154"/>
      <c r="M27" s="154"/>
      <c r="N27" s="154"/>
      <c r="O27" s="154"/>
      <c r="P27" s="154"/>
      <c r="Q27" s="155"/>
    </row>
    <row r="28" spans="1:17" s="3" customFormat="1" ht="15.75" x14ac:dyDescent="0.25">
      <c r="B28" s="34" t="str">
        <f>Indicadores_Generales!C9</f>
        <v>Indice de Liquidez: (mín. 1, ) veces.</v>
      </c>
      <c r="C28" s="19" t="str">
        <f>IF(C8="","",IFERROR(IF(C29&gt;=Indicadores_Generales!$D$9,$B$25,$N$25),""))</f>
        <v>HÁBIL</v>
      </c>
      <c r="D28" s="19" t="str">
        <f>IF(D8="","",IFERROR(IF(D29&gt;=Indicadores_Generales!$D$9,$B$25,$N$25),""))</f>
        <v>HÁBIL</v>
      </c>
      <c r="E28" s="19" t="str">
        <f>IF(E8="","",IFERROR(IF(E29&gt;=Indicadores_Generales!$D$9,$B$25,$N$25),""))</f>
        <v>HÁBIL</v>
      </c>
      <c r="F28" s="19" t="str">
        <f>IF(F8="","",IFERROR(IF(F29&gt;=Indicadores_Generales!$D$9,$B$25,$N$25),""))</f>
        <v>HÁBIL</v>
      </c>
      <c r="G28" s="19" t="str">
        <f>IF(G8="","",IFERROR(IF(G29&gt;=Indicadores_Generales!$D$9,$B$25,$N$25),""))</f>
        <v>HÁBIL</v>
      </c>
      <c r="H28" s="19" t="str">
        <f>IF(H8="","",IFERROR(IF(H29&gt;=Indicadores_Generales!$D$9,$B$25,$N$25),""))</f>
        <v>HÁBIL</v>
      </c>
      <c r="I28" s="19" t="str">
        <f>IF(I8="","",IFERROR(IF(I29&gt;=Indicadores_Generales!$D$9,$B$25,$N$25),""))</f>
        <v>HÁBIL</v>
      </c>
      <c r="J28" s="19" t="str">
        <f>IF(J8="","",IFERROR(IF(J29&gt;=Indicadores_Generales!$D$9,$B$25,$N$25),""))</f>
        <v>HÁBIL</v>
      </c>
      <c r="K28" s="19" t="str">
        <f>IF(K8="","",IFERROR(IF(K29&gt;=Indicadores_Generales!$D$9,$B$25,$N$25),""))</f>
        <v>HÁBIL</v>
      </c>
      <c r="L28" s="19" t="str">
        <f>IF(L8="","",IFERROR(IF(L29&gt;=Indicadores_Generales!$D$9,$B$25,$N$25),""))</f>
        <v>HÁBIL</v>
      </c>
      <c r="M28" s="19" t="str">
        <f>IF(M8="","",IFERROR(IF(M29&gt;=Indicadores_Generales!$D$9,$B$25,$N$25),""))</f>
        <v>HÁBIL</v>
      </c>
      <c r="N28" s="19" t="str">
        <f>IF(N8="","",IFERROR(IF(N29&gt;=Indicadores_Generales!$D$9,$B$25,$N$25),""))</f>
        <v>HÁBIL</v>
      </c>
      <c r="O28" s="19" t="str">
        <f>IF(O8="","",IFERROR(IF(O29&gt;=Indicadores_Generales!$D$9,$B$25,$N$25),""))</f>
        <v>HÁBIL</v>
      </c>
      <c r="P28" s="19" t="str">
        <f>IF(P8="","",IFERROR(IF(P29&gt;=Indicadores_Generales!$D$9,$B$25,$N$25),""))</f>
        <v>HÁBIL</v>
      </c>
      <c r="Q28" s="50" t="str">
        <f>IF(Q8="","",IFERROR(IF(Q29&gt;=Indicadores_Generales!$D$9,$B$25,$N$25),""))</f>
        <v>HÁBIL</v>
      </c>
    </row>
    <row r="29" spans="1:17" s="3" customFormat="1" ht="15.75" x14ac:dyDescent="0.25">
      <c r="B29" s="41" t="s">
        <v>32</v>
      </c>
      <c r="C29" s="90">
        <f>IF(C8="","",IFERROR(C13/C14,"Indeterminado"))</f>
        <v>20.293807008676779</v>
      </c>
      <c r="D29" s="90">
        <f>IF(D8="","",IFERROR(D13/D14,"Indeterminado"))</f>
        <v>2.5741372166469145</v>
      </c>
      <c r="E29" s="90">
        <f t="shared" ref="E29:Q29" si="4">IF(E8="","",IFERROR(E13/E14,"Indeterminado"))</f>
        <v>9.4294817144343561</v>
      </c>
      <c r="F29" s="90">
        <f t="shared" si="4"/>
        <v>4.0969298171874513</v>
      </c>
      <c r="G29" s="90">
        <f t="shared" si="4"/>
        <v>6.4618506303008365</v>
      </c>
      <c r="H29" s="90">
        <f t="shared" si="4"/>
        <v>2.0868573592888029</v>
      </c>
      <c r="I29" s="90">
        <f t="shared" si="4"/>
        <v>7.9222227182519713</v>
      </c>
      <c r="J29" s="90">
        <f t="shared" si="4"/>
        <v>16.55591214364792</v>
      </c>
      <c r="K29" s="90">
        <f t="shared" si="4"/>
        <v>26.914175750081068</v>
      </c>
      <c r="L29" s="90">
        <f t="shared" si="4"/>
        <v>59.577189519744806</v>
      </c>
      <c r="M29" s="90">
        <f t="shared" si="4"/>
        <v>3.2699158722296993</v>
      </c>
      <c r="N29" s="90">
        <f t="shared" si="4"/>
        <v>25.920270758814485</v>
      </c>
      <c r="O29" s="90">
        <f t="shared" si="4"/>
        <v>2.8156197286919395</v>
      </c>
      <c r="P29" s="90">
        <f t="shared" si="4"/>
        <v>5.4382622601000969</v>
      </c>
      <c r="Q29" s="91">
        <f t="shared" si="4"/>
        <v>1.6589923257550732</v>
      </c>
    </row>
    <row r="30" spans="1:17" s="3" customFormat="1" ht="32.25" customHeight="1" x14ac:dyDescent="0.25">
      <c r="B30" s="34" t="str">
        <f>Indicadores_Generales!C10</f>
        <v>Endeudamiento total: (máx. 70,%).</v>
      </c>
      <c r="C30" s="19" t="str">
        <f>IF(C8="","",IFERROR(IF(C31&lt;=Indicadores_Generales!$D$10,$B$25,$N$25),""))</f>
        <v>HÁBIL</v>
      </c>
      <c r="D30" s="19" t="str">
        <f>IF(D8="","",IFERROR(IF(D31&lt;=Indicadores_Generales!$D$10,$B$25,$N$25),""))</f>
        <v>HÁBIL</v>
      </c>
      <c r="E30" s="19" t="str">
        <f>IF(E8="","",IFERROR(IF(E31&lt;=Indicadores_Generales!$D$10,$B$25,$N$25),""))</f>
        <v>HÁBIL</v>
      </c>
      <c r="F30" s="19" t="str">
        <f>IF(F8="","",IFERROR(IF(F31&lt;=Indicadores_Generales!$D$10,$B$25,$N$25),""))</f>
        <v>HÁBIL</v>
      </c>
      <c r="G30" s="19" t="str">
        <f>IF(G8="","",IFERROR(IF(G31&lt;=Indicadores_Generales!$D$10,$B$25,$N$25),""))</f>
        <v>HÁBIL</v>
      </c>
      <c r="H30" s="19" t="str">
        <f>IF(H8="","",IFERROR(IF(H31&lt;=Indicadores_Generales!$D$10,$B$25,$N$25),""))</f>
        <v>HÁBIL</v>
      </c>
      <c r="I30" s="19" t="str">
        <f>IF(I8="","",IFERROR(IF(I31&lt;=Indicadores_Generales!$D$10,$B$25,$N$25),""))</f>
        <v>HÁBIL</v>
      </c>
      <c r="J30" s="19" t="str">
        <f>IF(J8="","",IFERROR(IF(J31&lt;=Indicadores_Generales!$D$10,$B$25,$N$25),""))</f>
        <v>HÁBIL</v>
      </c>
      <c r="K30" s="19" t="str">
        <f>IF(K8="","",IFERROR(IF(K31&lt;=Indicadores_Generales!$D$10,$B$25,$N$25),""))</f>
        <v>HÁBIL</v>
      </c>
      <c r="L30" s="19" t="str">
        <f>IF(L8="","",IFERROR(IF(L31&lt;=Indicadores_Generales!$D$10,$B$25,$N$25),""))</f>
        <v>HÁBIL</v>
      </c>
      <c r="M30" s="19" t="str">
        <f>IF(M8="","",IFERROR(IF(M31&lt;=Indicadores_Generales!$D$10,$B$25,$N$25),""))</f>
        <v>HÁBIL</v>
      </c>
      <c r="N30" s="19" t="str">
        <f>IF(N8="","",IFERROR(IF(N31&lt;=Indicadores_Generales!$D$10,$B$25,$N$25),""))</f>
        <v>HÁBIL</v>
      </c>
      <c r="O30" s="19" t="str">
        <f>IF(O8="","",IFERROR(IF(O31&lt;=Indicadores_Generales!$D$10,$B$25,$N$25),""))</f>
        <v>HÁBIL</v>
      </c>
      <c r="P30" s="19" t="str">
        <f>IF(P8="","",IFERROR(IF(P31&lt;=Indicadores_Generales!$D$10,$B$25,$N$25),""))</f>
        <v>HÁBIL</v>
      </c>
      <c r="Q30" s="50" t="str">
        <f>IF(Q8="","",IFERROR(IF(Q31&lt;=Indicadores_Generales!$D$10,$B$25,$N$25),""))</f>
        <v>HÁBIL</v>
      </c>
    </row>
    <row r="31" spans="1:17" s="3" customFormat="1" ht="15.75" x14ac:dyDescent="0.25">
      <c r="B31" s="41" t="s">
        <v>33</v>
      </c>
      <c r="C31" s="92">
        <f>IF(C8="","",C16/C15)</f>
        <v>0.33614558175223708</v>
      </c>
      <c r="D31" s="92">
        <f t="shared" ref="D31:Q31" si="5">IF(D8="","",D16/D15)</f>
        <v>0.38847967914570053</v>
      </c>
      <c r="E31" s="92">
        <f t="shared" si="5"/>
        <v>0.55543361288710913</v>
      </c>
      <c r="F31" s="92">
        <f t="shared" si="5"/>
        <v>0.46751373501940502</v>
      </c>
      <c r="G31" s="92">
        <f t="shared" si="5"/>
        <v>0.20849228988379823</v>
      </c>
      <c r="H31" s="92">
        <f t="shared" si="5"/>
        <v>0.2966493190614316</v>
      </c>
      <c r="I31" s="92">
        <f t="shared" si="5"/>
        <v>0.13490759376029227</v>
      </c>
      <c r="J31" s="92">
        <f t="shared" si="5"/>
        <v>0.39008640723785604</v>
      </c>
      <c r="K31" s="92">
        <f t="shared" si="5"/>
        <v>0.44052567195775744</v>
      </c>
      <c r="L31" s="92">
        <f t="shared" si="5"/>
        <v>9.022147167784568E-2</v>
      </c>
      <c r="M31" s="92">
        <f t="shared" si="5"/>
        <v>0.43338211516984548</v>
      </c>
      <c r="N31" s="92">
        <f t="shared" si="5"/>
        <v>0.34016274914301864</v>
      </c>
      <c r="O31" s="92">
        <f t="shared" si="5"/>
        <v>0.39009688537827225</v>
      </c>
      <c r="P31" s="92">
        <f t="shared" si="5"/>
        <v>0.16110685149336915</v>
      </c>
      <c r="Q31" s="93">
        <f t="shared" si="5"/>
        <v>0.54771594459520734</v>
      </c>
    </row>
    <row r="32" spans="1:17" s="3" customFormat="1" ht="33.75" customHeight="1" x14ac:dyDescent="0.25">
      <c r="B32" s="34" t="str">
        <f>Indicadores_Generales!C11</f>
        <v>Razon de Cobertura de Intereses (&gt;= a 1, veces) ó Indeterminado.</v>
      </c>
      <c r="C32" s="19" t="str">
        <f>IF(C8="","",IFERROR(IF(C33&gt;Indicadores_Generales!$D$11,$B$25,$N$25),""))</f>
        <v>HÁBIL</v>
      </c>
      <c r="D32" s="19" t="str">
        <f>IF(D8="","",IFERROR(IF(D33&gt;Indicadores_Generales!$D$11,$B$25,$N$25),""))</f>
        <v>HÁBIL</v>
      </c>
      <c r="E32" s="19" t="str">
        <f>IF(E8="","",IFERROR(IF(E33&gt;Indicadores_Generales!$D$11,$B$25,$N$25),""))</f>
        <v>HÁBIL</v>
      </c>
      <c r="F32" s="19" t="str">
        <f>IF(F8="","",IFERROR(IF(F33&gt;Indicadores_Generales!$D$11,$B$25,$N$25),""))</f>
        <v>HÁBIL</v>
      </c>
      <c r="G32" s="19" t="str">
        <f>IF(G8="","",IFERROR(IF(G33&gt;Indicadores_Generales!$D$11,$B$25,$N$25),""))</f>
        <v>HÁBIL</v>
      </c>
      <c r="H32" s="19" t="str">
        <f>IF(H8="","",IFERROR(IF(H33&gt;Indicadores_Generales!$D$11,$B$25,$N$25),""))</f>
        <v>HÁBIL</v>
      </c>
      <c r="I32" s="19" t="str">
        <f>IF(I8="","",IFERROR(IF(I33&gt;Indicadores_Generales!$D$11,$B$25,$N$25),""))</f>
        <v>HÁBIL</v>
      </c>
      <c r="J32" s="19" t="str">
        <f>IF(J8="","",IFERROR(IF(J33&gt;Indicadores_Generales!$D$11,$B$25,$N$25),""))</f>
        <v>HÁBIL</v>
      </c>
      <c r="K32" s="19" t="str">
        <f>IF(K8="","",IFERROR(IF(K33&gt;Indicadores_Generales!$D$11,$B$25,$N$25),""))</f>
        <v>HÁBIL</v>
      </c>
      <c r="L32" s="19" t="str">
        <f>IF(L8="","",IFERROR(IF(L33&gt;Indicadores_Generales!$D$11,$B$25,$N$25),""))</f>
        <v>HÁBIL</v>
      </c>
      <c r="M32" s="19" t="str">
        <f>IF(M8="","",IFERROR(IF(M33&gt;Indicadores_Generales!$D$11,$B$25,$N$25),""))</f>
        <v>HÁBIL</v>
      </c>
      <c r="N32" s="19" t="str">
        <f>IF(N8="","",IFERROR(IF(N33&gt;Indicadores_Generales!$D$11,$B$25,$N$25),""))</f>
        <v>HÁBIL</v>
      </c>
      <c r="O32" s="19" t="str">
        <f>IF(O8="","",IFERROR(IF(O33&gt;Indicadores_Generales!$D$11,$B$25,$N$25),""))</f>
        <v>HÁBIL</v>
      </c>
      <c r="P32" s="19" t="str">
        <f>IF(P8="","",IFERROR(IF(P33&gt;Indicadores_Generales!$D$11,$B$25,$N$25),""))</f>
        <v>HÁBIL</v>
      </c>
      <c r="Q32" s="50" t="str">
        <f>IF(Q8="","",IFERROR(IF(Q33&gt;Indicadores_Generales!$D$11,$B$25,$N$25),""))</f>
        <v>HÁBIL</v>
      </c>
    </row>
    <row r="33" spans="2:17" s="3" customFormat="1" ht="15.75" x14ac:dyDescent="0.25">
      <c r="B33" s="41" t="s">
        <v>34</v>
      </c>
      <c r="C33" s="94">
        <f t="shared" ref="C33:D33" si="6">IF(C8="","",IFERROR(C19/C20,"Indeterminado"))</f>
        <v>5.5709663600238555</v>
      </c>
      <c r="D33" s="94">
        <f t="shared" si="6"/>
        <v>14.601555869847479</v>
      </c>
      <c r="E33" s="94">
        <f>IF(E8="","",IFERROR(E19/E20,"Indeterminado"))</f>
        <v>7.622349098585155</v>
      </c>
      <c r="F33" s="94">
        <f t="shared" ref="F33:Q33" si="7">IF(F8="","",IFERROR(F19/F20,"Indeterminado"))</f>
        <v>10.728211027114092</v>
      </c>
      <c r="G33" s="94">
        <f t="shared" si="7"/>
        <v>10.931910352714308</v>
      </c>
      <c r="H33" s="94">
        <f t="shared" si="7"/>
        <v>196.48974570059625</v>
      </c>
      <c r="I33" s="94">
        <f t="shared" si="7"/>
        <v>1169.697530784495</v>
      </c>
      <c r="J33" s="94">
        <f t="shared" si="7"/>
        <v>27.156707639733995</v>
      </c>
      <c r="K33" s="94">
        <f t="shared" si="7"/>
        <v>420.41287964755105</v>
      </c>
      <c r="L33" s="94">
        <f t="shared" si="7"/>
        <v>78.815273009991799</v>
      </c>
      <c r="M33" s="94">
        <f t="shared" si="7"/>
        <v>7.8432060976193352</v>
      </c>
      <c r="N33" s="94" t="str">
        <f t="shared" si="7"/>
        <v>Indeterminado</v>
      </c>
      <c r="O33" s="94">
        <f t="shared" si="7"/>
        <v>20.182985379389464</v>
      </c>
      <c r="P33" s="94">
        <f t="shared" si="7"/>
        <v>12.329545881111278</v>
      </c>
      <c r="Q33" s="95">
        <f t="shared" si="7"/>
        <v>72.359485643048018</v>
      </c>
    </row>
    <row r="34" spans="2:17" s="3" customFormat="1" ht="15.75" x14ac:dyDescent="0.25">
      <c r="B34" s="34" t="str">
        <f>Indicadores_Generales!C12</f>
        <v>Capital de Trabajo ≥  A 25,% del PPTO Oficial.</v>
      </c>
      <c r="C34" s="19" t="str">
        <f>IFERROR(IF(C35&gt;(C23*Indicadores_Generales!$D$12),$B$25,$N$25),"")</f>
        <v>HÁBIL</v>
      </c>
      <c r="D34" s="19" t="str">
        <f>IFERROR(IF(D35&gt;(D23*Indicadores_Generales!$D$12),$B$25,$N$25),"")</f>
        <v>HÁBIL</v>
      </c>
      <c r="E34" s="19" t="str">
        <f>IFERROR(IF(E35&gt;(E23*Indicadores_Generales!$D$12),$B$25,$N$25),"")</f>
        <v>HÁBIL</v>
      </c>
      <c r="F34" s="19" t="str">
        <f>IFERROR(IF(F35&gt;(F23*Indicadores_Generales!$D$12),$B$25,$N$25),"")</f>
        <v>HÁBIL</v>
      </c>
      <c r="G34" s="19" t="str">
        <f>IFERROR(IF(G35&gt;(G23*Indicadores_Generales!$D$12),$B$25,$N$25),"")</f>
        <v>HÁBIL</v>
      </c>
      <c r="H34" s="19" t="str">
        <f>IFERROR(IF(H35&gt;(H23*Indicadores_Generales!$D$12),$B$25,$N$25),"")</f>
        <v>HÁBIL</v>
      </c>
      <c r="I34" s="19" t="str">
        <f>IFERROR(IF(I35&gt;(I23*Indicadores_Generales!$D$12),$B$25,$N$25),"")</f>
        <v>HÁBIL</v>
      </c>
      <c r="J34" s="19" t="str">
        <f>IFERROR(IF(J35&gt;(J23*Indicadores_Generales!$D$12),$B$25,$N$25),"")</f>
        <v>HÁBIL</v>
      </c>
      <c r="K34" s="19" t="str">
        <f>IFERROR(IF(K35&gt;(K23*Indicadores_Generales!$D$12),$B$25,$N$25),"")</f>
        <v>HÁBIL</v>
      </c>
      <c r="L34" s="19" t="str">
        <f>IFERROR(IF(L35&gt;(L23*Indicadores_Generales!$D$12),$B$25,$N$25),"")</f>
        <v>HÁBIL</v>
      </c>
      <c r="M34" s="19" t="str">
        <f>IFERROR(IF(M35&gt;(M23*Indicadores_Generales!$D$12),$B$25,$N$25),"")</f>
        <v>HÁBIL</v>
      </c>
      <c r="N34" s="19" t="str">
        <f>IFERROR(IF(N35&gt;(N23*Indicadores_Generales!$D$12),$B$25,$N$25),"")</f>
        <v>HÁBIL</v>
      </c>
      <c r="O34" s="19" t="str">
        <f>IFERROR(IF(O35&gt;(O23*Indicadores_Generales!$D$12),$B$25,$N$25),"")</f>
        <v>HÁBIL</v>
      </c>
      <c r="P34" s="19" t="str">
        <f>IFERROR(IF(P35&gt;(P23*Indicadores_Generales!$D$12),$B$25,$N$25),"")</f>
        <v>HÁBIL</v>
      </c>
      <c r="Q34" s="50" t="str">
        <f>IFERROR(IF(Q35&gt;(Q23*Indicadores_Generales!$D$12),$B$25,$N$25),"")</f>
        <v>HÁBIL</v>
      </c>
    </row>
    <row r="35" spans="2:17" s="21" customFormat="1" ht="34.5" customHeight="1" x14ac:dyDescent="0.25">
      <c r="B35" s="20" t="str">
        <f>"CT = Activo Corriente - Pasivo Corriente ≥ $ "&amp;FIXED(Indicadores_Generales!D5*Indicadores_Generales!D12,0,FALSE)</f>
        <v>CT = Activo Corriente - Pasivo Corriente ≥ $ 200.013.404</v>
      </c>
      <c r="C35" s="105">
        <f>IF(C8="","",SUMIFS(Indicadores_Generales!$T:$T,Indicadores_Generales!$B:$B,C9))</f>
        <v>4582503976</v>
      </c>
      <c r="D35" s="105">
        <f>IF(D8="","",SUMIFS(Indicadores_Generales!$T:$T,Indicadores_Generales!$B:$B,D9))</f>
        <v>416130600</v>
      </c>
      <c r="E35" s="105">
        <f>IF(E8="","",SUMIFS(Indicadores_Generales!$T:$T,Indicadores_Generales!$B:$B,E9))</f>
        <v>1882747981</v>
      </c>
      <c r="F35" s="105">
        <f>IF(F8="","",SUMIFS(Indicadores_Generales!$T:$T,Indicadores_Generales!$B:$B,F9))</f>
        <v>3126658157</v>
      </c>
      <c r="G35" s="105">
        <f>IF(G8="","",SUMIFS(Indicadores_Generales!$T:$T,Indicadores_Generales!$B:$B,G9))</f>
        <v>20328311234</v>
      </c>
      <c r="H35" s="105">
        <f>IF(H8="","",SUMIFS(Indicadores_Generales!$T:$T,Indicadores_Generales!$B:$B,H9))</f>
        <v>1555298951</v>
      </c>
      <c r="I35" s="105">
        <f>IF(I8="","",SUMIFS(Indicadores_Generales!$T:$T,Indicadores_Generales!$B:$B,I9))</f>
        <v>6851206710</v>
      </c>
      <c r="J35" s="105">
        <f>IF(J8="","",SUMIFS(Indicadores_Generales!$T:$T,Indicadores_Generales!$B:$B,J9))</f>
        <v>5472030802</v>
      </c>
      <c r="K35" s="105">
        <f>IF(K8="","",SUMIFS(Indicadores_Generales!$T:$T,Indicadores_Generales!$B:$B,K9))</f>
        <v>12417662822</v>
      </c>
      <c r="L35" s="105">
        <f>IF(L8="","",SUMIFS(Indicadores_Generales!$T:$T,Indicadores_Generales!$B:$B,L9))</f>
        <v>7196273219</v>
      </c>
      <c r="M35" s="105">
        <f>IF(M8="","",SUMIFS(Indicadores_Generales!$T:$T,Indicadores_Generales!$B:$B,M9))</f>
        <v>4107420316</v>
      </c>
      <c r="N35" s="105">
        <f>IF(N8="","",SUMIFS(Indicadores_Generales!$T:$T,Indicadores_Generales!$B:$B,N9))</f>
        <v>8363241197</v>
      </c>
      <c r="O35" s="105">
        <f>IF(O8="","",SUMIFS(Indicadores_Generales!$T:$T,Indicadores_Generales!$B:$B,O9))</f>
        <v>4427243468</v>
      </c>
      <c r="P35" s="105">
        <f>IF(P8="","",SUMIFS(Indicadores_Generales!$T:$T,Indicadores_Generales!$B:$B,P9))</f>
        <v>1543135157</v>
      </c>
      <c r="Q35" s="106">
        <f>IF(Q8="","",SUMIFS(Indicadores_Generales!$T:$T,Indicadores_Generales!$B:$B,Q9))</f>
        <v>817005731</v>
      </c>
    </row>
    <row r="36" spans="2:17" s="3" customFormat="1" ht="15.75" x14ac:dyDescent="0.25">
      <c r="B36" s="153" t="s">
        <v>35</v>
      </c>
      <c r="C36" s="154"/>
      <c r="D36" s="154"/>
      <c r="E36" s="154"/>
      <c r="F36" s="154"/>
      <c r="G36" s="154"/>
      <c r="H36" s="154"/>
      <c r="I36" s="154"/>
      <c r="J36" s="154"/>
      <c r="K36" s="154"/>
      <c r="L36" s="154"/>
      <c r="M36" s="154"/>
      <c r="N36" s="154"/>
      <c r="O36" s="154"/>
      <c r="P36" s="154"/>
      <c r="Q36" s="155"/>
    </row>
    <row r="37" spans="2:17" s="3" customFormat="1" ht="15.75" hidden="1" x14ac:dyDescent="0.25">
      <c r="B37" s="22"/>
      <c r="C37" s="5"/>
      <c r="D37" s="5"/>
      <c r="E37" s="5"/>
      <c r="F37" s="5"/>
      <c r="G37" s="5"/>
      <c r="H37" s="5"/>
      <c r="I37" s="5"/>
      <c r="J37" s="5"/>
      <c r="K37" s="5"/>
      <c r="L37" s="5"/>
      <c r="M37" s="5"/>
      <c r="N37" s="5"/>
      <c r="O37" s="5"/>
      <c r="P37" s="5"/>
      <c r="Q37" s="6"/>
    </row>
    <row r="38" spans="2:17" s="3" customFormat="1" ht="32.25" customHeight="1" x14ac:dyDescent="0.25">
      <c r="B38" s="34" t="str">
        <f>Indicadores_Generales!C13</f>
        <v>Indicador  Rentabilidad del Patrimonio RP =&gt; AL 0%</v>
      </c>
      <c r="C38" s="19" t="str">
        <f>IF(C8="","",IFERROR(IF(C39&gt;=Indicadores_Generales!$D$13,$B$25,$N$25),""))</f>
        <v>HÁBIL</v>
      </c>
      <c r="D38" s="19" t="str">
        <f>IF(D8="","",IFERROR(IF(D39&gt;=Indicadores_Generales!$D$13,$B$25,$N$25),""))</f>
        <v>HÁBIL</v>
      </c>
      <c r="E38" s="19" t="str">
        <f>IF(E8="","",IFERROR(IF(E39&gt;=Indicadores_Generales!$D$13,$B$25,$N$25),""))</f>
        <v>HÁBIL</v>
      </c>
      <c r="F38" s="19" t="str">
        <f>IF(F8="","",IFERROR(IF(F39&gt;=Indicadores_Generales!$D$13,$B$25,$N$25),""))</f>
        <v>HÁBIL</v>
      </c>
      <c r="G38" s="19" t="str">
        <f>IF(G8="","",IFERROR(IF(G39&gt;=Indicadores_Generales!$D$13,$B$25,$N$25),""))</f>
        <v>HÁBIL</v>
      </c>
      <c r="H38" s="19" t="str">
        <f>IF(H8="","",IFERROR(IF(H39&gt;=Indicadores_Generales!$D$13,$B$25,$N$25),""))</f>
        <v>HÁBIL</v>
      </c>
      <c r="I38" s="19" t="str">
        <f>IF(I8="","",IFERROR(IF(I39&gt;=Indicadores_Generales!$D$13,$B$25,$N$25),""))</f>
        <v>HÁBIL</v>
      </c>
      <c r="J38" s="19" t="str">
        <f>IF(J8="","",IFERROR(IF(J39&gt;=Indicadores_Generales!$D$13,$B$25,$N$25),""))</f>
        <v>HÁBIL</v>
      </c>
      <c r="K38" s="19" t="str">
        <f>IF(K8="","",IFERROR(IF(K39&gt;=Indicadores_Generales!$D$13,$B$25,$N$25),""))</f>
        <v>HÁBIL</v>
      </c>
      <c r="L38" s="19" t="str">
        <f>IF(L8="","",IFERROR(IF(L39&gt;=Indicadores_Generales!$D$13,$B$25,$N$25),""))</f>
        <v>HÁBIL</v>
      </c>
      <c r="M38" s="19" t="str">
        <f>IF(M8="","",IFERROR(IF(M39&gt;=Indicadores_Generales!$D$13,$B$25,$N$25),""))</f>
        <v>HÁBIL</v>
      </c>
      <c r="N38" s="19" t="str">
        <f>IF(N8="","",IFERROR(IF(N39&gt;=Indicadores_Generales!$D$13,$B$25,$N$25),""))</f>
        <v>HÁBIL</v>
      </c>
      <c r="O38" s="19" t="str">
        <f>IF(O8="","",IFERROR(IF(O39&gt;=Indicadores_Generales!$D$13,$B$25,$N$25),""))</f>
        <v>HÁBIL</v>
      </c>
      <c r="P38" s="19" t="str">
        <f>IF(P8="","",IFERROR(IF(P39&gt;=Indicadores_Generales!$D$13,$B$25,$N$25),""))</f>
        <v>HÁBIL</v>
      </c>
      <c r="Q38" s="50" t="str">
        <f>IF(Q8="","",IFERROR(IF(Q39&gt;=Indicadores_Generales!$D$13,$B$25,$N$25),""))</f>
        <v>HÁBIL</v>
      </c>
    </row>
    <row r="39" spans="2:17" s="3" customFormat="1" ht="49.5" customHeight="1" x14ac:dyDescent="0.25">
      <c r="B39" s="41" t="s">
        <v>36</v>
      </c>
      <c r="C39" s="92">
        <f>IF(C8="","",C19/C17)</f>
        <v>0.20576428457035084</v>
      </c>
      <c r="D39" s="92">
        <f t="shared" ref="D39:Q39" si="8">IF(D8="","",D19/D17)</f>
        <v>0.19676674342141626</v>
      </c>
      <c r="E39" s="92">
        <f t="shared" si="8"/>
        <v>0.3102050850426733</v>
      </c>
      <c r="F39" s="92">
        <f t="shared" si="8"/>
        <v>0.40306277003206176</v>
      </c>
      <c r="G39" s="92">
        <f t="shared" si="8"/>
        <v>0.23120058448597233</v>
      </c>
      <c r="H39" s="92">
        <f t="shared" si="8"/>
        <v>0.1884039250128281</v>
      </c>
      <c r="I39" s="92">
        <f t="shared" si="8"/>
        <v>0.58901233511359374</v>
      </c>
      <c r="J39" s="92">
        <f t="shared" si="8"/>
        <v>0.22884772006951271</v>
      </c>
      <c r="K39" s="92">
        <f t="shared" si="8"/>
        <v>0.45670824919740549</v>
      </c>
      <c r="L39" s="92">
        <f t="shared" si="8"/>
        <v>0.2712966180154513</v>
      </c>
      <c r="M39" s="92">
        <f t="shared" si="8"/>
        <v>0.12375305538422485</v>
      </c>
      <c r="N39" s="92">
        <f t="shared" si="8"/>
        <v>0.12361395524438723</v>
      </c>
      <c r="O39" s="92">
        <f t="shared" si="8"/>
        <v>0.12533200076528442</v>
      </c>
      <c r="P39" s="92">
        <f t="shared" si="8"/>
        <v>0.10180399220516645</v>
      </c>
      <c r="Q39" s="93">
        <f t="shared" si="8"/>
        <v>0.41901588861174865</v>
      </c>
    </row>
    <row r="40" spans="2:17" s="3" customFormat="1" ht="15.75" x14ac:dyDescent="0.25">
      <c r="B40" s="34" t="str">
        <f>Indicadores_Generales!C14</f>
        <v>Indicador  Rentabilidad del Activo RAct =&gt; AL 0%</v>
      </c>
      <c r="C40" s="19" t="str">
        <f>IF(C8="","",IFERROR(IF(C41&gt;=Indicadores_Generales!$D$14,$B$25,$N$25),""))</f>
        <v>HÁBIL</v>
      </c>
      <c r="D40" s="19" t="str">
        <f>IF(D8="","",IFERROR(IF(D41&gt;=Indicadores_Generales!$D$14,$B$25,$N$25),""))</f>
        <v>HÁBIL</v>
      </c>
      <c r="E40" s="19" t="str">
        <f>IF(E8="","",IFERROR(IF(E41&gt;=Indicadores_Generales!$D$14,$B$25,$N$25),""))</f>
        <v>HÁBIL</v>
      </c>
      <c r="F40" s="19" t="str">
        <f>IF(F8="","",IFERROR(IF(F41&gt;=Indicadores_Generales!$D$14,$B$25,$N$25),""))</f>
        <v>HÁBIL</v>
      </c>
      <c r="G40" s="19" t="str">
        <f>IF(G8="","",IFERROR(IF(G41&gt;=Indicadores_Generales!$D$14,$B$25,$N$25),""))</f>
        <v>HÁBIL</v>
      </c>
      <c r="H40" s="19" t="str">
        <f>IF(H8="","",IFERROR(IF(H41&gt;=Indicadores_Generales!$D$14,$B$25,$N$25),""))</f>
        <v>HÁBIL</v>
      </c>
      <c r="I40" s="19" t="str">
        <f>IF(I8="","",IFERROR(IF(I41&gt;=Indicadores_Generales!$D$14,$B$25,$N$25),""))</f>
        <v>HÁBIL</v>
      </c>
      <c r="J40" s="19" t="str">
        <f>IF(J8="","",IFERROR(IF(J41&gt;=Indicadores_Generales!$D$14,$B$25,$N$25),""))</f>
        <v>HÁBIL</v>
      </c>
      <c r="K40" s="19" t="str">
        <f>IF(K8="","",IFERROR(IF(K41&gt;=Indicadores_Generales!$D$14,$B$25,$N$25),""))</f>
        <v>HÁBIL</v>
      </c>
      <c r="L40" s="19" t="str">
        <f>IF(L8="","",IFERROR(IF(L41&gt;=Indicadores_Generales!$D$14,$B$25,$N$25),""))</f>
        <v>HÁBIL</v>
      </c>
      <c r="M40" s="19" t="str">
        <f>IF(M8="","",IFERROR(IF(M41&gt;=Indicadores_Generales!$D$14,$B$25,$N$25),""))</f>
        <v>HÁBIL</v>
      </c>
      <c r="N40" s="19" t="str">
        <f>IF(N8="","",IFERROR(IF(N41&gt;=Indicadores_Generales!$D$14,$B$25,$N$25),""))</f>
        <v>HÁBIL</v>
      </c>
      <c r="O40" s="19" t="str">
        <f>IF(O8="","",IFERROR(IF(O41&gt;=Indicadores_Generales!$D$14,$B$25,$N$25),""))</f>
        <v>HÁBIL</v>
      </c>
      <c r="P40" s="19" t="str">
        <f>IF(P8="","",IFERROR(IF(P41&gt;=Indicadores_Generales!$D$14,$B$25,$N$25),""))</f>
        <v>HÁBIL</v>
      </c>
      <c r="Q40" s="50" t="str">
        <f>IF(Q8="","",IFERROR(IF(Q41&gt;=Indicadores_Generales!$D$14,$B$25,$N$25),""))</f>
        <v>HÁBIL</v>
      </c>
    </row>
    <row r="41" spans="2:17" s="3" customFormat="1" ht="15.75" x14ac:dyDescent="0.25">
      <c r="B41" s="41" t="s">
        <v>37</v>
      </c>
      <c r="C41" s="92">
        <f>IF(C8="","",C19/C15)</f>
        <v>0.13659752942961739</v>
      </c>
      <c r="D41" s="92">
        <f t="shared" ref="D41:Q41" si="9">IF(D8="","",D19/D15)</f>
        <v>0.12032686207052008</v>
      </c>
      <c r="E41" s="92">
        <f t="shared" si="9"/>
        <v>0.13790675392146831</v>
      </c>
      <c r="F41" s="92">
        <f t="shared" si="9"/>
        <v>0.21462538896710506</v>
      </c>
      <c r="G41" s="92">
        <f t="shared" si="9"/>
        <v>0.18474931124600477</v>
      </c>
      <c r="H41" s="92">
        <f t="shared" si="9"/>
        <v>0.13251402894927164</v>
      </c>
      <c r="I41" s="92">
        <f t="shared" si="9"/>
        <v>0.5095500982882879</v>
      </c>
      <c r="J41" s="92">
        <f t="shared" si="9"/>
        <v>0.1395773351430219</v>
      </c>
      <c r="K41" s="92">
        <f t="shared" si="9"/>
        <v>0.25551654083106751</v>
      </c>
      <c r="L41" s="92">
        <f t="shared" si="9"/>
        <v>0.24681983787687498</v>
      </c>
      <c r="M41" s="92">
        <f t="shared" si="9"/>
        <v>7.012069448307845E-2</v>
      </c>
      <c r="N41" s="92">
        <f t="shared" si="9"/>
        <v>8.1683208178867747E-2</v>
      </c>
      <c r="O41" s="92">
        <f t="shared" si="9"/>
        <v>7.6440385289971158E-2</v>
      </c>
      <c r="P41" s="92">
        <f t="shared" si="9"/>
        <v>8.540267155153658E-2</v>
      </c>
      <c r="Q41" s="93">
        <f t="shared" si="9"/>
        <v>0.18951420538036456</v>
      </c>
    </row>
    <row r="42" spans="2:17" s="3" customFormat="1" ht="15.75" x14ac:dyDescent="0.25">
      <c r="B42" s="40" t="s">
        <v>38</v>
      </c>
      <c r="C42" s="23" t="str">
        <f>IF(C8="","",IF(COUNTIF(C28:C41,"NO HÁBIL")&gt;=1,"NO HABILITADO","HABILITADO"))</f>
        <v>HABILITADO</v>
      </c>
      <c r="D42" s="23" t="str">
        <f t="shared" ref="D42:Q42" si="10">IF(D8="","",IF(COUNTIF(D28:D41,"NO HÁBIL")&gt;=1,"NO HABILITADO","HABILITADO"))</f>
        <v>HABILITADO</v>
      </c>
      <c r="E42" s="23" t="str">
        <f t="shared" si="10"/>
        <v>HABILITADO</v>
      </c>
      <c r="F42" s="23" t="str">
        <f t="shared" si="10"/>
        <v>HABILITADO</v>
      </c>
      <c r="G42" s="23" t="str">
        <f t="shared" si="10"/>
        <v>HABILITADO</v>
      </c>
      <c r="H42" s="23" t="str">
        <f t="shared" si="10"/>
        <v>HABILITADO</v>
      </c>
      <c r="I42" s="23" t="str">
        <f t="shared" si="10"/>
        <v>HABILITADO</v>
      </c>
      <c r="J42" s="23" t="str">
        <f t="shared" si="10"/>
        <v>HABILITADO</v>
      </c>
      <c r="K42" s="23" t="str">
        <f t="shared" si="10"/>
        <v>HABILITADO</v>
      </c>
      <c r="L42" s="23" t="str">
        <f t="shared" si="10"/>
        <v>HABILITADO</v>
      </c>
      <c r="M42" s="23" t="str">
        <f t="shared" si="10"/>
        <v>HABILITADO</v>
      </c>
      <c r="N42" s="23" t="str">
        <f t="shared" si="10"/>
        <v>HABILITADO</v>
      </c>
      <c r="O42" s="23" t="str">
        <f t="shared" si="10"/>
        <v>HABILITADO</v>
      </c>
      <c r="P42" s="23" t="str">
        <f t="shared" si="10"/>
        <v>HABILITADO</v>
      </c>
      <c r="Q42" s="51" t="str">
        <f t="shared" si="10"/>
        <v>HABILITADO</v>
      </c>
    </row>
    <row r="43" spans="2:17" s="3" customFormat="1" ht="15.75" hidden="1" x14ac:dyDescent="0.25">
      <c r="B43" s="22"/>
      <c r="C43" s="5"/>
      <c r="D43" s="5"/>
      <c r="E43" s="5"/>
      <c r="F43" s="5"/>
      <c r="G43" s="5"/>
      <c r="H43" s="5"/>
      <c r="I43" s="5"/>
      <c r="J43" s="5"/>
      <c r="K43" s="5"/>
      <c r="L43" s="5"/>
      <c r="M43" s="5"/>
      <c r="N43" s="5"/>
      <c r="O43" s="5"/>
      <c r="P43" s="5"/>
      <c r="Q43" s="6"/>
    </row>
    <row r="44" spans="2:17" s="3" customFormat="1" ht="15.75" customHeight="1" x14ac:dyDescent="0.25">
      <c r="B44" s="175" t="s">
        <v>39</v>
      </c>
      <c r="C44" s="176"/>
      <c r="D44" s="176"/>
      <c r="E44" s="176"/>
      <c r="F44" s="176"/>
      <c r="G44" s="176"/>
      <c r="H44" s="176"/>
      <c r="I44" s="176"/>
      <c r="J44" s="176"/>
      <c r="K44" s="176"/>
      <c r="L44" s="176"/>
      <c r="M44" s="176"/>
      <c r="N44" s="176"/>
      <c r="O44" s="176"/>
      <c r="P44" s="176"/>
      <c r="Q44" s="177"/>
    </row>
    <row r="45" spans="2:17" s="3" customFormat="1" ht="36.75" customHeight="1" x14ac:dyDescent="0.25">
      <c r="B45" s="175"/>
      <c r="C45" s="176"/>
      <c r="D45" s="176"/>
      <c r="E45" s="176"/>
      <c r="F45" s="176"/>
      <c r="G45" s="176"/>
      <c r="H45" s="176"/>
      <c r="I45" s="176"/>
      <c r="J45" s="176"/>
      <c r="K45" s="176"/>
      <c r="L45" s="176"/>
      <c r="M45" s="176"/>
      <c r="N45" s="176"/>
      <c r="O45" s="176"/>
      <c r="P45" s="176"/>
      <c r="Q45" s="177"/>
    </row>
    <row r="46" spans="2:17" s="3" customFormat="1" ht="15.75" x14ac:dyDescent="0.25">
      <c r="B46" s="24"/>
      <c r="C46" s="52"/>
      <c r="D46" s="52"/>
      <c r="E46" s="52"/>
      <c r="F46" s="52"/>
      <c r="G46" s="52"/>
      <c r="H46" s="52"/>
      <c r="I46" s="52"/>
      <c r="J46" s="52"/>
      <c r="K46" s="52"/>
      <c r="L46" s="52"/>
      <c r="M46" s="52"/>
      <c r="N46" s="52"/>
      <c r="O46" s="52"/>
      <c r="P46" s="52"/>
      <c r="Q46" s="25"/>
    </row>
    <row r="47" spans="2:17" s="3" customFormat="1" ht="15.75" x14ac:dyDescent="0.25">
      <c r="B47" s="24"/>
      <c r="C47" s="52"/>
      <c r="D47" s="52"/>
      <c r="E47" s="52"/>
      <c r="F47" s="52"/>
      <c r="G47" s="52"/>
      <c r="H47" s="52"/>
      <c r="I47" s="52"/>
      <c r="J47" s="52"/>
      <c r="K47" s="52"/>
      <c r="L47" s="52"/>
      <c r="M47" s="52"/>
      <c r="N47" s="52"/>
      <c r="O47" s="52"/>
      <c r="P47" s="52"/>
      <c r="Q47" s="25"/>
    </row>
    <row r="48" spans="2:17" s="3" customFormat="1" ht="15.75" x14ac:dyDescent="0.25">
      <c r="B48" s="26"/>
      <c r="C48" s="53"/>
      <c r="D48" s="53"/>
      <c r="E48" s="53"/>
      <c r="F48" s="53"/>
      <c r="G48" s="53"/>
      <c r="H48" s="53"/>
      <c r="I48" s="53"/>
      <c r="J48" s="53"/>
      <c r="K48" s="53"/>
      <c r="L48" s="53"/>
      <c r="M48" s="53"/>
      <c r="N48" s="52"/>
      <c r="O48" s="52"/>
      <c r="P48" s="52"/>
      <c r="Q48" s="25"/>
    </row>
    <row r="49" spans="1:17" s="3" customFormat="1" ht="22.5" customHeight="1" x14ac:dyDescent="0.25">
      <c r="A49" s="27"/>
      <c r="B49" s="24"/>
      <c r="C49" s="52"/>
      <c r="D49" s="52"/>
      <c r="E49" s="52"/>
      <c r="F49" s="52"/>
      <c r="G49" s="52"/>
      <c r="H49" s="52"/>
      <c r="I49" s="52"/>
      <c r="J49" s="52"/>
      <c r="K49" s="52"/>
      <c r="L49" s="52"/>
      <c r="M49" s="52"/>
      <c r="N49" s="52"/>
      <c r="O49" s="52"/>
      <c r="P49" s="52"/>
      <c r="Q49" s="25"/>
    </row>
    <row r="50" spans="1:17" s="3" customFormat="1" ht="22.5" customHeight="1" x14ac:dyDescent="0.25">
      <c r="A50" s="27"/>
      <c r="B50" s="28"/>
      <c r="C50" s="54"/>
      <c r="D50" s="55"/>
      <c r="E50" s="55"/>
      <c r="F50" s="55"/>
      <c r="G50" s="53"/>
      <c r="H50" s="178"/>
      <c r="I50" s="178"/>
      <c r="J50" s="53"/>
      <c r="K50" s="55"/>
      <c r="L50" s="178"/>
      <c r="M50" s="178"/>
      <c r="N50" s="53"/>
      <c r="O50" s="178"/>
      <c r="P50" s="178"/>
      <c r="Q50" s="179"/>
    </row>
    <row r="51" spans="1:17" ht="23.25" customHeight="1" x14ac:dyDescent="0.25">
      <c r="A51" s="29"/>
      <c r="B51" s="30" t="s">
        <v>40</v>
      </c>
      <c r="C51" s="56"/>
      <c r="D51" s="180" t="s">
        <v>40</v>
      </c>
      <c r="E51" s="180"/>
      <c r="F51" s="57"/>
      <c r="G51" s="58"/>
      <c r="H51" s="180" t="s">
        <v>40</v>
      </c>
      <c r="I51" s="180"/>
      <c r="J51" s="57"/>
      <c r="K51" s="57"/>
      <c r="L51" s="180" t="s">
        <v>41</v>
      </c>
      <c r="M51" s="180"/>
      <c r="N51" s="58"/>
      <c r="O51" s="180" t="s">
        <v>42</v>
      </c>
      <c r="P51" s="180"/>
      <c r="Q51" s="181"/>
    </row>
    <row r="52" spans="1:17" ht="21" customHeight="1" x14ac:dyDescent="0.25">
      <c r="A52" s="29"/>
      <c r="B52" s="31"/>
      <c r="C52" s="59"/>
      <c r="D52" s="59"/>
      <c r="E52" s="59"/>
      <c r="F52" s="59"/>
      <c r="G52" s="59"/>
      <c r="H52" s="59"/>
      <c r="I52" s="59"/>
      <c r="J52" s="59"/>
      <c r="K52" s="59"/>
      <c r="L52" s="59"/>
      <c r="M52" s="59"/>
      <c r="N52" s="59"/>
      <c r="O52" s="60"/>
      <c r="P52" s="60"/>
      <c r="Q52" s="32"/>
    </row>
    <row r="53" spans="1:17" s="3" customFormat="1" ht="22.5" customHeight="1" x14ac:dyDescent="0.25">
      <c r="A53" s="27"/>
      <c r="B53" s="182" t="str">
        <f>"NOTA: La fecha de corte de la información financiera registrada en el RUP debe ser de acuerdo a lo establecido en el pliego definitivo de condiciones del proceso "&amp;Indicadores_Generales!D4&amp;"."</f>
        <v>NOTA: La fecha de corte de la información financiera registrada en el RUP debe ser de acuerdo a lo establecido en el pliego definitivo de condiciones del proceso  FDLBOSACM-004-2022(71937).</v>
      </c>
      <c r="C53" s="183"/>
      <c r="D53" s="183"/>
      <c r="E53" s="183"/>
      <c r="F53" s="183"/>
      <c r="G53" s="183"/>
      <c r="H53" s="183"/>
      <c r="I53" s="183"/>
      <c r="J53" s="183"/>
      <c r="K53" s="183"/>
      <c r="L53" s="183"/>
      <c r="M53" s="183"/>
      <c r="N53" s="183"/>
      <c r="O53" s="183"/>
      <c r="P53" s="183"/>
      <c r="Q53" s="184"/>
    </row>
    <row r="54" spans="1:17" s="3" customFormat="1" ht="22.5" customHeight="1" thickBot="1" x14ac:dyDescent="0.3">
      <c r="A54" s="27"/>
      <c r="B54" s="185"/>
      <c r="C54" s="186"/>
      <c r="D54" s="186"/>
      <c r="E54" s="186"/>
      <c r="F54" s="186"/>
      <c r="G54" s="186"/>
      <c r="H54" s="186"/>
      <c r="I54" s="186"/>
      <c r="J54" s="186"/>
      <c r="K54" s="186"/>
      <c r="L54" s="186"/>
      <c r="M54" s="186"/>
      <c r="N54" s="186"/>
      <c r="O54" s="186"/>
      <c r="P54" s="186"/>
      <c r="Q54" s="187"/>
    </row>
  </sheetData>
  <mergeCells count="17">
    <mergeCell ref="D51:E51"/>
    <mergeCell ref="H51:I51"/>
    <mergeCell ref="L51:M51"/>
    <mergeCell ref="O51:Q51"/>
    <mergeCell ref="B53:Q54"/>
    <mergeCell ref="B27:Q27"/>
    <mergeCell ref="B36:Q36"/>
    <mergeCell ref="B44:Q45"/>
    <mergeCell ref="H50:I50"/>
    <mergeCell ref="L50:M50"/>
    <mergeCell ref="O50:Q50"/>
    <mergeCell ref="B24:Q24"/>
    <mergeCell ref="B1:B5"/>
    <mergeCell ref="C1:P5"/>
    <mergeCell ref="Q1:Q5"/>
    <mergeCell ref="B6:Q6"/>
    <mergeCell ref="B7:Q7"/>
  </mergeCells>
  <conditionalFormatting sqref="C12:Q12">
    <cfRule type="cellIs" dxfId="104" priority="16" operator="equal">
      <formula>0</formula>
    </cfRule>
  </conditionalFormatting>
  <conditionalFormatting sqref="C42:Q42">
    <cfRule type="cellIs" dxfId="103" priority="14" operator="equal">
      <formula>"No Habilitado"</formula>
    </cfRule>
    <cfRule type="cellIs" dxfId="102" priority="15" operator="equal">
      <formula>"Habilitado"</formula>
    </cfRule>
  </conditionalFormatting>
  <conditionalFormatting sqref="C40:Q40">
    <cfRule type="cellIs" dxfId="101" priority="12" operator="equal">
      <formula>"Hábil"</formula>
    </cfRule>
    <cfRule type="cellIs" dxfId="100" priority="13" operator="equal">
      <formula>"No Hábil"</formula>
    </cfRule>
  </conditionalFormatting>
  <conditionalFormatting sqref="C38:Q38">
    <cfRule type="cellIs" dxfId="99" priority="10" operator="equal">
      <formula>"Hábil"</formula>
    </cfRule>
    <cfRule type="cellIs" dxfId="98" priority="11" operator="equal">
      <formula>"No Hábil"</formula>
    </cfRule>
  </conditionalFormatting>
  <conditionalFormatting sqref="C34:Q34">
    <cfRule type="cellIs" dxfId="97" priority="8" operator="equal">
      <formula>"Hábil"</formula>
    </cfRule>
    <cfRule type="cellIs" dxfId="96" priority="9" operator="equal">
      <formula>"No Hábil"</formula>
    </cfRule>
  </conditionalFormatting>
  <conditionalFormatting sqref="C32:Q32">
    <cfRule type="cellIs" dxfId="95" priority="6" operator="equal">
      <formula>"Hábil"</formula>
    </cfRule>
    <cfRule type="cellIs" dxfId="94" priority="7" operator="equal">
      <formula>"No Hábil"</formula>
    </cfRule>
  </conditionalFormatting>
  <conditionalFormatting sqref="C30:Q30">
    <cfRule type="cellIs" dxfId="93" priority="4" operator="equal">
      <formula>"Hábil"</formula>
    </cfRule>
    <cfRule type="cellIs" dxfId="92" priority="5" operator="equal">
      <formula>"No Hábil"</formula>
    </cfRule>
  </conditionalFormatting>
  <conditionalFormatting sqref="C28:Q28">
    <cfRule type="cellIs" dxfId="91" priority="2" operator="equal">
      <formula>"Hábil"</formula>
    </cfRule>
    <cfRule type="cellIs" dxfId="90" priority="3" operator="equal">
      <formula>"No Hábil"</formula>
    </cfRule>
  </conditionalFormatting>
  <printOptions horizontalCentered="1" verticalCentered="1"/>
  <pageMargins left="0.19685039370078741" right="0.19685039370078741" top="0.15748031496062992" bottom="0.15748031496062992" header="0.31496062992125984" footer="0.31496062992125984"/>
  <pageSetup paperSize="256" scale="38"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6EFF0C-8EB7-49FC-B052-7782833DF3CB}">
  <sheetPr codeName="Hoja3">
    <pageSetUpPr fitToPage="1"/>
  </sheetPr>
  <dimension ref="A1:Q54"/>
  <sheetViews>
    <sheetView showGridLines="0" topLeftCell="A34" zoomScale="60" zoomScaleNormal="60" zoomScalePageLayoutView="90" workbookViewId="0">
      <selection activeCell="C68" sqref="C68"/>
    </sheetView>
  </sheetViews>
  <sheetFormatPr baseColWidth="10" defaultColWidth="18.7109375" defaultRowHeight="15" x14ac:dyDescent="0.25"/>
  <cols>
    <col min="1" max="1" width="1.42578125" style="1" customWidth="1"/>
    <col min="2" max="2" width="50.28515625" style="1" customWidth="1"/>
    <col min="3" max="17" width="27" style="1" customWidth="1"/>
    <col min="18" max="16384" width="18.7109375" style="1"/>
  </cols>
  <sheetData>
    <row r="1" spans="1:17" x14ac:dyDescent="0.25">
      <c r="B1" s="156"/>
      <c r="C1" s="158" t="s">
        <v>18</v>
      </c>
      <c r="D1" s="159"/>
      <c r="E1" s="159"/>
      <c r="F1" s="159"/>
      <c r="G1" s="159"/>
      <c r="H1" s="159"/>
      <c r="I1" s="159"/>
      <c r="J1" s="159"/>
      <c r="K1" s="159"/>
      <c r="L1" s="159"/>
      <c r="M1" s="159"/>
      <c r="N1" s="159"/>
      <c r="O1" s="159"/>
      <c r="P1" s="160"/>
      <c r="Q1" s="167" t="s">
        <v>19</v>
      </c>
    </row>
    <row r="2" spans="1:17" x14ac:dyDescent="0.25">
      <c r="B2" s="157"/>
      <c r="C2" s="161"/>
      <c r="D2" s="162"/>
      <c r="E2" s="162"/>
      <c r="F2" s="162"/>
      <c r="G2" s="162"/>
      <c r="H2" s="162"/>
      <c r="I2" s="162"/>
      <c r="J2" s="162"/>
      <c r="K2" s="162"/>
      <c r="L2" s="162"/>
      <c r="M2" s="162"/>
      <c r="N2" s="162"/>
      <c r="O2" s="162"/>
      <c r="P2" s="163"/>
      <c r="Q2" s="168"/>
    </row>
    <row r="3" spans="1:17" ht="16.5" customHeight="1" x14ac:dyDescent="0.25">
      <c r="B3" s="157"/>
      <c r="C3" s="161"/>
      <c r="D3" s="162"/>
      <c r="E3" s="162"/>
      <c r="F3" s="162"/>
      <c r="G3" s="162"/>
      <c r="H3" s="162"/>
      <c r="I3" s="162"/>
      <c r="J3" s="162"/>
      <c r="K3" s="162"/>
      <c r="L3" s="162"/>
      <c r="M3" s="162"/>
      <c r="N3" s="162"/>
      <c r="O3" s="162"/>
      <c r="P3" s="163"/>
      <c r="Q3" s="168"/>
    </row>
    <row r="4" spans="1:17" x14ac:dyDescent="0.25">
      <c r="B4" s="157"/>
      <c r="C4" s="161"/>
      <c r="D4" s="162"/>
      <c r="E4" s="162"/>
      <c r="F4" s="162"/>
      <c r="G4" s="162"/>
      <c r="H4" s="162"/>
      <c r="I4" s="162"/>
      <c r="J4" s="162"/>
      <c r="K4" s="162"/>
      <c r="L4" s="162"/>
      <c r="M4" s="162"/>
      <c r="N4" s="162"/>
      <c r="O4" s="162"/>
      <c r="P4" s="163"/>
      <c r="Q4" s="168"/>
    </row>
    <row r="5" spans="1:17" ht="23.25" customHeight="1" x14ac:dyDescent="0.25">
      <c r="B5" s="157"/>
      <c r="C5" s="164"/>
      <c r="D5" s="165"/>
      <c r="E5" s="165"/>
      <c r="F5" s="165"/>
      <c r="G5" s="165"/>
      <c r="H5" s="165"/>
      <c r="I5" s="165"/>
      <c r="J5" s="165"/>
      <c r="K5" s="165"/>
      <c r="L5" s="165"/>
      <c r="M5" s="165"/>
      <c r="N5" s="165"/>
      <c r="O5" s="165"/>
      <c r="P5" s="166"/>
      <c r="Q5" s="168"/>
    </row>
    <row r="6" spans="1:17" ht="26.25" customHeight="1" x14ac:dyDescent="0.25">
      <c r="B6" s="188" t="str">
        <f>"PROCESO DE SELECCIÓN "&amp;Indicadores_Generales!D4</f>
        <v>PROCESO DE SELECCIÓN  FDLBOSACM-004-2022(71937)</v>
      </c>
      <c r="C6" s="189"/>
      <c r="D6" s="189"/>
      <c r="E6" s="189"/>
      <c r="F6" s="189"/>
      <c r="G6" s="189"/>
      <c r="H6" s="189"/>
      <c r="I6" s="189"/>
      <c r="J6" s="189"/>
      <c r="K6" s="189"/>
      <c r="L6" s="189"/>
      <c r="M6" s="189"/>
      <c r="N6" s="189"/>
      <c r="O6" s="189"/>
      <c r="P6" s="189"/>
      <c r="Q6" s="190"/>
    </row>
    <row r="7" spans="1:17" ht="42" customHeight="1" x14ac:dyDescent="0.25">
      <c r="B7" s="172" t="str">
        <f>"OBJETO: "&amp;UPPER(Indicadores_Generales!D6)</f>
        <v>OBJETO: REALIZAR LA INTERVENTORÍA
TÉCNICA, ADMINISTRATIVA, FINANCIERA, JURÍDICA, SOCIAL, AMBIENTAL Y
SST AL CONTRATO DE OBRA PÚBLICA QUE TENDRÁ POR OBJETO
CONTRACTUAL EJECUTAR POR EL SISTEMA DE PRECIOS UNITARIOS FIJOS SIN
FORMULA DE REAJUSTE Y A MONTO AGOTABLE LAS ACTIVIDADES
NECESARIAS PARA LA EJECUCIÓN DE LAS OBRAS DE CONSTRUCCIÓN DE
MALLA VIAL Y ESPACIO PUBLICO ASOCIADO DE LA LOCALIDAD DE BOSA, DE
ACUERDO CON LA DESCRIPCIÓN, ESPECIFICACIONES, ESTUDIOS, DISEÑOS Y
DEMÁS CONDICIONES ESTABLECIDAS EN EL ANEXO TÉCNICO</v>
      </c>
      <c r="C7" s="173"/>
      <c r="D7" s="173"/>
      <c r="E7" s="173"/>
      <c r="F7" s="173"/>
      <c r="G7" s="173"/>
      <c r="H7" s="173"/>
      <c r="I7" s="173"/>
      <c r="J7" s="173"/>
      <c r="K7" s="173"/>
      <c r="L7" s="173"/>
      <c r="M7" s="173"/>
      <c r="N7" s="173"/>
      <c r="O7" s="173"/>
      <c r="P7" s="173"/>
      <c r="Q7" s="174"/>
    </row>
    <row r="8" spans="1:17" ht="51" customHeight="1" x14ac:dyDescent="0.25">
      <c r="B8" s="37" t="s">
        <v>20</v>
      </c>
      <c r="C8" s="35" t="str">
        <f>IFERROR(IF(VLOOKUP(C9,Indicadores_Generales!$B$17:$AG$143,5,0)=0,"",VLOOKUP(C9,Indicadores_Generales!$B$17:$AG$143,5,0)),"")</f>
        <v xml:space="preserve">	CONSORCIO CMP BOSA</v>
      </c>
      <c r="D8" s="35" t="str">
        <f>IFERROR(IF(VLOOKUP(D9,Indicadores_Generales!$B$17:$AG$143,5,0)=0,"",VLOOKUP(D9,Indicadores_Generales!$B$17:$AG$143,5,0)),"")</f>
        <v>INGENIEROS CONSULTORES Y CONSTRUCTORES ARG SAS</v>
      </c>
      <c r="E8" s="35" t="str">
        <f>IFERROR(IF(VLOOKUP(E9,Indicadores_Generales!$B$17:$AG$143,5,0)=0,"",VLOOKUP(E9,Indicadores_Generales!$B$17:$AG$143,5,0)),"")</f>
        <v xml:space="preserve">	ICE S.A.S.</v>
      </c>
      <c r="F8" s="35" t="str">
        <f>IFERROR(IF(VLOOKUP(F9,Indicadores_Generales!$B$17:$AG$143,5,0)=0,"",VLOOKUP(F9,Indicadores_Generales!$B$17:$AG$143,5,0)),"")</f>
        <v>CONSORCIO SG 0595</v>
      </c>
      <c r="G8" s="35" t="str">
        <f>IFERROR(IF(VLOOKUP(G9,Indicadores_Generales!$B$17:$AG$143,5,0)=0,"",VLOOKUP(G9,Indicadores_Generales!$B$17:$AG$143,5,0)),"")</f>
        <v xml:space="preserve">	Estructurador Colombia SAS</v>
      </c>
      <c r="H8" s="35" t="str">
        <f>IFERROR(IF(VLOOKUP(H9,Indicadores_Generales!$B$17:$AG$143,5,0)=0,"",VLOOKUP(H9,Indicadores_Generales!$B$17:$AG$143,5,0)),"")</f>
        <v xml:space="preserve">	SMA S.A.S</v>
      </c>
      <c r="I8" s="35" t="str">
        <f>IFERROR(IF(VLOOKUP(I9,Indicadores_Generales!$B$17:$AG$143,5,0)=0,"",VLOOKUP(I9,Indicadores_Generales!$B$17:$AG$143,5,0)),"")</f>
        <v xml:space="preserve">	INGEOCILCON S.A.S.</v>
      </c>
      <c r="J8" s="35" t="str">
        <f>IFERROR(IF(VLOOKUP(J9,Indicadores_Generales!$B$17:$AG$143,5,0)=0,"",VLOOKUP(J9,Indicadores_Generales!$B$17:$AG$143,5,0)),"")</f>
        <v>GNG SERVICIOS DE INGENIERIA S.A.S.</v>
      </c>
      <c r="K8" s="35" t="str">
        <f>IFERROR(IF(VLOOKUP(K9,Indicadores_Generales!$B$17:$AG$143,5,0)=0,"",VLOOKUP(K9,Indicadores_Generales!$B$17:$AG$143,5,0)),"")</f>
        <v>Soluciones para la Ingeniería S.A.S</v>
      </c>
      <c r="L8" s="35" t="str">
        <f>IFERROR(IF(VLOOKUP(L9,Indicadores_Generales!$B$17:$AG$143,5,0)=0,"",VLOOKUP(L9,Indicadores_Generales!$B$17:$AG$143,5,0)),"")</f>
        <v xml:space="preserve">	CONSORCIO VIAL BOGOTA</v>
      </c>
      <c r="M8" s="35" t="str">
        <f>IFERROR(IF(VLOOKUP(M9,Indicadores_Generales!$B$17:$AG$143,5,0)=0,"",VLOOKUP(M9,Indicadores_Generales!$B$17:$AG$143,5,0)),"")</f>
        <v>INGEOCIM S.A.S.</v>
      </c>
      <c r="N8" s="35" t="str">
        <f>IFERROR(IF(VLOOKUP(N9,Indicadores_Generales!$B$17:$AG$143,5,0)=0,"",VLOOKUP(N9,Indicadores_Generales!$B$17:$AG$143,5,0)),"")</f>
        <v>COPEBA S.A.S.</v>
      </c>
      <c r="O8" s="35" t="str">
        <f>IFERROR(IF(VLOOKUP(O9,Indicadores_Generales!$B$17:$AG$143,5,0)=0,"",VLOOKUP(O9,Indicadores_Generales!$B$17:$AG$143,5,0)),"")</f>
        <v>CONSORCIO SAN JUAN BOSA 4</v>
      </c>
      <c r="P8" s="35" t="str">
        <f>IFERROR(IF(VLOOKUP(P9,Indicadores_Generales!$B$17:$AG$143,5,0)=0,"",VLOOKUP(P9,Indicadores_Generales!$B$17:$AG$143,5,0)),"")</f>
        <v>CODIPRO INGENIERIA LTDA</v>
      </c>
      <c r="Q8" s="43" t="str">
        <f>IFERROR(IF(VLOOKUP(Q9,Indicadores_Generales!$B$17:$AG$143,5,0)=0,"",VLOOKUP(Q9,Indicadores_Generales!$B$17:$AG$143,5,0)),"")</f>
        <v xml:space="preserve">	CONSULTORES DONOVAN SAS</v>
      </c>
    </row>
    <row r="9" spans="1:17" s="3" customFormat="1" ht="24" customHeight="1" x14ac:dyDescent="0.25">
      <c r="A9" s="2"/>
      <c r="B9" s="40" t="s">
        <v>2</v>
      </c>
      <c r="C9" s="36">
        <v>16</v>
      </c>
      <c r="D9" s="36">
        <v>17</v>
      </c>
      <c r="E9" s="36">
        <v>18</v>
      </c>
      <c r="F9" s="36">
        <v>19</v>
      </c>
      <c r="G9" s="36">
        <v>20</v>
      </c>
      <c r="H9" s="36">
        <v>21</v>
      </c>
      <c r="I9" s="36">
        <v>22</v>
      </c>
      <c r="J9" s="36">
        <v>23</v>
      </c>
      <c r="K9" s="36">
        <v>24</v>
      </c>
      <c r="L9" s="36">
        <v>25</v>
      </c>
      <c r="M9" s="36">
        <v>26</v>
      </c>
      <c r="N9" s="36">
        <v>27</v>
      </c>
      <c r="O9" s="36">
        <v>28</v>
      </c>
      <c r="P9" s="36">
        <v>29</v>
      </c>
      <c r="Q9" s="44">
        <v>30</v>
      </c>
    </row>
    <row r="10" spans="1:17" s="3" customFormat="1" ht="31.5" x14ac:dyDescent="0.25">
      <c r="B10" s="40" t="s">
        <v>48</v>
      </c>
      <c r="C10" s="4">
        <f>IF(C8="","",IFERROR(IF(VLOOKUP(C9,Indicadores_Generales!$B$17:$AG$143,4,0)=0,"",DATE(VLOOKUP(C9,Indicadores_Generales!$B$17:$AG$143,4,0),12,31)),""))</f>
        <v>44561</v>
      </c>
      <c r="D10" s="4">
        <f>IF(D8="","",IFERROR(IF(VLOOKUP(D9,Indicadores_Generales!$B$17:$AG$143,4,0)=0,"",DATE(VLOOKUP(D9,Indicadores_Generales!$B$17:$AG$143,4,0),12,31)),""))</f>
        <v>44561</v>
      </c>
      <c r="E10" s="4">
        <f>IF(E8="","",IFERROR(IF(VLOOKUP(E9,Indicadores_Generales!$B$17:$AG$143,4,0)=0,"",DATE(VLOOKUP(E9,Indicadores_Generales!$B$17:$AG$143,4,0),12,31)),""))</f>
        <v>44561</v>
      </c>
      <c r="F10" s="4">
        <f>IF(F8="","",IFERROR(IF(VLOOKUP(F9,Indicadores_Generales!$B$17:$AG$143,4,0)=0,"",DATE(VLOOKUP(F9,Indicadores_Generales!$B$17:$AG$143,4,0),12,31)),""))</f>
        <v>44561</v>
      </c>
      <c r="G10" s="4">
        <f>IF(G8="","",IFERROR(IF(VLOOKUP(G9,Indicadores_Generales!$B$17:$AG$143,4,0)=0,"",DATE(VLOOKUP(G9,Indicadores_Generales!$B$17:$AG$143,4,0),12,31)),""))</f>
        <v>44561</v>
      </c>
      <c r="H10" s="4">
        <f>IF(H8="","",IFERROR(IF(VLOOKUP(H9,Indicadores_Generales!$B$17:$AG$143,4,0)=0,"",DATE(VLOOKUP(H9,Indicadores_Generales!$B$17:$AG$143,4,0),12,31)),""))</f>
        <v>44561</v>
      </c>
      <c r="I10" s="4">
        <f>IF(I8="","",IFERROR(IF(VLOOKUP(I9,Indicadores_Generales!$B$17:$AG$143,4,0)=0,"",DATE(VLOOKUP(I9,Indicadores_Generales!$B$17:$AG$143,4,0),12,31)),""))</f>
        <v>44561</v>
      </c>
      <c r="J10" s="4">
        <f>IF(J8="","",IFERROR(IF(VLOOKUP(J9,Indicadores_Generales!$B$17:$AG$143,4,0)=0,"",DATE(VLOOKUP(J9,Indicadores_Generales!$B$17:$AG$143,4,0),12,31)),""))</f>
        <v>44561</v>
      </c>
      <c r="K10" s="4">
        <f>IF(K8="","",IFERROR(IF(VLOOKUP(K9,Indicadores_Generales!$B$17:$AG$143,4,0)=0,"",DATE(VLOOKUP(K9,Indicadores_Generales!$B$17:$AG$143,4,0),12,31)),""))</f>
        <v>44196</v>
      </c>
      <c r="L10" s="4">
        <f>IF(L8="","",IFERROR(IF(VLOOKUP(L9,Indicadores_Generales!$B$17:$AG$143,4,0)=0,"",DATE(VLOOKUP(L9,Indicadores_Generales!$B$17:$AG$143,4,0),12,31)),""))</f>
        <v>44196</v>
      </c>
      <c r="M10" s="4">
        <f>IF(M8="","",IFERROR(IF(VLOOKUP(M9,Indicadores_Generales!$B$17:$AG$143,4,0)=0,"",DATE(VLOOKUP(M9,Indicadores_Generales!$B$17:$AG$143,4,0),12,31)),""))</f>
        <v>44561</v>
      </c>
      <c r="N10" s="4">
        <f>IF(N8="","",IFERROR(IF(VLOOKUP(N9,Indicadores_Generales!$B$17:$AG$143,4,0)=0,"",DATE(VLOOKUP(N9,Indicadores_Generales!$B$17:$AG$143,4,0),12,31)),""))</f>
        <v>44561</v>
      </c>
      <c r="O10" s="4">
        <f>IF(O8="","",IFERROR(IF(VLOOKUP(O9,Indicadores_Generales!$B$17:$AG$143,4,0)=0,"",DATE(VLOOKUP(O9,Indicadores_Generales!$B$17:$AG$143,4,0),12,31)),""))</f>
        <v>44561</v>
      </c>
      <c r="P10" s="4">
        <f>IF(P8="","",IFERROR(IF(VLOOKUP(P9,Indicadores_Generales!$B$17:$AG$143,4,0)=0,"",DATE(VLOOKUP(P9,Indicadores_Generales!$B$17:$AG$143,4,0),12,31)),""))</f>
        <v>44561</v>
      </c>
      <c r="Q10" s="45">
        <f>IF(Q8="","",IFERROR(IF(VLOOKUP(Q9,Indicadores_Generales!$B$17:$AG$143,4,0)=0,"",DATE(VLOOKUP(Q9,Indicadores_Generales!$B$17:$AG$143,4,0),12,31)),""))</f>
        <v>44561</v>
      </c>
    </row>
    <row r="11" spans="1:17" s="3" customFormat="1" ht="24" customHeight="1" x14ac:dyDescent="0.25">
      <c r="B11" s="40" t="s">
        <v>21</v>
      </c>
      <c r="C11" s="38" t="str">
        <f>IF(C8="","",IF(C10="","","VIGENTE"))</f>
        <v>VIGENTE</v>
      </c>
      <c r="D11" s="38" t="str">
        <f t="shared" ref="D11:Q11" si="0">IF(D8="","",IF(D10="","","VIGENTE"))</f>
        <v>VIGENTE</v>
      </c>
      <c r="E11" s="38" t="str">
        <f t="shared" si="0"/>
        <v>VIGENTE</v>
      </c>
      <c r="F11" s="38" t="str">
        <f t="shared" si="0"/>
        <v>VIGENTE</v>
      </c>
      <c r="G11" s="38" t="str">
        <f t="shared" si="0"/>
        <v>VIGENTE</v>
      </c>
      <c r="H11" s="38" t="str">
        <f t="shared" si="0"/>
        <v>VIGENTE</v>
      </c>
      <c r="I11" s="38" t="str">
        <f t="shared" si="0"/>
        <v>VIGENTE</v>
      </c>
      <c r="J11" s="38" t="str">
        <f t="shared" si="0"/>
        <v>VIGENTE</v>
      </c>
      <c r="K11" s="38" t="str">
        <f t="shared" si="0"/>
        <v>VIGENTE</v>
      </c>
      <c r="L11" s="38" t="str">
        <f t="shared" si="0"/>
        <v>VIGENTE</v>
      </c>
      <c r="M11" s="38" t="str">
        <f t="shared" si="0"/>
        <v>VIGENTE</v>
      </c>
      <c r="N11" s="38" t="str">
        <f t="shared" si="0"/>
        <v>VIGENTE</v>
      </c>
      <c r="O11" s="38" t="str">
        <f t="shared" si="0"/>
        <v>VIGENTE</v>
      </c>
      <c r="P11" s="38" t="str">
        <f t="shared" si="0"/>
        <v>VIGENTE</v>
      </c>
      <c r="Q11" s="39" t="str">
        <f t="shared" si="0"/>
        <v>VIGENTE</v>
      </c>
    </row>
    <row r="12" spans="1:17" s="3" customFormat="1" ht="31.5" x14ac:dyDescent="0.25">
      <c r="B12" s="40" t="s">
        <v>22</v>
      </c>
      <c r="C12" s="7">
        <f>IF(C8="","",SUMIFS(Indicadores_Generales!$G:$G,Indicadores_Generales!$B:$B,C9))</f>
        <v>1</v>
      </c>
      <c r="D12" s="7">
        <f>IF(D8="","",SUMIFS(Indicadores_Generales!$G:$G,Indicadores_Generales!$B:$B,D9))</f>
        <v>1</v>
      </c>
      <c r="E12" s="7">
        <f>IF(E8="","",SUMIFS(Indicadores_Generales!$G:$G,Indicadores_Generales!$B:$B,E9))</f>
        <v>1</v>
      </c>
      <c r="F12" s="7">
        <f>IF(F8="","",SUMIFS(Indicadores_Generales!$G:$G,Indicadores_Generales!$B:$B,F9))</f>
        <v>1</v>
      </c>
      <c r="G12" s="7">
        <f>IF(G8="","",SUMIFS(Indicadores_Generales!$G:$G,Indicadores_Generales!$B:$B,G9))</f>
        <v>1</v>
      </c>
      <c r="H12" s="7">
        <f>IF(H8="","",SUMIFS(Indicadores_Generales!$G:$G,Indicadores_Generales!$B:$B,H9))</f>
        <v>1</v>
      </c>
      <c r="I12" s="7">
        <f>IF(I8="","",SUMIFS(Indicadores_Generales!$G:$G,Indicadores_Generales!$B:$B,I9))</f>
        <v>1</v>
      </c>
      <c r="J12" s="7">
        <f>IF(J8="","",SUMIFS(Indicadores_Generales!$G:$G,Indicadores_Generales!$B:$B,J9))</f>
        <v>1</v>
      </c>
      <c r="K12" s="7">
        <f>IF(K8="","",SUMIFS(Indicadores_Generales!$G:$G,Indicadores_Generales!$B:$B,K9))</f>
        <v>1</v>
      </c>
      <c r="L12" s="7">
        <f>IF(L8="","",SUMIFS(Indicadores_Generales!$G:$G,Indicadores_Generales!$B:$B,L9))</f>
        <v>1</v>
      </c>
      <c r="M12" s="7">
        <f>IF(M8="","",SUMIFS(Indicadores_Generales!$G:$G,Indicadores_Generales!$B:$B,M9))</f>
        <v>1</v>
      </c>
      <c r="N12" s="7">
        <f>IF(N8="","",SUMIFS(Indicadores_Generales!$G:$G,Indicadores_Generales!$B:$B,N9))</f>
        <v>1</v>
      </c>
      <c r="O12" s="7">
        <f>IF(O8="","",SUMIFS(Indicadores_Generales!$G:$G,Indicadores_Generales!$B:$B,O9))</f>
        <v>1</v>
      </c>
      <c r="P12" s="7">
        <f>IF(P8="","",SUMIFS(Indicadores_Generales!$G:$G,Indicadores_Generales!$B:$B,P9))</f>
        <v>1</v>
      </c>
      <c r="Q12" s="46">
        <f>IF(Q8="","",SUMIFS(Indicadores_Generales!$G:$G,Indicadores_Generales!$B:$B,Q9))</f>
        <v>1</v>
      </c>
    </row>
    <row r="13" spans="1:17" s="3" customFormat="1" ht="26.25" customHeight="1" x14ac:dyDescent="0.25">
      <c r="B13" s="40" t="s">
        <v>4</v>
      </c>
      <c r="C13" s="8">
        <f>IF(C8="","",SUMIFS(Indicadores_Generales!$U:$U,Indicadores_Generales!$B:$B,C9))</f>
        <v>945629575.10000002</v>
      </c>
      <c r="D13" s="8">
        <f>IF(D8="","",SUMIFS(Indicadores_Generales!$U:$U,Indicadores_Generales!$B:$B,D9))</f>
        <v>1814368734</v>
      </c>
      <c r="E13" s="8">
        <f>IF(E8="","",SUMIFS(Indicadores_Generales!$U:$U,Indicadores_Generales!$B:$B,E9))</f>
        <v>5425765350</v>
      </c>
      <c r="F13" s="8">
        <f>IF(F8="","",SUMIFS(Indicadores_Generales!$U:$U,Indicadores_Generales!$B:$B,F9))</f>
        <v>4026484693.3499999</v>
      </c>
      <c r="G13" s="8">
        <f>IF(G8="","",SUMIFS(Indicadores_Generales!$U:$U,Indicadores_Generales!$B:$B,G9))</f>
        <v>5186721027</v>
      </c>
      <c r="H13" s="8">
        <f>IF(H8="","",SUMIFS(Indicadores_Generales!$U:$U,Indicadores_Generales!$B:$B,H9))</f>
        <v>41274166741</v>
      </c>
      <c r="I13" s="8">
        <f>IF(I8="","",SUMIFS(Indicadores_Generales!$U:$U,Indicadores_Generales!$B:$B,I9))</f>
        <v>707840439</v>
      </c>
      <c r="J13" s="8">
        <f>IF(J8="","",SUMIFS(Indicadores_Generales!$U:$U,Indicadores_Generales!$B:$B,J9))</f>
        <v>1649986000</v>
      </c>
      <c r="K13" s="8">
        <f>IF(K8="","",SUMIFS(Indicadores_Generales!$U:$U,Indicadores_Generales!$B:$B,K9))</f>
        <v>831239000</v>
      </c>
      <c r="L13" s="8">
        <f>IF(L8="","",SUMIFS(Indicadores_Generales!$U:$U,Indicadores_Generales!$B:$B,L9))</f>
        <v>1732978088.25</v>
      </c>
      <c r="M13" s="8">
        <f>IF(M8="","",SUMIFS(Indicadores_Generales!$U:$U,Indicadores_Generales!$B:$B,M9))</f>
        <v>13495375426</v>
      </c>
      <c r="N13" s="8">
        <f>IF(N8="","",SUMIFS(Indicadores_Generales!$U:$U,Indicadores_Generales!$B:$B,N9))</f>
        <v>1301028722</v>
      </c>
      <c r="O13" s="8">
        <f>IF(O8="","",SUMIFS(Indicadores_Generales!$U:$U,Indicadores_Generales!$B:$B,O9))</f>
        <v>686382139</v>
      </c>
      <c r="P13" s="8">
        <f>IF(P8="","",SUMIFS(Indicadores_Generales!$U:$U,Indicadores_Generales!$B:$B,P9))</f>
        <v>2188279010</v>
      </c>
      <c r="Q13" s="47">
        <f>IF(Q8="","",SUMIFS(Indicadores_Generales!$U:$U,Indicadores_Generales!$B:$B,Q9))</f>
        <v>8628340411</v>
      </c>
    </row>
    <row r="14" spans="1:17" s="3" customFormat="1" ht="26.25" customHeight="1" x14ac:dyDescent="0.25">
      <c r="B14" s="40" t="s">
        <v>5</v>
      </c>
      <c r="C14" s="8">
        <f>IF(C8="","",SUMIFS(Indicadores_Generales!$V:$V,Indicadores_Generales!$B:$B,C9))</f>
        <v>126092432.65000001</v>
      </c>
      <c r="D14" s="8">
        <f>IF(D8="","",SUMIFS(Indicadores_Generales!$V:$V,Indicadores_Generales!$B:$B,D9))</f>
        <v>725405354</v>
      </c>
      <c r="E14" s="8">
        <f>IF(E8="","",SUMIFS(Indicadores_Generales!$V:$V,Indicadores_Generales!$B:$B,E9))</f>
        <v>175964483</v>
      </c>
      <c r="F14" s="8">
        <f>IF(F8="","",SUMIFS(Indicadores_Generales!$V:$V,Indicadores_Generales!$B:$B,F9))</f>
        <v>534893772.69999999</v>
      </c>
      <c r="G14" s="8">
        <f>IF(G8="","",SUMIFS(Indicadores_Generales!$V:$V,Indicadores_Generales!$B:$B,G9))</f>
        <v>3154745800</v>
      </c>
      <c r="H14" s="8">
        <f>IF(H8="","",SUMIFS(Indicadores_Generales!$V:$V,Indicadores_Generales!$B:$B,H9))</f>
        <v>12358742404</v>
      </c>
      <c r="I14" s="8">
        <f>IF(I8="","",SUMIFS(Indicadores_Generales!$V:$V,Indicadores_Generales!$B:$B,I9))</f>
        <v>43420303</v>
      </c>
      <c r="J14" s="8">
        <f>IF(J8="","",SUMIFS(Indicadores_Generales!$V:$V,Indicadores_Generales!$B:$B,J9))</f>
        <v>105484000</v>
      </c>
      <c r="K14" s="8">
        <f>IF(K8="","",SUMIFS(Indicadores_Generales!$V:$V,Indicadores_Generales!$B:$B,K9))</f>
        <v>1200000</v>
      </c>
      <c r="L14" s="8">
        <f>IF(L8="","",SUMIFS(Indicadores_Generales!$V:$V,Indicadores_Generales!$B:$B,L9))</f>
        <v>777765989.5</v>
      </c>
      <c r="M14" s="8">
        <f>IF(M8="","",SUMIFS(Indicadores_Generales!$V:$V,Indicadores_Generales!$B:$B,M9))</f>
        <v>3168210950</v>
      </c>
      <c r="N14" s="8">
        <f>IF(N8="","",SUMIFS(Indicadores_Generales!$V:$V,Indicadores_Generales!$B:$B,N9))</f>
        <v>536999938</v>
      </c>
      <c r="O14" s="8">
        <f>IF(O8="","",SUMIFS(Indicadores_Generales!$V:$V,Indicadores_Generales!$B:$B,O9))</f>
        <v>259593803</v>
      </c>
      <c r="P14" s="8">
        <f>IF(P8="","",SUMIFS(Indicadores_Generales!$V:$V,Indicadores_Generales!$B:$B,P9))</f>
        <v>566873016</v>
      </c>
      <c r="Q14" s="47">
        <f>IF(Q8="","",SUMIFS(Indicadores_Generales!$V:$V,Indicadores_Generales!$B:$B,Q9))</f>
        <v>559703390</v>
      </c>
    </row>
    <row r="15" spans="1:17" s="3" customFormat="1" ht="26.25" customHeight="1" x14ac:dyDescent="0.25">
      <c r="B15" s="40" t="s">
        <v>6</v>
      </c>
      <c r="C15" s="8">
        <f>IF(C8="","",SUMIFS(Indicadores_Generales!$W:$W,Indicadores_Generales!$B:$B,C9))</f>
        <v>1065631841.45</v>
      </c>
      <c r="D15" s="8">
        <f>IF(D8="","",SUMIFS(Indicadores_Generales!$W:$W,Indicadores_Generales!$B:$B,D9))</f>
        <v>1814368734</v>
      </c>
      <c r="E15" s="8">
        <f>IF(E8="","",SUMIFS(Indicadores_Generales!$W:$W,Indicadores_Generales!$B:$B,E9))</f>
        <v>5668707859</v>
      </c>
      <c r="F15" s="8">
        <f>IF(F8="","",SUMIFS(Indicadores_Generales!$W:$W,Indicadores_Generales!$B:$B,F9))</f>
        <v>4574220091.5999994</v>
      </c>
      <c r="G15" s="8">
        <f>IF(G8="","",SUMIFS(Indicadores_Generales!$W:$W,Indicadores_Generales!$B:$B,G9))</f>
        <v>6150759186</v>
      </c>
      <c r="H15" s="8">
        <f>IF(H8="","",SUMIFS(Indicadores_Generales!$W:$W,Indicadores_Generales!$B:$B,H9))</f>
        <v>49038892930</v>
      </c>
      <c r="I15" s="8">
        <f>IF(I8="","",SUMIFS(Indicadores_Generales!$W:$W,Indicadores_Generales!$B:$B,I9))</f>
        <v>937244057</v>
      </c>
      <c r="J15" s="8">
        <f>IF(J8="","",SUMIFS(Indicadores_Generales!$W:$W,Indicadores_Generales!$B:$B,J9))</f>
        <v>2106978000</v>
      </c>
      <c r="K15" s="8">
        <f>IF(K8="","",SUMIFS(Indicadores_Generales!$W:$W,Indicadores_Generales!$B:$B,K9))</f>
        <v>1392603000</v>
      </c>
      <c r="L15" s="8">
        <f>IF(L8="","",SUMIFS(Indicadores_Generales!$W:$W,Indicadores_Generales!$B:$B,L9))</f>
        <v>2661727816.4000001</v>
      </c>
      <c r="M15" s="8">
        <f>IF(M8="","",SUMIFS(Indicadores_Generales!$W:$W,Indicadores_Generales!$B:$B,M9))</f>
        <v>13663694080</v>
      </c>
      <c r="N15" s="8">
        <f>IF(N8="","",SUMIFS(Indicadores_Generales!$W:$W,Indicadores_Generales!$B:$B,N9))</f>
        <v>3695039114</v>
      </c>
      <c r="O15" s="8">
        <f>IF(O8="","",SUMIFS(Indicadores_Generales!$W:$W,Indicadores_Generales!$B:$B,O9))</f>
        <v>769334505</v>
      </c>
      <c r="P15" s="8">
        <f>IF(P8="","",SUMIFS(Indicadores_Generales!$W:$W,Indicadores_Generales!$B:$B,P9))</f>
        <v>2233344658</v>
      </c>
      <c r="Q15" s="47">
        <f>IF(Q8="","",SUMIFS(Indicadores_Generales!$W:$W,Indicadores_Generales!$B:$B,Q9))</f>
        <v>8744010431</v>
      </c>
    </row>
    <row r="16" spans="1:17" s="3" customFormat="1" ht="26.25" customHeight="1" x14ac:dyDescent="0.25">
      <c r="B16" s="40" t="s">
        <v>7</v>
      </c>
      <c r="C16" s="8">
        <f>IF(C8="","",SUMIFS(Indicadores_Generales!$X:$X,Indicadores_Generales!$B:$B,C9))</f>
        <v>233138500.84999999</v>
      </c>
      <c r="D16" s="8">
        <f>IF(D8="","",SUMIFS(Indicadores_Generales!$X:$X,Indicadores_Generales!$B:$B,D9))</f>
        <v>999516566</v>
      </c>
      <c r="E16" s="8">
        <f>IF(E8="","",SUMIFS(Indicadores_Generales!$X:$X,Indicadores_Generales!$B:$B,E9))</f>
        <v>1828323310</v>
      </c>
      <c r="F16" s="8">
        <f>IF(F8="","",SUMIFS(Indicadores_Generales!$X:$X,Indicadores_Generales!$B:$B,F9))</f>
        <v>2132545983.05</v>
      </c>
      <c r="G16" s="8">
        <f>IF(G8="","",SUMIFS(Indicadores_Generales!$X:$X,Indicadores_Generales!$B:$B,G9))</f>
        <v>3299614712</v>
      </c>
      <c r="H16" s="8">
        <f>IF(H8="","",SUMIFS(Indicadores_Generales!$X:$X,Indicadores_Generales!$B:$B,H9))</f>
        <v>16936928404</v>
      </c>
      <c r="I16" s="8">
        <f>IF(I8="","",SUMIFS(Indicadores_Generales!$X:$X,Indicadores_Generales!$B:$B,I9))</f>
        <v>437086182</v>
      </c>
      <c r="J16" s="8">
        <f>IF(J8="","",SUMIFS(Indicadores_Generales!$X:$X,Indicadores_Generales!$B:$B,J9))</f>
        <v>1109947000</v>
      </c>
      <c r="K16" s="8">
        <f>IF(K8="","",SUMIFS(Indicadores_Generales!$X:$X,Indicadores_Generales!$B:$B,K9))</f>
        <v>1200000</v>
      </c>
      <c r="L16" s="8">
        <f>IF(L8="","",SUMIFS(Indicadores_Generales!$X:$X,Indicadores_Generales!$B:$B,L9))</f>
        <v>1354295331.25</v>
      </c>
      <c r="M16" s="8">
        <f>IF(M8="","",SUMIFS(Indicadores_Generales!$X:$X,Indicadores_Generales!$B:$B,M9))</f>
        <v>5259336804</v>
      </c>
      <c r="N16" s="8">
        <f>IF(N8="","",SUMIFS(Indicadores_Generales!$X:$X,Indicadores_Generales!$B:$B,N9))</f>
        <v>536999938</v>
      </c>
      <c r="O16" s="8">
        <f>IF(O8="","",SUMIFS(Indicadores_Generales!$X:$X,Indicadores_Generales!$B:$B,O9))</f>
        <v>374745313</v>
      </c>
      <c r="P16" s="8">
        <f>IF(P8="","",SUMIFS(Indicadores_Generales!$X:$X,Indicadores_Generales!$B:$B,P9))</f>
        <v>987162256</v>
      </c>
      <c r="Q16" s="47">
        <f>IF(Q8="","",SUMIFS(Indicadores_Generales!$X:$X,Indicadores_Generales!$B:$B,Q9))</f>
        <v>5994622372</v>
      </c>
    </row>
    <row r="17" spans="1:17" s="3" customFormat="1" ht="26.25" customHeight="1" x14ac:dyDescent="0.25">
      <c r="B17" s="40" t="s">
        <v>23</v>
      </c>
      <c r="C17" s="8">
        <f>IF(C8="","",SUMIFS(Indicadores_Generales!$Y:$Y,Indicadores_Generales!$B:$B,C9))</f>
        <v>832493340.60000002</v>
      </c>
      <c r="D17" s="8">
        <f>IF(D8="","",SUMIFS(Indicadores_Generales!$Y:$Y,Indicadores_Generales!$B:$B,D9))</f>
        <v>814852168</v>
      </c>
      <c r="E17" s="8">
        <f>IF(E8="","",SUMIFS(Indicadores_Generales!$Y:$Y,Indicadores_Generales!$B:$B,E9))</f>
        <v>3840384549</v>
      </c>
      <c r="F17" s="8">
        <f>IF(F8="","",SUMIFS(Indicadores_Generales!$Y:$Y,Indicadores_Generales!$B:$B,F9))</f>
        <v>2441674108.5499997</v>
      </c>
      <c r="G17" s="8">
        <f>IF(G8="","",SUMIFS(Indicadores_Generales!$Y:$Y,Indicadores_Generales!$B:$B,G9))</f>
        <v>2851144474</v>
      </c>
      <c r="H17" s="8">
        <f>IF(H8="","",SUMIFS(Indicadores_Generales!$Y:$Y,Indicadores_Generales!$B:$B,H9))</f>
        <v>32101964526</v>
      </c>
      <c r="I17" s="8">
        <f>IF(I8="","",SUMIFS(Indicadores_Generales!$Y:$Y,Indicadores_Generales!$B:$B,I9))</f>
        <v>500157875</v>
      </c>
      <c r="J17" s="8">
        <f>IF(J8="","",SUMIFS(Indicadores_Generales!$Y:$Y,Indicadores_Generales!$B:$B,J9))</f>
        <v>997031000</v>
      </c>
      <c r="K17" s="8">
        <f>IF(K8="","",SUMIFS(Indicadores_Generales!$Y:$Y,Indicadores_Generales!$B:$B,K9))</f>
        <v>1391403000</v>
      </c>
      <c r="L17" s="8">
        <f>IF(L8="","",SUMIFS(Indicadores_Generales!$Y:$Y,Indicadores_Generales!$B:$B,L9))</f>
        <v>1307432485.1500001</v>
      </c>
      <c r="M17" s="8">
        <f>IF(M8="","",SUMIFS(Indicadores_Generales!$Y:$Y,Indicadores_Generales!$B:$B,M9))</f>
        <v>8404357276</v>
      </c>
      <c r="N17" s="8">
        <f>IF(N8="","",SUMIFS(Indicadores_Generales!$Y:$Y,Indicadores_Generales!$B:$B,N9))</f>
        <v>3158039176</v>
      </c>
      <c r="O17" s="8">
        <f>IF(O8="","",SUMIFS(Indicadores_Generales!$Y:$Y,Indicadores_Generales!$B:$B,O9))</f>
        <v>394589192</v>
      </c>
      <c r="P17" s="8">
        <f>IF(P8="","",SUMIFS(Indicadores_Generales!$Y:$Y,Indicadores_Generales!$B:$B,P9))</f>
        <v>1246182402</v>
      </c>
      <c r="Q17" s="47">
        <f>IF(Q8="","",SUMIFS(Indicadores_Generales!$Y:$Y,Indicadores_Generales!$B:$B,Q9))</f>
        <v>2749388059</v>
      </c>
    </row>
    <row r="18" spans="1:17" s="3" customFormat="1" ht="36.75" customHeight="1" x14ac:dyDescent="0.25">
      <c r="B18" s="40" t="s">
        <v>24</v>
      </c>
      <c r="C18" s="8">
        <f>IF(C8="","",C15-C16-C17)</f>
        <v>0</v>
      </c>
      <c r="D18" s="8">
        <f t="shared" ref="D18:Q18" si="1">IF(D8="","",D15-D16-D17)</f>
        <v>0</v>
      </c>
      <c r="E18" s="8">
        <f t="shared" si="1"/>
        <v>0</v>
      </c>
      <c r="F18" s="8">
        <f t="shared" si="1"/>
        <v>-4.76837158203125E-7</v>
      </c>
      <c r="G18" s="8">
        <f t="shared" si="1"/>
        <v>0</v>
      </c>
      <c r="H18" s="8">
        <f t="shared" si="1"/>
        <v>0</v>
      </c>
      <c r="I18" s="8">
        <f t="shared" si="1"/>
        <v>0</v>
      </c>
      <c r="J18" s="8">
        <f t="shared" si="1"/>
        <v>0</v>
      </c>
      <c r="K18" s="8">
        <f t="shared" si="1"/>
        <v>0</v>
      </c>
      <c r="L18" s="8">
        <f t="shared" si="1"/>
        <v>0</v>
      </c>
      <c r="M18" s="8">
        <f t="shared" si="1"/>
        <v>0</v>
      </c>
      <c r="N18" s="8">
        <f t="shared" si="1"/>
        <v>0</v>
      </c>
      <c r="O18" s="8">
        <f t="shared" si="1"/>
        <v>0</v>
      </c>
      <c r="P18" s="8">
        <f t="shared" si="1"/>
        <v>0</v>
      </c>
      <c r="Q18" s="47">
        <f t="shared" si="1"/>
        <v>0</v>
      </c>
    </row>
    <row r="19" spans="1:17" s="3" customFormat="1" ht="26.25" customHeight="1" x14ac:dyDescent="0.25">
      <c r="B19" s="40" t="s">
        <v>25</v>
      </c>
      <c r="C19" s="8">
        <f>IF(C8="","",SUMIFS(Indicadores_Generales!$Z:$Z,Indicadores_Generales!$B:$B,C9))</f>
        <v>99197760.149999991</v>
      </c>
      <c r="D19" s="8">
        <f>IF(D8="","",SUMIFS(Indicadores_Generales!$Z:$Z,Indicadores_Generales!$B:$B,D9))</f>
        <v>129357493</v>
      </c>
      <c r="E19" s="8">
        <f>IF(E8="","",SUMIFS(Indicadores_Generales!$Z:$Z,Indicadores_Generales!$B:$B,E9))</f>
        <v>439386173</v>
      </c>
      <c r="F19" s="8">
        <f>IF(F8="","",SUMIFS(Indicadores_Generales!$Z:$Z,Indicadores_Generales!$B:$B,F9))</f>
        <v>819014626.14999998</v>
      </c>
      <c r="G19" s="8">
        <f>IF(G8="","",SUMIFS(Indicadores_Generales!$Z:$Z,Indicadores_Generales!$B:$B,G9))</f>
        <v>605124093</v>
      </c>
      <c r="H19" s="8">
        <f>IF(H8="","",SUMIFS(Indicadores_Generales!$Z:$Z,Indicadores_Generales!$B:$B,H9))</f>
        <v>15987724841</v>
      </c>
      <c r="I19" s="8">
        <f>IF(I8="","",SUMIFS(Indicadores_Generales!$Z:$Z,Indicadores_Generales!$B:$B,I9))</f>
        <v>60405884</v>
      </c>
      <c r="J19" s="8">
        <f>IF(J8="","",SUMIFS(Indicadores_Generales!$Z:$Z,Indicadores_Generales!$B:$B,J9))</f>
        <v>216424000</v>
      </c>
      <c r="K19" s="8">
        <f>IF(K8="","",SUMIFS(Indicadores_Generales!$Z:$Z,Indicadores_Generales!$B:$B,K9))</f>
        <v>127581000</v>
      </c>
      <c r="L19" s="8">
        <f>IF(L8="","",SUMIFS(Indicadores_Generales!$Z:$Z,Indicadores_Generales!$B:$B,L9))</f>
        <v>202647171.35000002</v>
      </c>
      <c r="M19" s="8">
        <f>IF(M8="","",SUMIFS(Indicadores_Generales!$Z:$Z,Indicadores_Generales!$B:$B,M9))</f>
        <v>1269297299</v>
      </c>
      <c r="N19" s="8">
        <f>IF(N8="","",SUMIFS(Indicadores_Generales!$Z:$Z,Indicadores_Generales!$B:$B,N9))</f>
        <v>532207834</v>
      </c>
      <c r="O19" s="8">
        <f>IF(O8="","",SUMIFS(Indicadores_Generales!$Z:$Z,Indicadores_Generales!$B:$B,O9))</f>
        <v>125265397</v>
      </c>
      <c r="P19" s="8">
        <f>IF(P8="","",SUMIFS(Indicadores_Generales!$Z:$Z,Indicadores_Generales!$B:$B,P9))</f>
        <v>250223301</v>
      </c>
      <c r="Q19" s="47">
        <f>IF(Q8="","",SUMIFS(Indicadores_Generales!$Z:$Z,Indicadores_Generales!$B:$B,Q9))</f>
        <v>539148679</v>
      </c>
    </row>
    <row r="20" spans="1:17" s="3" customFormat="1" ht="26.25" customHeight="1" x14ac:dyDescent="0.25">
      <c r="B20" s="40" t="s">
        <v>26</v>
      </c>
      <c r="C20" s="8">
        <f>IF(C8="","",SUMIFS(Indicadores_Generales!$AA:$AA,Indicadores_Generales!$B:$B,C9))</f>
        <v>3059155</v>
      </c>
      <c r="D20" s="8">
        <f>IF(D8="","",SUMIFS(Indicadores_Generales!$AA:$AA,Indicadores_Generales!$B:$B,D9))</f>
        <v>0</v>
      </c>
      <c r="E20" s="8">
        <f>IF(E8="","",SUMIFS(Indicadores_Generales!$AA:$AA,Indicadores_Generales!$B:$B,E9))</f>
        <v>434888</v>
      </c>
      <c r="F20" s="8">
        <f>IF(F8="","",SUMIFS(Indicadores_Generales!$AA:$AA,Indicadores_Generales!$B:$B,F9))</f>
        <v>33351865.349999998</v>
      </c>
      <c r="G20" s="8">
        <f>IF(G8="","",SUMIFS(Indicadores_Generales!$AA:$AA,Indicadores_Generales!$B:$B,G9))</f>
        <v>9529557</v>
      </c>
      <c r="H20" s="8">
        <f>IF(H8="","",SUMIFS(Indicadores_Generales!$AA:$AA,Indicadores_Generales!$B:$B,H9))</f>
        <v>159226008</v>
      </c>
      <c r="I20" s="8">
        <f>IF(I8="","",SUMIFS(Indicadores_Generales!$AA:$AA,Indicadores_Generales!$B:$B,I9))</f>
        <v>8016404</v>
      </c>
      <c r="J20" s="8">
        <f>IF(J8="","",SUMIFS(Indicadores_Generales!$AA:$AA,Indicadores_Generales!$B:$B,J9))</f>
        <v>1420000</v>
      </c>
      <c r="K20" s="8">
        <f>IF(K8="","",SUMIFS(Indicadores_Generales!$AA:$AA,Indicadores_Generales!$B:$B,K9))</f>
        <v>1120000</v>
      </c>
      <c r="L20" s="8">
        <f>IF(L8="","",SUMIFS(Indicadores_Generales!$AA:$AA,Indicadores_Generales!$B:$B,L9))</f>
        <v>31793838.400000002</v>
      </c>
      <c r="M20" s="8">
        <f>IF(M8="","",SUMIFS(Indicadores_Generales!$AA:$AA,Indicadores_Generales!$B:$B,M9))</f>
        <v>0</v>
      </c>
      <c r="N20" s="8">
        <f>IF(N8="","",SUMIFS(Indicadores_Generales!$AA:$AA,Indicadores_Generales!$B:$B,N9))</f>
        <v>0</v>
      </c>
      <c r="O20" s="8">
        <f>IF(O8="","",SUMIFS(Indicadores_Generales!$AA:$AA,Indicadores_Generales!$B:$B,O9))</f>
        <v>0</v>
      </c>
      <c r="P20" s="8">
        <f>IF(P8="","",SUMIFS(Indicadores_Generales!$AA:$AA,Indicadores_Generales!$B:$B,P9))</f>
        <v>5006127</v>
      </c>
      <c r="Q20" s="47">
        <f>IF(Q8="","",SUMIFS(Indicadores_Generales!$AA:$AA,Indicadores_Generales!$B:$B,Q9))</f>
        <v>202765</v>
      </c>
    </row>
    <row r="21" spans="1:17" s="3" customFormat="1" ht="58.5" customHeight="1" x14ac:dyDescent="0.25">
      <c r="B21" s="40" t="s">
        <v>27</v>
      </c>
      <c r="C21" s="9">
        <f>IF(C8="","",C19/C17)</f>
        <v>0.11915742182214399</v>
      </c>
      <c r="D21" s="9">
        <f t="shared" ref="D21:Q21" si="2">IF(D8="","",D19/D17)</f>
        <v>0.15874964573942202</v>
      </c>
      <c r="E21" s="9">
        <f t="shared" si="2"/>
        <v>0.11441202499223992</v>
      </c>
      <c r="F21" s="9">
        <f t="shared" si="2"/>
        <v>0.33543158904051118</v>
      </c>
      <c r="G21" s="9">
        <f t="shared" si="2"/>
        <v>0.21223901437412743</v>
      </c>
      <c r="H21" s="9">
        <f t="shared" si="2"/>
        <v>0.49802948439654632</v>
      </c>
      <c r="I21" s="9">
        <f t="shared" si="2"/>
        <v>0.12077363372515128</v>
      </c>
      <c r="J21" s="9">
        <f t="shared" si="2"/>
        <v>0.21706847630615297</v>
      </c>
      <c r="K21" s="9">
        <f t="shared" si="2"/>
        <v>9.1692342189861595E-2</v>
      </c>
      <c r="L21" s="9">
        <f t="shared" si="2"/>
        <v>0.15499627984748335</v>
      </c>
      <c r="M21" s="9">
        <f t="shared" si="2"/>
        <v>0.15102847931330615</v>
      </c>
      <c r="N21" s="9">
        <f t="shared" si="2"/>
        <v>0.16852477260085769</v>
      </c>
      <c r="O21" s="9">
        <f t="shared" si="2"/>
        <v>0.31745774983112057</v>
      </c>
      <c r="P21" s="9">
        <f t="shared" si="2"/>
        <v>0.20079187492811346</v>
      </c>
      <c r="Q21" s="48">
        <f t="shared" si="2"/>
        <v>0.19609770153584566</v>
      </c>
    </row>
    <row r="22" spans="1:17" s="3" customFormat="1" ht="57" customHeight="1" x14ac:dyDescent="0.25">
      <c r="B22" s="40" t="s">
        <v>28</v>
      </c>
      <c r="C22" s="9">
        <f>IF(C8="","",C19/C15)</f>
        <v>9.3088209540568984E-2</v>
      </c>
      <c r="D22" s="9">
        <f t="shared" ref="D22:Q22" si="3">IF(D8="","",D19/D15)</f>
        <v>7.1296143157634467E-2</v>
      </c>
      <c r="E22" s="9">
        <f t="shared" si="3"/>
        <v>7.7510816208741937E-2</v>
      </c>
      <c r="F22" s="9">
        <f t="shared" si="3"/>
        <v>0.17905011340709667</v>
      </c>
      <c r="G22" s="9">
        <f t="shared" si="3"/>
        <v>9.8382016707360007E-2</v>
      </c>
      <c r="H22" s="9">
        <f t="shared" si="3"/>
        <v>0.32602132482520541</v>
      </c>
      <c r="I22" s="9">
        <f t="shared" si="3"/>
        <v>6.4450538308401348E-2</v>
      </c>
      <c r="J22" s="9">
        <f t="shared" si="3"/>
        <v>0.10271773127199239</v>
      </c>
      <c r="K22" s="9">
        <f t="shared" si="3"/>
        <v>9.1613331293986869E-2</v>
      </c>
      <c r="L22" s="9">
        <f t="shared" si="3"/>
        <v>7.6133694099527166E-2</v>
      </c>
      <c r="M22" s="9">
        <f t="shared" si="3"/>
        <v>9.2895617507853342E-2</v>
      </c>
      <c r="N22" s="9">
        <f t="shared" si="3"/>
        <v>0.14403307179713931</v>
      </c>
      <c r="O22" s="9">
        <f t="shared" si="3"/>
        <v>0.16282305835223132</v>
      </c>
      <c r="P22" s="9">
        <f t="shared" si="3"/>
        <v>0.11203971590487938</v>
      </c>
      <c r="Q22" s="48">
        <f t="shared" si="3"/>
        <v>6.1659198974484845E-2</v>
      </c>
    </row>
    <row r="23" spans="1:17" s="3" customFormat="1" ht="35.25" customHeight="1" x14ac:dyDescent="0.25">
      <c r="B23" s="10" t="s">
        <v>29</v>
      </c>
      <c r="C23" s="11">
        <f>IF(C8="","",Indicadores_Generales!$D$5)</f>
        <v>800053615</v>
      </c>
      <c r="D23" s="11">
        <f>IF(D8="","",Indicadores_Generales!$D$5)</f>
        <v>800053615</v>
      </c>
      <c r="E23" s="11">
        <f>IF(E8="","",Indicadores_Generales!$D$5)</f>
        <v>800053615</v>
      </c>
      <c r="F23" s="11">
        <f>IF(F8="","",Indicadores_Generales!$D$5)</f>
        <v>800053615</v>
      </c>
      <c r="G23" s="11">
        <f>IF(G8="","",Indicadores_Generales!$D$5)</f>
        <v>800053615</v>
      </c>
      <c r="H23" s="11">
        <f>IF(H8="","",Indicadores_Generales!$D$5)</f>
        <v>800053615</v>
      </c>
      <c r="I23" s="11">
        <f>IF(I8="","",Indicadores_Generales!$D$5)</f>
        <v>800053615</v>
      </c>
      <c r="J23" s="11">
        <f>IF(J8="","",Indicadores_Generales!$D$5)</f>
        <v>800053615</v>
      </c>
      <c r="K23" s="11">
        <f>IF(K8="","",Indicadores_Generales!$D$5)</f>
        <v>800053615</v>
      </c>
      <c r="L23" s="11">
        <f>IF(L8="","",Indicadores_Generales!$D$5)</f>
        <v>800053615</v>
      </c>
      <c r="M23" s="11">
        <f>IF(M8="","",Indicadores_Generales!$D$5)</f>
        <v>800053615</v>
      </c>
      <c r="N23" s="11">
        <f>IF(N8="","",Indicadores_Generales!$D$5)</f>
        <v>800053615</v>
      </c>
      <c r="O23" s="11">
        <f>IF(O8="","",Indicadores_Generales!$D$5)</f>
        <v>800053615</v>
      </c>
      <c r="P23" s="11">
        <f>IF(P8="","",Indicadores_Generales!$D$5)</f>
        <v>800053615</v>
      </c>
      <c r="Q23" s="49">
        <f>IF(Q8="","",Indicadores_Generales!$D$5)</f>
        <v>800053615</v>
      </c>
    </row>
    <row r="24" spans="1:17" s="3" customFormat="1" ht="30" customHeight="1" x14ac:dyDescent="0.25">
      <c r="B24" s="153" t="s">
        <v>30</v>
      </c>
      <c r="C24" s="154"/>
      <c r="D24" s="154"/>
      <c r="E24" s="154"/>
      <c r="F24" s="154"/>
      <c r="G24" s="154"/>
      <c r="H24" s="154"/>
      <c r="I24" s="154"/>
      <c r="J24" s="154"/>
      <c r="K24" s="154"/>
      <c r="L24" s="154"/>
      <c r="M24" s="154"/>
      <c r="N24" s="154"/>
      <c r="O24" s="154"/>
      <c r="P24" s="154"/>
      <c r="Q24" s="155"/>
    </row>
    <row r="25" spans="1:17" s="3" customFormat="1" ht="15.75" x14ac:dyDescent="0.25">
      <c r="A25" s="12"/>
      <c r="B25" s="13" t="s">
        <v>31</v>
      </c>
      <c r="C25" s="14"/>
      <c r="D25" s="14"/>
      <c r="E25" s="14"/>
      <c r="F25" s="14"/>
      <c r="G25" s="14"/>
      <c r="H25" s="14"/>
      <c r="I25" s="14"/>
      <c r="J25" s="14"/>
      <c r="K25" s="14"/>
      <c r="L25" s="14"/>
      <c r="M25" s="14"/>
      <c r="N25" s="14" t="s">
        <v>55</v>
      </c>
      <c r="O25" s="14"/>
      <c r="P25" s="14"/>
      <c r="Q25" s="15"/>
    </row>
    <row r="26" spans="1:17" s="3" customFormat="1" ht="15.75" hidden="1" x14ac:dyDescent="0.25">
      <c r="B26" s="16"/>
      <c r="C26" s="17"/>
      <c r="D26" s="17"/>
      <c r="E26" s="17"/>
      <c r="F26" s="17"/>
      <c r="G26" s="17"/>
      <c r="H26" s="17"/>
      <c r="I26" s="17"/>
      <c r="J26" s="17"/>
      <c r="K26" s="17"/>
      <c r="L26" s="17"/>
      <c r="M26" s="17"/>
      <c r="N26" s="17"/>
      <c r="O26" s="17"/>
      <c r="P26" s="17"/>
      <c r="Q26" s="18"/>
    </row>
    <row r="27" spans="1:17" s="3" customFormat="1" ht="15.75" x14ac:dyDescent="0.25">
      <c r="B27" s="153" t="s">
        <v>30</v>
      </c>
      <c r="C27" s="154"/>
      <c r="D27" s="154"/>
      <c r="E27" s="154"/>
      <c r="F27" s="154"/>
      <c r="G27" s="154"/>
      <c r="H27" s="154"/>
      <c r="I27" s="154"/>
      <c r="J27" s="154"/>
      <c r="K27" s="154"/>
      <c r="L27" s="154"/>
      <c r="M27" s="154"/>
      <c r="N27" s="154"/>
      <c r="O27" s="154"/>
      <c r="P27" s="154"/>
      <c r="Q27" s="155"/>
    </row>
    <row r="28" spans="1:17" s="3" customFormat="1" ht="37.5" customHeight="1" x14ac:dyDescent="0.25">
      <c r="B28" s="34" t="str">
        <f>Indicadores_Generales!C9</f>
        <v>Indice de Liquidez: (mín. 1, ) veces.</v>
      </c>
      <c r="C28" s="19" t="str">
        <f>IF(C8="","",IFERROR(IF(C29&gt;=Indicadores_Generales!$D$9,$B$25,$N$25),""))</f>
        <v>HÁBIL</v>
      </c>
      <c r="D28" s="19" t="str">
        <f>IF(D8="","",IFERROR(IF(D29&gt;=Indicadores_Generales!$D$9,$B$25,$N$25),""))</f>
        <v>HÁBIL</v>
      </c>
      <c r="E28" s="19" t="str">
        <f>IF(E8="","",IFERROR(IF(E29&gt;=Indicadores_Generales!$D$9,$B$25,$N$25),""))</f>
        <v>HÁBIL</v>
      </c>
      <c r="F28" s="19" t="str">
        <f>IF(F8="","",IFERROR(IF(F29&gt;=Indicadores_Generales!$D$9,$B$25,$N$25),""))</f>
        <v>HÁBIL</v>
      </c>
      <c r="G28" s="19" t="str">
        <f>IF(G8="","",IFERROR(IF(G29&gt;=Indicadores_Generales!$D$9,$B$25,$N$25),""))</f>
        <v>HÁBIL</v>
      </c>
      <c r="H28" s="19" t="str">
        <f>IF(H8="","",IFERROR(IF(H29&gt;=Indicadores_Generales!$D$9,$B$25,$N$25),""))</f>
        <v>HÁBIL</v>
      </c>
      <c r="I28" s="19" t="str">
        <f>IF(I8="","",IFERROR(IF(I29&gt;=Indicadores_Generales!$D$9,$B$25,$N$25),""))</f>
        <v>HÁBIL</v>
      </c>
      <c r="J28" s="19" t="str">
        <f>IF(J8="","",IFERROR(IF(J29&gt;=Indicadores_Generales!$D$9,$B$25,$N$25),""))</f>
        <v>HÁBIL</v>
      </c>
      <c r="K28" s="19" t="str">
        <f>IF(K8="","",IFERROR(IF(K29&gt;=Indicadores_Generales!$D$9,$B$25,$N$25),""))</f>
        <v>HÁBIL</v>
      </c>
      <c r="L28" s="19" t="str">
        <f>IF(L8="","",IFERROR(IF(L29&gt;=Indicadores_Generales!$D$9,$B$25,$N$25),""))</f>
        <v>HÁBIL</v>
      </c>
      <c r="M28" s="19" t="str">
        <f>IF(M8="","",IFERROR(IF(M29&gt;=Indicadores_Generales!$D$9,$B$25,$N$25),""))</f>
        <v>HÁBIL</v>
      </c>
      <c r="N28" s="19" t="str">
        <f>IF(N8="","",IFERROR(IF(N29&gt;=Indicadores_Generales!$D$9,$B$25,$N$25),""))</f>
        <v>HÁBIL</v>
      </c>
      <c r="O28" s="19" t="str">
        <f>IF(O8="","",IFERROR(IF(O29&gt;=Indicadores_Generales!$D$9,$B$25,$N$25),""))</f>
        <v>HÁBIL</v>
      </c>
      <c r="P28" s="19" t="str">
        <f>IF(P8="","",IFERROR(IF(P29&gt;=Indicadores_Generales!$D$9,$B$25,$N$25),""))</f>
        <v>HÁBIL</v>
      </c>
      <c r="Q28" s="50" t="str">
        <f>IF(Q8="","",IFERROR(IF(Q29&gt;=Indicadores_Generales!$D$9,$B$25,$N$25),""))</f>
        <v>HÁBIL</v>
      </c>
    </row>
    <row r="29" spans="1:17" s="3" customFormat="1" ht="37.5" customHeight="1" x14ac:dyDescent="0.25">
      <c r="B29" s="41" t="s">
        <v>32</v>
      </c>
      <c r="C29" s="90">
        <f>IF(C8="","",IFERROR(C13/C14,"Indeterminado"))</f>
        <v>7.499495054749425</v>
      </c>
      <c r="D29" s="90">
        <f>IF(D8="","",IFERROR(D13/D14,"Indeterminado"))</f>
        <v>2.5011791324606079</v>
      </c>
      <c r="E29" s="90">
        <f t="shared" ref="E29:Q29" si="4">IF(E8="","",IFERROR(E13/E14,"Indeterminado"))</f>
        <v>30.834434639858543</v>
      </c>
      <c r="F29" s="90">
        <f t="shared" si="4"/>
        <v>7.5276342684368664</v>
      </c>
      <c r="G29" s="90">
        <f t="shared" si="4"/>
        <v>1.6441010958791038</v>
      </c>
      <c r="H29" s="90">
        <f t="shared" si="4"/>
        <v>3.3396736813319539</v>
      </c>
      <c r="I29" s="90">
        <f t="shared" si="4"/>
        <v>16.302061250010162</v>
      </c>
      <c r="J29" s="90">
        <f t="shared" si="4"/>
        <v>15.642049979143756</v>
      </c>
      <c r="K29" s="90">
        <f t="shared" si="4"/>
        <v>692.69916666666666</v>
      </c>
      <c r="L29" s="90">
        <f t="shared" si="4"/>
        <v>2.228148455506616</v>
      </c>
      <c r="M29" s="90">
        <f t="shared" si="4"/>
        <v>4.2596202206800653</v>
      </c>
      <c r="N29" s="90">
        <f t="shared" si="4"/>
        <v>2.4227725739513959</v>
      </c>
      <c r="O29" s="90">
        <f t="shared" si="4"/>
        <v>2.6440621119141277</v>
      </c>
      <c r="P29" s="90">
        <f t="shared" si="4"/>
        <v>3.8602631422484222</v>
      </c>
      <c r="Q29" s="91">
        <f t="shared" si="4"/>
        <v>15.415915938976179</v>
      </c>
    </row>
    <row r="30" spans="1:17" s="3" customFormat="1" ht="37.5" customHeight="1" x14ac:dyDescent="0.25">
      <c r="B30" s="34" t="str">
        <f>Indicadores_Generales!C10</f>
        <v>Endeudamiento total: (máx. 70,%).</v>
      </c>
      <c r="C30" s="19" t="str">
        <f>IF(C8="","",IFERROR(IF(C31&lt;=Indicadores_Generales!$D$10,$B$25,$N$25),""))</f>
        <v>HÁBIL</v>
      </c>
      <c r="D30" s="19" t="str">
        <f>IF(D8="","",IFERROR(IF(D31&lt;=Indicadores_Generales!$D$10,$B$25,$N$25),""))</f>
        <v>HÁBIL</v>
      </c>
      <c r="E30" s="19" t="str">
        <f>IF(E8="","",IFERROR(IF(E31&lt;=Indicadores_Generales!$D$10,$B$25,$N$25),""))</f>
        <v>HÁBIL</v>
      </c>
      <c r="F30" s="19" t="str">
        <f>IF(F8="","",IFERROR(IF(F31&lt;=Indicadores_Generales!$D$10,$B$25,$N$25),""))</f>
        <v>HÁBIL</v>
      </c>
      <c r="G30" s="19" t="str">
        <f>IF(G8="","",IFERROR(IF(G31&lt;=Indicadores_Generales!$D$10,$B$25,$N$25),""))</f>
        <v>HÁBIL</v>
      </c>
      <c r="H30" s="19" t="str">
        <f>IF(H8="","",IFERROR(IF(H31&lt;=Indicadores_Generales!$D$10,$B$25,$N$25),""))</f>
        <v>HÁBIL</v>
      </c>
      <c r="I30" s="19" t="str">
        <f>IF(I8="","",IFERROR(IF(I31&lt;=Indicadores_Generales!$D$10,$B$25,$N$25),""))</f>
        <v>HÁBIL</v>
      </c>
      <c r="J30" s="19" t="str">
        <f>IF(J8="","",IFERROR(IF(J31&lt;=Indicadores_Generales!$D$10,$B$25,$N$25),""))</f>
        <v>HÁBIL</v>
      </c>
      <c r="K30" s="19" t="str">
        <f>IF(K8="","",IFERROR(IF(K31&lt;=Indicadores_Generales!$D$10,$B$25,$N$25),""))</f>
        <v>HÁBIL</v>
      </c>
      <c r="L30" s="19" t="str">
        <f>IF(L8="","",IFERROR(IF(L31&lt;=Indicadores_Generales!$D$10,$B$25,$N$25),""))</f>
        <v>HÁBIL</v>
      </c>
      <c r="M30" s="19" t="str">
        <f>IF(M8="","",IFERROR(IF(M31&lt;=Indicadores_Generales!$D$10,$B$25,$N$25),""))</f>
        <v>HÁBIL</v>
      </c>
      <c r="N30" s="19" t="str">
        <f>IF(N8="","",IFERROR(IF(N31&lt;=Indicadores_Generales!$D$10,$B$25,$N$25),""))</f>
        <v>HÁBIL</v>
      </c>
      <c r="O30" s="19" t="str">
        <f>IF(O8="","",IFERROR(IF(O31&lt;=Indicadores_Generales!$D$10,$B$25,$N$25),""))</f>
        <v>HÁBIL</v>
      </c>
      <c r="P30" s="19" t="str">
        <f>IF(P8="","",IFERROR(IF(P31&lt;=Indicadores_Generales!$D$10,$B$25,$N$25),""))</f>
        <v>HÁBIL</v>
      </c>
      <c r="Q30" s="50" t="str">
        <f>IF(Q8="","",IFERROR(IF(Q31&lt;=Indicadores_Generales!$D$10,$B$25,$N$25),""))</f>
        <v>HÁBIL</v>
      </c>
    </row>
    <row r="31" spans="1:17" s="3" customFormat="1" ht="37.5" customHeight="1" x14ac:dyDescent="0.25">
      <c r="B31" s="41" t="s">
        <v>33</v>
      </c>
      <c r="C31" s="92">
        <f>IF(C8="","",C16/C15)</f>
        <v>0.2187795932718842</v>
      </c>
      <c r="D31" s="92">
        <f t="shared" ref="D31:Q31" si="5">IF(D8="","",D16/D15)</f>
        <v>0.55088943458391848</v>
      </c>
      <c r="E31" s="92">
        <f t="shared" si="5"/>
        <v>0.32252911165588433</v>
      </c>
      <c r="F31" s="92">
        <f t="shared" si="5"/>
        <v>0.46620974512489288</v>
      </c>
      <c r="G31" s="92">
        <f t="shared" si="5"/>
        <v>0.53645649459182065</v>
      </c>
      <c r="H31" s="92">
        <f t="shared" si="5"/>
        <v>0.34537746250055895</v>
      </c>
      <c r="I31" s="92">
        <f t="shared" si="5"/>
        <v>0.46635257778967171</v>
      </c>
      <c r="J31" s="92">
        <f t="shared" si="5"/>
        <v>0.52679572354338777</v>
      </c>
      <c r="K31" s="92">
        <f t="shared" si="5"/>
        <v>8.61695687859354E-4</v>
      </c>
      <c r="L31" s="92">
        <f t="shared" si="5"/>
        <v>0.50880308756801851</v>
      </c>
      <c r="M31" s="92">
        <f t="shared" si="5"/>
        <v>0.38491324331523674</v>
      </c>
      <c r="N31" s="92">
        <f t="shared" si="5"/>
        <v>0.14532997390078509</v>
      </c>
      <c r="O31" s="92">
        <f t="shared" si="5"/>
        <v>0.48710321786490002</v>
      </c>
      <c r="P31" s="92">
        <f t="shared" si="5"/>
        <v>0.44201070912360718</v>
      </c>
      <c r="Q31" s="93">
        <f t="shared" si="5"/>
        <v>0.68556898682867096</v>
      </c>
    </row>
    <row r="32" spans="1:17" s="3" customFormat="1" ht="37.5" customHeight="1" x14ac:dyDescent="0.25">
      <c r="B32" s="34" t="str">
        <f>Indicadores_Generales!C11</f>
        <v>Razon de Cobertura de Intereses (&gt;= a 1, veces) ó Indeterminado.</v>
      </c>
      <c r="C32" s="19" t="str">
        <f>IF(C8="","",IFERROR(IF(C33&gt;Indicadores_Generales!$D$11,$B$25,$N$25),""))</f>
        <v>HÁBIL</v>
      </c>
      <c r="D32" s="19" t="str">
        <f>IF(D8="","",IFERROR(IF(D33&gt;Indicadores_Generales!$D$11,$B$25,$N$25),""))</f>
        <v>HÁBIL</v>
      </c>
      <c r="E32" s="19" t="str">
        <f>IF(E8="","",IFERROR(IF(E33&gt;Indicadores_Generales!$D$11,$B$25,$N$25),""))</f>
        <v>HÁBIL</v>
      </c>
      <c r="F32" s="19" t="str">
        <f>IF(F8="","",IFERROR(IF(F33&gt;Indicadores_Generales!$D$11,$B$25,$N$25),""))</f>
        <v>HÁBIL</v>
      </c>
      <c r="G32" s="19" t="str">
        <f>IF(G8="","",IFERROR(IF(G33&gt;Indicadores_Generales!$D$11,$B$25,$N$25),""))</f>
        <v>HÁBIL</v>
      </c>
      <c r="H32" s="19" t="str">
        <f>IF(H8="","",IFERROR(IF(H33&gt;Indicadores_Generales!$D$11,$B$25,$N$25),""))</f>
        <v>HÁBIL</v>
      </c>
      <c r="I32" s="19" t="str">
        <f>IF(I8="","",IFERROR(IF(I33&gt;Indicadores_Generales!$D$11,$B$25,$N$25),""))</f>
        <v>HÁBIL</v>
      </c>
      <c r="J32" s="19" t="str">
        <f>IF(J8="","",IFERROR(IF(J33&gt;Indicadores_Generales!$D$11,$B$25,$N$25),""))</f>
        <v>HÁBIL</v>
      </c>
      <c r="K32" s="19" t="str">
        <f>IF(K8="","",IFERROR(IF(K33&gt;Indicadores_Generales!$D$11,$B$25,$N$25),""))</f>
        <v>HÁBIL</v>
      </c>
      <c r="L32" s="19" t="str">
        <f>IF(L8="","",IFERROR(IF(L33&gt;Indicadores_Generales!$D$11,$B$25,$N$25),""))</f>
        <v>HÁBIL</v>
      </c>
      <c r="M32" s="19" t="str">
        <f>IF(M8="","",IFERROR(IF(M33&gt;Indicadores_Generales!$D$11,$B$25,$N$25),""))</f>
        <v>HÁBIL</v>
      </c>
      <c r="N32" s="19" t="str">
        <f>IF(N8="","",IFERROR(IF(N33&gt;Indicadores_Generales!$D$11,$B$25,$N$25),""))</f>
        <v>HÁBIL</v>
      </c>
      <c r="O32" s="19" t="str">
        <f>IF(O8="","",IFERROR(IF(O33&gt;Indicadores_Generales!$D$11,$B$25,$N$25),""))</f>
        <v>HÁBIL</v>
      </c>
      <c r="P32" s="19" t="str">
        <f>IF(P8="","",IFERROR(IF(P33&gt;Indicadores_Generales!$D$11,$B$25,$N$25),""))</f>
        <v>HÁBIL</v>
      </c>
      <c r="Q32" s="50" t="str">
        <f>IF(Q8="","",IFERROR(IF(Q33&gt;Indicadores_Generales!$D$11,$B$25,$N$25),""))</f>
        <v>HÁBIL</v>
      </c>
    </row>
    <row r="33" spans="2:17" s="3" customFormat="1" ht="37.5" customHeight="1" x14ac:dyDescent="0.25">
      <c r="B33" s="41" t="s">
        <v>34</v>
      </c>
      <c r="C33" s="94">
        <f t="shared" ref="C33:D33" si="6">IF(C8="","",IFERROR(C19/C20,"Indeterminado"))</f>
        <v>32.426523059472302</v>
      </c>
      <c r="D33" s="94" t="str">
        <f t="shared" si="6"/>
        <v>Indeterminado</v>
      </c>
      <c r="E33" s="94">
        <f>IF(E8="","",IFERROR(E19/E20,"Indeterminado"))</f>
        <v>1010.3432906863376</v>
      </c>
      <c r="F33" s="94">
        <f t="shared" ref="F33:Q33" si="7">IF(F8="","",IFERROR(F19/F20,"Indeterminado"))</f>
        <v>24.556786181376211</v>
      </c>
      <c r="G33" s="94">
        <f t="shared" si="7"/>
        <v>63.499708643329377</v>
      </c>
      <c r="H33" s="94">
        <f t="shared" si="7"/>
        <v>100.40900379164188</v>
      </c>
      <c r="I33" s="94">
        <f t="shared" si="7"/>
        <v>7.5352843993391554</v>
      </c>
      <c r="J33" s="94">
        <f t="shared" si="7"/>
        <v>152.41126760563381</v>
      </c>
      <c r="K33" s="94">
        <f t="shared" si="7"/>
        <v>113.91160714285714</v>
      </c>
      <c r="L33" s="94">
        <f t="shared" si="7"/>
        <v>6.3737875496655985</v>
      </c>
      <c r="M33" s="94" t="str">
        <f t="shared" si="7"/>
        <v>Indeterminado</v>
      </c>
      <c r="N33" s="94" t="str">
        <f t="shared" si="7"/>
        <v>Indeterminado</v>
      </c>
      <c r="O33" s="94" t="str">
        <f t="shared" si="7"/>
        <v>Indeterminado</v>
      </c>
      <c r="P33" s="94">
        <f t="shared" si="7"/>
        <v>49.983410528738084</v>
      </c>
      <c r="Q33" s="95">
        <f t="shared" si="7"/>
        <v>2658.9829556383006</v>
      </c>
    </row>
    <row r="34" spans="2:17" s="3" customFormat="1" ht="37.5" customHeight="1" x14ac:dyDescent="0.25">
      <c r="B34" s="34" t="str">
        <f>Indicadores_Generales!C12</f>
        <v>Capital de Trabajo ≥  A 25,% del PPTO Oficial.</v>
      </c>
      <c r="C34" s="19" t="str">
        <f>IFERROR(IF(C35&gt;(C23*Indicadores_Generales!$D$12),$B$25,$N$25),"")</f>
        <v>HÁBIL</v>
      </c>
      <c r="D34" s="19" t="str">
        <f>IFERROR(IF(D35&gt;(D23*Indicadores_Generales!$D$12),$B$25,$N$25),"")</f>
        <v>HÁBIL</v>
      </c>
      <c r="E34" s="19" t="str">
        <f>IFERROR(IF(E35&gt;(E23*Indicadores_Generales!$D$12),$B$25,$N$25),"")</f>
        <v>HÁBIL</v>
      </c>
      <c r="F34" s="19" t="str">
        <f>IFERROR(IF(F35&gt;(F23*Indicadores_Generales!$D$12),$B$25,$N$25),"")</f>
        <v>HÁBIL</v>
      </c>
      <c r="G34" s="19" t="str">
        <f>IFERROR(IF(G35&gt;(G23*Indicadores_Generales!$D$12),$B$25,$N$25),"")</f>
        <v>HÁBIL</v>
      </c>
      <c r="H34" s="19" t="str">
        <f>IFERROR(IF(H35&gt;(H23*Indicadores_Generales!$D$12),$B$25,$N$25),"")</f>
        <v>HÁBIL</v>
      </c>
      <c r="I34" s="19" t="str">
        <f>IFERROR(IF(I35&gt;(I23*Indicadores_Generales!$D$12),$B$25,$N$25),"")</f>
        <v>HÁBIL</v>
      </c>
      <c r="J34" s="19" t="str">
        <f>IFERROR(IF(J35&gt;(J23*Indicadores_Generales!$D$12),$B$25,$N$25),"")</f>
        <v>HÁBIL</v>
      </c>
      <c r="K34" s="19" t="str">
        <f>IFERROR(IF(K35&gt;(K23*Indicadores_Generales!$D$12),$B$25,$N$25),"")</f>
        <v>HÁBIL</v>
      </c>
      <c r="L34" s="19" t="str">
        <f>IFERROR(IF(L35&gt;(L23*Indicadores_Generales!$D$12),$B$25,$N$25),"")</f>
        <v>HÁBIL</v>
      </c>
      <c r="M34" s="19" t="str">
        <f>IFERROR(IF(M35&gt;(M23*Indicadores_Generales!$D$12),$B$25,$N$25),"")</f>
        <v>HÁBIL</v>
      </c>
      <c r="N34" s="19" t="str">
        <f>IFERROR(IF(N35&gt;(N23*Indicadores_Generales!$D$12),$B$25,$N$25),"")</f>
        <v>HÁBIL</v>
      </c>
      <c r="O34" s="19" t="str">
        <f>IFERROR(IF(O35&gt;(O23*Indicadores_Generales!$D$12),$B$25,$N$25),"")</f>
        <v>HÁBIL</v>
      </c>
      <c r="P34" s="19" t="str">
        <f>IFERROR(IF(P35&gt;(P23*Indicadores_Generales!$D$12),$B$25,$N$25),"")</f>
        <v>HÁBIL</v>
      </c>
      <c r="Q34" s="50" t="str">
        <f>IFERROR(IF(Q35&gt;(Q23*Indicadores_Generales!$D$12),$B$25,$N$25),"")</f>
        <v>HÁBIL</v>
      </c>
    </row>
    <row r="35" spans="2:17" s="21" customFormat="1" ht="37.5" customHeight="1" x14ac:dyDescent="0.25">
      <c r="B35" s="20" t="str">
        <f>"CT = Activo Corriente - Pasivo Corriente ≥ $ "&amp;FIXED(Indicadores_Generales!D5*Indicadores_Generales!D12,0,FALSE)</f>
        <v>CT = Activo Corriente - Pasivo Corriente ≥ $ 200.013.404</v>
      </c>
      <c r="C35" s="105">
        <f>IF(C8="","",SUMIFS(Indicadores_Generales!$T:$T,Indicadores_Generales!$B:$B,C9))</f>
        <v>2135275737</v>
      </c>
      <c r="D35" s="105">
        <f>IF(D8="","",SUMIFS(Indicadores_Generales!$T:$T,Indicadores_Generales!$B:$B,D9))</f>
        <v>1088963380</v>
      </c>
      <c r="E35" s="105">
        <f>IF(E8="","",SUMIFS(Indicadores_Generales!$T:$T,Indicadores_Generales!$B:$B,E9))</f>
        <v>5249800867</v>
      </c>
      <c r="F35" s="105">
        <f>IF(F8="","",SUMIFS(Indicadores_Generales!$T:$T,Indicadores_Generales!$B:$B,F9))</f>
        <v>3874106185</v>
      </c>
      <c r="G35" s="105">
        <f>IF(G8="","",SUMIFS(Indicadores_Generales!$T:$T,Indicadores_Generales!$B:$B,G9))</f>
        <v>2031975227</v>
      </c>
      <c r="H35" s="105">
        <f>IF(H8="","",SUMIFS(Indicadores_Generales!$T:$T,Indicadores_Generales!$B:$B,H9))</f>
        <v>28915424337</v>
      </c>
      <c r="I35" s="105">
        <f>IF(I8="","",SUMIFS(Indicadores_Generales!$T:$T,Indicadores_Generales!$B:$B,I9))</f>
        <v>664420136</v>
      </c>
      <c r="J35" s="105">
        <f>IF(J8="","",SUMIFS(Indicadores_Generales!$T:$T,Indicadores_Generales!$B:$B,J9))</f>
        <v>1544502000</v>
      </c>
      <c r="K35" s="105">
        <f>IF(K8="","",SUMIFS(Indicadores_Generales!$T:$T,Indicadores_Generales!$B:$B,K9))</f>
        <v>830039000</v>
      </c>
      <c r="L35" s="105">
        <f>IF(L8="","",SUMIFS(Indicadores_Generales!$T:$T,Indicadores_Generales!$B:$B,L9))</f>
        <v>1982928934</v>
      </c>
      <c r="M35" s="105">
        <f>IF(M8="","",SUMIFS(Indicadores_Generales!$T:$T,Indicadores_Generales!$B:$B,M9))</f>
        <v>10327164476</v>
      </c>
      <c r="N35" s="105">
        <f>IF(N8="","",SUMIFS(Indicadores_Generales!$T:$T,Indicadores_Generales!$B:$B,N9))</f>
        <v>764028784</v>
      </c>
      <c r="O35" s="105">
        <f>IF(O8="","",SUMIFS(Indicadores_Generales!$T:$T,Indicadores_Generales!$B:$B,O9))</f>
        <v>853576672</v>
      </c>
      <c r="P35" s="105">
        <f>IF(P8="","",SUMIFS(Indicadores_Generales!$T:$T,Indicadores_Generales!$B:$B,P9))</f>
        <v>1621405994</v>
      </c>
      <c r="Q35" s="106">
        <f>IF(Q8="","",SUMIFS(Indicadores_Generales!$T:$T,Indicadores_Generales!$B:$B,Q9))</f>
        <v>8068637021</v>
      </c>
    </row>
    <row r="36" spans="2:17" s="3" customFormat="1" ht="37.5" customHeight="1" x14ac:dyDescent="0.25">
      <c r="B36" s="153" t="s">
        <v>35</v>
      </c>
      <c r="C36" s="154"/>
      <c r="D36" s="154"/>
      <c r="E36" s="154"/>
      <c r="F36" s="154"/>
      <c r="G36" s="154"/>
      <c r="H36" s="154"/>
      <c r="I36" s="154"/>
      <c r="J36" s="154"/>
      <c r="K36" s="154"/>
      <c r="L36" s="154"/>
      <c r="M36" s="154"/>
      <c r="N36" s="154"/>
      <c r="O36" s="154"/>
      <c r="P36" s="154"/>
      <c r="Q36" s="155"/>
    </row>
    <row r="37" spans="2:17" s="3" customFormat="1" ht="37.5" customHeight="1" x14ac:dyDescent="0.25">
      <c r="B37" s="22"/>
      <c r="C37" s="5"/>
      <c r="D37" s="5"/>
      <c r="E37" s="5"/>
      <c r="F37" s="5"/>
      <c r="G37" s="5"/>
      <c r="H37" s="5"/>
      <c r="I37" s="5"/>
      <c r="J37" s="5"/>
      <c r="K37" s="5"/>
      <c r="L37" s="5"/>
      <c r="M37" s="5"/>
      <c r="N37" s="5"/>
      <c r="O37" s="5"/>
      <c r="P37" s="5"/>
      <c r="Q37" s="6"/>
    </row>
    <row r="38" spans="2:17" s="3" customFormat="1" ht="37.5" customHeight="1" x14ac:dyDescent="0.25">
      <c r="B38" s="34" t="str">
        <f>Indicadores_Generales!C13</f>
        <v>Indicador  Rentabilidad del Patrimonio RP =&gt; AL 0%</v>
      </c>
      <c r="C38" s="19" t="str">
        <f>IF(C8="","",IFERROR(IF(C39&gt;=Indicadores_Generales!$D$13,$B$25,$N$25),""))</f>
        <v>HÁBIL</v>
      </c>
      <c r="D38" s="19" t="str">
        <f>IF(D8="","",IFERROR(IF(D39&gt;=Indicadores_Generales!$D$13,$B$25,$N$25),""))</f>
        <v>HÁBIL</v>
      </c>
      <c r="E38" s="19" t="str">
        <f>IF(E8="","",IFERROR(IF(E39&gt;=Indicadores_Generales!$D$13,$B$25,$N$25),""))</f>
        <v>HÁBIL</v>
      </c>
      <c r="F38" s="19" t="str">
        <f>IF(F8="","",IFERROR(IF(F39&gt;=Indicadores_Generales!$D$13,$B$25,$N$25),""))</f>
        <v>HÁBIL</v>
      </c>
      <c r="G38" s="19" t="str">
        <f>IF(G8="","",IFERROR(IF(G39&gt;=Indicadores_Generales!$D$13,$B$25,$N$25),""))</f>
        <v>HÁBIL</v>
      </c>
      <c r="H38" s="19" t="str">
        <f>IF(H8="","",IFERROR(IF(H39&gt;=Indicadores_Generales!$D$13,$B$25,$N$25),""))</f>
        <v>HÁBIL</v>
      </c>
      <c r="I38" s="19" t="str">
        <f>IF(I8="","",IFERROR(IF(I39&gt;=Indicadores_Generales!$D$13,$B$25,$N$25),""))</f>
        <v>HÁBIL</v>
      </c>
      <c r="J38" s="19" t="str">
        <f>IF(J8="","",IFERROR(IF(J39&gt;=Indicadores_Generales!$D$13,$B$25,$N$25),""))</f>
        <v>HÁBIL</v>
      </c>
      <c r="K38" s="19" t="str">
        <f>IF(K8="","",IFERROR(IF(K39&gt;=Indicadores_Generales!$D$13,$B$25,$N$25),""))</f>
        <v>HÁBIL</v>
      </c>
      <c r="L38" s="19" t="str">
        <f>IF(L8="","",IFERROR(IF(L39&gt;=Indicadores_Generales!$D$13,$B$25,$N$25),""))</f>
        <v>HÁBIL</v>
      </c>
      <c r="M38" s="19" t="str">
        <f>IF(M8="","",IFERROR(IF(M39&gt;=Indicadores_Generales!$D$13,$B$25,$N$25),""))</f>
        <v>HÁBIL</v>
      </c>
      <c r="N38" s="19" t="str">
        <f>IF(N8="","",IFERROR(IF(N39&gt;=Indicadores_Generales!$D$13,$B$25,$N$25),""))</f>
        <v>HÁBIL</v>
      </c>
      <c r="O38" s="19" t="str">
        <f>IF(O8="","",IFERROR(IF(O39&gt;=Indicadores_Generales!$D$13,$B$25,$N$25),""))</f>
        <v>HÁBIL</v>
      </c>
      <c r="P38" s="19" t="str">
        <f>IF(P8="","",IFERROR(IF(P39&gt;=Indicadores_Generales!$D$13,$B$25,$N$25),""))</f>
        <v>HÁBIL</v>
      </c>
      <c r="Q38" s="50" t="str">
        <f>IF(Q8="","",IFERROR(IF(Q39&gt;=Indicadores_Generales!$D$13,$B$25,$N$25),""))</f>
        <v>HÁBIL</v>
      </c>
    </row>
    <row r="39" spans="2:17" s="3" customFormat="1" ht="37.5" customHeight="1" x14ac:dyDescent="0.25">
      <c r="B39" s="41" t="s">
        <v>36</v>
      </c>
      <c r="C39" s="92">
        <f>IF(C8="","",C19/C17)</f>
        <v>0.11915742182214399</v>
      </c>
      <c r="D39" s="92">
        <f t="shared" ref="D39:Q39" si="8">IF(D8="","",D19/D17)</f>
        <v>0.15874964573942202</v>
      </c>
      <c r="E39" s="92">
        <f t="shared" si="8"/>
        <v>0.11441202499223992</v>
      </c>
      <c r="F39" s="92">
        <f t="shared" si="8"/>
        <v>0.33543158904051118</v>
      </c>
      <c r="G39" s="92">
        <f t="shared" si="8"/>
        <v>0.21223901437412743</v>
      </c>
      <c r="H39" s="92">
        <f t="shared" si="8"/>
        <v>0.49802948439654632</v>
      </c>
      <c r="I39" s="92">
        <f t="shared" si="8"/>
        <v>0.12077363372515128</v>
      </c>
      <c r="J39" s="92">
        <f t="shared" si="8"/>
        <v>0.21706847630615297</v>
      </c>
      <c r="K39" s="92">
        <f t="shared" si="8"/>
        <v>9.1692342189861595E-2</v>
      </c>
      <c r="L39" s="92">
        <f t="shared" si="8"/>
        <v>0.15499627984748335</v>
      </c>
      <c r="M39" s="92">
        <f t="shared" si="8"/>
        <v>0.15102847931330615</v>
      </c>
      <c r="N39" s="92">
        <f t="shared" si="8"/>
        <v>0.16852477260085769</v>
      </c>
      <c r="O39" s="92">
        <f t="shared" si="8"/>
        <v>0.31745774983112057</v>
      </c>
      <c r="P39" s="92">
        <f t="shared" si="8"/>
        <v>0.20079187492811346</v>
      </c>
      <c r="Q39" s="93">
        <f t="shared" si="8"/>
        <v>0.19609770153584566</v>
      </c>
    </row>
    <row r="40" spans="2:17" s="3" customFormat="1" ht="37.5" customHeight="1" x14ac:dyDescent="0.25">
      <c r="B40" s="34" t="str">
        <f>Indicadores_Generales!C14</f>
        <v>Indicador  Rentabilidad del Activo RAct =&gt; AL 0%</v>
      </c>
      <c r="C40" s="19" t="str">
        <f>IF(C8="","",IFERROR(IF(C41&gt;=Indicadores_Generales!$D$14,$B$25,$N$25),""))</f>
        <v>HÁBIL</v>
      </c>
      <c r="D40" s="19" t="str">
        <f>IF(D8="","",IFERROR(IF(D41&gt;=Indicadores_Generales!$D$14,$B$25,$N$25),""))</f>
        <v>HÁBIL</v>
      </c>
      <c r="E40" s="19" t="str">
        <f>IF(E8="","",IFERROR(IF(E41&gt;=Indicadores_Generales!$D$14,$B$25,$N$25),""))</f>
        <v>HÁBIL</v>
      </c>
      <c r="F40" s="19" t="str">
        <f>IF(F8="","",IFERROR(IF(F41&gt;=Indicadores_Generales!$D$14,$B$25,$N$25),""))</f>
        <v>HÁBIL</v>
      </c>
      <c r="G40" s="19" t="str">
        <f>IF(G8="","",IFERROR(IF(G41&gt;=Indicadores_Generales!$D$14,$B$25,$N$25),""))</f>
        <v>HÁBIL</v>
      </c>
      <c r="H40" s="19" t="str">
        <f>IF(H8="","",IFERROR(IF(H41&gt;=Indicadores_Generales!$D$14,$B$25,$N$25),""))</f>
        <v>HÁBIL</v>
      </c>
      <c r="I40" s="19" t="str">
        <f>IF(I8="","",IFERROR(IF(I41&gt;=Indicadores_Generales!$D$14,$B$25,$N$25),""))</f>
        <v>HÁBIL</v>
      </c>
      <c r="J40" s="19" t="str">
        <f>IF(J8="","",IFERROR(IF(J41&gt;=Indicadores_Generales!$D$14,$B$25,$N$25),""))</f>
        <v>HÁBIL</v>
      </c>
      <c r="K40" s="19" t="str">
        <f>IF(K8="","",IFERROR(IF(K41&gt;=Indicadores_Generales!$D$14,$B$25,$N$25),""))</f>
        <v>HÁBIL</v>
      </c>
      <c r="L40" s="19" t="str">
        <f>IF(L8="","",IFERROR(IF(L41&gt;=Indicadores_Generales!$D$14,$B$25,$N$25),""))</f>
        <v>HÁBIL</v>
      </c>
      <c r="M40" s="19" t="str">
        <f>IF(M8="","",IFERROR(IF(M41&gt;=Indicadores_Generales!$D$14,$B$25,$N$25),""))</f>
        <v>HÁBIL</v>
      </c>
      <c r="N40" s="19" t="str">
        <f>IF(N8="","",IFERROR(IF(N41&gt;=Indicadores_Generales!$D$14,$B$25,$N$25),""))</f>
        <v>HÁBIL</v>
      </c>
      <c r="O40" s="19" t="str">
        <f>IF(O8="","",IFERROR(IF(O41&gt;=Indicadores_Generales!$D$14,$B$25,$N$25),""))</f>
        <v>HÁBIL</v>
      </c>
      <c r="P40" s="19" t="str">
        <f>IF(P8="","",IFERROR(IF(P41&gt;=Indicadores_Generales!$D$14,$B$25,$N$25),""))</f>
        <v>HÁBIL</v>
      </c>
      <c r="Q40" s="50" t="str">
        <f>IF(Q8="","",IFERROR(IF(Q41&gt;=Indicadores_Generales!$D$14,$B$25,$N$25),""))</f>
        <v>HÁBIL</v>
      </c>
    </row>
    <row r="41" spans="2:17" s="3" customFormat="1" ht="37.5" customHeight="1" x14ac:dyDescent="0.25">
      <c r="B41" s="41" t="s">
        <v>37</v>
      </c>
      <c r="C41" s="92">
        <f>IF(C8="","",C19/C15)</f>
        <v>9.3088209540568984E-2</v>
      </c>
      <c r="D41" s="92">
        <f t="shared" ref="D41:Q41" si="9">IF(D8="","",D19/D15)</f>
        <v>7.1296143157634467E-2</v>
      </c>
      <c r="E41" s="92">
        <f t="shared" si="9"/>
        <v>7.7510816208741937E-2</v>
      </c>
      <c r="F41" s="92">
        <f t="shared" si="9"/>
        <v>0.17905011340709667</v>
      </c>
      <c r="G41" s="92">
        <f t="shared" si="9"/>
        <v>9.8382016707360007E-2</v>
      </c>
      <c r="H41" s="92">
        <f t="shared" si="9"/>
        <v>0.32602132482520541</v>
      </c>
      <c r="I41" s="92">
        <f t="shared" si="9"/>
        <v>6.4450538308401348E-2</v>
      </c>
      <c r="J41" s="92">
        <f t="shared" si="9"/>
        <v>0.10271773127199239</v>
      </c>
      <c r="K41" s="92">
        <f t="shared" si="9"/>
        <v>9.1613331293986869E-2</v>
      </c>
      <c r="L41" s="92">
        <f t="shared" si="9"/>
        <v>7.6133694099527166E-2</v>
      </c>
      <c r="M41" s="92">
        <f t="shared" si="9"/>
        <v>9.2895617507853342E-2</v>
      </c>
      <c r="N41" s="92">
        <f t="shared" si="9"/>
        <v>0.14403307179713931</v>
      </c>
      <c r="O41" s="92">
        <f t="shared" si="9"/>
        <v>0.16282305835223132</v>
      </c>
      <c r="P41" s="92">
        <f t="shared" si="9"/>
        <v>0.11203971590487938</v>
      </c>
      <c r="Q41" s="93">
        <f t="shared" si="9"/>
        <v>6.1659198974484845E-2</v>
      </c>
    </row>
    <row r="42" spans="2:17" s="3" customFormat="1" ht="31.5" x14ac:dyDescent="0.25">
      <c r="B42" s="40" t="s">
        <v>38</v>
      </c>
      <c r="C42" s="23" t="str">
        <f>IF(C8="","",IF(COUNTIF(C28:C41,"NO HÁBIL")&gt;=1,"NO HABILITADO","HABILITADO"))</f>
        <v>HABILITADO</v>
      </c>
      <c r="D42" s="23" t="str">
        <f t="shared" ref="D42:Q42" si="10">IF(D8="","",IF(COUNTIF(D28:D41,"NO HÁBIL")&gt;=1,"NO HABILITADO","HABILITADO"))</f>
        <v>HABILITADO</v>
      </c>
      <c r="E42" s="23" t="str">
        <f t="shared" si="10"/>
        <v>HABILITADO</v>
      </c>
      <c r="F42" s="23" t="str">
        <f t="shared" si="10"/>
        <v>HABILITADO</v>
      </c>
      <c r="G42" s="23" t="str">
        <f t="shared" si="10"/>
        <v>HABILITADO</v>
      </c>
      <c r="H42" s="23" t="str">
        <f t="shared" si="10"/>
        <v>HABILITADO</v>
      </c>
      <c r="I42" s="23" t="str">
        <f t="shared" si="10"/>
        <v>HABILITADO</v>
      </c>
      <c r="J42" s="23" t="str">
        <f t="shared" si="10"/>
        <v>HABILITADO</v>
      </c>
      <c r="K42" s="23" t="str">
        <f t="shared" si="10"/>
        <v>HABILITADO</v>
      </c>
      <c r="L42" s="23" t="str">
        <f t="shared" si="10"/>
        <v>HABILITADO</v>
      </c>
      <c r="M42" s="23" t="str">
        <f t="shared" si="10"/>
        <v>HABILITADO</v>
      </c>
      <c r="N42" s="23" t="str">
        <f t="shared" si="10"/>
        <v>HABILITADO</v>
      </c>
      <c r="O42" s="23" t="str">
        <f t="shared" si="10"/>
        <v>HABILITADO</v>
      </c>
      <c r="P42" s="23" t="str">
        <f t="shared" si="10"/>
        <v>HABILITADO</v>
      </c>
      <c r="Q42" s="51" t="str">
        <f t="shared" si="10"/>
        <v>HABILITADO</v>
      </c>
    </row>
    <row r="43" spans="2:17" s="3" customFormat="1" ht="15.75" hidden="1" x14ac:dyDescent="0.25">
      <c r="B43" s="22"/>
      <c r="C43" s="5"/>
      <c r="D43" s="5"/>
      <c r="E43" s="5"/>
      <c r="F43" s="5"/>
      <c r="G43" s="5"/>
      <c r="H43" s="5"/>
      <c r="I43" s="5"/>
      <c r="J43" s="5"/>
      <c r="K43" s="5"/>
      <c r="L43" s="5"/>
      <c r="M43" s="5"/>
      <c r="N43" s="5"/>
      <c r="O43" s="5"/>
      <c r="P43" s="5"/>
      <c r="Q43" s="6"/>
    </row>
    <row r="44" spans="2:17" s="3" customFormat="1" ht="15.75" customHeight="1" x14ac:dyDescent="0.25">
      <c r="B44" s="175" t="s">
        <v>39</v>
      </c>
      <c r="C44" s="176"/>
      <c r="D44" s="176"/>
      <c r="E44" s="176"/>
      <c r="F44" s="176"/>
      <c r="G44" s="176"/>
      <c r="H44" s="176"/>
      <c r="I44" s="176"/>
      <c r="J44" s="176"/>
      <c r="K44" s="176"/>
      <c r="L44" s="176"/>
      <c r="M44" s="176"/>
      <c r="N44" s="176"/>
      <c r="O44" s="176"/>
      <c r="P44" s="176"/>
      <c r="Q44" s="177"/>
    </row>
    <row r="45" spans="2:17" s="3" customFormat="1" ht="36.75" customHeight="1" x14ac:dyDescent="0.25">
      <c r="B45" s="175"/>
      <c r="C45" s="176"/>
      <c r="D45" s="176"/>
      <c r="E45" s="176"/>
      <c r="F45" s="176"/>
      <c r="G45" s="176"/>
      <c r="H45" s="176"/>
      <c r="I45" s="176"/>
      <c r="J45" s="176"/>
      <c r="K45" s="176"/>
      <c r="L45" s="176"/>
      <c r="M45" s="176"/>
      <c r="N45" s="176"/>
      <c r="O45" s="176"/>
      <c r="P45" s="176"/>
      <c r="Q45" s="177"/>
    </row>
    <row r="46" spans="2:17" s="3" customFormat="1" ht="15.75" x14ac:dyDescent="0.25">
      <c r="B46" s="24"/>
      <c r="C46" s="52"/>
      <c r="D46" s="52"/>
      <c r="E46" s="52"/>
      <c r="F46" s="52"/>
      <c r="G46" s="52"/>
      <c r="H46" s="52"/>
      <c r="I46" s="52"/>
      <c r="J46" s="52"/>
      <c r="K46" s="52"/>
      <c r="L46" s="52"/>
      <c r="M46" s="52"/>
      <c r="N46" s="52"/>
      <c r="O46" s="52"/>
      <c r="P46" s="52"/>
      <c r="Q46" s="25"/>
    </row>
    <row r="47" spans="2:17" s="3" customFormat="1" ht="15.75" x14ac:dyDescent="0.25">
      <c r="B47" s="24"/>
      <c r="C47" s="52"/>
      <c r="D47" s="52"/>
      <c r="E47" s="52"/>
      <c r="F47" s="52"/>
      <c r="G47" s="52"/>
      <c r="H47" s="52"/>
      <c r="I47" s="52"/>
      <c r="J47" s="52"/>
      <c r="K47" s="52"/>
      <c r="L47" s="52"/>
      <c r="M47" s="52"/>
      <c r="N47" s="52"/>
      <c r="O47" s="52"/>
      <c r="P47" s="52"/>
      <c r="Q47" s="25"/>
    </row>
    <row r="48" spans="2:17" s="3" customFormat="1" ht="15.75" x14ac:dyDescent="0.25">
      <c r="B48" s="26"/>
      <c r="C48" s="53"/>
      <c r="D48" s="53"/>
      <c r="E48" s="53"/>
      <c r="F48" s="53"/>
      <c r="G48" s="53"/>
      <c r="H48" s="53"/>
      <c r="I48" s="53"/>
      <c r="J48" s="53"/>
      <c r="K48" s="53"/>
      <c r="L48" s="53"/>
      <c r="M48" s="53"/>
      <c r="N48" s="52"/>
      <c r="O48" s="52"/>
      <c r="P48" s="52"/>
      <c r="Q48" s="25"/>
    </row>
    <row r="49" spans="1:17" s="3" customFormat="1" ht="22.5" customHeight="1" x14ac:dyDescent="0.25">
      <c r="A49" s="27"/>
      <c r="B49" s="24"/>
      <c r="C49" s="52"/>
      <c r="D49" s="52"/>
      <c r="E49" s="52"/>
      <c r="F49" s="52"/>
      <c r="G49" s="52"/>
      <c r="H49" s="52"/>
      <c r="I49" s="52"/>
      <c r="J49" s="52"/>
      <c r="K49" s="52"/>
      <c r="L49" s="52"/>
      <c r="M49" s="52"/>
      <c r="N49" s="52"/>
      <c r="O49" s="52"/>
      <c r="P49" s="52"/>
      <c r="Q49" s="25"/>
    </row>
    <row r="50" spans="1:17" s="3" customFormat="1" ht="22.5" customHeight="1" x14ac:dyDescent="0.25">
      <c r="A50" s="27"/>
      <c r="B50" s="28"/>
      <c r="C50" s="54"/>
      <c r="D50" s="55"/>
      <c r="E50" s="55"/>
      <c r="F50" s="55"/>
      <c r="G50" s="53"/>
      <c r="H50" s="178"/>
      <c r="I50" s="178"/>
      <c r="J50" s="53"/>
      <c r="K50" s="55"/>
      <c r="L50" s="178"/>
      <c r="M50" s="178"/>
      <c r="N50" s="53"/>
      <c r="O50" s="178"/>
      <c r="P50" s="178"/>
      <c r="Q50" s="179"/>
    </row>
    <row r="51" spans="1:17" ht="23.25" customHeight="1" x14ac:dyDescent="0.25">
      <c r="A51" s="29"/>
      <c r="B51" s="30" t="s">
        <v>40</v>
      </c>
      <c r="C51" s="56"/>
      <c r="D51" s="180" t="s">
        <v>40</v>
      </c>
      <c r="E51" s="180"/>
      <c r="F51" s="57"/>
      <c r="G51" s="58"/>
      <c r="H51" s="180" t="s">
        <v>40</v>
      </c>
      <c r="I51" s="180"/>
      <c r="J51" s="57"/>
      <c r="K51" s="57"/>
      <c r="L51" s="180" t="s">
        <v>41</v>
      </c>
      <c r="M51" s="180"/>
      <c r="N51" s="58"/>
      <c r="O51" s="180" t="s">
        <v>42</v>
      </c>
      <c r="P51" s="180"/>
      <c r="Q51" s="181"/>
    </row>
    <row r="52" spans="1:17" ht="21" customHeight="1" x14ac:dyDescent="0.25">
      <c r="A52" s="29"/>
      <c r="B52" s="31"/>
      <c r="C52" s="59"/>
      <c r="D52" s="59"/>
      <c r="E52" s="59"/>
      <c r="F52" s="59"/>
      <c r="G52" s="59"/>
      <c r="H52" s="59"/>
      <c r="I52" s="59"/>
      <c r="J52" s="59"/>
      <c r="K52" s="59"/>
      <c r="L52" s="59"/>
      <c r="M52" s="59"/>
      <c r="N52" s="59"/>
      <c r="O52" s="60"/>
      <c r="P52" s="60"/>
      <c r="Q52" s="32"/>
    </row>
    <row r="53" spans="1:17" s="3" customFormat="1" ht="22.5" customHeight="1" x14ac:dyDescent="0.25">
      <c r="A53" s="27"/>
      <c r="B53" s="182" t="str">
        <f>"NOTA: La fecha de corte de la información financiera registrada en el RUP debe ser de acuerdo a lo establecido en el pliego definitivo de condiciones del proceso "&amp;Indicadores_Generales!D4&amp;"."</f>
        <v>NOTA: La fecha de corte de la información financiera registrada en el RUP debe ser de acuerdo a lo establecido en el pliego definitivo de condiciones del proceso  FDLBOSACM-004-2022(71937).</v>
      </c>
      <c r="C53" s="183"/>
      <c r="D53" s="183"/>
      <c r="E53" s="183"/>
      <c r="F53" s="183"/>
      <c r="G53" s="183"/>
      <c r="H53" s="183"/>
      <c r="I53" s="183"/>
      <c r="J53" s="183"/>
      <c r="K53" s="183"/>
      <c r="L53" s="183"/>
      <c r="M53" s="183"/>
      <c r="N53" s="183"/>
      <c r="O53" s="183"/>
      <c r="P53" s="183"/>
      <c r="Q53" s="184"/>
    </row>
    <row r="54" spans="1:17" s="3" customFormat="1" ht="22.5" customHeight="1" thickBot="1" x14ac:dyDescent="0.3">
      <c r="A54" s="27"/>
      <c r="B54" s="185"/>
      <c r="C54" s="186"/>
      <c r="D54" s="186"/>
      <c r="E54" s="186"/>
      <c r="F54" s="186"/>
      <c r="G54" s="186"/>
      <c r="H54" s="186"/>
      <c r="I54" s="186"/>
      <c r="J54" s="186"/>
      <c r="K54" s="186"/>
      <c r="L54" s="186"/>
      <c r="M54" s="186"/>
      <c r="N54" s="186"/>
      <c r="O54" s="186"/>
      <c r="P54" s="186"/>
      <c r="Q54" s="187"/>
    </row>
  </sheetData>
  <mergeCells count="17">
    <mergeCell ref="B24:Q24"/>
    <mergeCell ref="B1:B5"/>
    <mergeCell ref="C1:P5"/>
    <mergeCell ref="Q1:Q5"/>
    <mergeCell ref="B6:Q6"/>
    <mergeCell ref="B7:Q7"/>
    <mergeCell ref="B27:Q27"/>
    <mergeCell ref="B36:Q36"/>
    <mergeCell ref="B44:Q45"/>
    <mergeCell ref="H50:I50"/>
    <mergeCell ref="L50:M50"/>
    <mergeCell ref="O50:Q50"/>
    <mergeCell ref="D51:E51"/>
    <mergeCell ref="H51:I51"/>
    <mergeCell ref="L51:M51"/>
    <mergeCell ref="O51:Q51"/>
    <mergeCell ref="B53:Q54"/>
  </mergeCells>
  <conditionalFormatting sqref="C12:Q12">
    <cfRule type="cellIs" dxfId="89" priority="16" operator="equal">
      <formula>0</formula>
    </cfRule>
  </conditionalFormatting>
  <conditionalFormatting sqref="C42:Q42">
    <cfRule type="cellIs" dxfId="88" priority="14" operator="equal">
      <formula>"No Habilitado"</formula>
    </cfRule>
    <cfRule type="cellIs" dxfId="87" priority="15" operator="equal">
      <formula>"Habilitado"</formula>
    </cfRule>
  </conditionalFormatting>
  <conditionalFormatting sqref="C40:Q40">
    <cfRule type="cellIs" dxfId="86" priority="12" operator="equal">
      <formula>"Hábil"</formula>
    </cfRule>
    <cfRule type="cellIs" dxfId="85" priority="13" operator="equal">
      <formula>"No Hábil"</formula>
    </cfRule>
  </conditionalFormatting>
  <conditionalFormatting sqref="C38:Q38">
    <cfRule type="cellIs" dxfId="84" priority="10" operator="equal">
      <formula>"Hábil"</formula>
    </cfRule>
    <cfRule type="cellIs" dxfId="83" priority="11" operator="equal">
      <formula>"No Hábil"</formula>
    </cfRule>
  </conditionalFormatting>
  <conditionalFormatting sqref="C34:Q34">
    <cfRule type="cellIs" dxfId="82" priority="8" operator="equal">
      <formula>"Hábil"</formula>
    </cfRule>
    <cfRule type="cellIs" dxfId="81" priority="9" operator="equal">
      <formula>"No Hábil"</formula>
    </cfRule>
  </conditionalFormatting>
  <conditionalFormatting sqref="C32:Q32">
    <cfRule type="cellIs" dxfId="80" priority="6" operator="equal">
      <formula>"Hábil"</formula>
    </cfRule>
    <cfRule type="cellIs" dxfId="79" priority="7" operator="equal">
      <formula>"No Hábil"</formula>
    </cfRule>
  </conditionalFormatting>
  <conditionalFormatting sqref="C30:Q30">
    <cfRule type="cellIs" dxfId="78" priority="4" operator="equal">
      <formula>"Hábil"</formula>
    </cfRule>
    <cfRule type="cellIs" dxfId="77" priority="5" operator="equal">
      <formula>"No Hábil"</formula>
    </cfRule>
  </conditionalFormatting>
  <conditionalFormatting sqref="C28:Q28">
    <cfRule type="cellIs" dxfId="76" priority="2" operator="equal">
      <formula>"Hábil"</formula>
    </cfRule>
    <cfRule type="cellIs" dxfId="75" priority="3" operator="equal">
      <formula>"No Hábil"</formula>
    </cfRule>
  </conditionalFormatting>
  <printOptions horizontalCentered="1" verticalCentered="1"/>
  <pageMargins left="0.19685039370078741" right="0.19685039370078741" top="0.15748031496062992" bottom="0.15748031496062992" header="0.31496062992125984" footer="0.31496062992125984"/>
  <pageSetup paperSize="256" scale="41"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9E4E2A-84A1-4BE6-ACB3-8A411917567C}">
  <sheetPr codeName="Hoja4">
    <pageSetUpPr fitToPage="1"/>
  </sheetPr>
  <dimension ref="A1:Q60"/>
  <sheetViews>
    <sheetView showGridLines="0" topLeftCell="A25" zoomScale="60" zoomScaleNormal="60" zoomScalePageLayoutView="90" workbookViewId="0">
      <selection activeCell="E72" sqref="E72"/>
    </sheetView>
  </sheetViews>
  <sheetFormatPr baseColWidth="10" defaultColWidth="18.7109375" defaultRowHeight="15" x14ac:dyDescent="0.25"/>
  <cols>
    <col min="1" max="1" width="1.42578125" style="1" customWidth="1"/>
    <col min="2" max="2" width="54.42578125" style="1" customWidth="1"/>
    <col min="3" max="17" width="27.28515625" style="1" customWidth="1"/>
    <col min="18" max="16384" width="18.7109375" style="1"/>
  </cols>
  <sheetData>
    <row r="1" spans="1:17" x14ac:dyDescent="0.25">
      <c r="B1" s="156"/>
      <c r="C1" s="158" t="s">
        <v>18</v>
      </c>
      <c r="D1" s="159"/>
      <c r="E1" s="159"/>
      <c r="F1" s="159"/>
      <c r="G1" s="159"/>
      <c r="H1" s="159"/>
      <c r="I1" s="159"/>
      <c r="J1" s="159"/>
      <c r="K1" s="159"/>
      <c r="L1" s="159"/>
      <c r="M1" s="159"/>
      <c r="N1" s="159"/>
      <c r="O1" s="159"/>
      <c r="P1" s="160"/>
      <c r="Q1" s="167" t="s">
        <v>19</v>
      </c>
    </row>
    <row r="2" spans="1:17" x14ac:dyDescent="0.25">
      <c r="B2" s="157"/>
      <c r="C2" s="161"/>
      <c r="D2" s="162"/>
      <c r="E2" s="162"/>
      <c r="F2" s="162"/>
      <c r="G2" s="162"/>
      <c r="H2" s="162"/>
      <c r="I2" s="162"/>
      <c r="J2" s="162"/>
      <c r="K2" s="162"/>
      <c r="L2" s="162"/>
      <c r="M2" s="162"/>
      <c r="N2" s="162"/>
      <c r="O2" s="162"/>
      <c r="P2" s="163"/>
      <c r="Q2" s="168"/>
    </row>
    <row r="3" spans="1:17" ht="16.5" customHeight="1" x14ac:dyDescent="0.25">
      <c r="B3" s="157"/>
      <c r="C3" s="161"/>
      <c r="D3" s="162"/>
      <c r="E3" s="162"/>
      <c r="F3" s="162"/>
      <c r="G3" s="162"/>
      <c r="H3" s="162"/>
      <c r="I3" s="162"/>
      <c r="J3" s="162"/>
      <c r="K3" s="162"/>
      <c r="L3" s="162"/>
      <c r="M3" s="162"/>
      <c r="N3" s="162"/>
      <c r="O3" s="162"/>
      <c r="P3" s="163"/>
      <c r="Q3" s="168"/>
    </row>
    <row r="4" spans="1:17" x14ac:dyDescent="0.25">
      <c r="B4" s="157"/>
      <c r="C4" s="161"/>
      <c r="D4" s="162"/>
      <c r="E4" s="162"/>
      <c r="F4" s="162"/>
      <c r="G4" s="162"/>
      <c r="H4" s="162"/>
      <c r="I4" s="162"/>
      <c r="J4" s="162"/>
      <c r="K4" s="162"/>
      <c r="L4" s="162"/>
      <c r="M4" s="162"/>
      <c r="N4" s="162"/>
      <c r="O4" s="162"/>
      <c r="P4" s="163"/>
      <c r="Q4" s="168"/>
    </row>
    <row r="5" spans="1:17" ht="23.25" customHeight="1" x14ac:dyDescent="0.25">
      <c r="B5" s="157"/>
      <c r="C5" s="164"/>
      <c r="D5" s="165"/>
      <c r="E5" s="165"/>
      <c r="F5" s="165"/>
      <c r="G5" s="165"/>
      <c r="H5" s="165"/>
      <c r="I5" s="165"/>
      <c r="J5" s="165"/>
      <c r="K5" s="165"/>
      <c r="L5" s="165"/>
      <c r="M5" s="165"/>
      <c r="N5" s="165"/>
      <c r="O5" s="165"/>
      <c r="P5" s="166"/>
      <c r="Q5" s="168"/>
    </row>
    <row r="6" spans="1:17" ht="26.25" customHeight="1" x14ac:dyDescent="0.25">
      <c r="B6" s="188" t="str">
        <f>"PROCESO DE SELECCIÓN "&amp;Indicadores_Generales!D4</f>
        <v>PROCESO DE SELECCIÓN  FDLBOSACM-004-2022(71937)</v>
      </c>
      <c r="C6" s="189"/>
      <c r="D6" s="189"/>
      <c r="E6" s="189"/>
      <c r="F6" s="189"/>
      <c r="G6" s="189"/>
      <c r="H6" s="189"/>
      <c r="I6" s="189"/>
      <c r="J6" s="189"/>
      <c r="K6" s="189"/>
      <c r="L6" s="189"/>
      <c r="M6" s="189"/>
      <c r="N6" s="189"/>
      <c r="O6" s="189"/>
      <c r="P6" s="189"/>
      <c r="Q6" s="190"/>
    </row>
    <row r="7" spans="1:17" ht="42" customHeight="1" x14ac:dyDescent="0.25">
      <c r="B7" s="172" t="str">
        <f>"OBJETO: "&amp;UPPER(Indicadores_Generales!D6)</f>
        <v>OBJETO: REALIZAR LA INTERVENTORÍA
TÉCNICA, ADMINISTRATIVA, FINANCIERA, JURÍDICA, SOCIAL, AMBIENTAL Y
SST AL CONTRATO DE OBRA PÚBLICA QUE TENDRÁ POR OBJETO
CONTRACTUAL EJECUTAR POR EL SISTEMA DE PRECIOS UNITARIOS FIJOS SIN
FORMULA DE REAJUSTE Y A MONTO AGOTABLE LAS ACTIVIDADES
NECESARIAS PARA LA EJECUCIÓN DE LAS OBRAS DE CONSTRUCCIÓN DE
MALLA VIAL Y ESPACIO PUBLICO ASOCIADO DE LA LOCALIDAD DE BOSA, DE
ACUERDO CON LA DESCRIPCIÓN, ESPECIFICACIONES, ESTUDIOS, DISEÑOS Y
DEMÁS CONDICIONES ESTABLECIDAS EN EL ANEXO TÉCNICO</v>
      </c>
      <c r="C7" s="173"/>
      <c r="D7" s="173"/>
      <c r="E7" s="173"/>
      <c r="F7" s="173"/>
      <c r="G7" s="173"/>
      <c r="H7" s="173"/>
      <c r="I7" s="173"/>
      <c r="J7" s="173"/>
      <c r="K7" s="173"/>
      <c r="L7" s="173"/>
      <c r="M7" s="173"/>
      <c r="N7" s="173"/>
      <c r="O7" s="173"/>
      <c r="P7" s="173"/>
      <c r="Q7" s="174"/>
    </row>
    <row r="8" spans="1:17" ht="51" customHeight="1" x14ac:dyDescent="0.25">
      <c r="B8" s="37" t="s">
        <v>20</v>
      </c>
      <c r="C8" s="35" t="str">
        <f>IFERROR(IF(VLOOKUP(C9,Indicadores_Generales!$B$17:$AG$143,5,0)=0,"",VLOOKUP(C9,Indicadores_Generales!$B$17:$AG$143,5,0)),"")</f>
        <v xml:space="preserve">	MAB INGENIERIA DE VALOR S.A.</v>
      </c>
      <c r="D8" s="35" t="str">
        <f>IFERROR(IF(VLOOKUP(D9,Indicadores_Generales!$B$17:$AG$143,5,0)=0,"",VLOOKUP(D9,Indicadores_Generales!$B$17:$AG$143,5,0)),"")</f>
        <v xml:space="preserve">	CONSORCIO GIS BOSA</v>
      </c>
      <c r="E8" s="35" t="str">
        <f>IFERROR(IF(VLOOKUP(E9,Indicadores_Generales!$B$17:$AG$143,5,0)=0,"",VLOOKUP(E9,Indicadores_Generales!$B$17:$AG$143,5,0)),"")</f>
        <v>RAFAEL JAVIER GUISA RUEDA</v>
      </c>
      <c r="F8" s="35" t="str">
        <f>IFERROR(IF(VLOOKUP(F9,Indicadores_Generales!$B$17:$AG$143,5,0)=0,"",VLOOKUP(F9,Indicadores_Generales!$B$17:$AG$143,5,0)),"")</f>
        <v xml:space="preserve">	CONSORCIO INTERMALLAVIAL BOSA</v>
      </c>
      <c r="G8" s="35" t="str">
        <f>IFERROR(IF(VLOOKUP(G9,Indicadores_Generales!$B$17:$AG$143,5,0)=0,"",VLOOKUP(G9,Indicadores_Generales!$B$17:$AG$143,5,0)),"")</f>
        <v>Consorcio RP Bosa</v>
      </c>
      <c r="H8" s="35" t="str">
        <f>IFERROR(IF(VLOOKUP(H9,Indicadores_Generales!$B$17:$AG$143,5,0)=0,"",VLOOKUP(H9,Indicadores_Generales!$B$17:$AG$143,5,0)),"")</f>
        <v>CONSORCIO OPH - CAP 2022</v>
      </c>
      <c r="I8" s="35" t="str">
        <f>IFERROR(IF(VLOOKUP(I9,Indicadores_Generales!$B$17:$AG$143,5,0)=0,"",VLOOKUP(I9,Indicadores_Generales!$B$17:$AG$143,5,0)),"")</f>
        <v>ARQINGCO SAS</v>
      </c>
      <c r="J8" s="35" t="str">
        <f>IFERROR(IF(VLOOKUP(J9,Indicadores_Generales!$B$17:$AG$143,5,0)=0,"",VLOOKUP(J9,Indicadores_Generales!$B$17:$AG$143,5,0)),"")</f>
        <v>HERNAN ALONSO VELASQUEZ CABEZA</v>
      </c>
      <c r="K8" s="35" t="str">
        <f>IFERROR(IF(VLOOKUP(K9,Indicadores_Generales!$B$17:$AG$143,5,0)=0,"",VLOOKUP(K9,Indicadores_Generales!$B$17:$AG$143,5,0)),"")</f>
        <v>CONSORCIO INTERSPACIOS BOSA</v>
      </c>
      <c r="L8" s="35" t="str">
        <f>IFERROR(IF(VLOOKUP(L9,Indicadores_Generales!$B$17:$AG$143,5,0)=0,"",VLOOKUP(L9,Indicadores_Generales!$B$17:$AG$143,5,0)),"")</f>
        <v>UT INTERVENTORIA BOSA 2022</v>
      </c>
      <c r="M8" s="35" t="str">
        <f>IFERROR(IF(VLOOKUP(M9,Indicadores_Generales!$B$17:$AG$143,5,0)=0,"",VLOOKUP(M9,Indicadores_Generales!$B$17:$AG$143,5,0)),"")</f>
        <v xml:space="preserve">	PROYECTCOL SAS</v>
      </c>
      <c r="N8" s="35" t="str">
        <f>IFERROR(IF(VLOOKUP(N9,Indicadores_Generales!$B$17:$AG$143,5,0)=0,"",VLOOKUP(N9,Indicadores_Generales!$B$17:$AG$143,5,0)),"")</f>
        <v>COMPAÑIA DE INTERVENTORIAS Y CONSULTORIAS DE LA COSTA SAS</v>
      </c>
      <c r="O8" s="35" t="str">
        <f>IFERROR(IF(VLOOKUP(O9,Indicadores_Generales!$B$17:$AG$143,5,0)=0,"",VLOOKUP(O9,Indicadores_Generales!$B$17:$AG$143,5,0)),"")</f>
        <v xml:space="preserve">	CONSORCIO INTERBOSA 2022</v>
      </c>
      <c r="P8" s="35" t="str">
        <f>IFERROR(IF(VLOOKUP(P9,Indicadores_Generales!$B$17:$AG$143,5,0)=0,"",VLOOKUP(P9,Indicadores_Generales!$B$17:$AG$143,5,0)),"")</f>
        <v xml:space="preserve">	CS ALMA-GILLI</v>
      </c>
      <c r="Q8" s="43" t="str">
        <f>IFERROR(IF(VLOOKUP(Q9,Indicadores_Generales!$B$17:$AG$143,5,0)=0,"",VLOOKUP(Q9,Indicadores_Generales!$B$17:$AG$143,5,0)),"")</f>
        <v xml:space="preserve">	Wilmer Junior Gomez Brito</v>
      </c>
    </row>
    <row r="9" spans="1:17" s="3" customFormat="1" ht="24" customHeight="1" x14ac:dyDescent="0.25">
      <c r="A9" s="2"/>
      <c r="B9" s="40" t="s">
        <v>2</v>
      </c>
      <c r="C9" s="36">
        <v>31</v>
      </c>
      <c r="D9" s="36">
        <v>32</v>
      </c>
      <c r="E9" s="36">
        <v>33</v>
      </c>
      <c r="F9" s="36">
        <v>34</v>
      </c>
      <c r="G9" s="36">
        <v>35</v>
      </c>
      <c r="H9" s="36">
        <v>36</v>
      </c>
      <c r="I9" s="36">
        <v>37</v>
      </c>
      <c r="J9" s="36">
        <v>38</v>
      </c>
      <c r="K9" s="36">
        <v>39</v>
      </c>
      <c r="L9" s="36">
        <v>40</v>
      </c>
      <c r="M9" s="36">
        <v>41</v>
      </c>
      <c r="N9" s="36">
        <v>42</v>
      </c>
      <c r="O9" s="36">
        <v>43</v>
      </c>
      <c r="P9" s="36">
        <v>44</v>
      </c>
      <c r="Q9" s="44">
        <v>45</v>
      </c>
    </row>
    <row r="10" spans="1:17" s="3" customFormat="1" ht="31.5" x14ac:dyDescent="0.25">
      <c r="B10" s="40" t="s">
        <v>48</v>
      </c>
      <c r="C10" s="4">
        <f>IF(C8="","",IFERROR(IF(VLOOKUP(C9,Indicadores_Generales!$B$17:$AG$143,4,0)=0,"",DATE(VLOOKUP(C9,Indicadores_Generales!$B$17:$AG$143,4,0),12,31)),""))</f>
        <v>44561</v>
      </c>
      <c r="D10" s="4">
        <f>IF(D8="","",IFERROR(IF(VLOOKUP(D9,Indicadores_Generales!$B$17:$AG$143,4,0)=0,"",DATE(VLOOKUP(D9,Indicadores_Generales!$B$17:$AG$143,4,0),12,31)),""))</f>
        <v>44561</v>
      </c>
      <c r="E10" s="4">
        <f>IF(E8="","",IFERROR(IF(VLOOKUP(E9,Indicadores_Generales!$B$17:$AG$143,4,0)=0,"",DATE(VLOOKUP(E9,Indicadores_Generales!$B$17:$AG$143,4,0),12,31)),""))</f>
        <v>44561</v>
      </c>
      <c r="F10" s="4" t="str">
        <f>IF(F8="","",IFERROR(IF(VLOOKUP(F9,Indicadores_Generales!$B$17:$AG$143,4,0)=0,"",DATE(VLOOKUP(F9,Indicadores_Generales!$B$17:$AG$143,4,0),12,31)),""))</f>
        <v/>
      </c>
      <c r="G10" s="4">
        <f>IF(G8="","",IFERROR(IF(VLOOKUP(G9,Indicadores_Generales!$B$17:$AG$143,4,0)=0,"",DATE(VLOOKUP(G9,Indicadores_Generales!$B$17:$AG$143,4,0),12,31)),""))</f>
        <v>44561</v>
      </c>
      <c r="H10" s="4" t="str">
        <f>IF(H8="","",IFERROR(IF(VLOOKUP(H9,Indicadores_Generales!$B$17:$AG$143,4,0)=0,"",DATE(VLOOKUP(H9,Indicadores_Generales!$B$17:$AG$143,4,0),12,31)),""))</f>
        <v/>
      </c>
      <c r="I10" s="4">
        <f>IF(I8="","",IFERROR(IF(VLOOKUP(I9,Indicadores_Generales!$B$17:$AG$143,4,0)=0,"",DATE(VLOOKUP(I9,Indicadores_Generales!$B$17:$AG$143,4,0),12,31)),""))</f>
        <v>44561</v>
      </c>
      <c r="J10" s="4">
        <f>IF(J8="","",IFERROR(IF(VLOOKUP(J9,Indicadores_Generales!$B$17:$AG$143,4,0)=0,"",DATE(VLOOKUP(J9,Indicadores_Generales!$B$17:$AG$143,4,0),12,31)),""))</f>
        <v>44561</v>
      </c>
      <c r="K10" s="4">
        <f>IF(K8="","",IFERROR(IF(VLOOKUP(K9,Indicadores_Generales!$B$17:$AG$143,4,0)=0,"",DATE(VLOOKUP(K9,Indicadores_Generales!$B$17:$AG$143,4,0),12,31)),""))</f>
        <v>44561</v>
      </c>
      <c r="L10" s="4">
        <f>IF(L8="","",IFERROR(IF(VLOOKUP(L9,Indicadores_Generales!$B$17:$AG$143,4,0)=0,"",DATE(VLOOKUP(L9,Indicadores_Generales!$B$17:$AG$143,4,0),12,31)),""))</f>
        <v>44561</v>
      </c>
      <c r="M10" s="4">
        <f>IF(M8="","",IFERROR(IF(VLOOKUP(M9,Indicadores_Generales!$B$17:$AG$143,4,0)=0,"",DATE(VLOOKUP(M9,Indicadores_Generales!$B$17:$AG$143,4,0),12,31)),""))</f>
        <v>44561</v>
      </c>
      <c r="N10" s="4">
        <f>IF(N8="","",IFERROR(IF(VLOOKUP(N9,Indicadores_Generales!$B$17:$AG$143,4,0)=0,"",DATE(VLOOKUP(N9,Indicadores_Generales!$B$17:$AG$143,4,0),12,31)),""))</f>
        <v>44561</v>
      </c>
      <c r="O10" s="4">
        <f>IF(O8="","",IFERROR(IF(VLOOKUP(O9,Indicadores_Generales!$B$17:$AG$143,4,0)=0,"",DATE(VLOOKUP(O9,Indicadores_Generales!$B$17:$AG$143,4,0),12,31)),""))</f>
        <v>44561</v>
      </c>
      <c r="P10" s="4">
        <f>IF(P8="","",IFERROR(IF(VLOOKUP(P9,Indicadores_Generales!$B$17:$AG$143,4,0)=0,"",DATE(VLOOKUP(P9,Indicadores_Generales!$B$17:$AG$143,4,0),12,31)),""))</f>
        <v>44926</v>
      </c>
      <c r="Q10" s="45">
        <f>IF(Q8="","",IFERROR(IF(VLOOKUP(Q9,Indicadores_Generales!$B$17:$AG$143,4,0)=0,"",DATE(VLOOKUP(Q9,Indicadores_Generales!$B$17:$AG$143,4,0),12,31)),""))</f>
        <v>44561</v>
      </c>
    </row>
    <row r="11" spans="1:17" s="3" customFormat="1" ht="24" customHeight="1" x14ac:dyDescent="0.25">
      <c r="B11" s="40" t="s">
        <v>21</v>
      </c>
      <c r="C11" s="38" t="str">
        <f>IF(C8="","",IF(C10="","","VIGENTE"))</f>
        <v>VIGENTE</v>
      </c>
      <c r="D11" s="38" t="str">
        <f t="shared" ref="D11:Q11" si="0">IF(D8="","",IF(D10="","","VIGENTE"))</f>
        <v>VIGENTE</v>
      </c>
      <c r="E11" s="38" t="str">
        <f t="shared" si="0"/>
        <v>VIGENTE</v>
      </c>
      <c r="F11" s="38" t="str">
        <f t="shared" si="0"/>
        <v/>
      </c>
      <c r="G11" s="38" t="str">
        <f t="shared" si="0"/>
        <v>VIGENTE</v>
      </c>
      <c r="H11" s="38" t="str">
        <f t="shared" si="0"/>
        <v/>
      </c>
      <c r="I11" s="38" t="str">
        <f t="shared" si="0"/>
        <v>VIGENTE</v>
      </c>
      <c r="J11" s="38" t="str">
        <f t="shared" si="0"/>
        <v>VIGENTE</v>
      </c>
      <c r="K11" s="38" t="str">
        <f t="shared" si="0"/>
        <v>VIGENTE</v>
      </c>
      <c r="L11" s="38" t="str">
        <f t="shared" si="0"/>
        <v>VIGENTE</v>
      </c>
      <c r="M11" s="38" t="str">
        <f t="shared" si="0"/>
        <v>VIGENTE</v>
      </c>
      <c r="N11" s="38" t="str">
        <f t="shared" si="0"/>
        <v>VIGENTE</v>
      </c>
      <c r="O11" s="38" t="str">
        <f t="shared" si="0"/>
        <v>VIGENTE</v>
      </c>
      <c r="P11" s="38" t="str">
        <f t="shared" si="0"/>
        <v>VIGENTE</v>
      </c>
      <c r="Q11" s="39" t="str">
        <f t="shared" si="0"/>
        <v>VIGENTE</v>
      </c>
    </row>
    <row r="12" spans="1:17" s="3" customFormat="1" ht="15.75" x14ac:dyDescent="0.25">
      <c r="B12" s="40" t="s">
        <v>22</v>
      </c>
      <c r="C12" s="7">
        <f>IF(C8="","",SUMIFS(Indicadores_Generales!$G:$G,Indicadores_Generales!$B:$B,C9))</f>
        <v>1</v>
      </c>
      <c r="D12" s="7">
        <f>IF(D8="","",SUMIFS(Indicadores_Generales!$G:$G,Indicadores_Generales!$B:$B,D9))</f>
        <v>1</v>
      </c>
      <c r="E12" s="7">
        <f>IF(E8="","",SUMIFS(Indicadores_Generales!$G:$G,Indicadores_Generales!$B:$B,E9))</f>
        <v>1</v>
      </c>
      <c r="F12" s="7">
        <f>IF(F8="","",SUMIFS(Indicadores_Generales!$G:$G,Indicadores_Generales!$B:$B,F9))</f>
        <v>1</v>
      </c>
      <c r="G12" s="7">
        <f>IF(G8="","",SUMIFS(Indicadores_Generales!$G:$G,Indicadores_Generales!$B:$B,G9))</f>
        <v>1</v>
      </c>
      <c r="H12" s="7">
        <f>IF(H8="","",SUMIFS(Indicadores_Generales!$G:$G,Indicadores_Generales!$B:$B,H9))</f>
        <v>1</v>
      </c>
      <c r="I12" s="7">
        <f>IF(I8="","",SUMIFS(Indicadores_Generales!$G:$G,Indicadores_Generales!$B:$B,I9))</f>
        <v>1</v>
      </c>
      <c r="J12" s="7">
        <f>IF(J8="","",SUMIFS(Indicadores_Generales!$G:$G,Indicadores_Generales!$B:$B,J9))</f>
        <v>1</v>
      </c>
      <c r="K12" s="7">
        <f>IF(K8="","",SUMIFS(Indicadores_Generales!$G:$G,Indicadores_Generales!$B:$B,K9))</f>
        <v>1</v>
      </c>
      <c r="L12" s="7">
        <f>IF(L8="","",SUMIFS(Indicadores_Generales!$G:$G,Indicadores_Generales!$B:$B,L9))</f>
        <v>1</v>
      </c>
      <c r="M12" s="7">
        <f>IF(M8="","",SUMIFS(Indicadores_Generales!$G:$G,Indicadores_Generales!$B:$B,M9))</f>
        <v>1</v>
      </c>
      <c r="N12" s="7">
        <f>IF(N8="","",SUMIFS(Indicadores_Generales!$G:$G,Indicadores_Generales!$B:$B,N9))</f>
        <v>1</v>
      </c>
      <c r="O12" s="7">
        <f>IF(O8="","",SUMIFS(Indicadores_Generales!$G:$G,Indicadores_Generales!$B:$B,O9))</f>
        <v>1</v>
      </c>
      <c r="P12" s="7">
        <f>IF(P8="","",SUMIFS(Indicadores_Generales!$G:$G,Indicadores_Generales!$B:$B,P9))</f>
        <v>1</v>
      </c>
      <c r="Q12" s="46">
        <f>IF(Q8="","",SUMIFS(Indicadores_Generales!$G:$G,Indicadores_Generales!$B:$B,Q9))</f>
        <v>1</v>
      </c>
    </row>
    <row r="13" spans="1:17" s="3" customFormat="1" ht="26.25" customHeight="1" x14ac:dyDescent="0.25">
      <c r="B13" s="40" t="s">
        <v>4</v>
      </c>
      <c r="C13" s="8">
        <f>IF(C8="","",SUMIFS(Indicadores_Generales!$U:$U,Indicadores_Generales!$B:$B,C9))</f>
        <v>35711048300</v>
      </c>
      <c r="D13" s="8">
        <f>IF(D8="","",SUMIFS(Indicadores_Generales!$U:$U,Indicadores_Generales!$B:$B,D9))</f>
        <v>259194410.19999999</v>
      </c>
      <c r="E13" s="8">
        <f>IF(E8="","",SUMIFS(Indicadores_Generales!$U:$U,Indicadores_Generales!$B:$B,E9))</f>
        <v>1843941750</v>
      </c>
      <c r="F13" s="8">
        <f>IF(F8="","",SUMIFS(Indicadores_Generales!$U:$U,Indicadores_Generales!$B:$B,F9))</f>
        <v>0</v>
      </c>
      <c r="G13" s="8">
        <f>IF(G8="","",SUMIFS(Indicadores_Generales!$U:$U,Indicadores_Generales!$B:$B,G9))</f>
        <v>552324992.95000005</v>
      </c>
      <c r="H13" s="8">
        <f>IF(H8="","",SUMIFS(Indicadores_Generales!$U:$U,Indicadores_Generales!$B:$B,H9))</f>
        <v>590583965.5</v>
      </c>
      <c r="I13" s="8">
        <f>IF(I8="","",SUMIFS(Indicadores_Generales!$U:$U,Indicadores_Generales!$B:$B,I9))</f>
        <v>1809045662</v>
      </c>
      <c r="J13" s="8">
        <f>IF(J8="","",SUMIFS(Indicadores_Generales!$U:$U,Indicadores_Generales!$B:$B,J9))</f>
        <v>431875947</v>
      </c>
      <c r="K13" s="8">
        <f>IF(K8="","",SUMIFS(Indicadores_Generales!$U:$U,Indicadores_Generales!$B:$B,K9))</f>
        <v>1048004668.25</v>
      </c>
      <c r="L13" s="8">
        <f>IF(L8="","",SUMIFS(Indicadores_Generales!$U:$U,Indicadores_Generales!$B:$B,L9))</f>
        <v>1667674726.4499998</v>
      </c>
      <c r="M13" s="8">
        <f>IF(M8="","",SUMIFS(Indicadores_Generales!$U:$U,Indicadores_Generales!$B:$B,M9))</f>
        <v>2457840533</v>
      </c>
      <c r="N13" s="8">
        <f>IF(N8="","",SUMIFS(Indicadores_Generales!$U:$U,Indicadores_Generales!$B:$B,N9))</f>
        <v>5057288833</v>
      </c>
      <c r="O13" s="8">
        <f>IF(O8="","",SUMIFS(Indicadores_Generales!$U:$U,Indicadores_Generales!$B:$B,O9))</f>
        <v>1072986730.6999999</v>
      </c>
      <c r="P13" s="8">
        <f>IF(P8="","",SUMIFS(Indicadores_Generales!$U:$U,Indicadores_Generales!$B:$B,P9))</f>
        <v>17060925.650000002</v>
      </c>
      <c r="Q13" s="8">
        <f>IF(Q8="","",SUMIFS(Indicadores_Generales!$U:$U,Indicadores_Generales!$B:$B,Q9))</f>
        <v>439837400</v>
      </c>
    </row>
    <row r="14" spans="1:17" s="3" customFormat="1" ht="26.25" customHeight="1" x14ac:dyDescent="0.25">
      <c r="B14" s="40" t="s">
        <v>5</v>
      </c>
      <c r="C14" s="8">
        <f>IF(C8="","",SUMIFS(Indicadores_Generales!$V:$V,Indicadores_Generales!$B:$B,C9))</f>
        <v>13958788092</v>
      </c>
      <c r="D14" s="8">
        <f>IF(D8="","",SUMIFS(Indicadores_Generales!$V:$V,Indicadores_Generales!$B:$B,D9))</f>
        <v>210424082.59999999</v>
      </c>
      <c r="E14" s="8">
        <f>IF(E8="","",SUMIFS(Indicadores_Generales!$V:$V,Indicadores_Generales!$B:$B,E9))</f>
        <v>22740530</v>
      </c>
      <c r="F14" s="8">
        <f>IF(F8="","",SUMIFS(Indicadores_Generales!$V:$V,Indicadores_Generales!$B:$B,F9))</f>
        <v>0</v>
      </c>
      <c r="G14" s="8">
        <f>IF(G8="","",SUMIFS(Indicadores_Generales!$V:$V,Indicadores_Generales!$B:$B,G9))</f>
        <v>4954474.8</v>
      </c>
      <c r="H14" s="8">
        <f>IF(H8="","",SUMIFS(Indicadores_Generales!$V:$V,Indicadores_Generales!$B:$B,H9))</f>
        <v>15077471</v>
      </c>
      <c r="I14" s="8">
        <f>IF(I8="","",SUMIFS(Indicadores_Generales!$V:$V,Indicadores_Generales!$B:$B,I9))</f>
        <v>979460767</v>
      </c>
      <c r="J14" s="8">
        <f>IF(J8="","",SUMIFS(Indicadores_Generales!$V:$V,Indicadores_Generales!$B:$B,J9))</f>
        <v>18954000</v>
      </c>
      <c r="K14" s="8">
        <f>IF(K8="","",SUMIFS(Indicadores_Generales!$V:$V,Indicadores_Generales!$B:$B,K9))</f>
        <v>26673941</v>
      </c>
      <c r="L14" s="8">
        <f>IF(L8="","",SUMIFS(Indicadores_Generales!$V:$V,Indicadores_Generales!$B:$B,L9))</f>
        <v>186966152.84999999</v>
      </c>
      <c r="M14" s="8">
        <f>IF(M8="","",SUMIFS(Indicadores_Generales!$V:$V,Indicadores_Generales!$B:$B,M9))</f>
        <v>29361929</v>
      </c>
      <c r="N14" s="8">
        <f>IF(N8="","",SUMIFS(Indicadores_Generales!$V:$V,Indicadores_Generales!$B:$B,N9))</f>
        <v>210403827</v>
      </c>
      <c r="O14" s="8">
        <f>IF(O8="","",SUMIFS(Indicadores_Generales!$V:$V,Indicadores_Generales!$B:$B,O9))</f>
        <v>134384920</v>
      </c>
      <c r="P14" s="8">
        <f>IF(P8="","",SUMIFS(Indicadores_Generales!$V:$V,Indicadores_Generales!$B:$B,P9))</f>
        <v>256800</v>
      </c>
      <c r="Q14" s="47">
        <f>IF(Q8="","",SUMIFS(Indicadores_Generales!$V:$V,Indicadores_Generales!$B:$B,Q9))</f>
        <v>0</v>
      </c>
    </row>
    <row r="15" spans="1:17" s="3" customFormat="1" ht="26.25" customHeight="1" x14ac:dyDescent="0.25">
      <c r="B15" s="40" t="s">
        <v>6</v>
      </c>
      <c r="C15" s="8">
        <f>IF(C8="","",SUMIFS(Indicadores_Generales!$W:$W,Indicadores_Generales!$B:$B,C9))</f>
        <v>40471562272</v>
      </c>
      <c r="D15" s="8">
        <f>IF(D8="","",SUMIFS(Indicadores_Generales!$W:$W,Indicadores_Generales!$B:$B,D9))</f>
        <v>312919791.55000001</v>
      </c>
      <c r="E15" s="8">
        <f>IF(E8="","",SUMIFS(Indicadores_Generales!$W:$W,Indicadores_Generales!$B:$B,E9))</f>
        <v>2985941750</v>
      </c>
      <c r="F15" s="8">
        <f>IF(F8="","",SUMIFS(Indicadores_Generales!$W:$W,Indicadores_Generales!$B:$B,F9))</f>
        <v>0</v>
      </c>
      <c r="G15" s="8">
        <f>IF(G8="","",SUMIFS(Indicadores_Generales!$W:$W,Indicadores_Generales!$B:$B,G9))</f>
        <v>1027879742.95</v>
      </c>
      <c r="H15" s="8">
        <f>IF(H8="","",SUMIFS(Indicadores_Generales!$W:$W,Indicadores_Generales!$B:$B,H9))</f>
        <v>787528434.5</v>
      </c>
      <c r="I15" s="8">
        <f>IF(I8="","",SUMIFS(Indicadores_Generales!$W:$W,Indicadores_Generales!$B:$B,I9))</f>
        <v>3598988047</v>
      </c>
      <c r="J15" s="8">
        <f>IF(J8="","",SUMIFS(Indicadores_Generales!$W:$W,Indicadores_Generales!$B:$B,J9))</f>
        <v>473118147</v>
      </c>
      <c r="K15" s="8">
        <f>IF(K8="","",SUMIFS(Indicadores_Generales!$W:$W,Indicadores_Generales!$B:$B,K9))</f>
        <v>1236804409</v>
      </c>
      <c r="L15" s="8">
        <f>IF(L8="","",SUMIFS(Indicadores_Generales!$W:$W,Indicadores_Generales!$B:$B,L9))</f>
        <v>2260439742.3999996</v>
      </c>
      <c r="M15" s="8">
        <f>IF(M8="","",SUMIFS(Indicadores_Generales!$W:$W,Indicadores_Generales!$B:$B,M9))</f>
        <v>2754957733</v>
      </c>
      <c r="N15" s="8">
        <f>IF(N8="","",SUMIFS(Indicadores_Generales!$W:$W,Indicadores_Generales!$B:$B,N9))</f>
        <v>6195234360</v>
      </c>
      <c r="O15" s="8">
        <f>IF(O8="","",SUMIFS(Indicadores_Generales!$W:$W,Indicadores_Generales!$B:$B,O9))</f>
        <v>1072986730.6999999</v>
      </c>
      <c r="P15" s="8">
        <f>IF(P8="","",SUMIFS(Indicadores_Generales!$W:$W,Indicadores_Generales!$B:$B,P9))</f>
        <v>777060925.64999998</v>
      </c>
      <c r="Q15" s="47">
        <f>IF(Q8="","",SUMIFS(Indicadores_Generales!$W:$W,Indicadores_Generales!$B:$B,Q9))</f>
        <v>1635775750</v>
      </c>
    </row>
    <row r="16" spans="1:17" s="3" customFormat="1" ht="26.25" customHeight="1" x14ac:dyDescent="0.25">
      <c r="B16" s="40" t="s">
        <v>7</v>
      </c>
      <c r="C16" s="8">
        <f>IF(C8="","",SUMIFS(Indicadores_Generales!$X:$X,Indicadores_Generales!$B:$B,C9))</f>
        <v>21823391119</v>
      </c>
      <c r="D16" s="8">
        <f>IF(D8="","",SUMIFS(Indicadores_Generales!$X:$X,Indicadores_Generales!$B:$B,D9))</f>
        <v>210424082.59999999</v>
      </c>
      <c r="E16" s="8">
        <f>IF(E8="","",SUMIFS(Indicadores_Generales!$X:$X,Indicadores_Generales!$B:$B,E9))</f>
        <v>1599457712</v>
      </c>
      <c r="F16" s="8">
        <f>IF(F8="","",SUMIFS(Indicadores_Generales!$X:$X,Indicadores_Generales!$B:$B,F9))</f>
        <v>0</v>
      </c>
      <c r="G16" s="8">
        <f>IF(G8="","",SUMIFS(Indicadores_Generales!$X:$X,Indicadores_Generales!$B:$B,G9))</f>
        <v>40873694.5</v>
      </c>
      <c r="H16" s="8">
        <f>IF(H8="","",SUMIFS(Indicadores_Generales!$X:$X,Indicadores_Generales!$B:$B,H9))</f>
        <v>15077471</v>
      </c>
      <c r="I16" s="8">
        <f>IF(I8="","",SUMIFS(Indicadores_Generales!$X:$X,Indicadores_Generales!$B:$B,I9))</f>
        <v>1833213961</v>
      </c>
      <c r="J16" s="8">
        <f>IF(J8="","",SUMIFS(Indicadores_Generales!$X:$X,Indicadores_Generales!$B:$B,J9))</f>
        <v>55726260</v>
      </c>
      <c r="K16" s="8">
        <f>IF(K8="","",SUMIFS(Indicadores_Generales!$X:$X,Indicadores_Generales!$B:$B,K9))</f>
        <v>329028932.75</v>
      </c>
      <c r="L16" s="8">
        <f>IF(L8="","",SUMIFS(Indicadores_Generales!$X:$X,Indicadores_Generales!$B:$B,L9))</f>
        <v>246254786.59999999</v>
      </c>
      <c r="M16" s="8">
        <f>IF(M8="","",SUMIFS(Indicadores_Generales!$X:$X,Indicadores_Generales!$B:$B,M9))</f>
        <v>29361929</v>
      </c>
      <c r="N16" s="8">
        <f>IF(N8="","",SUMIFS(Indicadores_Generales!$X:$X,Indicadores_Generales!$B:$B,N9))</f>
        <v>2416250857</v>
      </c>
      <c r="O16" s="8">
        <f>IF(O8="","",SUMIFS(Indicadores_Generales!$X:$X,Indicadores_Generales!$B:$B,O9))</f>
        <v>331133908.54999995</v>
      </c>
      <c r="P16" s="8">
        <f>IF(P8="","",SUMIFS(Indicadores_Generales!$X:$X,Indicadores_Generales!$B:$B,P9))</f>
        <v>2827241</v>
      </c>
      <c r="Q16" s="47">
        <f>IF(Q8="","",SUMIFS(Indicadores_Generales!$X:$X,Indicadores_Generales!$B:$B,Q9))</f>
        <v>239984900</v>
      </c>
    </row>
    <row r="17" spans="1:17" s="3" customFormat="1" ht="26.25" customHeight="1" x14ac:dyDescent="0.25">
      <c r="B17" s="40" t="s">
        <v>23</v>
      </c>
      <c r="C17" s="8">
        <f>IF(C8="","",SUMIFS(Indicadores_Generales!$Y:$Y,Indicadores_Generales!$B:$B,C9))</f>
        <v>18648171153</v>
      </c>
      <c r="D17" s="8">
        <f>IF(D8="","",SUMIFS(Indicadores_Generales!$Y:$Y,Indicadores_Generales!$B:$B,D9))</f>
        <v>102495708.94999999</v>
      </c>
      <c r="E17" s="8">
        <f>IF(E8="","",SUMIFS(Indicadores_Generales!$Y:$Y,Indicadores_Generales!$B:$B,E9))</f>
        <v>1386484038</v>
      </c>
      <c r="F17" s="8">
        <f>IF(F8="","",SUMIFS(Indicadores_Generales!$Y:$Y,Indicadores_Generales!$B:$B,F9))</f>
        <v>0</v>
      </c>
      <c r="G17" s="8">
        <f>IF(G8="","",SUMIFS(Indicadores_Generales!$Y:$Y,Indicadores_Generales!$B:$B,G9))</f>
        <v>987006048.45000005</v>
      </c>
      <c r="H17" s="8">
        <f>IF(H8="","",SUMIFS(Indicadores_Generales!$Y:$Y,Indicadores_Generales!$B:$B,H9))</f>
        <v>772450963.5</v>
      </c>
      <c r="I17" s="8">
        <f>IF(I8="","",SUMIFS(Indicadores_Generales!$Y:$Y,Indicadores_Generales!$B:$B,I9))</f>
        <v>1765774086</v>
      </c>
      <c r="J17" s="8">
        <f>IF(J8="","",SUMIFS(Indicadores_Generales!$Y:$Y,Indicadores_Generales!$B:$B,J9))</f>
        <v>417391887</v>
      </c>
      <c r="K17" s="8">
        <f>IF(K8="","",SUMIFS(Indicadores_Generales!$Y:$Y,Indicadores_Generales!$B:$B,K9))</f>
        <v>907775476.25</v>
      </c>
      <c r="L17" s="8">
        <f>IF(L8="","",SUMIFS(Indicadores_Generales!$Y:$Y,Indicadores_Generales!$B:$B,L9))</f>
        <v>2014184955.7999997</v>
      </c>
      <c r="M17" s="8">
        <f>IF(M8="","",SUMIFS(Indicadores_Generales!$Y:$Y,Indicadores_Generales!$B:$B,M9))</f>
        <v>2725595804</v>
      </c>
      <c r="N17" s="8">
        <f>IF(N8="","",SUMIFS(Indicadores_Generales!$Y:$Y,Indicadores_Generales!$B:$B,N9))</f>
        <v>3778983503</v>
      </c>
      <c r="O17" s="8">
        <f>IF(O8="","",SUMIFS(Indicadores_Generales!$Y:$Y,Indicadores_Generales!$B:$B,O9))</f>
        <v>741852822.14999998</v>
      </c>
      <c r="P17" s="8">
        <f>IF(P8="","",SUMIFS(Indicadores_Generales!$Y:$Y,Indicadores_Generales!$B:$B,P9))</f>
        <v>774233684.64999998</v>
      </c>
      <c r="Q17" s="47">
        <f>IF(Q8="","",SUMIFS(Indicadores_Generales!$Y:$Y,Indicadores_Generales!$B:$B,Q9))</f>
        <v>1395790850</v>
      </c>
    </row>
    <row r="18" spans="1:17" s="3" customFormat="1" ht="36.75" customHeight="1" x14ac:dyDescent="0.25">
      <c r="B18" s="40" t="s">
        <v>24</v>
      </c>
      <c r="C18" s="8">
        <f>IF(C8="","",C15-C16-C17)</f>
        <v>0</v>
      </c>
      <c r="D18" s="8">
        <f t="shared" ref="D18:Q18" si="1">IF(D8="","",D15-D16-D17)</f>
        <v>2.9802322387695313E-8</v>
      </c>
      <c r="E18" s="8">
        <f t="shared" si="1"/>
        <v>0</v>
      </c>
      <c r="F18" s="8">
        <f t="shared" si="1"/>
        <v>0</v>
      </c>
      <c r="G18" s="8">
        <f t="shared" si="1"/>
        <v>0</v>
      </c>
      <c r="H18" s="8">
        <f t="shared" si="1"/>
        <v>0</v>
      </c>
      <c r="I18" s="8">
        <f t="shared" si="1"/>
        <v>0</v>
      </c>
      <c r="J18" s="8">
        <f t="shared" si="1"/>
        <v>0</v>
      </c>
      <c r="K18" s="8">
        <f t="shared" si="1"/>
        <v>0</v>
      </c>
      <c r="L18" s="8">
        <f t="shared" si="1"/>
        <v>0</v>
      </c>
      <c r="M18" s="8">
        <f t="shared" si="1"/>
        <v>0</v>
      </c>
      <c r="N18" s="8">
        <f t="shared" si="1"/>
        <v>0</v>
      </c>
      <c r="O18" s="8">
        <f t="shared" si="1"/>
        <v>0</v>
      </c>
      <c r="P18" s="8">
        <f t="shared" si="1"/>
        <v>0</v>
      </c>
      <c r="Q18" s="47">
        <f t="shared" si="1"/>
        <v>0</v>
      </c>
    </row>
    <row r="19" spans="1:17" s="3" customFormat="1" ht="26.25" customHeight="1" x14ac:dyDescent="0.25">
      <c r="B19" s="40" t="s">
        <v>25</v>
      </c>
      <c r="C19" s="8">
        <f>IF(C8="","",SUMIFS(Indicadores_Generales!$Z:$Z,Indicadores_Generales!$B:$B,C9))</f>
        <v>8714902879</v>
      </c>
      <c r="D19" s="8">
        <f>IF(D8="","",SUMIFS(Indicadores_Generales!$Z:$Z,Indicadores_Generales!$B:$B,D9))</f>
        <v>14096176.049999999</v>
      </c>
      <c r="E19" s="8">
        <f>IF(E8="","",SUMIFS(Indicadores_Generales!$Z:$Z,Indicadores_Generales!$B:$B,E9))</f>
        <v>89762966</v>
      </c>
      <c r="F19" s="8">
        <f>IF(F8="","",SUMIFS(Indicadores_Generales!$Z:$Z,Indicadores_Generales!$B:$B,F9))</f>
        <v>0</v>
      </c>
      <c r="G19" s="8">
        <f>IF(G8="","",SUMIFS(Indicadores_Generales!$Z:$Z,Indicadores_Generales!$B:$B,G9))</f>
        <v>211959659.84999999</v>
      </c>
      <c r="H19" s="8">
        <f>IF(H8="","",SUMIFS(Indicadores_Generales!$Z:$Z,Indicadores_Generales!$B:$B,H9))</f>
        <v>107367995</v>
      </c>
      <c r="I19" s="8">
        <f>IF(I8="","",SUMIFS(Indicadores_Generales!$Z:$Z,Indicadores_Generales!$B:$B,I9))</f>
        <v>18993458</v>
      </c>
      <c r="J19" s="8">
        <f>IF(J8="","",SUMIFS(Indicadores_Generales!$Z:$Z,Indicadores_Generales!$B:$B,J9))</f>
        <v>256081702</v>
      </c>
      <c r="K19" s="8">
        <f>IF(K8="","",SUMIFS(Indicadores_Generales!$Z:$Z,Indicadores_Generales!$B:$B,K9))</f>
        <v>476120348.25</v>
      </c>
      <c r="L19" s="8">
        <f>IF(L8="","",SUMIFS(Indicadores_Generales!$Z:$Z,Indicadores_Generales!$B:$B,L9))</f>
        <v>965677093.54999995</v>
      </c>
      <c r="M19" s="8">
        <f>IF(M8="","",SUMIFS(Indicadores_Generales!$Z:$Z,Indicadores_Generales!$B:$B,M9))</f>
        <v>227419662</v>
      </c>
      <c r="N19" s="8">
        <f>IF(N8="","",SUMIFS(Indicadores_Generales!$Z:$Z,Indicadores_Generales!$B:$B,N9))</f>
        <v>1767287627</v>
      </c>
      <c r="O19" s="8">
        <f>IF(O8="","",SUMIFS(Indicadores_Generales!$Z:$Z,Indicadores_Generales!$B:$B,O9))</f>
        <v>485268418.69999999</v>
      </c>
      <c r="P19" s="8">
        <f>IF(P8="","",SUMIFS(Indicadores_Generales!$Z:$Z,Indicadores_Generales!$B:$B,P9))</f>
        <v>5561338</v>
      </c>
      <c r="Q19" s="47">
        <f>IF(Q8="","",SUMIFS(Indicadores_Generales!$Z:$Z,Indicadores_Generales!$B:$B,Q9))</f>
        <v>229429800</v>
      </c>
    </row>
    <row r="20" spans="1:17" s="3" customFormat="1" ht="26.25" customHeight="1" x14ac:dyDescent="0.25">
      <c r="B20" s="40" t="s">
        <v>26</v>
      </c>
      <c r="C20" s="8">
        <f>IF(C8="","",SUMIFS(Indicadores_Generales!$AA:$AA,Indicadores_Generales!$B:$B,C9))</f>
        <v>74471767</v>
      </c>
      <c r="D20" s="8">
        <f>IF(D8="","",SUMIFS(Indicadores_Generales!$AA:$AA,Indicadores_Generales!$B:$B,D9))</f>
        <v>0</v>
      </c>
      <c r="E20" s="8">
        <f>IF(E8="","",SUMIFS(Indicadores_Generales!$AA:$AA,Indicadores_Generales!$B:$B,E9))</f>
        <v>785600</v>
      </c>
      <c r="F20" s="8">
        <f>IF(F8="","",SUMIFS(Indicadores_Generales!$AA:$AA,Indicadores_Generales!$B:$B,F9))</f>
        <v>0</v>
      </c>
      <c r="G20" s="8">
        <f>IF(G8="","",SUMIFS(Indicadores_Generales!$AA:$AA,Indicadores_Generales!$B:$B,G9))</f>
        <v>5474746.8000000007</v>
      </c>
      <c r="H20" s="8">
        <f>IF(H8="","",SUMIFS(Indicadores_Generales!$AA:$AA,Indicadores_Generales!$B:$B,H9))</f>
        <v>1865955</v>
      </c>
      <c r="I20" s="8">
        <f>IF(I8="","",SUMIFS(Indicadores_Generales!$AA:$AA,Indicadores_Generales!$B:$B,I9))</f>
        <v>6840000</v>
      </c>
      <c r="J20" s="8">
        <f>IF(J8="","",SUMIFS(Indicadores_Generales!$AA:$AA,Indicadores_Generales!$B:$B,J9))</f>
        <v>2258000</v>
      </c>
      <c r="K20" s="8">
        <f>IF(K8="","",SUMIFS(Indicadores_Generales!$AA:$AA,Indicadores_Generales!$B:$B,K9))</f>
        <v>55950</v>
      </c>
      <c r="L20" s="8">
        <f>IF(L8="","",SUMIFS(Indicadores_Generales!$AA:$AA,Indicadores_Generales!$B:$B,L9))</f>
        <v>1545625.55</v>
      </c>
      <c r="M20" s="8">
        <f>IF(M8="","",SUMIFS(Indicadores_Generales!$AA:$AA,Indicadores_Generales!$B:$B,M9))</f>
        <v>9720826</v>
      </c>
      <c r="N20" s="8">
        <f>IF(N8="","",SUMIFS(Indicadores_Generales!$AA:$AA,Indicadores_Generales!$B:$B,N9))</f>
        <v>18458405</v>
      </c>
      <c r="O20" s="8">
        <f>IF(O8="","",SUMIFS(Indicadores_Generales!$AA:$AA,Indicadores_Generales!$B:$B,O9))</f>
        <v>177382.9</v>
      </c>
      <c r="P20" s="8">
        <f>IF(P8="","",SUMIFS(Indicadores_Generales!$AA:$AA,Indicadores_Generales!$B:$B,P9))</f>
        <v>0</v>
      </c>
      <c r="Q20" s="47">
        <f>IF(Q8="","",SUMIFS(Indicadores_Generales!$AA:$AA,Indicadores_Generales!$B:$B,Q9))</f>
        <v>28967900</v>
      </c>
    </row>
    <row r="21" spans="1:17" s="3" customFormat="1" ht="58.5" customHeight="1" x14ac:dyDescent="0.25">
      <c r="B21" s="40" t="s">
        <v>27</v>
      </c>
      <c r="C21" s="9">
        <f>IF(C8="","",C19/C17)</f>
        <v>0.46733284500115718</v>
      </c>
      <c r="D21" s="9">
        <f t="shared" ref="D21:Q21" si="2">IF(D8="","",D19/D17)</f>
        <v>0.13752942629897288</v>
      </c>
      <c r="E21" s="9">
        <f t="shared" si="2"/>
        <v>6.474143483792491E-2</v>
      </c>
      <c r="F21" s="9" t="e">
        <f t="shared" si="2"/>
        <v>#DIV/0!</v>
      </c>
      <c r="G21" s="9">
        <f t="shared" si="2"/>
        <v>0.21475011240596009</v>
      </c>
      <c r="H21" s="9">
        <f t="shared" si="2"/>
        <v>0.13899651896802898</v>
      </c>
      <c r="I21" s="9">
        <f t="shared" si="2"/>
        <v>1.0756448489413385E-2</v>
      </c>
      <c r="J21" s="9">
        <f t="shared" si="2"/>
        <v>0.61352822126128193</v>
      </c>
      <c r="K21" s="9">
        <f t="shared" si="2"/>
        <v>0.52449130947758404</v>
      </c>
      <c r="L21" s="9">
        <f t="shared" si="2"/>
        <v>0.47943814234599402</v>
      </c>
      <c r="M21" s="9">
        <f t="shared" si="2"/>
        <v>8.3438513394482758E-2</v>
      </c>
      <c r="N21" s="9">
        <f t="shared" si="2"/>
        <v>0.46766217042149388</v>
      </c>
      <c r="O21" s="9">
        <f t="shared" si="2"/>
        <v>0.65413031292867474</v>
      </c>
      <c r="P21" s="9">
        <f t="shared" si="2"/>
        <v>7.183022529579113E-3</v>
      </c>
      <c r="Q21" s="48">
        <f t="shared" si="2"/>
        <v>0.16437262072609229</v>
      </c>
    </row>
    <row r="22" spans="1:17" s="3" customFormat="1" ht="57" customHeight="1" x14ac:dyDescent="0.25">
      <c r="B22" s="40" t="s">
        <v>28</v>
      </c>
      <c r="C22" s="9">
        <f>IF(C8="","",C19/C15)</f>
        <v>0.21533398736696041</v>
      </c>
      <c r="D22" s="9">
        <f t="shared" ref="D22:Q22" si="3">IF(D8="","",D19/D15)</f>
        <v>4.5047249904445995E-2</v>
      </c>
      <c r="E22" s="9">
        <f t="shared" si="3"/>
        <v>3.0061861052714776E-2</v>
      </c>
      <c r="F22" s="9" t="e">
        <f t="shared" si="3"/>
        <v>#DIV/0!</v>
      </c>
      <c r="G22" s="9">
        <f t="shared" si="3"/>
        <v>0.20621056237734467</v>
      </c>
      <c r="H22" s="9">
        <f t="shared" si="3"/>
        <v>0.13633538840812484</v>
      </c>
      <c r="I22" s="9">
        <f t="shared" si="3"/>
        <v>5.2774440348120448E-3</v>
      </c>
      <c r="J22" s="9">
        <f t="shared" si="3"/>
        <v>0.54126374907365371</v>
      </c>
      <c r="K22" s="9">
        <f t="shared" si="3"/>
        <v>0.38496009941859771</v>
      </c>
      <c r="L22" s="9">
        <f t="shared" si="3"/>
        <v>0.42720762488660802</v>
      </c>
      <c r="M22" s="9">
        <f t="shared" si="3"/>
        <v>8.2549238151959692E-2</v>
      </c>
      <c r="N22" s="9">
        <f t="shared" si="3"/>
        <v>0.28526566136232495</v>
      </c>
      <c r="O22" s="9">
        <f t="shared" si="3"/>
        <v>0.45225947797454902</v>
      </c>
      <c r="P22" s="9">
        <f t="shared" si="3"/>
        <v>7.1568879819147039E-3</v>
      </c>
      <c r="Q22" s="48">
        <f t="shared" si="3"/>
        <v>0.140257489451106</v>
      </c>
    </row>
    <row r="23" spans="1:17" s="3" customFormat="1" ht="35.25" customHeight="1" x14ac:dyDescent="0.25">
      <c r="B23" s="10" t="s">
        <v>29</v>
      </c>
      <c r="C23" s="11">
        <f>IF(C8="","",Indicadores_Generales!$D$5)</f>
        <v>800053615</v>
      </c>
      <c r="D23" s="11">
        <f>IF(D8="","",Indicadores_Generales!$D$5)</f>
        <v>800053615</v>
      </c>
      <c r="E23" s="11">
        <f>IF(E8="","",Indicadores_Generales!$D$5)</f>
        <v>800053615</v>
      </c>
      <c r="F23" s="11">
        <f>IF(F8="","",Indicadores_Generales!$D$5)</f>
        <v>800053615</v>
      </c>
      <c r="G23" s="11">
        <f>IF(G8="","",Indicadores_Generales!$D$5)</f>
        <v>800053615</v>
      </c>
      <c r="H23" s="11">
        <f>IF(H8="","",Indicadores_Generales!$D$5)</f>
        <v>800053615</v>
      </c>
      <c r="I23" s="11">
        <f>IF(I8="","",Indicadores_Generales!$D$5)</f>
        <v>800053615</v>
      </c>
      <c r="J23" s="11">
        <f>IF(J8="","",Indicadores_Generales!$D$5)</f>
        <v>800053615</v>
      </c>
      <c r="K23" s="11">
        <f>IF(K8="","",Indicadores_Generales!$D$5)</f>
        <v>800053615</v>
      </c>
      <c r="L23" s="11">
        <f>IF(L8="","",Indicadores_Generales!$D$5)</f>
        <v>800053615</v>
      </c>
      <c r="M23" s="11">
        <f>IF(M8="","",Indicadores_Generales!$D$5)</f>
        <v>800053615</v>
      </c>
      <c r="N23" s="11">
        <f>IF(N8="","",Indicadores_Generales!$D$5)</f>
        <v>800053615</v>
      </c>
      <c r="O23" s="11">
        <f>IF(O8="","",Indicadores_Generales!$D$5)</f>
        <v>800053615</v>
      </c>
      <c r="P23" s="11">
        <f>IF(P8="","",Indicadores_Generales!$D$5)</f>
        <v>800053615</v>
      </c>
      <c r="Q23" s="49">
        <f>IF(Q8="","",Indicadores_Generales!$D$5)</f>
        <v>800053615</v>
      </c>
    </row>
    <row r="24" spans="1:17" s="3" customFormat="1" ht="30" customHeight="1" x14ac:dyDescent="0.25">
      <c r="B24" s="153" t="s">
        <v>30</v>
      </c>
      <c r="C24" s="154"/>
      <c r="D24" s="154"/>
      <c r="E24" s="154"/>
      <c r="F24" s="154"/>
      <c r="G24" s="154"/>
      <c r="H24" s="154"/>
      <c r="I24" s="154"/>
      <c r="J24" s="154"/>
      <c r="K24" s="154"/>
      <c r="L24" s="154"/>
      <c r="M24" s="154"/>
      <c r="N24" s="154"/>
      <c r="O24" s="154"/>
      <c r="P24" s="154"/>
      <c r="Q24" s="155"/>
    </row>
    <row r="25" spans="1:17" s="3" customFormat="1" ht="15.75" x14ac:dyDescent="0.25">
      <c r="A25" s="12"/>
      <c r="B25" s="13" t="s">
        <v>31</v>
      </c>
      <c r="C25" s="14"/>
      <c r="D25" s="14"/>
      <c r="E25" s="14"/>
      <c r="F25" s="14"/>
      <c r="G25" s="14"/>
      <c r="H25" s="14"/>
      <c r="I25" s="14"/>
      <c r="J25" s="14"/>
      <c r="K25" s="14"/>
      <c r="L25" s="14"/>
      <c r="M25" s="14"/>
      <c r="N25" s="14" t="s">
        <v>55</v>
      </c>
      <c r="O25" s="14"/>
      <c r="P25" s="14"/>
      <c r="Q25" s="15"/>
    </row>
    <row r="26" spans="1:17" s="3" customFormat="1" ht="15.75" hidden="1" x14ac:dyDescent="0.25">
      <c r="B26" s="16"/>
      <c r="C26" s="17"/>
      <c r="D26" s="17"/>
      <c r="E26" s="17"/>
      <c r="F26" s="17"/>
      <c r="G26" s="17"/>
      <c r="H26" s="17"/>
      <c r="I26" s="17"/>
      <c r="J26" s="17"/>
      <c r="K26" s="17"/>
      <c r="L26" s="17"/>
      <c r="M26" s="17"/>
      <c r="N26" s="17"/>
      <c r="O26" s="17"/>
      <c r="P26" s="17"/>
      <c r="Q26" s="18"/>
    </row>
    <row r="27" spans="1:17" s="3" customFormat="1" ht="15.75" x14ac:dyDescent="0.25">
      <c r="B27" s="153" t="s">
        <v>30</v>
      </c>
      <c r="C27" s="154"/>
      <c r="D27" s="154"/>
      <c r="E27" s="154"/>
      <c r="F27" s="154"/>
      <c r="G27" s="154"/>
      <c r="H27" s="154"/>
      <c r="I27" s="154"/>
      <c r="J27" s="154"/>
      <c r="K27" s="154"/>
      <c r="L27" s="154"/>
      <c r="M27" s="154"/>
      <c r="N27" s="154"/>
      <c r="O27" s="154"/>
      <c r="P27" s="154"/>
      <c r="Q27" s="155"/>
    </row>
    <row r="28" spans="1:17" s="3" customFormat="1" ht="15.75" x14ac:dyDescent="0.25">
      <c r="B28" s="34" t="str">
        <f>Indicadores_Generales!C9</f>
        <v>Indice de Liquidez: (mín. 1, ) veces.</v>
      </c>
      <c r="C28" s="19" t="str">
        <f>IF(C8="","",IFERROR(IF(C29&gt;=Indicadores_Generales!$D$9,$B$25,$N$25),""))</f>
        <v>HÁBIL</v>
      </c>
      <c r="D28" s="19" t="str">
        <f>IF(D8="","",IFERROR(IF(D29&gt;=Indicadores_Generales!$D$9,$B$25,$N$25),""))</f>
        <v>HÁBIL</v>
      </c>
      <c r="E28" s="19" t="str">
        <f>IF(E8="","",IFERROR(IF(E29&gt;=Indicadores_Generales!$D$9,$B$25,$N$25),""))</f>
        <v>HÁBIL</v>
      </c>
      <c r="F28" s="19" t="str">
        <f>IF(F8="","",IFERROR(IF(F29&gt;=Indicadores_Generales!$D$9,$B$25,$N$25),""))</f>
        <v>HÁBIL</v>
      </c>
      <c r="G28" s="19" t="str">
        <f>IF(G8="","",IFERROR(IF(G29&gt;=Indicadores_Generales!$D$9,$B$25,$N$25),""))</f>
        <v>HÁBIL</v>
      </c>
      <c r="H28" s="19" t="str">
        <f>IF(H8="","",IFERROR(IF(H29&gt;=Indicadores_Generales!$D$9,$B$25,$N$25),""))</f>
        <v>HÁBIL</v>
      </c>
      <c r="I28" s="19" t="str">
        <f>IF(I8="","",IFERROR(IF(I29&gt;=Indicadores_Generales!$D$9,$B$25,$N$25),""))</f>
        <v>HÁBIL</v>
      </c>
      <c r="J28" s="19" t="str">
        <f>IF(J8="","",IFERROR(IF(J29&gt;=Indicadores_Generales!$D$9,$B$25,$N$25),""))</f>
        <v>HÁBIL</v>
      </c>
      <c r="K28" s="19" t="str">
        <f>IF(K8="","",IFERROR(IF(K29&gt;=Indicadores_Generales!$D$9,$B$25,$N$25),""))</f>
        <v>HÁBIL</v>
      </c>
      <c r="L28" s="19" t="str">
        <f>IF(L8="","",IFERROR(IF(L29&gt;=Indicadores_Generales!$D$9,$B$25,$N$25),""))</f>
        <v>HÁBIL</v>
      </c>
      <c r="M28" s="19" t="str">
        <f>IF(M8="","",IFERROR(IF(M29&gt;=Indicadores_Generales!$D$9,$B$25,$N$25),""))</f>
        <v>HÁBIL</v>
      </c>
      <c r="N28" s="19" t="str">
        <f>IF(N8="","",IFERROR(IF(N29&gt;=Indicadores_Generales!$D$9,$B$25,$N$25),""))</f>
        <v>HÁBIL</v>
      </c>
      <c r="O28" s="19" t="str">
        <f>IF(O8="","",IFERROR(IF(O29&gt;=Indicadores_Generales!$D$9,$B$25,$N$25),""))</f>
        <v>HÁBIL</v>
      </c>
      <c r="P28" s="19" t="str">
        <f>IF(P8="","",IFERROR(IF(P29&gt;=Indicadores_Generales!$D$9,$B$25,$N$25),""))</f>
        <v>HÁBIL</v>
      </c>
      <c r="Q28" s="50" t="str">
        <f>IF(Q8="","",IFERROR(IF(Q29&gt;=Indicadores_Generales!$D$9,$B$25,$N$25),""))</f>
        <v>HÁBIL</v>
      </c>
    </row>
    <row r="29" spans="1:17" s="3" customFormat="1" ht="35.25" customHeight="1" x14ac:dyDescent="0.25">
      <c r="B29" s="41" t="s">
        <v>32</v>
      </c>
      <c r="C29" s="90">
        <f>IF(C8="","",IFERROR(C13/C14,"Indeterminado"))</f>
        <v>2.5583201109318767</v>
      </c>
      <c r="D29" s="90">
        <f>IF(D8="","",IFERROR(D13/D14,"Indeterminado"))</f>
        <v>1.2317716061650066</v>
      </c>
      <c r="E29" s="90">
        <f t="shared" ref="E29:Q29" si="4">IF(E8="","",IFERROR(E13/E14,"Indeterminado"))</f>
        <v>81.086137834078627</v>
      </c>
      <c r="F29" s="90" t="str">
        <f t="shared" si="4"/>
        <v>Indeterminado</v>
      </c>
      <c r="G29" s="90">
        <f t="shared" si="4"/>
        <v>111.48002871061128</v>
      </c>
      <c r="H29" s="90">
        <f t="shared" si="4"/>
        <v>39.169961958474339</v>
      </c>
      <c r="I29" s="90">
        <f t="shared" si="4"/>
        <v>1.8469812400357226</v>
      </c>
      <c r="J29" s="90">
        <f t="shared" si="4"/>
        <v>22.785477841088952</v>
      </c>
      <c r="K29" s="90">
        <f t="shared" si="4"/>
        <v>39.289457386518173</v>
      </c>
      <c r="L29" s="90">
        <f t="shared" si="4"/>
        <v>8.9196611313275991</v>
      </c>
      <c r="M29" s="90">
        <f t="shared" si="4"/>
        <v>83.708414832009169</v>
      </c>
      <c r="N29" s="90">
        <f t="shared" si="4"/>
        <v>24.036106686405471</v>
      </c>
      <c r="O29" s="90">
        <f t="shared" si="4"/>
        <v>7.9844280943129622</v>
      </c>
      <c r="P29" s="90">
        <f t="shared" si="4"/>
        <v>66.436626362928351</v>
      </c>
      <c r="Q29" s="91" t="str">
        <f t="shared" si="4"/>
        <v>Indeterminado</v>
      </c>
    </row>
    <row r="30" spans="1:17" s="3" customFormat="1" ht="35.25" customHeight="1" x14ac:dyDescent="0.25">
      <c r="B30" s="34" t="str">
        <f>Indicadores_Generales!C10</f>
        <v>Endeudamiento total: (máx. 70,%).</v>
      </c>
      <c r="C30" s="19" t="str">
        <f>IF(C8="","",IFERROR(IF(C31&lt;=Indicadores_Generales!$D$10,$B$25,$N$25),""))</f>
        <v>HÁBIL</v>
      </c>
      <c r="D30" s="19" t="str">
        <f>IF(D8="","",IFERROR(IF(D31&lt;=Indicadores_Generales!$D$10,$B$25,$N$25),""))</f>
        <v>HÁBIL</v>
      </c>
      <c r="E30" s="19" t="str">
        <f>IF(E8="","",IFERROR(IF(E31&lt;=Indicadores_Generales!$D$10,$B$25,$N$25),""))</f>
        <v>HÁBIL</v>
      </c>
      <c r="F30" s="19" t="str">
        <f>IF(F8="","",IFERROR(IF(F31&lt;=Indicadores_Generales!$D$10,$B$25,$N$25),""))</f>
        <v/>
      </c>
      <c r="G30" s="19" t="str">
        <f>IF(G8="","",IFERROR(IF(G31&lt;=Indicadores_Generales!$D$10,$B$25,$N$25),""))</f>
        <v>HÁBIL</v>
      </c>
      <c r="H30" s="19" t="str">
        <f>IF(H8="","",IFERROR(IF(H31&lt;=Indicadores_Generales!$D$10,$B$25,$N$25),""))</f>
        <v>HÁBIL</v>
      </c>
      <c r="I30" s="19" t="str">
        <f>IF(I8="","",IFERROR(IF(I31&lt;=Indicadores_Generales!$D$10,$B$25,$N$25),""))</f>
        <v>HÁBIL</v>
      </c>
      <c r="J30" s="19" t="str">
        <f>IF(J8="","",IFERROR(IF(J31&lt;=Indicadores_Generales!$D$10,$B$25,$N$25),""))</f>
        <v>HÁBIL</v>
      </c>
      <c r="K30" s="19" t="str">
        <f>IF(K8="","",IFERROR(IF(K31&lt;=Indicadores_Generales!$D$10,$B$25,$N$25),""))</f>
        <v>HÁBIL</v>
      </c>
      <c r="L30" s="19" t="str">
        <f>IF(L8="","",IFERROR(IF(L31&lt;=Indicadores_Generales!$D$10,$B$25,$N$25),""))</f>
        <v>HÁBIL</v>
      </c>
      <c r="M30" s="19" t="str">
        <f>IF(M8="","",IFERROR(IF(M31&lt;=Indicadores_Generales!$D$10,$B$25,$N$25),""))</f>
        <v>HÁBIL</v>
      </c>
      <c r="N30" s="19" t="str">
        <f>IF(N8="","",IFERROR(IF(N31&lt;=Indicadores_Generales!$D$10,$B$25,$N$25),""))</f>
        <v>HÁBIL</v>
      </c>
      <c r="O30" s="19" t="str">
        <f>IF(O8="","",IFERROR(IF(O31&lt;=Indicadores_Generales!$D$10,$B$25,$N$25),""))</f>
        <v>HÁBIL</v>
      </c>
      <c r="P30" s="19" t="str">
        <f>IF(P8="","",IFERROR(IF(P31&lt;=Indicadores_Generales!$D$10,$B$25,$N$25),""))</f>
        <v>HÁBIL</v>
      </c>
      <c r="Q30" s="50" t="str">
        <f>IF(Q8="","",IFERROR(IF(Q31&lt;=Indicadores_Generales!$D$10,$B$25,$N$25),""))</f>
        <v>HÁBIL</v>
      </c>
    </row>
    <row r="31" spans="1:17" s="3" customFormat="1" ht="35.25" customHeight="1" x14ac:dyDescent="0.25">
      <c r="B31" s="41" t="s">
        <v>33</v>
      </c>
      <c r="C31" s="92">
        <f>IF(C8="","",C16/C15)</f>
        <v>0.53922779091970907</v>
      </c>
      <c r="D31" s="92">
        <f t="shared" ref="D31:Q31" si="5">IF(D8="","",D16/D15)</f>
        <v>0.67245373505362727</v>
      </c>
      <c r="E31" s="92">
        <f t="shared" si="5"/>
        <v>0.53566273086204708</v>
      </c>
      <c r="F31" s="92" t="e">
        <f t="shared" si="5"/>
        <v>#DIV/0!</v>
      </c>
      <c r="G31" s="92">
        <f t="shared" si="5"/>
        <v>3.976505498852724E-2</v>
      </c>
      <c r="H31" s="92">
        <f t="shared" si="5"/>
        <v>1.9145303635382579E-2</v>
      </c>
      <c r="I31" s="92">
        <f t="shared" si="5"/>
        <v>0.50936928299278683</v>
      </c>
      <c r="J31" s="92">
        <f t="shared" si="5"/>
        <v>0.11778508254937006</v>
      </c>
      <c r="K31" s="92">
        <f t="shared" si="5"/>
        <v>0.26603150049896046</v>
      </c>
      <c r="L31" s="92">
        <f t="shared" si="5"/>
        <v>0.10894109760189466</v>
      </c>
      <c r="M31" s="92">
        <f t="shared" si="5"/>
        <v>1.0657850989251457E-2</v>
      </c>
      <c r="N31" s="92">
        <f t="shared" si="5"/>
        <v>0.39001766787075992</v>
      </c>
      <c r="O31" s="92">
        <f t="shared" si="5"/>
        <v>0.30860950939623766</v>
      </c>
      <c r="P31" s="92">
        <f t="shared" si="5"/>
        <v>3.638377515424617E-3</v>
      </c>
      <c r="Q31" s="93">
        <f t="shared" si="5"/>
        <v>0.14671014654667672</v>
      </c>
    </row>
    <row r="32" spans="1:17" s="3" customFormat="1" ht="35.25" customHeight="1" x14ac:dyDescent="0.25">
      <c r="B32" s="34" t="str">
        <f>Indicadores_Generales!C11</f>
        <v>Razon de Cobertura de Intereses (&gt;= a 1, veces) ó Indeterminado.</v>
      </c>
      <c r="C32" s="19" t="str">
        <f>IF(C8="","",IFERROR(IF(C33&gt;Indicadores_Generales!$D$11,$B$25,$N$25),""))</f>
        <v>HÁBIL</v>
      </c>
      <c r="D32" s="19" t="str">
        <f>IF(D8="","",IFERROR(IF(D33&gt;Indicadores_Generales!$D$11,$B$25,$N$25),""))</f>
        <v>HÁBIL</v>
      </c>
      <c r="E32" s="19" t="str">
        <f>IF(E8="","",IFERROR(IF(E33&gt;Indicadores_Generales!$D$11,$B$25,$N$25),""))</f>
        <v>HÁBIL</v>
      </c>
      <c r="F32" s="19" t="str">
        <f>IF(F8="","",IFERROR(IF(F33&gt;Indicadores_Generales!$D$11,$B$25,$N$25),""))</f>
        <v>HÁBIL</v>
      </c>
      <c r="G32" s="19" t="str">
        <f>IF(G8="","",IFERROR(IF(G33&gt;Indicadores_Generales!$D$11,$B$25,$N$25),""))</f>
        <v>HÁBIL</v>
      </c>
      <c r="H32" s="19" t="str">
        <f>IF(H8="","",IFERROR(IF(H33&gt;Indicadores_Generales!$D$11,$B$25,$N$25),""))</f>
        <v>HÁBIL</v>
      </c>
      <c r="I32" s="19" t="str">
        <f>IF(I8="","",IFERROR(IF(I33&gt;Indicadores_Generales!$D$11,$B$25,$N$25),""))</f>
        <v>HÁBIL</v>
      </c>
      <c r="J32" s="19" t="str">
        <f>IF(J8="","",IFERROR(IF(J33&gt;Indicadores_Generales!$D$11,$B$25,$N$25),""))</f>
        <v>HÁBIL</v>
      </c>
      <c r="K32" s="19" t="str">
        <f>IF(K8="","",IFERROR(IF(K33&gt;Indicadores_Generales!$D$11,$B$25,$N$25),""))</f>
        <v>HÁBIL</v>
      </c>
      <c r="L32" s="19" t="str">
        <f>IF(L8="","",IFERROR(IF(L33&gt;Indicadores_Generales!$D$11,$B$25,$N$25),""))</f>
        <v>HÁBIL</v>
      </c>
      <c r="M32" s="19" t="str">
        <f>IF(M8="","",IFERROR(IF(M33&gt;Indicadores_Generales!$D$11,$B$25,$N$25),""))</f>
        <v>HÁBIL</v>
      </c>
      <c r="N32" s="19" t="str">
        <f>IF(N8="","",IFERROR(IF(N33&gt;Indicadores_Generales!$D$11,$B$25,$N$25),""))</f>
        <v>HÁBIL</v>
      </c>
      <c r="O32" s="19" t="str">
        <f>IF(O8="","",IFERROR(IF(O33&gt;Indicadores_Generales!$D$11,$B$25,$N$25),""))</f>
        <v>HÁBIL</v>
      </c>
      <c r="P32" s="19" t="str">
        <f>IF(P8="","",IFERROR(IF(P33&gt;Indicadores_Generales!$D$11,$B$25,$N$25),""))</f>
        <v>HÁBIL</v>
      </c>
      <c r="Q32" s="50" t="str">
        <f>IF(Q8="","",IFERROR(IF(Q33&gt;Indicadores_Generales!$D$11,$B$25,$N$25),""))</f>
        <v>HÁBIL</v>
      </c>
    </row>
    <row r="33" spans="2:17" s="3" customFormat="1" ht="35.25" customHeight="1" x14ac:dyDescent="0.25">
      <c r="B33" s="41" t="s">
        <v>34</v>
      </c>
      <c r="C33" s="94">
        <f t="shared" ref="C33:D33" si="6">IF(C8="","",IFERROR(C19/C20,"Indeterminado"))</f>
        <v>117.02290989013326</v>
      </c>
      <c r="D33" s="94" t="str">
        <f t="shared" si="6"/>
        <v>Indeterminado</v>
      </c>
      <c r="E33" s="94">
        <f>IF(E8="","",IFERROR(E19/E20,"Indeterminado"))</f>
        <v>114.26039460285132</v>
      </c>
      <c r="F33" s="94" t="str">
        <f t="shared" ref="F33:Q33" si="7">IF(F8="","",IFERROR(F19/F20,"Indeterminado"))</f>
        <v>Indeterminado</v>
      </c>
      <c r="G33" s="94">
        <f t="shared" si="7"/>
        <v>38.715883600315536</v>
      </c>
      <c r="H33" s="94">
        <f t="shared" si="7"/>
        <v>57.540506067938402</v>
      </c>
      <c r="I33" s="94">
        <f t="shared" si="7"/>
        <v>2.7768213450292398</v>
      </c>
      <c r="J33" s="94">
        <f t="shared" si="7"/>
        <v>113.41085119574845</v>
      </c>
      <c r="K33" s="94">
        <f t="shared" si="7"/>
        <v>8509.7470643431643</v>
      </c>
      <c r="L33" s="94">
        <f t="shared" si="7"/>
        <v>624.78075207154791</v>
      </c>
      <c r="M33" s="94">
        <f t="shared" si="7"/>
        <v>23.395096466082205</v>
      </c>
      <c r="N33" s="94">
        <f t="shared" si="7"/>
        <v>95.744330401245392</v>
      </c>
      <c r="O33" s="94">
        <f t="shared" si="7"/>
        <v>2735.7113831152833</v>
      </c>
      <c r="P33" s="94" t="str">
        <f t="shared" si="7"/>
        <v>Indeterminado</v>
      </c>
      <c r="Q33" s="95">
        <f t="shared" si="7"/>
        <v>7.9201391885500847</v>
      </c>
    </row>
    <row r="34" spans="2:17" s="3" customFormat="1" ht="35.25" customHeight="1" x14ac:dyDescent="0.25">
      <c r="B34" s="34" t="str">
        <f>Indicadores_Generales!C12</f>
        <v>Capital de Trabajo ≥  A 25,% del PPTO Oficial.</v>
      </c>
      <c r="C34" s="19" t="str">
        <f>IFERROR(IF(C35&gt;(C23*Indicadores_Generales!$D$12),$B$25,$N$25),"")</f>
        <v>HÁBIL</v>
      </c>
      <c r="D34" s="19" t="str">
        <f>IFERROR(IF(D35&gt;(D23*Indicadores_Generales!$D$12),$B$25,$N$25),"")</f>
        <v>HÁBIL</v>
      </c>
      <c r="E34" s="19" t="str">
        <f>IFERROR(IF(E35&gt;(E23*Indicadores_Generales!$D$12),$B$25,$N$25),"")</f>
        <v>HÁBIL</v>
      </c>
      <c r="F34" s="19" t="str">
        <f>IFERROR(IF(F35&gt;(F23*Indicadores_Generales!$D$12),$B$25,$N$25),"")</f>
        <v>NO HÁBIL</v>
      </c>
      <c r="G34" s="19" t="str">
        <f>IFERROR(IF(G35&gt;(G23*Indicadores_Generales!$D$12),$B$25,$N$25),"")</f>
        <v>HÁBIL</v>
      </c>
      <c r="H34" s="19" t="str">
        <f>IFERROR(IF(H35&gt;(H23*Indicadores_Generales!$D$12),$B$25,$N$25),"")</f>
        <v>HÁBIL</v>
      </c>
      <c r="I34" s="19" t="str">
        <f>IFERROR(IF(I35&gt;(I23*Indicadores_Generales!$D$12),$B$25,$N$25),"")</f>
        <v>HÁBIL</v>
      </c>
      <c r="J34" s="19" t="str">
        <f>IFERROR(IF(J35&gt;(J23*Indicadores_Generales!$D$12),$B$25,$N$25),"")</f>
        <v>HÁBIL</v>
      </c>
      <c r="K34" s="19" t="str">
        <f>IFERROR(IF(K35&gt;(K23*Indicadores_Generales!$D$12),$B$25,$N$25),"")</f>
        <v>HÁBIL</v>
      </c>
      <c r="L34" s="19" t="str">
        <f>IFERROR(IF(L35&gt;(L23*Indicadores_Generales!$D$12),$B$25,$N$25),"")</f>
        <v>HÁBIL</v>
      </c>
      <c r="M34" s="19" t="str">
        <f>IFERROR(IF(M35&gt;(M23*Indicadores_Generales!$D$12),$B$25,$N$25),"")</f>
        <v>HÁBIL</v>
      </c>
      <c r="N34" s="19" t="str">
        <f>IFERROR(IF(N35&gt;(N23*Indicadores_Generales!$D$12),$B$25,$N$25),"")</f>
        <v>HÁBIL</v>
      </c>
      <c r="O34" s="19" t="str">
        <f>IFERROR(IF(O35&gt;(O23*Indicadores_Generales!$D$12),$B$25,$N$25),"")</f>
        <v>HÁBIL</v>
      </c>
      <c r="P34" s="19" t="str">
        <f>IFERROR(IF(P35&gt;(P23*Indicadores_Generales!$D$12),$B$25,$N$25),"")</f>
        <v>HÁBIL</v>
      </c>
      <c r="Q34" s="50" t="str">
        <f>IFERROR(IF(Q35&gt;(Q23*Indicadores_Generales!$D$12),$B$25,$N$25),"")</f>
        <v>HÁBIL</v>
      </c>
    </row>
    <row r="35" spans="2:17" s="21" customFormat="1" ht="35.25" customHeight="1" x14ac:dyDescent="0.25">
      <c r="B35" s="20" t="str">
        <f>"CT = Activo Corriente - Pasivo Corriente ≥ $ "&amp;FIXED(Indicadores_Generales!D5*Indicadores_Generales!D12,0,FALSE)</f>
        <v>CT = Activo Corriente - Pasivo Corriente ≥ $ 200.013.404</v>
      </c>
      <c r="C35" s="105">
        <f>IF(C8="","",SUMIFS(Indicadores_Generales!$T:$T,Indicadores_Generales!$B:$B,C9))</f>
        <v>21752260208</v>
      </c>
      <c r="D35" s="105">
        <f>IF(D8="","",SUMIFS(Indicadores_Generales!$T:$T,Indicadores_Generales!$B:$B,D9))</f>
        <v>292340932</v>
      </c>
      <c r="E35" s="105">
        <f>IF(E8="","",SUMIFS(Indicadores_Generales!$T:$T,Indicadores_Generales!$B:$B,E9))</f>
        <v>1821201220</v>
      </c>
      <c r="F35" s="105">
        <f>IF(F8="","",SUMIFS(Indicadores_Generales!$T:$T,Indicadores_Generales!$B:$B,F9))</f>
        <v>0</v>
      </c>
      <c r="G35" s="105">
        <f>IF(G8="","",SUMIFS(Indicadores_Generales!$T:$T,Indicadores_Generales!$B:$B,G9))</f>
        <v>838376363</v>
      </c>
      <c r="H35" s="105">
        <f>IF(H8="","",SUMIFS(Indicadores_Generales!$T:$T,Indicadores_Generales!$B:$B,H9))</f>
        <v>1151012989</v>
      </c>
      <c r="I35" s="105">
        <f>IF(I8="","",SUMIFS(Indicadores_Generales!$T:$T,Indicadores_Generales!$B:$B,I9))</f>
        <v>829584895</v>
      </c>
      <c r="J35" s="105">
        <f>IF(J8="","",SUMIFS(Indicadores_Generales!$T:$T,Indicadores_Generales!$B:$B,J9))</f>
        <v>412921947</v>
      </c>
      <c r="K35" s="105">
        <f>IF(K8="","",SUMIFS(Indicadores_Generales!$T:$T,Indicadores_Generales!$B:$B,K9))</f>
        <v>2482207657</v>
      </c>
      <c r="L35" s="105">
        <f>IF(L8="","",SUMIFS(Indicadores_Generales!$T:$T,Indicadores_Generales!$B:$B,L9))</f>
        <v>2281863338</v>
      </c>
      <c r="M35" s="105">
        <f>IF(M8="","",SUMIFS(Indicadores_Generales!$T:$T,Indicadores_Generales!$B:$B,M9))</f>
        <v>2428478604</v>
      </c>
      <c r="N35" s="105">
        <f>IF(N8="","",SUMIFS(Indicadores_Generales!$T:$T,Indicadores_Generales!$B:$B,N9))</f>
        <v>4846885006</v>
      </c>
      <c r="O35" s="105">
        <f>IF(O8="","",SUMIFS(Indicadores_Generales!$T:$T,Indicadores_Generales!$B:$B,O9))</f>
        <v>2069417336</v>
      </c>
      <c r="P35" s="105">
        <f>IF(P8="","",SUMIFS(Indicadores_Generales!$T:$T,Indicadores_Generales!$B:$B,P9))</f>
        <v>336082513</v>
      </c>
      <c r="Q35" s="106">
        <f>IF(Q8="","",SUMIFS(Indicadores_Generales!$T:$T,Indicadores_Generales!$B:$B,Q9))</f>
        <v>439837400</v>
      </c>
    </row>
    <row r="36" spans="2:17" s="3" customFormat="1" ht="35.25" customHeight="1" x14ac:dyDescent="0.25">
      <c r="B36" s="153" t="s">
        <v>35</v>
      </c>
      <c r="C36" s="154"/>
      <c r="D36" s="154"/>
      <c r="E36" s="154"/>
      <c r="F36" s="154"/>
      <c r="G36" s="154"/>
      <c r="H36" s="154"/>
      <c r="I36" s="154"/>
      <c r="J36" s="154"/>
      <c r="K36" s="154"/>
      <c r="L36" s="154"/>
      <c r="M36" s="154"/>
      <c r="N36" s="154"/>
      <c r="O36" s="154"/>
      <c r="P36" s="154"/>
      <c r="Q36" s="155"/>
    </row>
    <row r="37" spans="2:17" s="3" customFormat="1" ht="35.25" customHeight="1" x14ac:dyDescent="0.25">
      <c r="B37" s="22"/>
      <c r="C37" s="5"/>
      <c r="D37" s="5"/>
      <c r="E37" s="5"/>
      <c r="F37" s="5"/>
      <c r="G37" s="5"/>
      <c r="H37" s="5"/>
      <c r="I37" s="5"/>
      <c r="J37" s="5"/>
      <c r="K37" s="5"/>
      <c r="L37" s="5"/>
      <c r="M37" s="5"/>
      <c r="N37" s="5"/>
      <c r="O37" s="5"/>
      <c r="P37" s="5"/>
      <c r="Q37" s="6"/>
    </row>
    <row r="38" spans="2:17" s="3" customFormat="1" ht="35.25" customHeight="1" x14ac:dyDescent="0.25">
      <c r="B38" s="34" t="str">
        <f>Indicadores_Generales!C13</f>
        <v>Indicador  Rentabilidad del Patrimonio RP =&gt; AL 0%</v>
      </c>
      <c r="C38" s="19" t="str">
        <f>IF(C8="","",IFERROR(IF(C39&gt;=Indicadores_Generales!$D$13,$B$25,$N$25),""))</f>
        <v>HÁBIL</v>
      </c>
      <c r="D38" s="19" t="str">
        <f>IF(D8="","",IFERROR(IF(D39&gt;=Indicadores_Generales!$D$13,$B$25,$N$25),""))</f>
        <v>HÁBIL</v>
      </c>
      <c r="E38" s="19" t="str">
        <f>IF(E8="","",IFERROR(IF(E39&gt;=Indicadores_Generales!$D$13,$B$25,$N$25),""))</f>
        <v>HÁBIL</v>
      </c>
      <c r="F38" s="19" t="str">
        <f>IF(F8="","",IFERROR(IF(F39&gt;=Indicadores_Generales!$D$13,$B$25,$N$25),""))</f>
        <v/>
      </c>
      <c r="G38" s="19" t="str">
        <f>IF(G8="","",IFERROR(IF(G39&gt;=Indicadores_Generales!$D$13,$B$25,$N$25),""))</f>
        <v>HÁBIL</v>
      </c>
      <c r="H38" s="19" t="str">
        <f>IF(H8="","",IFERROR(IF(H39&gt;=Indicadores_Generales!$D$13,$B$25,$N$25),""))</f>
        <v>HÁBIL</v>
      </c>
      <c r="I38" s="19" t="str">
        <f>IF(I8="","",IFERROR(IF(I39&gt;=Indicadores_Generales!$D$13,$B$25,$N$25),""))</f>
        <v>HÁBIL</v>
      </c>
      <c r="J38" s="19" t="str">
        <f>IF(J8="","",IFERROR(IF(J39&gt;=Indicadores_Generales!$D$13,$B$25,$N$25),""))</f>
        <v>HÁBIL</v>
      </c>
      <c r="K38" s="19" t="str">
        <f>IF(K8="","",IFERROR(IF(K39&gt;=Indicadores_Generales!$D$13,$B$25,$N$25),""))</f>
        <v>HÁBIL</v>
      </c>
      <c r="L38" s="19" t="str">
        <f>IF(L8="","",IFERROR(IF(L39&gt;=Indicadores_Generales!$D$13,$B$25,$N$25),""))</f>
        <v>HÁBIL</v>
      </c>
      <c r="M38" s="19" t="str">
        <f>IF(M8="","",IFERROR(IF(M39&gt;=Indicadores_Generales!$D$13,$B$25,$N$25),""))</f>
        <v>HÁBIL</v>
      </c>
      <c r="N38" s="19" t="str">
        <f>IF(N8="","",IFERROR(IF(N39&gt;=Indicadores_Generales!$D$13,$B$25,$N$25),""))</f>
        <v>HÁBIL</v>
      </c>
      <c r="O38" s="19" t="str">
        <f>IF(O8="","",IFERROR(IF(O39&gt;=Indicadores_Generales!$D$13,$B$25,$N$25),""))</f>
        <v>HÁBIL</v>
      </c>
      <c r="P38" s="19" t="str">
        <f>IF(P8="","",IFERROR(IF(P39&gt;=Indicadores_Generales!$D$13,$B$25,$N$25),""))</f>
        <v>HÁBIL</v>
      </c>
      <c r="Q38" s="50" t="str">
        <f>IF(Q8="","",IFERROR(IF(Q39&gt;=Indicadores_Generales!$D$13,$B$25,$N$25),""))</f>
        <v>HÁBIL</v>
      </c>
    </row>
    <row r="39" spans="2:17" s="3" customFormat="1" ht="35.25" customHeight="1" x14ac:dyDescent="0.25">
      <c r="B39" s="41" t="s">
        <v>36</v>
      </c>
      <c r="C39" s="92">
        <f>IF(C8="","",C19/C17)</f>
        <v>0.46733284500115718</v>
      </c>
      <c r="D39" s="92">
        <f t="shared" ref="D39:Q39" si="8">IF(D8="","",D19/D17)</f>
        <v>0.13752942629897288</v>
      </c>
      <c r="E39" s="92">
        <f t="shared" si="8"/>
        <v>6.474143483792491E-2</v>
      </c>
      <c r="F39" s="92" t="e">
        <f t="shared" si="8"/>
        <v>#DIV/0!</v>
      </c>
      <c r="G39" s="92">
        <f t="shared" si="8"/>
        <v>0.21475011240596009</v>
      </c>
      <c r="H39" s="92">
        <f t="shared" si="8"/>
        <v>0.13899651896802898</v>
      </c>
      <c r="I39" s="92">
        <f t="shared" si="8"/>
        <v>1.0756448489413385E-2</v>
      </c>
      <c r="J39" s="92">
        <f t="shared" si="8"/>
        <v>0.61352822126128193</v>
      </c>
      <c r="K39" s="92">
        <f t="shared" si="8"/>
        <v>0.52449130947758404</v>
      </c>
      <c r="L39" s="92">
        <f t="shared" si="8"/>
        <v>0.47943814234599402</v>
      </c>
      <c r="M39" s="92">
        <f t="shared" si="8"/>
        <v>8.3438513394482758E-2</v>
      </c>
      <c r="N39" s="92">
        <f t="shared" si="8"/>
        <v>0.46766217042149388</v>
      </c>
      <c r="O39" s="92">
        <f t="shared" si="8"/>
        <v>0.65413031292867474</v>
      </c>
      <c r="P39" s="92">
        <f t="shared" si="8"/>
        <v>7.183022529579113E-3</v>
      </c>
      <c r="Q39" s="93">
        <f t="shared" si="8"/>
        <v>0.16437262072609229</v>
      </c>
    </row>
    <row r="40" spans="2:17" s="3" customFormat="1" ht="35.25" customHeight="1" x14ac:dyDescent="0.25">
      <c r="B40" s="34" t="str">
        <f>Indicadores_Generales!C14</f>
        <v>Indicador  Rentabilidad del Activo RAct =&gt; AL 0%</v>
      </c>
      <c r="C40" s="19" t="str">
        <f>IF(C8="","",IFERROR(IF(C41&gt;=Indicadores_Generales!$D$14,$B$25,$N$25),""))</f>
        <v>HÁBIL</v>
      </c>
      <c r="D40" s="19" t="str">
        <f>IF(D8="","",IFERROR(IF(D41&gt;=Indicadores_Generales!$D$14,$B$25,$N$25),""))</f>
        <v>HÁBIL</v>
      </c>
      <c r="E40" s="19" t="str">
        <f>IF(E8="","",IFERROR(IF(E41&gt;=Indicadores_Generales!$D$14,$B$25,$N$25),""))</f>
        <v>HÁBIL</v>
      </c>
      <c r="F40" s="19" t="str">
        <f>IF(F8="","",IFERROR(IF(F41&gt;=Indicadores_Generales!$D$14,$B$25,$N$25),""))</f>
        <v/>
      </c>
      <c r="G40" s="19" t="str">
        <f>IF(G8="","",IFERROR(IF(G41&gt;=Indicadores_Generales!$D$14,$B$25,$N$25),""))</f>
        <v>HÁBIL</v>
      </c>
      <c r="H40" s="19" t="str">
        <f>IF(H8="","",IFERROR(IF(H41&gt;=Indicadores_Generales!$D$14,$B$25,$N$25),""))</f>
        <v>HÁBIL</v>
      </c>
      <c r="I40" s="19" t="str">
        <f>IF(I8="","",IFERROR(IF(I41&gt;=Indicadores_Generales!$D$14,$B$25,$N$25),""))</f>
        <v>HÁBIL</v>
      </c>
      <c r="J40" s="19" t="str">
        <f>IF(J8="","",IFERROR(IF(J41&gt;=Indicadores_Generales!$D$14,$B$25,$N$25),""))</f>
        <v>HÁBIL</v>
      </c>
      <c r="K40" s="19" t="str">
        <f>IF(K8="","",IFERROR(IF(K41&gt;=Indicadores_Generales!$D$14,$B$25,$N$25),""))</f>
        <v>HÁBIL</v>
      </c>
      <c r="L40" s="19" t="str">
        <f>IF(L8="","",IFERROR(IF(L41&gt;=Indicadores_Generales!$D$14,$B$25,$N$25),""))</f>
        <v>HÁBIL</v>
      </c>
      <c r="M40" s="19" t="str">
        <f>IF(M8="","",IFERROR(IF(M41&gt;=Indicadores_Generales!$D$14,$B$25,$N$25),""))</f>
        <v>HÁBIL</v>
      </c>
      <c r="N40" s="19" t="str">
        <f>IF(N8="","",IFERROR(IF(N41&gt;=Indicadores_Generales!$D$14,$B$25,$N$25),""))</f>
        <v>HÁBIL</v>
      </c>
      <c r="O40" s="19" t="str">
        <f>IF(O8="","",IFERROR(IF(O41&gt;=Indicadores_Generales!$D$14,$B$25,$N$25),""))</f>
        <v>HÁBIL</v>
      </c>
      <c r="P40" s="19" t="str">
        <f>IF(P8="","",IFERROR(IF(P41&gt;=Indicadores_Generales!$D$14,$B$25,$N$25),""))</f>
        <v>HÁBIL</v>
      </c>
      <c r="Q40" s="50" t="str">
        <f>IF(Q8="","",IFERROR(IF(Q41&gt;=Indicadores_Generales!$D$14,$B$25,$N$25),""))</f>
        <v>HÁBIL</v>
      </c>
    </row>
    <row r="41" spans="2:17" s="3" customFormat="1" ht="35.25" customHeight="1" x14ac:dyDescent="0.25">
      <c r="B41" s="41" t="s">
        <v>37</v>
      </c>
      <c r="C41" s="92">
        <f>IF(C8="","",C19/C15)</f>
        <v>0.21533398736696041</v>
      </c>
      <c r="D41" s="92">
        <f t="shared" ref="D41:Q41" si="9">IF(D8="","",D19/D15)</f>
        <v>4.5047249904445995E-2</v>
      </c>
      <c r="E41" s="92">
        <f t="shared" si="9"/>
        <v>3.0061861052714776E-2</v>
      </c>
      <c r="F41" s="92" t="e">
        <f t="shared" si="9"/>
        <v>#DIV/0!</v>
      </c>
      <c r="G41" s="92">
        <f t="shared" si="9"/>
        <v>0.20621056237734467</v>
      </c>
      <c r="H41" s="92">
        <f t="shared" si="9"/>
        <v>0.13633538840812484</v>
      </c>
      <c r="I41" s="92">
        <f t="shared" si="9"/>
        <v>5.2774440348120448E-3</v>
      </c>
      <c r="J41" s="92">
        <f t="shared" si="9"/>
        <v>0.54126374907365371</v>
      </c>
      <c r="K41" s="92">
        <f t="shared" si="9"/>
        <v>0.38496009941859771</v>
      </c>
      <c r="L41" s="92">
        <f t="shared" si="9"/>
        <v>0.42720762488660802</v>
      </c>
      <c r="M41" s="92">
        <f t="shared" si="9"/>
        <v>8.2549238151959692E-2</v>
      </c>
      <c r="N41" s="92">
        <f t="shared" si="9"/>
        <v>0.28526566136232495</v>
      </c>
      <c r="O41" s="92">
        <f t="shared" si="9"/>
        <v>0.45225947797454902</v>
      </c>
      <c r="P41" s="92">
        <f t="shared" si="9"/>
        <v>7.1568879819147039E-3</v>
      </c>
      <c r="Q41" s="93">
        <f t="shared" si="9"/>
        <v>0.140257489451106</v>
      </c>
    </row>
    <row r="42" spans="2:17" s="3" customFormat="1" ht="15.75" x14ac:dyDescent="0.25">
      <c r="B42" s="40" t="s">
        <v>38</v>
      </c>
      <c r="C42" s="23" t="str">
        <f>IF(C8="","",IF(COUNTIF(C28:C41,"NO HÁBIL")&gt;=1,"NO HABILITADO","HABILITADO"))</f>
        <v>HABILITADO</v>
      </c>
      <c r="D42" s="23" t="str">
        <f t="shared" ref="D42:Q42" si="10">IF(D8="","",IF(COUNTIF(D28:D41,"NO HÁBIL")&gt;=1,"NO HABILITADO","HABILITADO"))</f>
        <v>HABILITADO</v>
      </c>
      <c r="E42" s="23" t="str">
        <f t="shared" si="10"/>
        <v>HABILITADO</v>
      </c>
      <c r="F42" s="144" t="s">
        <v>271</v>
      </c>
      <c r="G42" s="23" t="str">
        <f t="shared" si="10"/>
        <v>HABILITADO</v>
      </c>
      <c r="H42" s="23" t="str">
        <f t="shared" si="10"/>
        <v>HABILITADO</v>
      </c>
      <c r="I42" s="23" t="str">
        <f t="shared" si="10"/>
        <v>HABILITADO</v>
      </c>
      <c r="J42" s="23" t="str">
        <f t="shared" si="10"/>
        <v>HABILITADO</v>
      </c>
      <c r="K42" s="23" t="str">
        <f t="shared" si="10"/>
        <v>HABILITADO</v>
      </c>
      <c r="L42" s="23" t="str">
        <f t="shared" si="10"/>
        <v>HABILITADO</v>
      </c>
      <c r="M42" s="23" t="str">
        <f t="shared" si="10"/>
        <v>HABILITADO</v>
      </c>
      <c r="N42" s="23" t="str">
        <f t="shared" si="10"/>
        <v>HABILITADO</v>
      </c>
      <c r="O42" s="23" t="str">
        <f t="shared" si="10"/>
        <v>HABILITADO</v>
      </c>
      <c r="P42" s="23" t="str">
        <f t="shared" si="10"/>
        <v>HABILITADO</v>
      </c>
      <c r="Q42" s="51" t="str">
        <f t="shared" si="10"/>
        <v>HABILITADO</v>
      </c>
    </row>
    <row r="43" spans="2:17" s="3" customFormat="1" ht="15.75" hidden="1" x14ac:dyDescent="0.25">
      <c r="B43" s="22"/>
      <c r="C43" s="5"/>
      <c r="D43" s="5"/>
      <c r="E43" s="5"/>
      <c r="F43" s="5"/>
      <c r="G43" s="5"/>
      <c r="H43" s="5"/>
      <c r="I43" s="5"/>
      <c r="J43" s="5"/>
      <c r="K43" s="5"/>
      <c r="L43" s="5"/>
      <c r="M43" s="5"/>
      <c r="N43" s="5"/>
      <c r="O43" s="5"/>
      <c r="P43" s="5"/>
      <c r="Q43" s="6"/>
    </row>
    <row r="44" spans="2:17" s="3" customFormat="1" ht="15.75" customHeight="1" x14ac:dyDescent="0.25">
      <c r="B44" s="175" t="s">
        <v>39</v>
      </c>
      <c r="C44" s="176"/>
      <c r="D44" s="176"/>
      <c r="E44" s="176"/>
      <c r="F44" s="176"/>
      <c r="G44" s="176"/>
      <c r="H44" s="176"/>
      <c r="I44" s="176"/>
      <c r="J44" s="176"/>
      <c r="K44" s="176"/>
      <c r="L44" s="176"/>
      <c r="M44" s="176"/>
      <c r="N44" s="176"/>
      <c r="O44" s="176"/>
      <c r="P44" s="176"/>
      <c r="Q44" s="177"/>
    </row>
    <row r="45" spans="2:17" s="3" customFormat="1" ht="36.75" customHeight="1" x14ac:dyDescent="0.25">
      <c r="B45" s="175"/>
      <c r="C45" s="176"/>
      <c r="D45" s="176"/>
      <c r="E45" s="176"/>
      <c r="F45" s="176"/>
      <c r="G45" s="176"/>
      <c r="H45" s="176"/>
      <c r="I45" s="176"/>
      <c r="J45" s="176"/>
      <c r="K45" s="176"/>
      <c r="L45" s="176"/>
      <c r="M45" s="176"/>
      <c r="N45" s="176"/>
      <c r="O45" s="176"/>
      <c r="P45" s="176"/>
      <c r="Q45" s="177"/>
    </row>
    <row r="46" spans="2:17" s="3" customFormat="1" ht="15.75" x14ac:dyDescent="0.25">
      <c r="B46" s="24"/>
      <c r="C46" s="52"/>
      <c r="D46" s="52"/>
      <c r="E46" s="52"/>
      <c r="F46" s="52"/>
      <c r="G46" s="52"/>
      <c r="H46" s="52"/>
      <c r="I46" s="52"/>
      <c r="J46" s="52"/>
      <c r="K46" s="52"/>
      <c r="L46" s="52"/>
      <c r="M46" s="52"/>
      <c r="N46" s="52"/>
      <c r="O46" s="52"/>
      <c r="P46" s="52"/>
      <c r="Q46" s="25"/>
    </row>
    <row r="47" spans="2:17" s="3" customFormat="1" ht="15.75" x14ac:dyDescent="0.25">
      <c r="B47" s="24"/>
      <c r="C47" s="52"/>
      <c r="D47" s="52"/>
      <c r="E47" s="52"/>
      <c r="F47" s="52"/>
      <c r="G47" s="52"/>
      <c r="H47" s="52"/>
      <c r="I47" s="52"/>
      <c r="J47" s="52"/>
      <c r="K47" s="52"/>
      <c r="L47" s="52"/>
      <c r="M47" s="52"/>
      <c r="N47" s="52"/>
      <c r="O47" s="52"/>
      <c r="P47" s="52"/>
      <c r="Q47" s="25"/>
    </row>
    <row r="48" spans="2:17" s="3" customFormat="1" ht="15.75" x14ac:dyDescent="0.25">
      <c r="B48" s="26"/>
      <c r="C48" s="53"/>
      <c r="D48" s="53"/>
      <c r="E48" s="53"/>
      <c r="F48" s="53"/>
      <c r="G48" s="53"/>
      <c r="H48" s="53"/>
      <c r="I48" s="53"/>
      <c r="J48" s="53"/>
      <c r="K48" s="53"/>
      <c r="L48" s="53"/>
      <c r="M48" s="53"/>
      <c r="N48" s="52"/>
      <c r="O48" s="52"/>
      <c r="P48" s="52"/>
      <c r="Q48" s="25"/>
    </row>
    <row r="49" spans="1:17" s="3" customFormat="1" ht="22.5" customHeight="1" x14ac:dyDescent="0.25">
      <c r="A49" s="27"/>
      <c r="B49" s="24"/>
      <c r="C49" s="52"/>
      <c r="D49" s="52"/>
      <c r="E49" s="52"/>
      <c r="F49" s="52"/>
      <c r="G49" s="52"/>
      <c r="H49" s="52"/>
      <c r="I49" s="52"/>
      <c r="J49" s="52"/>
      <c r="K49" s="52"/>
      <c r="L49" s="52"/>
      <c r="M49" s="52"/>
      <c r="N49" s="52"/>
      <c r="O49" s="52"/>
      <c r="P49" s="52"/>
      <c r="Q49" s="25"/>
    </row>
    <row r="50" spans="1:17" s="3" customFormat="1" ht="22.5" customHeight="1" x14ac:dyDescent="0.25">
      <c r="A50" s="27"/>
      <c r="B50" s="28"/>
      <c r="C50" s="54"/>
      <c r="D50" s="55"/>
      <c r="E50" s="55"/>
      <c r="F50" s="55"/>
      <c r="G50" s="53"/>
      <c r="H50" s="178"/>
      <c r="I50" s="178"/>
      <c r="J50" s="53"/>
      <c r="K50" s="55"/>
      <c r="L50" s="178"/>
      <c r="M50" s="178"/>
      <c r="N50" s="53"/>
      <c r="O50" s="178"/>
      <c r="P50" s="178"/>
      <c r="Q50" s="179"/>
    </row>
    <row r="51" spans="1:17" ht="23.25" customHeight="1" x14ac:dyDescent="0.25">
      <c r="A51" s="29"/>
      <c r="B51" s="30" t="s">
        <v>40</v>
      </c>
      <c r="C51" s="56"/>
      <c r="D51" s="180" t="s">
        <v>40</v>
      </c>
      <c r="E51" s="180"/>
      <c r="F51" s="57"/>
      <c r="G51" s="58"/>
      <c r="H51" s="180" t="s">
        <v>40</v>
      </c>
      <c r="I51" s="180"/>
      <c r="J51" s="57"/>
      <c r="K51" s="57"/>
      <c r="L51" s="180" t="s">
        <v>41</v>
      </c>
      <c r="M51" s="180"/>
      <c r="N51" s="58"/>
      <c r="O51" s="180" t="s">
        <v>42</v>
      </c>
      <c r="P51" s="180"/>
      <c r="Q51" s="181"/>
    </row>
    <row r="52" spans="1:17" ht="21" customHeight="1" x14ac:dyDescent="0.25">
      <c r="A52" s="29"/>
      <c r="B52" s="31"/>
      <c r="C52" s="59"/>
      <c r="D52" s="59"/>
      <c r="E52" s="59"/>
      <c r="F52" s="59"/>
      <c r="G52" s="59"/>
      <c r="H52" s="59"/>
      <c r="I52" s="59"/>
      <c r="J52" s="59"/>
      <c r="K52" s="59"/>
      <c r="L52" s="59"/>
      <c r="M52" s="59"/>
      <c r="N52" s="59"/>
      <c r="O52" s="60"/>
      <c r="P52" s="60"/>
      <c r="Q52" s="32"/>
    </row>
    <row r="53" spans="1:17" s="3" customFormat="1" ht="22.5" customHeight="1" x14ac:dyDescent="0.25">
      <c r="A53" s="27"/>
      <c r="B53" s="182" t="str">
        <f>"NOTA: La fecha de corte de la información financiera registrada en el RUP debe ser de acuerdo a lo establecido en el pliego definitivo de condiciones del proceso "&amp;Indicadores_Generales!D4&amp;"."</f>
        <v>NOTA: La fecha de corte de la información financiera registrada en el RUP debe ser de acuerdo a lo establecido en el pliego definitivo de condiciones del proceso  FDLBOSACM-004-2022(71937).</v>
      </c>
      <c r="C53" s="183"/>
      <c r="D53" s="183"/>
      <c r="E53" s="183"/>
      <c r="F53" s="183"/>
      <c r="G53" s="183"/>
      <c r="H53" s="183"/>
      <c r="I53" s="183"/>
      <c r="J53" s="183"/>
      <c r="K53" s="183"/>
      <c r="L53" s="183"/>
      <c r="M53" s="183"/>
      <c r="N53" s="183"/>
      <c r="O53" s="183"/>
      <c r="P53" s="183"/>
      <c r="Q53" s="184"/>
    </row>
    <row r="54" spans="1:17" s="3" customFormat="1" ht="22.5" customHeight="1" thickBot="1" x14ac:dyDescent="0.3">
      <c r="A54" s="27"/>
      <c r="B54" s="185"/>
      <c r="C54" s="186"/>
      <c r="D54" s="186"/>
      <c r="E54" s="186"/>
      <c r="F54" s="186"/>
      <c r="G54" s="186"/>
      <c r="H54" s="186"/>
      <c r="I54" s="186"/>
      <c r="J54" s="186"/>
      <c r="K54" s="186"/>
      <c r="L54" s="186"/>
      <c r="M54" s="186"/>
      <c r="N54" s="186"/>
      <c r="O54" s="186"/>
      <c r="P54" s="186"/>
      <c r="Q54" s="187"/>
    </row>
    <row r="57" spans="1:17" x14ac:dyDescent="0.25">
      <c r="B57" s="126" t="s">
        <v>271</v>
      </c>
      <c r="C57" s="33"/>
      <c r="D57" s="33"/>
      <c r="E57" s="33"/>
      <c r="F57" s="33"/>
      <c r="G57" s="33"/>
      <c r="H57" s="33"/>
      <c r="I57" s="33"/>
      <c r="J57" s="33"/>
      <c r="K57" s="33"/>
      <c r="L57" s="33"/>
      <c r="M57" s="33"/>
      <c r="N57" s="33"/>
      <c r="O57" s="33"/>
      <c r="P57" s="33"/>
      <c r="Q57" s="33"/>
    </row>
    <row r="58" spans="1:17" ht="54.75" customHeight="1" x14ac:dyDescent="0.25">
      <c r="B58" s="107" t="s">
        <v>270</v>
      </c>
    </row>
    <row r="59" spans="1:17" x14ac:dyDescent="0.25">
      <c r="B59" s="125"/>
    </row>
    <row r="60" spans="1:17" x14ac:dyDescent="0.25">
      <c r="B60" s="125"/>
    </row>
  </sheetData>
  <mergeCells count="17">
    <mergeCell ref="B24:Q24"/>
    <mergeCell ref="B1:B5"/>
    <mergeCell ref="C1:P5"/>
    <mergeCell ref="Q1:Q5"/>
    <mergeCell ref="B6:Q6"/>
    <mergeCell ref="B7:Q7"/>
    <mergeCell ref="B27:Q27"/>
    <mergeCell ref="B36:Q36"/>
    <mergeCell ref="B44:Q45"/>
    <mergeCell ref="H50:I50"/>
    <mergeCell ref="L50:M50"/>
    <mergeCell ref="O50:Q50"/>
    <mergeCell ref="D51:E51"/>
    <mergeCell ref="H51:I51"/>
    <mergeCell ref="L51:M51"/>
    <mergeCell ref="O51:Q51"/>
    <mergeCell ref="B53:Q54"/>
  </mergeCells>
  <conditionalFormatting sqref="C12:Q12">
    <cfRule type="cellIs" dxfId="74" priority="16" operator="equal">
      <formula>0</formula>
    </cfRule>
  </conditionalFormatting>
  <conditionalFormatting sqref="C42:Q42">
    <cfRule type="cellIs" dxfId="73" priority="14" operator="equal">
      <formula>"No Habilitado"</formula>
    </cfRule>
    <cfRule type="cellIs" dxfId="72" priority="15" operator="equal">
      <formula>"Habilitado"</formula>
    </cfRule>
  </conditionalFormatting>
  <conditionalFormatting sqref="C40:Q40">
    <cfRule type="cellIs" dxfId="71" priority="12" operator="equal">
      <formula>"Hábil"</formula>
    </cfRule>
    <cfRule type="cellIs" dxfId="70" priority="13" operator="equal">
      <formula>"No Hábil"</formula>
    </cfRule>
  </conditionalFormatting>
  <conditionalFormatting sqref="C38:Q38">
    <cfRule type="cellIs" dxfId="69" priority="10" operator="equal">
      <formula>"Hábil"</formula>
    </cfRule>
    <cfRule type="cellIs" dxfId="68" priority="11" operator="equal">
      <formula>"No Hábil"</formula>
    </cfRule>
  </conditionalFormatting>
  <conditionalFormatting sqref="C34:Q34">
    <cfRule type="cellIs" dxfId="67" priority="8" operator="equal">
      <formula>"Hábil"</formula>
    </cfRule>
    <cfRule type="cellIs" dxfId="66" priority="9" operator="equal">
      <formula>"No Hábil"</formula>
    </cfRule>
  </conditionalFormatting>
  <conditionalFormatting sqref="C32:Q32">
    <cfRule type="cellIs" dxfId="65" priority="6" operator="equal">
      <formula>"Hábil"</formula>
    </cfRule>
    <cfRule type="cellIs" dxfId="64" priority="7" operator="equal">
      <formula>"No Hábil"</formula>
    </cfRule>
  </conditionalFormatting>
  <conditionalFormatting sqref="C30:Q30">
    <cfRule type="cellIs" dxfId="63" priority="4" operator="equal">
      <formula>"Hábil"</formula>
    </cfRule>
    <cfRule type="cellIs" dxfId="62" priority="5" operator="equal">
      <formula>"No Hábil"</formula>
    </cfRule>
  </conditionalFormatting>
  <conditionalFormatting sqref="C28:Q28">
    <cfRule type="cellIs" dxfId="61" priority="2" operator="equal">
      <formula>"Hábil"</formula>
    </cfRule>
    <cfRule type="cellIs" dxfId="60" priority="3" operator="equal">
      <formula>"No Hábil"</formula>
    </cfRule>
  </conditionalFormatting>
  <printOptions horizontalCentered="1" verticalCentered="1"/>
  <pageMargins left="0.19685039370078741" right="0.19685039370078741" top="0.15748031496062992" bottom="0.15748031496062992" header="0.31496062992125984" footer="0.31496062992125984"/>
  <pageSetup paperSize="256" scale="41" orientation="landscape"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551E7-312C-460A-B831-4E52BDDCBA58}">
  <sheetPr codeName="Hoja5">
    <pageSetUpPr fitToPage="1"/>
  </sheetPr>
  <dimension ref="A1:Q54"/>
  <sheetViews>
    <sheetView showGridLines="0" tabSelected="1" topLeftCell="B31" zoomScale="60" zoomScaleNormal="60" zoomScalePageLayoutView="90" workbookViewId="0">
      <selection activeCell="H60" sqref="H60"/>
    </sheetView>
  </sheetViews>
  <sheetFormatPr baseColWidth="10" defaultColWidth="18.7109375" defaultRowHeight="15" x14ac:dyDescent="0.25"/>
  <cols>
    <col min="1" max="1" width="1.42578125" style="1" customWidth="1"/>
    <col min="2" max="2" width="50.85546875" style="1" customWidth="1"/>
    <col min="3" max="11" width="24.85546875" style="1" customWidth="1"/>
    <col min="12" max="17" width="26" style="1" customWidth="1"/>
    <col min="18" max="16384" width="18.7109375" style="1"/>
  </cols>
  <sheetData>
    <row r="1" spans="1:17" x14ac:dyDescent="0.25">
      <c r="B1" s="156"/>
      <c r="C1" s="158" t="s">
        <v>18</v>
      </c>
      <c r="D1" s="159"/>
      <c r="E1" s="159"/>
      <c r="F1" s="159"/>
      <c r="G1" s="159"/>
      <c r="H1" s="159"/>
      <c r="I1" s="159"/>
      <c r="J1" s="159"/>
      <c r="K1" s="159"/>
      <c r="L1" s="159"/>
      <c r="M1" s="159"/>
      <c r="N1" s="159"/>
      <c r="O1" s="159"/>
      <c r="P1" s="160"/>
      <c r="Q1" s="167" t="s">
        <v>19</v>
      </c>
    </row>
    <row r="2" spans="1:17" x14ac:dyDescent="0.25">
      <c r="B2" s="157"/>
      <c r="C2" s="161"/>
      <c r="D2" s="162"/>
      <c r="E2" s="162"/>
      <c r="F2" s="162"/>
      <c r="G2" s="162"/>
      <c r="H2" s="162"/>
      <c r="I2" s="162"/>
      <c r="J2" s="162"/>
      <c r="K2" s="162"/>
      <c r="L2" s="162"/>
      <c r="M2" s="162"/>
      <c r="N2" s="162"/>
      <c r="O2" s="162"/>
      <c r="P2" s="163"/>
      <c r="Q2" s="168"/>
    </row>
    <row r="3" spans="1:17" ht="16.5" customHeight="1" x14ac:dyDescent="0.25">
      <c r="B3" s="157"/>
      <c r="C3" s="161"/>
      <c r="D3" s="162"/>
      <c r="E3" s="162"/>
      <c r="F3" s="162"/>
      <c r="G3" s="162"/>
      <c r="H3" s="162"/>
      <c r="I3" s="162"/>
      <c r="J3" s="162"/>
      <c r="K3" s="162"/>
      <c r="L3" s="162"/>
      <c r="M3" s="162"/>
      <c r="N3" s="162"/>
      <c r="O3" s="162"/>
      <c r="P3" s="163"/>
      <c r="Q3" s="168"/>
    </row>
    <row r="4" spans="1:17" x14ac:dyDescent="0.25">
      <c r="B4" s="157"/>
      <c r="C4" s="161"/>
      <c r="D4" s="162"/>
      <c r="E4" s="162"/>
      <c r="F4" s="162"/>
      <c r="G4" s="162"/>
      <c r="H4" s="162"/>
      <c r="I4" s="162"/>
      <c r="J4" s="162"/>
      <c r="K4" s="162"/>
      <c r="L4" s="162"/>
      <c r="M4" s="162"/>
      <c r="N4" s="162"/>
      <c r="O4" s="162"/>
      <c r="P4" s="163"/>
      <c r="Q4" s="168"/>
    </row>
    <row r="5" spans="1:17" ht="23.25" customHeight="1" x14ac:dyDescent="0.25">
      <c r="B5" s="157"/>
      <c r="C5" s="164"/>
      <c r="D5" s="165"/>
      <c r="E5" s="165"/>
      <c r="F5" s="165"/>
      <c r="G5" s="165"/>
      <c r="H5" s="165"/>
      <c r="I5" s="165"/>
      <c r="J5" s="165"/>
      <c r="K5" s="165"/>
      <c r="L5" s="165"/>
      <c r="M5" s="165"/>
      <c r="N5" s="165"/>
      <c r="O5" s="165"/>
      <c r="P5" s="166"/>
      <c r="Q5" s="168"/>
    </row>
    <row r="6" spans="1:17" ht="26.25" customHeight="1" x14ac:dyDescent="0.25">
      <c r="B6" s="188" t="str">
        <f>"PROCESO DE SELECCIÓN "&amp;Indicadores_Generales!D4</f>
        <v>PROCESO DE SELECCIÓN  FDLBOSACM-004-2022(71937)</v>
      </c>
      <c r="C6" s="189"/>
      <c r="D6" s="189"/>
      <c r="E6" s="189"/>
      <c r="F6" s="189"/>
      <c r="G6" s="189"/>
      <c r="H6" s="189"/>
      <c r="I6" s="189"/>
      <c r="J6" s="189"/>
      <c r="K6" s="189"/>
      <c r="L6" s="189"/>
      <c r="M6" s="189"/>
      <c r="N6" s="189"/>
      <c r="O6" s="189"/>
      <c r="P6" s="189"/>
      <c r="Q6" s="190"/>
    </row>
    <row r="7" spans="1:17" ht="42" customHeight="1" x14ac:dyDescent="0.25">
      <c r="B7" s="172" t="str">
        <f>"OBJETO: "&amp;UPPER(Indicadores_Generales!D6)</f>
        <v>OBJETO: REALIZAR LA INTERVENTORÍA
TÉCNICA, ADMINISTRATIVA, FINANCIERA, JURÍDICA, SOCIAL, AMBIENTAL Y
SST AL CONTRATO DE OBRA PÚBLICA QUE TENDRÁ POR OBJETO
CONTRACTUAL EJECUTAR POR EL SISTEMA DE PRECIOS UNITARIOS FIJOS SIN
FORMULA DE REAJUSTE Y A MONTO AGOTABLE LAS ACTIVIDADES
NECESARIAS PARA LA EJECUCIÓN DE LAS OBRAS DE CONSTRUCCIÓN DE
MALLA VIAL Y ESPACIO PUBLICO ASOCIADO DE LA LOCALIDAD DE BOSA, DE
ACUERDO CON LA DESCRIPCIÓN, ESPECIFICACIONES, ESTUDIOS, DISEÑOS Y
DEMÁS CONDICIONES ESTABLECIDAS EN EL ANEXO TÉCNICO</v>
      </c>
      <c r="C7" s="173"/>
      <c r="D7" s="173"/>
      <c r="E7" s="173"/>
      <c r="F7" s="173"/>
      <c r="G7" s="173"/>
      <c r="H7" s="173"/>
      <c r="I7" s="173"/>
      <c r="J7" s="173"/>
      <c r="K7" s="173"/>
      <c r="L7" s="173"/>
      <c r="M7" s="173"/>
      <c r="N7" s="173"/>
      <c r="O7" s="173"/>
      <c r="P7" s="173"/>
      <c r="Q7" s="174"/>
    </row>
    <row r="8" spans="1:17" s="97" customFormat="1" ht="51" customHeight="1" x14ac:dyDescent="0.25">
      <c r="B8" s="89" t="s">
        <v>20</v>
      </c>
      <c r="C8" s="35" t="str">
        <f>IFERROR(IF(VLOOKUP(C9,Indicadores_Generales!$B$17:$AG$143,5,0)=0,"",VLOOKUP(C9,Indicadores_Generales!$B$17:$AG$143,5,0)),"")</f>
        <v>COINZA ING SAS</v>
      </c>
      <c r="D8" s="35" t="str">
        <f>IFERROR(IF(VLOOKUP(D9,Indicadores_Generales!$B$17:$AG$143,5,0)=0,"",VLOOKUP(D9,Indicadores_Generales!$B$17:$AG$143,5,0)),"")</f>
        <v>CONSORCIO BOSA INFRA-VIAL</v>
      </c>
      <c r="E8" s="35" t="str">
        <f>IFERROR(IF(VLOOKUP(E9,Indicadores_Generales!$B$17:$AG$143,5,0)=0,"",VLOOKUP(E9,Indicadores_Generales!$B$17:$AG$143,5,0)),"")</f>
        <v>CS BOSA JI 004</v>
      </c>
      <c r="F8" s="35" t="str">
        <f>IFERROR(IF(VLOOKUP(F9,Indicadores_Generales!$B$17:$AG$143,5,0)=0,"",VLOOKUP(F9,Indicadores_Generales!$B$17:$AG$143,5,0)),"")</f>
        <v>ELSA MARIA RUEDA LANDINEZ INGENIERIA SAS</v>
      </c>
      <c r="G8" s="35" t="str">
        <f>IFERROR(IF(VLOOKUP(G9,Indicadores_Generales!$B$17:$AG$143,5,0)=0,"",VLOOKUP(G9,Indicadores_Generales!$B$17:$AG$143,5,0)),"")</f>
        <v>INTERBOGOTA B&amp;B</v>
      </c>
      <c r="H8" s="35" t="str">
        <f>IFERROR(IF(VLOOKUP(H9,Indicadores_Generales!$B$17:$AG$143,5,0)=0,"",VLOOKUP(H9,Indicadores_Generales!$B$17:$AG$143,5,0)),"")</f>
        <v xml:space="preserve">	INTERVIAL BOGOTA</v>
      </c>
      <c r="I8" s="35" t="str">
        <f>IFERROR(IF(VLOOKUP(I9,Indicadores_Generales!$B$17:$AG$143,5,0)=0,"",VLOOKUP(I9,Indicadores_Generales!$B$17:$AG$143,5,0)),"")</f>
        <v>CONSORCIO INTERCAPITAL</v>
      </c>
      <c r="J8" s="35" t="str">
        <f>IFERROR(IF(VLOOKUP(J9,Indicadores_Generales!$B$17:$AG$143,5,0)=0,"",VLOOKUP(J9,Indicadores_Generales!$B$17:$AG$143,5,0)),"")</f>
        <v xml:space="preserve">	Proyectistas Asociados SAS</v>
      </c>
      <c r="K8" s="35" t="str">
        <f>IFERROR(IF(VLOOKUP(K9,Indicadores_Generales!$B$17:$AG$143,5,0)=0,"",VLOOKUP(K9,Indicadores_Generales!$B$17:$AG$143,5,0)),"")</f>
        <v>ESTUDIOS TECNICOS Y CONSTRUCCIONES SAS</v>
      </c>
      <c r="L8" s="35" t="str">
        <f>IFERROR(IF(VLOOKUP(L9,Indicadores_Generales!$B$17:$AG$143,5,0)=0,"",VLOOKUP(L9,Indicadores_Generales!$B$17:$AG$143,5,0)),"")</f>
        <v>CONSORCIO CG 2021</v>
      </c>
      <c r="M8" s="35" t="str">
        <f>IFERROR(IF(VLOOKUP(M9,Indicadores_Generales!$B$17:$AG$143,5,0)=0,"",VLOOKUP(M9,Indicadores_Generales!$B$17:$AG$143,5,0)),"")</f>
        <v>CONSORCIO VIAL BOSA</v>
      </c>
      <c r="N8" s="35" t="str">
        <f>IFERROR(IF(VLOOKUP(N9,Indicadores_Generales!$B$17:$AG$143,5,0)=0,"",VLOOKUP(N9,Indicadores_Generales!$B$17:$AG$143,5,0)),"")</f>
        <v>R&amp;M CONSTRUCCIONES E INTERVENTORIAS S.A.S</v>
      </c>
      <c r="O8" s="35" t="str">
        <f>IFERROR(IF(VLOOKUP(O9,Indicadores_Generales!$B$17:$AG$143,5,0)=0,"",VLOOKUP(O9,Indicadores_Generales!$B$17:$AG$143,5,0)),"")</f>
        <v xml:space="preserve">	POSSO INTERVIALES</v>
      </c>
      <c r="P8" s="35" t="str">
        <f>IFERROR(IF(VLOOKUP(P9,Indicadores_Generales!$B$17:$AG$143,5,0)=0,"",VLOOKUP(P9,Indicadores_Generales!$B$17:$AG$143,5,0)),"")</f>
        <v>EPSILON CAPITAL</v>
      </c>
      <c r="Q8" s="43" t="str">
        <f>IFERROR(IF(VLOOKUP(Q9,Indicadores_Generales!$B$17:$AG$143,5,0)=0,"",VLOOKUP(Q9,Indicadores_Generales!$B$17:$AG$143,5,0)),"")</f>
        <v>MIRS</v>
      </c>
    </row>
    <row r="9" spans="1:17" s="3" customFormat="1" ht="24" customHeight="1" x14ac:dyDescent="0.25">
      <c r="A9" s="2"/>
      <c r="B9" s="40" t="s">
        <v>2</v>
      </c>
      <c r="C9" s="36">
        <v>46</v>
      </c>
      <c r="D9" s="36">
        <v>47</v>
      </c>
      <c r="E9" s="36">
        <v>48</v>
      </c>
      <c r="F9" s="36">
        <v>49</v>
      </c>
      <c r="G9" s="36">
        <v>50</v>
      </c>
      <c r="H9" s="36">
        <v>51</v>
      </c>
      <c r="I9" s="36">
        <v>52</v>
      </c>
      <c r="J9" s="36">
        <v>53</v>
      </c>
      <c r="K9" s="36">
        <v>54</v>
      </c>
      <c r="L9" s="36">
        <v>55</v>
      </c>
      <c r="M9" s="36">
        <v>56</v>
      </c>
      <c r="N9" s="36">
        <v>57</v>
      </c>
      <c r="O9" s="36">
        <v>58</v>
      </c>
      <c r="P9" s="36">
        <v>59</v>
      </c>
      <c r="Q9" s="44">
        <v>60</v>
      </c>
    </row>
    <row r="10" spans="1:17" s="3" customFormat="1" ht="31.5" x14ac:dyDescent="0.25">
      <c r="B10" s="40" t="s">
        <v>48</v>
      </c>
      <c r="C10" s="4">
        <f>IF(C8="","",IFERROR(IF(VLOOKUP(C9,Indicadores_Generales!$B$17:$AG$143,4,0)=0,"",DATE(VLOOKUP(C9,Indicadores_Generales!$B$17:$AG$143,4,0),12,31)),""))</f>
        <v>44196</v>
      </c>
      <c r="D10" s="4">
        <f>IF(D8="","",IFERROR(IF(VLOOKUP(D9,Indicadores_Generales!$B$17:$AG$143,4,0)=0,"",DATE(VLOOKUP(D9,Indicadores_Generales!$B$17:$AG$143,4,0),12,31)),""))</f>
        <v>44561</v>
      </c>
      <c r="E10" s="4">
        <f>IF(E8="","",IFERROR(IF(VLOOKUP(E9,Indicadores_Generales!$B$17:$AG$143,4,0)=0,"",DATE(VLOOKUP(E9,Indicadores_Generales!$B$17:$AG$143,4,0),12,31)),""))</f>
        <v>44561</v>
      </c>
      <c r="F10" s="4">
        <f>IF(F8="","",IFERROR(IF(VLOOKUP(F9,Indicadores_Generales!$B$17:$AG$143,4,0)=0,"",DATE(VLOOKUP(F9,Indicadores_Generales!$B$17:$AG$143,4,0),12,31)),""))</f>
        <v>44561</v>
      </c>
      <c r="G10" s="4">
        <f>IF(G8="","",IFERROR(IF(VLOOKUP(G9,Indicadores_Generales!$B$17:$AG$143,4,0)=0,"",DATE(VLOOKUP(G9,Indicadores_Generales!$B$17:$AG$143,4,0),12,31)),""))</f>
        <v>44561</v>
      </c>
      <c r="H10" s="4">
        <f>IF(H8="","",IFERROR(IF(VLOOKUP(H9,Indicadores_Generales!$B$17:$AG$143,4,0)=0,"",DATE(VLOOKUP(H9,Indicadores_Generales!$B$17:$AG$143,4,0),12,31)),""))</f>
        <v>44561</v>
      </c>
      <c r="I10" s="4">
        <f>IF(I8="","",IFERROR(IF(VLOOKUP(I9,Indicadores_Generales!$B$17:$AG$143,4,0)=0,"",DATE(VLOOKUP(I9,Indicadores_Generales!$B$17:$AG$143,4,0),12,31)),""))</f>
        <v>44561</v>
      </c>
      <c r="J10" s="4">
        <f>IF(J8="","",IFERROR(IF(VLOOKUP(J9,Indicadores_Generales!$B$17:$AG$143,4,0)=0,"",DATE(VLOOKUP(J9,Indicadores_Generales!$B$17:$AG$143,4,0),12,31)),""))</f>
        <v>44561</v>
      </c>
      <c r="K10" s="4">
        <f>IF(K8="","",IFERROR(IF(VLOOKUP(K9,Indicadores_Generales!$B$17:$AG$143,4,0)=0,"",DATE(VLOOKUP(K9,Indicadores_Generales!$B$17:$AG$143,4,0),12,31)),""))</f>
        <v>44561</v>
      </c>
      <c r="L10" s="4">
        <f>IF(L8="","",IFERROR(IF(VLOOKUP(L9,Indicadores_Generales!$B$17:$AG$143,4,0)=0,"",DATE(VLOOKUP(L9,Indicadores_Generales!$B$17:$AG$143,4,0),12,31)),""))</f>
        <v>44561</v>
      </c>
      <c r="M10" s="4">
        <f>IF(M8="","",IFERROR(IF(VLOOKUP(M9,Indicadores_Generales!$B$17:$AG$143,4,0)=0,"",DATE(VLOOKUP(M9,Indicadores_Generales!$B$17:$AG$143,4,0),12,31)),""))</f>
        <v>44561</v>
      </c>
      <c r="N10" s="4">
        <f>IF(N8="","",IFERROR(IF(VLOOKUP(N9,Indicadores_Generales!$B$17:$AG$143,4,0)=0,"",DATE(VLOOKUP(N9,Indicadores_Generales!$B$17:$AG$143,4,0),12,31)),""))</f>
        <v>44196</v>
      </c>
      <c r="O10" s="4">
        <f>IF(O8="","",IFERROR(IF(VLOOKUP(O9,Indicadores_Generales!$B$17:$AG$143,4,0)=0,"",DATE(VLOOKUP(O9,Indicadores_Generales!$B$17:$AG$143,4,0),12,31)),""))</f>
        <v>44561</v>
      </c>
      <c r="P10" s="4">
        <f>IF(P8="","",IFERROR(IF(VLOOKUP(P9,Indicadores_Generales!$B$17:$AG$143,4,0)=0,"",DATE(VLOOKUP(P9,Indicadores_Generales!$B$17:$AG$143,4,0),12,31)),""))</f>
        <v>44561</v>
      </c>
      <c r="Q10" s="45">
        <f>IF(Q8="","",IFERROR(IF(VLOOKUP(Q9,Indicadores_Generales!$B$17:$AG$143,4,0)=0,"",DATE(VLOOKUP(Q9,Indicadores_Generales!$B$17:$AG$143,4,0),12,31)),""))</f>
        <v>44196</v>
      </c>
    </row>
    <row r="11" spans="1:17" s="3" customFormat="1" ht="24" customHeight="1" x14ac:dyDescent="0.25">
      <c r="B11" s="40" t="s">
        <v>21</v>
      </c>
      <c r="C11" s="38" t="str">
        <f>IF(C8="","",IF(C10="","","VIGENTE"))</f>
        <v>VIGENTE</v>
      </c>
      <c r="D11" s="38" t="str">
        <f t="shared" ref="D11:Q11" si="0">IF(D8="","",IF(D10="","","VIGENTE"))</f>
        <v>VIGENTE</v>
      </c>
      <c r="E11" s="38" t="str">
        <f t="shared" si="0"/>
        <v>VIGENTE</v>
      </c>
      <c r="F11" s="38" t="str">
        <f t="shared" si="0"/>
        <v>VIGENTE</v>
      </c>
      <c r="G11" s="38" t="str">
        <f t="shared" si="0"/>
        <v>VIGENTE</v>
      </c>
      <c r="H11" s="38" t="str">
        <f t="shared" si="0"/>
        <v>VIGENTE</v>
      </c>
      <c r="I11" s="38" t="str">
        <f t="shared" si="0"/>
        <v>VIGENTE</v>
      </c>
      <c r="J11" s="38" t="str">
        <f t="shared" si="0"/>
        <v>VIGENTE</v>
      </c>
      <c r="K11" s="38" t="str">
        <f t="shared" si="0"/>
        <v>VIGENTE</v>
      </c>
      <c r="L11" s="38" t="str">
        <f t="shared" si="0"/>
        <v>VIGENTE</v>
      </c>
      <c r="M11" s="38" t="str">
        <f t="shared" si="0"/>
        <v>VIGENTE</v>
      </c>
      <c r="N11" s="38" t="str">
        <f t="shared" si="0"/>
        <v>VIGENTE</v>
      </c>
      <c r="O11" s="38" t="str">
        <f t="shared" si="0"/>
        <v>VIGENTE</v>
      </c>
      <c r="P11" s="38" t="str">
        <f t="shared" si="0"/>
        <v>VIGENTE</v>
      </c>
      <c r="Q11" s="39" t="str">
        <f t="shared" si="0"/>
        <v>VIGENTE</v>
      </c>
    </row>
    <row r="12" spans="1:17" s="3" customFormat="1" ht="31.5" x14ac:dyDescent="0.25">
      <c r="B12" s="40" t="s">
        <v>22</v>
      </c>
      <c r="C12" s="7">
        <f>IF(C8="","",SUMIFS(Indicadores_Generales!$G:$G,Indicadores_Generales!$B:$B,C9))</f>
        <v>1</v>
      </c>
      <c r="D12" s="7">
        <f>IF(D8="","",SUMIFS(Indicadores_Generales!$G:$G,Indicadores_Generales!$B:$B,D9))</f>
        <v>1</v>
      </c>
      <c r="E12" s="7">
        <f>IF(E8="","",SUMIFS(Indicadores_Generales!$G:$G,Indicadores_Generales!$B:$B,E9))</f>
        <v>1</v>
      </c>
      <c r="F12" s="7">
        <f>IF(F8="","",SUMIFS(Indicadores_Generales!$G:$G,Indicadores_Generales!$B:$B,F9))</f>
        <v>1</v>
      </c>
      <c r="G12" s="7">
        <f>IF(G8="","",SUMIFS(Indicadores_Generales!$G:$G,Indicadores_Generales!$B:$B,G9))</f>
        <v>1</v>
      </c>
      <c r="H12" s="7">
        <f>IF(H8="","",SUMIFS(Indicadores_Generales!$G:$G,Indicadores_Generales!$B:$B,H9))</f>
        <v>1</v>
      </c>
      <c r="I12" s="7">
        <f>IF(I8="","",SUMIFS(Indicadores_Generales!$G:$G,Indicadores_Generales!$B:$B,I9))</f>
        <v>1</v>
      </c>
      <c r="J12" s="7">
        <f>IF(J8="","",SUMIFS(Indicadores_Generales!$G:$G,Indicadores_Generales!$B:$B,J9))</f>
        <v>1</v>
      </c>
      <c r="K12" s="7">
        <f>IF(K8="","",SUMIFS(Indicadores_Generales!$G:$G,Indicadores_Generales!$B:$B,K9))</f>
        <v>1</v>
      </c>
      <c r="L12" s="7">
        <f>IF(L8="","",SUMIFS(Indicadores_Generales!$G:$G,Indicadores_Generales!$B:$B,L9))</f>
        <v>1</v>
      </c>
      <c r="M12" s="7">
        <f>IF(M8="","",SUMIFS(Indicadores_Generales!$G:$G,Indicadores_Generales!$B:$B,M9))</f>
        <v>1</v>
      </c>
      <c r="N12" s="7">
        <f>IF(N8="","",SUMIFS(Indicadores_Generales!$G:$G,Indicadores_Generales!$B:$B,N9))</f>
        <v>1</v>
      </c>
      <c r="O12" s="7">
        <f>IF(O8="","",SUMIFS(Indicadores_Generales!$G:$G,Indicadores_Generales!$B:$B,O9))</f>
        <v>1</v>
      </c>
      <c r="P12" s="7">
        <f>IF(P8="","",SUMIFS(Indicadores_Generales!$G:$G,Indicadores_Generales!$B:$B,P9))</f>
        <v>1</v>
      </c>
      <c r="Q12" s="46">
        <f>IF(Q8="","",SUMIFS(Indicadores_Generales!$G:$G,Indicadores_Generales!$B:$B,Q9))</f>
        <v>1</v>
      </c>
    </row>
    <row r="13" spans="1:17" s="3" customFormat="1" ht="26.25" customHeight="1" x14ac:dyDescent="0.25">
      <c r="B13" s="40" t="s">
        <v>4</v>
      </c>
      <c r="C13" s="8">
        <f>IF(C8="","",SUMIFS(Indicadores_Generales!$U:$U,Indicadores_Generales!$B:$B,C9))</f>
        <v>1144527404</v>
      </c>
      <c r="D13" s="8">
        <f>IF(D8="","",SUMIFS(Indicadores_Generales!$U:$U,Indicadores_Generales!$B:$B,D9))</f>
        <v>3047939724.2999997</v>
      </c>
      <c r="E13" s="8">
        <f>IF(E8="","",SUMIFS(Indicadores_Generales!$U:$U,Indicadores_Generales!$B:$B,E9))</f>
        <v>5845854750</v>
      </c>
      <c r="F13" s="8">
        <f>IF(F8="","",SUMIFS(Indicadores_Generales!$U:$U,Indicadores_Generales!$B:$B,F9))</f>
        <v>505574854</v>
      </c>
      <c r="G13" s="8">
        <f>IF(G8="","",SUMIFS(Indicadores_Generales!$U:$U,Indicadores_Generales!$B:$B,G9))</f>
        <v>4975636779.5</v>
      </c>
      <c r="H13" s="8">
        <f>IF(H8="","",SUMIFS(Indicadores_Generales!$U:$U,Indicadores_Generales!$B:$B,H9))</f>
        <v>939829870</v>
      </c>
      <c r="I13" s="8">
        <f>IF(I8="","",SUMIFS(Indicadores_Generales!$U:$U,Indicadores_Generales!$B:$B,I9))</f>
        <v>6115738429.5</v>
      </c>
      <c r="J13" s="8">
        <f>IF(J8="","",SUMIFS(Indicadores_Generales!$U:$U,Indicadores_Generales!$B:$B,J9))</f>
        <v>4744189000</v>
      </c>
      <c r="K13" s="8">
        <f>IF(K8="","",SUMIFS(Indicadores_Generales!$U:$U,Indicadores_Generales!$B:$B,K9))</f>
        <v>5802368783</v>
      </c>
      <c r="L13" s="8">
        <f>IF(L8="","",SUMIFS(Indicadores_Generales!$U:$U,Indicadores_Generales!$B:$B,L9))</f>
        <v>2399434051.4500003</v>
      </c>
      <c r="M13" s="8">
        <f>IF(M8="","",SUMIFS(Indicadores_Generales!$U:$U,Indicadores_Generales!$B:$B,M9))</f>
        <v>1289250477</v>
      </c>
      <c r="N13" s="8">
        <f>IF(N8="","",SUMIFS(Indicadores_Generales!$U:$U,Indicadores_Generales!$B:$B,N9))</f>
        <v>5725462134</v>
      </c>
      <c r="O13" s="8">
        <f>IF(O8="","",SUMIFS(Indicadores_Generales!$U:$U,Indicadores_Generales!$B:$B,O9))</f>
        <v>6272958799.2000008</v>
      </c>
      <c r="P13" s="8">
        <f>IF(P8="","",SUMIFS(Indicadores_Generales!$U:$U,Indicadores_Generales!$B:$B,P9))</f>
        <v>7587068228.5999994</v>
      </c>
      <c r="Q13" s="47">
        <f>IF(Q8="","",SUMIFS(Indicadores_Generales!$U:$U,Indicadores_Generales!$B:$B,Q9))</f>
        <v>9466689745</v>
      </c>
    </row>
    <row r="14" spans="1:17" s="3" customFormat="1" ht="26.25" customHeight="1" x14ac:dyDescent="0.25">
      <c r="B14" s="40" t="s">
        <v>5</v>
      </c>
      <c r="C14" s="8">
        <f>IF(C8="","",SUMIFS(Indicadores_Generales!$V:$V,Indicadores_Generales!$B:$B,C9))</f>
        <v>127525300</v>
      </c>
      <c r="D14" s="8">
        <f>IF(D8="","",SUMIFS(Indicadores_Generales!$V:$V,Indicadores_Generales!$B:$B,D9))</f>
        <v>1222427657.0999999</v>
      </c>
      <c r="E14" s="8">
        <f>IF(E8="","",SUMIFS(Indicadores_Generales!$V:$V,Indicadores_Generales!$B:$B,E9))</f>
        <v>1191338600</v>
      </c>
      <c r="F14" s="8">
        <f>IF(F8="","",SUMIFS(Indicadores_Generales!$V:$V,Indicadores_Generales!$B:$B,F9))</f>
        <v>0</v>
      </c>
      <c r="G14" s="8">
        <f>IF(G8="","",SUMIFS(Indicadores_Generales!$V:$V,Indicadores_Generales!$B:$B,G9))</f>
        <v>610833480</v>
      </c>
      <c r="H14" s="8">
        <f>IF(H8="","",SUMIFS(Indicadores_Generales!$V:$V,Indicadores_Generales!$B:$B,H9))</f>
        <v>78474115.5</v>
      </c>
      <c r="I14" s="8">
        <f>IF(I8="","",SUMIFS(Indicadores_Generales!$V:$V,Indicadores_Generales!$B:$B,I9))</f>
        <v>963296384</v>
      </c>
      <c r="J14" s="8">
        <f>IF(J8="","",SUMIFS(Indicadores_Generales!$V:$V,Indicadores_Generales!$B:$B,J9))</f>
        <v>647872000</v>
      </c>
      <c r="K14" s="8">
        <f>IF(K8="","",SUMIFS(Indicadores_Generales!$V:$V,Indicadores_Generales!$B:$B,K9))</f>
        <v>1434118626</v>
      </c>
      <c r="L14" s="8">
        <f>IF(L8="","",SUMIFS(Indicadores_Generales!$V:$V,Indicadores_Generales!$B:$B,L9))</f>
        <v>565945816.29999995</v>
      </c>
      <c r="M14" s="8">
        <f>IF(M8="","",SUMIFS(Indicadores_Generales!$V:$V,Indicadores_Generales!$B:$B,M9))</f>
        <v>691979922</v>
      </c>
      <c r="N14" s="8">
        <f>IF(N8="","",SUMIFS(Indicadores_Generales!$V:$V,Indicadores_Generales!$B:$B,N9))</f>
        <v>749796926</v>
      </c>
      <c r="O14" s="8">
        <f>IF(O8="","",SUMIFS(Indicadores_Generales!$V:$V,Indicadores_Generales!$B:$B,O9))</f>
        <v>1440450401.4000001</v>
      </c>
      <c r="P14" s="8">
        <f>IF(P8="","",SUMIFS(Indicadores_Generales!$V:$V,Indicadores_Generales!$B:$B,P9))</f>
        <v>958768570.29999995</v>
      </c>
      <c r="Q14" s="47">
        <f>IF(Q8="","",SUMIFS(Indicadores_Generales!$V:$V,Indicadores_Generales!$B:$B,Q9))</f>
        <v>578082934</v>
      </c>
    </row>
    <row r="15" spans="1:17" s="3" customFormat="1" ht="26.25" customHeight="1" x14ac:dyDescent="0.25">
      <c r="B15" s="40" t="s">
        <v>6</v>
      </c>
      <c r="C15" s="8">
        <f>IF(C8="","",SUMIFS(Indicadores_Generales!$W:$W,Indicadores_Generales!$B:$B,C9))</f>
        <v>1144527404</v>
      </c>
      <c r="D15" s="8">
        <f>IF(D8="","",SUMIFS(Indicadores_Generales!$W:$W,Indicadores_Generales!$B:$B,D9))</f>
        <v>3485596843.1999998</v>
      </c>
      <c r="E15" s="8">
        <f>IF(E8="","",SUMIFS(Indicadores_Generales!$W:$W,Indicadores_Generales!$B:$B,E9))</f>
        <v>6482464950</v>
      </c>
      <c r="F15" s="8">
        <f>IF(F8="","",SUMIFS(Indicadores_Generales!$W:$W,Indicadores_Generales!$B:$B,F9))</f>
        <v>505574854</v>
      </c>
      <c r="G15" s="8">
        <f>IF(G8="","",SUMIFS(Indicadores_Generales!$W:$W,Indicadores_Generales!$B:$B,G9))</f>
        <v>5534779903</v>
      </c>
      <c r="H15" s="8">
        <f>IF(H8="","",SUMIFS(Indicadores_Generales!$W:$W,Indicadores_Generales!$B:$B,H9))</f>
        <v>1310154549.25</v>
      </c>
      <c r="I15" s="8">
        <f>IF(I8="","",SUMIFS(Indicadores_Generales!$W:$W,Indicadores_Generales!$B:$B,I9))</f>
        <v>7761534305</v>
      </c>
      <c r="J15" s="8">
        <f>IF(J8="","",SUMIFS(Indicadores_Generales!$W:$W,Indicadores_Generales!$B:$B,J9))</f>
        <v>7198504000</v>
      </c>
      <c r="K15" s="8">
        <f>IF(K8="","",SUMIFS(Indicadores_Generales!$W:$W,Indicadores_Generales!$B:$B,K9))</f>
        <v>10305647220</v>
      </c>
      <c r="L15" s="8">
        <f>IF(L8="","",SUMIFS(Indicadores_Generales!$W:$W,Indicadores_Generales!$B:$B,L9))</f>
        <v>2700900888.8000002</v>
      </c>
      <c r="M15" s="8">
        <f>IF(M8="","",SUMIFS(Indicadores_Generales!$W:$W,Indicadores_Generales!$B:$B,M9))</f>
        <v>3069475369.5</v>
      </c>
      <c r="N15" s="8">
        <f>IF(N8="","",SUMIFS(Indicadores_Generales!$W:$W,Indicadores_Generales!$B:$B,N9))</f>
        <v>6646999413</v>
      </c>
      <c r="O15" s="8">
        <f>IF(O8="","",SUMIFS(Indicadores_Generales!$W:$W,Indicadores_Generales!$B:$B,O9))</f>
        <v>7275276037.6000004</v>
      </c>
      <c r="P15" s="8">
        <f>IF(P8="","",SUMIFS(Indicadores_Generales!$W:$W,Indicadores_Generales!$B:$B,P9))</f>
        <v>8181709262.3000002</v>
      </c>
      <c r="Q15" s="47">
        <f>IF(Q8="","",SUMIFS(Indicadores_Generales!$W:$W,Indicadores_Generales!$B:$B,Q9))</f>
        <v>9632261601</v>
      </c>
    </row>
    <row r="16" spans="1:17" s="3" customFormat="1" ht="26.25" customHeight="1" x14ac:dyDescent="0.25">
      <c r="B16" s="40" t="s">
        <v>7</v>
      </c>
      <c r="C16" s="8">
        <f>IF(C8="","",SUMIFS(Indicadores_Generales!$X:$X,Indicadores_Generales!$B:$B,C9))</f>
        <v>691084552</v>
      </c>
      <c r="D16" s="8">
        <f>IF(D8="","",SUMIFS(Indicadores_Generales!$X:$X,Indicadores_Generales!$B:$B,D9))</f>
        <v>1231927733.0999999</v>
      </c>
      <c r="E16" s="8">
        <f>IF(E8="","",SUMIFS(Indicadores_Generales!$X:$X,Indicadores_Generales!$B:$B,E9))</f>
        <v>2779734950</v>
      </c>
      <c r="F16" s="8">
        <f>IF(F8="","",SUMIFS(Indicadores_Generales!$X:$X,Indicadores_Generales!$B:$B,F9))</f>
        <v>0</v>
      </c>
      <c r="G16" s="8">
        <f>IF(G8="","",SUMIFS(Indicadores_Generales!$X:$X,Indicadores_Generales!$B:$B,G9))</f>
        <v>1557688889.5</v>
      </c>
      <c r="H16" s="8">
        <f>IF(H8="","",SUMIFS(Indicadores_Generales!$X:$X,Indicadores_Generales!$B:$B,H9))</f>
        <v>78474115.5</v>
      </c>
      <c r="I16" s="8">
        <f>IF(I8="","",SUMIFS(Indicadores_Generales!$X:$X,Indicadores_Generales!$B:$B,I9))</f>
        <v>3249433367.5</v>
      </c>
      <c r="J16" s="8">
        <f>IF(J8="","",SUMIFS(Indicadores_Generales!$X:$X,Indicadores_Generales!$B:$B,J9))</f>
        <v>3549582000</v>
      </c>
      <c r="K16" s="8">
        <f>IF(K8="","",SUMIFS(Indicadores_Generales!$X:$X,Indicadores_Generales!$B:$B,K9))</f>
        <v>3799517203</v>
      </c>
      <c r="L16" s="8">
        <f>IF(L8="","",SUMIFS(Indicadores_Generales!$X:$X,Indicadores_Generales!$B:$B,L9))</f>
        <v>1146183272.8</v>
      </c>
      <c r="M16" s="8">
        <f>IF(M8="","",SUMIFS(Indicadores_Generales!$X:$X,Indicadores_Generales!$B:$B,M9))</f>
        <v>715898498</v>
      </c>
      <c r="N16" s="8">
        <f>IF(N8="","",SUMIFS(Indicadores_Generales!$X:$X,Indicadores_Generales!$B:$B,N9))</f>
        <v>749796926</v>
      </c>
      <c r="O16" s="8">
        <f>IF(O8="","",SUMIFS(Indicadores_Generales!$X:$X,Indicadores_Generales!$B:$B,O9))</f>
        <v>1880579133</v>
      </c>
      <c r="P16" s="8">
        <f>IF(P8="","",SUMIFS(Indicadores_Generales!$X:$X,Indicadores_Generales!$B:$B,P9))</f>
        <v>1034777894.5</v>
      </c>
      <c r="Q16" s="47">
        <f>IF(Q8="","",SUMIFS(Indicadores_Generales!$X:$X,Indicadores_Generales!$B:$B,Q9))</f>
        <v>3615452093</v>
      </c>
    </row>
    <row r="17" spans="1:17" s="3" customFormat="1" ht="26.25" customHeight="1" x14ac:dyDescent="0.25">
      <c r="B17" s="40" t="s">
        <v>23</v>
      </c>
      <c r="C17" s="8">
        <f>IF(C8="","",SUMIFS(Indicadores_Generales!$Y:$Y,Indicadores_Generales!$B:$B,C9))</f>
        <v>453442852</v>
      </c>
      <c r="D17" s="8">
        <f>IF(D8="","",SUMIFS(Indicadores_Generales!$Y:$Y,Indicadores_Generales!$B:$B,D9))</f>
        <v>2253669110.0999999</v>
      </c>
      <c r="E17" s="8">
        <f>IF(E8="","",SUMIFS(Indicadores_Generales!$Y:$Y,Indicadores_Generales!$B:$B,E9))</f>
        <v>3702730000</v>
      </c>
      <c r="F17" s="8">
        <f>IF(F8="","",SUMIFS(Indicadores_Generales!$Y:$Y,Indicadores_Generales!$B:$B,F9))</f>
        <v>505574854</v>
      </c>
      <c r="G17" s="8">
        <f>IF(G8="","",SUMIFS(Indicadores_Generales!$Y:$Y,Indicadores_Generales!$B:$B,G9))</f>
        <v>3977091013.5</v>
      </c>
      <c r="H17" s="8">
        <f>IF(H8="","",SUMIFS(Indicadores_Generales!$Y:$Y,Indicadores_Generales!$B:$B,H9))</f>
        <v>1231680433.75</v>
      </c>
      <c r="I17" s="8">
        <f>IF(I8="","",SUMIFS(Indicadores_Generales!$Y:$Y,Indicadores_Generales!$B:$B,I9))</f>
        <v>4512100937.5</v>
      </c>
      <c r="J17" s="8">
        <f>IF(J8="","",SUMIFS(Indicadores_Generales!$Y:$Y,Indicadores_Generales!$B:$B,J9))</f>
        <v>3648922000</v>
      </c>
      <c r="K17" s="8">
        <f>IF(K8="","",SUMIFS(Indicadores_Generales!$Y:$Y,Indicadores_Generales!$B:$B,K9))</f>
        <v>6506130017</v>
      </c>
      <c r="L17" s="8">
        <f>IF(L8="","",SUMIFS(Indicadores_Generales!$Y:$Y,Indicadores_Generales!$B:$B,L9))</f>
        <v>1554717616</v>
      </c>
      <c r="M17" s="8">
        <f>IF(M8="","",SUMIFS(Indicadores_Generales!$Y:$Y,Indicadores_Generales!$B:$B,M9))</f>
        <v>2353576871.5</v>
      </c>
      <c r="N17" s="8">
        <f>IF(N8="","",SUMIFS(Indicadores_Generales!$Y:$Y,Indicadores_Generales!$B:$B,N9))</f>
        <v>5897202487</v>
      </c>
      <c r="O17" s="8">
        <f>IF(O8="","",SUMIFS(Indicadores_Generales!$Y:$Y,Indicadores_Generales!$B:$B,O9))</f>
        <v>5394696904</v>
      </c>
      <c r="P17" s="8">
        <f>IF(P8="","",SUMIFS(Indicadores_Generales!$Y:$Y,Indicadores_Generales!$B:$B,P9))</f>
        <v>7146931367.8000002</v>
      </c>
      <c r="Q17" s="47">
        <f>IF(Q8="","",SUMIFS(Indicadores_Generales!$Y:$Y,Indicadores_Generales!$B:$B,Q9))</f>
        <v>6016809508</v>
      </c>
    </row>
    <row r="18" spans="1:17" s="3" customFormat="1" ht="36.75" customHeight="1" x14ac:dyDescent="0.25">
      <c r="B18" s="40" t="s">
        <v>24</v>
      </c>
      <c r="C18" s="8">
        <f>IF(C8="","",C15-C16-C17)</f>
        <v>0</v>
      </c>
      <c r="D18" s="8">
        <f t="shared" ref="D18:Q18" si="1">IF(D8="","",D15-D16-D17)</f>
        <v>0</v>
      </c>
      <c r="E18" s="8">
        <f t="shared" si="1"/>
        <v>0</v>
      </c>
      <c r="F18" s="8">
        <f t="shared" si="1"/>
        <v>0</v>
      </c>
      <c r="G18" s="8">
        <f t="shared" si="1"/>
        <v>0</v>
      </c>
      <c r="H18" s="8">
        <f t="shared" si="1"/>
        <v>0</v>
      </c>
      <c r="I18" s="8">
        <f t="shared" si="1"/>
        <v>0</v>
      </c>
      <c r="J18" s="8">
        <f t="shared" si="1"/>
        <v>0</v>
      </c>
      <c r="K18" s="8">
        <f t="shared" si="1"/>
        <v>0</v>
      </c>
      <c r="L18" s="8">
        <f t="shared" si="1"/>
        <v>2.384185791015625E-7</v>
      </c>
      <c r="M18" s="8">
        <f t="shared" si="1"/>
        <v>0</v>
      </c>
      <c r="N18" s="8">
        <f t="shared" si="1"/>
        <v>0</v>
      </c>
      <c r="O18" s="8">
        <f t="shared" si="1"/>
        <v>0.60000038146972656</v>
      </c>
      <c r="P18" s="8">
        <f t="shared" si="1"/>
        <v>0</v>
      </c>
      <c r="Q18" s="47">
        <f t="shared" si="1"/>
        <v>0</v>
      </c>
    </row>
    <row r="19" spans="1:17" s="3" customFormat="1" ht="26.25" customHeight="1" x14ac:dyDescent="0.25">
      <c r="B19" s="40" t="s">
        <v>25</v>
      </c>
      <c r="C19" s="8">
        <f>IF(C8="","",SUMIFS(Indicadores_Generales!$Z:$Z,Indicadores_Generales!$B:$B,C9))</f>
        <v>96550646</v>
      </c>
      <c r="D19" s="8">
        <f>IF(D8="","",SUMIFS(Indicadores_Generales!$Z:$Z,Indicadores_Generales!$B:$B,D9))</f>
        <v>647708741.39999998</v>
      </c>
      <c r="E19" s="8">
        <f>IF(E8="","",SUMIFS(Indicadores_Generales!$Z:$Z,Indicadores_Generales!$B:$B,E9))</f>
        <v>308762850</v>
      </c>
      <c r="F19" s="8">
        <f>IF(F8="","",SUMIFS(Indicadores_Generales!$Z:$Z,Indicadores_Generales!$B:$B,F9))</f>
        <v>85495360</v>
      </c>
      <c r="G19" s="8">
        <f>IF(G8="","",SUMIFS(Indicadores_Generales!$Z:$Z,Indicadores_Generales!$B:$B,G9))</f>
        <v>763579987</v>
      </c>
      <c r="H19" s="8">
        <f>IF(H8="","",SUMIFS(Indicadores_Generales!$Z:$Z,Indicadores_Generales!$B:$B,H9))</f>
        <v>212383869.75</v>
      </c>
      <c r="I19" s="8">
        <f>IF(I8="","",SUMIFS(Indicadores_Generales!$Z:$Z,Indicadores_Generales!$B:$B,I9))</f>
        <v>1331761777.5</v>
      </c>
      <c r="J19" s="8">
        <f>IF(J8="","",SUMIFS(Indicadores_Generales!$Z:$Z,Indicadores_Generales!$B:$B,J9))</f>
        <v>689288000</v>
      </c>
      <c r="K19" s="8">
        <f>IF(K8="","",SUMIFS(Indicadores_Generales!$Z:$Z,Indicadores_Generales!$B:$B,K9))</f>
        <v>1572808883</v>
      </c>
      <c r="L19" s="8">
        <f>IF(L8="","",SUMIFS(Indicadores_Generales!$Z:$Z,Indicadores_Generales!$B:$B,L9))</f>
        <v>650969101.20000005</v>
      </c>
      <c r="M19" s="8">
        <f>IF(M8="","",SUMIFS(Indicadores_Generales!$Z:$Z,Indicadores_Generales!$B:$B,M9))</f>
        <v>51865207.5</v>
      </c>
      <c r="N19" s="8">
        <f>IF(N8="","",SUMIFS(Indicadores_Generales!$Z:$Z,Indicadores_Generales!$B:$B,N9))</f>
        <v>906823045</v>
      </c>
      <c r="O19" s="8">
        <f>IF(O8="","",SUMIFS(Indicadores_Generales!$Z:$Z,Indicadores_Generales!$B:$B,O9))</f>
        <v>432166911</v>
      </c>
      <c r="P19" s="8">
        <f>IF(P8="","",SUMIFS(Indicadores_Generales!$Z:$Z,Indicadores_Generales!$B:$B,P9))</f>
        <v>1741600916.0999999</v>
      </c>
      <c r="Q19" s="47">
        <f>IF(Q8="","",SUMIFS(Indicadores_Generales!$Z:$Z,Indicadores_Generales!$B:$B,Q9))</f>
        <v>3788705455</v>
      </c>
    </row>
    <row r="20" spans="1:17" s="3" customFormat="1" ht="26.25" customHeight="1" x14ac:dyDescent="0.25">
      <c r="B20" s="40" t="s">
        <v>26</v>
      </c>
      <c r="C20" s="8">
        <f>IF(C8="","",SUMIFS(Indicadores_Generales!$AA:$AA,Indicadores_Generales!$B:$B,C9))</f>
        <v>5000</v>
      </c>
      <c r="D20" s="8">
        <f>IF(D8="","",SUMIFS(Indicadores_Generales!$AA:$AA,Indicadores_Generales!$B:$B,D9))</f>
        <v>1545935.65</v>
      </c>
      <c r="E20" s="8">
        <f>IF(E8="","",SUMIFS(Indicadores_Generales!$AA:$AA,Indicadores_Generales!$B:$B,E9))</f>
        <v>13373150</v>
      </c>
      <c r="F20" s="8">
        <f>IF(F8="","",SUMIFS(Indicadores_Generales!$AA:$AA,Indicadores_Generales!$B:$B,F9))</f>
        <v>26503561</v>
      </c>
      <c r="G20" s="8">
        <f>IF(G8="","",SUMIFS(Indicadores_Generales!$AA:$AA,Indicadores_Generales!$B:$B,G9))</f>
        <v>38142179.5</v>
      </c>
      <c r="H20" s="8">
        <f>IF(H8="","",SUMIFS(Indicadores_Generales!$AA:$AA,Indicadores_Generales!$B:$B,H9))</f>
        <v>110000</v>
      </c>
      <c r="I20" s="8">
        <f>IF(I8="","",SUMIFS(Indicadores_Generales!$AA:$AA,Indicadores_Generales!$B:$B,I9))</f>
        <v>187921711.72499999</v>
      </c>
      <c r="J20" s="8">
        <f>IF(J8="","",SUMIFS(Indicadores_Generales!$AA:$AA,Indicadores_Generales!$B:$B,J9))</f>
        <v>106015275</v>
      </c>
      <c r="K20" s="8">
        <f>IF(K8="","",SUMIFS(Indicadores_Generales!$AA:$AA,Indicadores_Generales!$B:$B,K9))</f>
        <v>214725199</v>
      </c>
      <c r="L20" s="8">
        <f>IF(L8="","",SUMIFS(Indicadores_Generales!$AA:$AA,Indicadores_Generales!$B:$B,L9))</f>
        <v>6564271.5499999998</v>
      </c>
      <c r="M20" s="8">
        <f>IF(M8="","",SUMIFS(Indicadores_Generales!$AA:$AA,Indicadores_Generales!$B:$B,M9))</f>
        <v>0</v>
      </c>
      <c r="N20" s="8">
        <f>IF(N8="","",SUMIFS(Indicadores_Generales!$AA:$AA,Indicadores_Generales!$B:$B,N9))</f>
        <v>3620892</v>
      </c>
      <c r="O20" s="8">
        <f>IF(O8="","",SUMIFS(Indicadores_Generales!$AA:$AA,Indicadores_Generales!$B:$B,O9))</f>
        <v>97936921.799999997</v>
      </c>
      <c r="P20" s="8">
        <f>IF(P8="","",SUMIFS(Indicadores_Generales!$AA:$AA,Indicadores_Generales!$B:$B,P9))</f>
        <v>711786.6</v>
      </c>
      <c r="Q20" s="47">
        <f>IF(Q8="","",SUMIFS(Indicadores_Generales!$AA:$AA,Indicadores_Generales!$B:$B,Q9))</f>
        <v>12146311</v>
      </c>
    </row>
    <row r="21" spans="1:17" s="3" customFormat="1" ht="58.5" customHeight="1" x14ac:dyDescent="0.25">
      <c r="B21" s="40" t="s">
        <v>27</v>
      </c>
      <c r="C21" s="9">
        <f>IF(C8="","",C19/C17)</f>
        <v>0.21292792592086113</v>
      </c>
      <c r="D21" s="9">
        <f t="shared" ref="D21:Q21" si="2">IF(D8="","",D19/D17)</f>
        <v>0.28740188100251318</v>
      </c>
      <c r="E21" s="9">
        <f t="shared" si="2"/>
        <v>8.3387892176853301E-2</v>
      </c>
      <c r="F21" s="9">
        <f t="shared" si="2"/>
        <v>0.16910524588709075</v>
      </c>
      <c r="G21" s="9">
        <f t="shared" si="2"/>
        <v>0.19199459715859479</v>
      </c>
      <c r="H21" s="9">
        <f t="shared" si="2"/>
        <v>0.17243423207054742</v>
      </c>
      <c r="I21" s="9">
        <f t="shared" si="2"/>
        <v>0.29515336557117966</v>
      </c>
      <c r="J21" s="9">
        <f t="shared" si="2"/>
        <v>0.18890181812601092</v>
      </c>
      <c r="K21" s="9">
        <f t="shared" si="2"/>
        <v>0.24174261487095638</v>
      </c>
      <c r="L21" s="9">
        <f t="shared" si="2"/>
        <v>0.41870568294892213</v>
      </c>
      <c r="M21" s="9">
        <f t="shared" si="2"/>
        <v>2.2036759507644575E-2</v>
      </c>
      <c r="N21" s="9">
        <f t="shared" si="2"/>
        <v>0.15377173278330403</v>
      </c>
      <c r="O21" s="9">
        <f t="shared" si="2"/>
        <v>8.0109581444614927E-2</v>
      </c>
      <c r="P21" s="9">
        <f t="shared" si="2"/>
        <v>0.24368513232779332</v>
      </c>
      <c r="Q21" s="48">
        <f t="shared" si="2"/>
        <v>0.62968678831571878</v>
      </c>
    </row>
    <row r="22" spans="1:17" s="3" customFormat="1" ht="57" customHeight="1" x14ac:dyDescent="0.25">
      <c r="B22" s="40" t="s">
        <v>28</v>
      </c>
      <c r="C22" s="9">
        <f>IF(C8="","",C19/C15)</f>
        <v>8.4358527076386192E-2</v>
      </c>
      <c r="D22" s="9">
        <f t="shared" ref="D22:Q22" si="3">IF(D8="","",D19/D15)</f>
        <v>0.18582434244040746</v>
      </c>
      <c r="E22" s="9">
        <f t="shared" si="3"/>
        <v>4.7630469641027524E-2</v>
      </c>
      <c r="F22" s="9">
        <f t="shared" si="3"/>
        <v>0.16910524588709075</v>
      </c>
      <c r="G22" s="9">
        <f t="shared" si="3"/>
        <v>0.1379603164682518</v>
      </c>
      <c r="H22" s="9">
        <f t="shared" si="3"/>
        <v>0.16210596671330071</v>
      </c>
      <c r="I22" s="9">
        <f t="shared" si="3"/>
        <v>0.17158486005042531</v>
      </c>
      <c r="J22" s="9">
        <f t="shared" si="3"/>
        <v>9.5754340068436444E-2</v>
      </c>
      <c r="K22" s="9">
        <f t="shared" si="3"/>
        <v>0.15261621608273915</v>
      </c>
      <c r="L22" s="9">
        <f t="shared" si="3"/>
        <v>0.24101924802180472</v>
      </c>
      <c r="M22" s="9">
        <f t="shared" si="3"/>
        <v>1.6897091931527226E-2</v>
      </c>
      <c r="N22" s="9">
        <f t="shared" si="3"/>
        <v>0.13642592524176592</v>
      </c>
      <c r="O22" s="9">
        <f t="shared" si="3"/>
        <v>5.9402132478064036E-2</v>
      </c>
      <c r="P22" s="9">
        <f t="shared" si="3"/>
        <v>0.21286516793318686</v>
      </c>
      <c r="Q22" s="48">
        <f t="shared" si="3"/>
        <v>0.39333498319923799</v>
      </c>
    </row>
    <row r="23" spans="1:17" s="3" customFormat="1" ht="35.25" customHeight="1" x14ac:dyDescent="0.25">
      <c r="B23" s="10" t="s">
        <v>29</v>
      </c>
      <c r="C23" s="11">
        <f>IF(C8="","",Indicadores_Generales!$D$5)</f>
        <v>800053615</v>
      </c>
      <c r="D23" s="11">
        <f>IF(D8="","",Indicadores_Generales!$D$5)</f>
        <v>800053615</v>
      </c>
      <c r="E23" s="11">
        <f>IF(E8="","",Indicadores_Generales!$D$5)</f>
        <v>800053615</v>
      </c>
      <c r="F23" s="11">
        <f>IF(F8="","",Indicadores_Generales!$D$5)</f>
        <v>800053615</v>
      </c>
      <c r="G23" s="11">
        <f>IF(G8="","",Indicadores_Generales!$D$5)</f>
        <v>800053615</v>
      </c>
      <c r="H23" s="11">
        <f>IF(H8="","",Indicadores_Generales!$D$5)</f>
        <v>800053615</v>
      </c>
      <c r="I23" s="11">
        <f>IF(I8="","",Indicadores_Generales!$D$5)</f>
        <v>800053615</v>
      </c>
      <c r="J23" s="11">
        <f>IF(J8="","",Indicadores_Generales!$D$5)</f>
        <v>800053615</v>
      </c>
      <c r="K23" s="11">
        <f>IF(K8="","",Indicadores_Generales!$D$5)</f>
        <v>800053615</v>
      </c>
      <c r="L23" s="11">
        <f>IF(L8="","",Indicadores_Generales!$D$5)</f>
        <v>800053615</v>
      </c>
      <c r="M23" s="11">
        <f>IF(M8="","",Indicadores_Generales!$D$5)</f>
        <v>800053615</v>
      </c>
      <c r="N23" s="11">
        <f>IF(N8="","",Indicadores_Generales!$D$5)</f>
        <v>800053615</v>
      </c>
      <c r="O23" s="11">
        <f>IF(O8="","",Indicadores_Generales!$D$5)</f>
        <v>800053615</v>
      </c>
      <c r="P23" s="11">
        <f>IF(P8="","",Indicadores_Generales!$D$5)</f>
        <v>800053615</v>
      </c>
      <c r="Q23" s="49">
        <f>IF(Q8="","",Indicadores_Generales!$D$5)</f>
        <v>800053615</v>
      </c>
    </row>
    <row r="24" spans="1:17" s="3" customFormat="1" ht="30" customHeight="1" x14ac:dyDescent="0.25">
      <c r="B24" s="153" t="s">
        <v>30</v>
      </c>
      <c r="C24" s="154"/>
      <c r="D24" s="154"/>
      <c r="E24" s="154"/>
      <c r="F24" s="154"/>
      <c r="G24" s="154"/>
      <c r="H24" s="154"/>
      <c r="I24" s="154"/>
      <c r="J24" s="154"/>
      <c r="K24" s="154"/>
      <c r="L24" s="154"/>
      <c r="M24" s="154"/>
      <c r="N24" s="154"/>
      <c r="O24" s="154"/>
      <c r="P24" s="154"/>
      <c r="Q24" s="155"/>
    </row>
    <row r="25" spans="1:17" s="3" customFormat="1" ht="15.75" x14ac:dyDescent="0.25">
      <c r="A25" s="12"/>
      <c r="B25" s="13" t="s">
        <v>31</v>
      </c>
      <c r="C25" s="14"/>
      <c r="D25" s="14"/>
      <c r="E25" s="14"/>
      <c r="F25" s="14"/>
      <c r="G25" s="14"/>
      <c r="H25" s="14"/>
      <c r="I25" s="14"/>
      <c r="J25" s="14"/>
      <c r="K25" s="14"/>
      <c r="L25" s="14"/>
      <c r="M25" s="14"/>
      <c r="N25" s="14" t="s">
        <v>55</v>
      </c>
      <c r="O25" s="14"/>
      <c r="P25" s="14"/>
      <c r="Q25" s="15"/>
    </row>
    <row r="26" spans="1:17" s="3" customFormat="1" ht="15.75" hidden="1" x14ac:dyDescent="0.25">
      <c r="B26" s="16"/>
      <c r="C26" s="17"/>
      <c r="D26" s="17"/>
      <c r="E26" s="17"/>
      <c r="F26" s="17"/>
      <c r="G26" s="17"/>
      <c r="H26" s="17"/>
      <c r="I26" s="17"/>
      <c r="J26" s="17"/>
      <c r="K26" s="17"/>
      <c r="L26" s="17"/>
      <c r="M26" s="17"/>
      <c r="N26" s="17"/>
      <c r="O26" s="17"/>
      <c r="P26" s="17"/>
      <c r="Q26" s="18"/>
    </row>
    <row r="27" spans="1:17" s="3" customFormat="1" ht="15.75" x14ac:dyDescent="0.25">
      <c r="B27" s="153" t="s">
        <v>30</v>
      </c>
      <c r="C27" s="154"/>
      <c r="D27" s="154"/>
      <c r="E27" s="154"/>
      <c r="F27" s="154"/>
      <c r="G27" s="154"/>
      <c r="H27" s="154"/>
      <c r="I27" s="154"/>
      <c r="J27" s="154"/>
      <c r="K27" s="154"/>
      <c r="L27" s="154"/>
      <c r="M27" s="154"/>
      <c r="N27" s="154"/>
      <c r="O27" s="154"/>
      <c r="P27" s="154"/>
      <c r="Q27" s="155"/>
    </row>
    <row r="28" spans="1:17" s="3" customFormat="1" ht="36.75" customHeight="1" x14ac:dyDescent="0.25">
      <c r="B28" s="34" t="str">
        <f>Indicadores_Generales!C9</f>
        <v>Indice de Liquidez: (mín. 1, ) veces.</v>
      </c>
      <c r="C28" s="19" t="str">
        <f>IF(C8="","",IFERROR(IF(C29&gt;=Indicadores_Generales!$D$9,$B$25,$N$25),""))</f>
        <v>HÁBIL</v>
      </c>
      <c r="D28" s="19" t="str">
        <f>IF(D8="","",IFERROR(IF(D29&gt;=Indicadores_Generales!$D$9,$B$25,$N$25),""))</f>
        <v>HÁBIL</v>
      </c>
      <c r="E28" s="19" t="str">
        <f>IF(E8="","",IFERROR(IF(E29&gt;=Indicadores_Generales!$D$9,$B$25,$N$25),""))</f>
        <v>HÁBIL</v>
      </c>
      <c r="F28" s="19" t="str">
        <f>IF(F8="","",IFERROR(IF(F29&gt;=Indicadores_Generales!$D$9,$B$25,$N$25),""))</f>
        <v>HÁBIL</v>
      </c>
      <c r="G28" s="19" t="str">
        <f>IF(G8="","",IFERROR(IF(G29&gt;=Indicadores_Generales!$D$9,$B$25,$N$25),""))</f>
        <v>HÁBIL</v>
      </c>
      <c r="H28" s="19" t="str">
        <f>IF(H8="","",IFERROR(IF(H29&gt;=Indicadores_Generales!$D$9,$B$25,$N$25),""))</f>
        <v>HÁBIL</v>
      </c>
      <c r="I28" s="19" t="str">
        <f>IF(I8="","",IFERROR(IF(I29&gt;=Indicadores_Generales!$D$9,$B$25,$N$25),""))</f>
        <v>HÁBIL</v>
      </c>
      <c r="J28" s="19" t="str">
        <f>IF(J8="","",IFERROR(IF(J29&gt;=Indicadores_Generales!$D$9,$B$25,$N$25),""))</f>
        <v>HÁBIL</v>
      </c>
      <c r="K28" s="19" t="str">
        <f>IF(K8="","",IFERROR(IF(K29&gt;=Indicadores_Generales!$D$9,$B$25,$N$25),""))</f>
        <v>HÁBIL</v>
      </c>
      <c r="L28" s="19" t="str">
        <f>IF(L8="","",IFERROR(IF(L29&gt;=Indicadores_Generales!$D$9,$B$25,$N$25),""))</f>
        <v>HÁBIL</v>
      </c>
      <c r="M28" s="19" t="str">
        <f>IF(M8="","",IFERROR(IF(M29&gt;=Indicadores_Generales!$D$9,$B$25,$N$25),""))</f>
        <v>HÁBIL</v>
      </c>
      <c r="N28" s="19" t="str">
        <f>IF(N8="","",IFERROR(IF(N29&gt;=Indicadores_Generales!$D$9,$B$25,$N$25),""))</f>
        <v>HÁBIL</v>
      </c>
      <c r="O28" s="19" t="str">
        <f>IF(O8="","",IFERROR(IF(O29&gt;=Indicadores_Generales!$D$9,$B$25,$N$25),""))</f>
        <v>HÁBIL</v>
      </c>
      <c r="P28" s="19" t="str">
        <f>IF(P8="","",IFERROR(IF(P29&gt;=Indicadores_Generales!$D$9,$B$25,$N$25),""))</f>
        <v>HÁBIL</v>
      </c>
      <c r="Q28" s="50" t="str">
        <f>IF(Q8="","",IFERROR(IF(Q29&gt;=Indicadores_Generales!$D$9,$B$25,$N$25),""))</f>
        <v>HÁBIL</v>
      </c>
    </row>
    <row r="29" spans="1:17" s="3" customFormat="1" ht="36.75" customHeight="1" x14ac:dyDescent="0.25">
      <c r="B29" s="41" t="s">
        <v>32</v>
      </c>
      <c r="C29" s="90">
        <f>IF(C8="","",IFERROR(C13/C14,"Indeterminado"))</f>
        <v>8.9749046189265975</v>
      </c>
      <c r="D29" s="90">
        <f>IF(D8="","",IFERROR(D13/D14,"Indeterminado"))</f>
        <v>2.4933497754220602</v>
      </c>
      <c r="E29" s="90">
        <f t="shared" ref="E29:Q29" si="4">IF(E8="","",IFERROR(E13/E14,"Indeterminado"))</f>
        <v>4.9069632680415127</v>
      </c>
      <c r="F29" s="90" t="str">
        <f t="shared" si="4"/>
        <v>Indeterminado</v>
      </c>
      <c r="G29" s="90">
        <f t="shared" si="4"/>
        <v>8.1456517077289217</v>
      </c>
      <c r="H29" s="90">
        <f t="shared" si="4"/>
        <v>11.976304084625204</v>
      </c>
      <c r="I29" s="90">
        <f t="shared" si="4"/>
        <v>6.3487609120932813</v>
      </c>
      <c r="J29" s="90">
        <f t="shared" si="4"/>
        <v>7.3227257853403138</v>
      </c>
      <c r="K29" s="90">
        <f t="shared" si="4"/>
        <v>4.0459475790951762</v>
      </c>
      <c r="L29" s="90">
        <f t="shared" si="4"/>
        <v>4.2396886457026017</v>
      </c>
      <c r="M29" s="90">
        <f t="shared" si="4"/>
        <v>1.8631327817629946</v>
      </c>
      <c r="N29" s="90">
        <f t="shared" si="4"/>
        <v>7.6360170807101975</v>
      </c>
      <c r="O29" s="90">
        <f t="shared" si="4"/>
        <v>4.3548592808910307</v>
      </c>
      <c r="P29" s="90">
        <f t="shared" si="4"/>
        <v>7.9133468322037253</v>
      </c>
      <c r="Q29" s="91">
        <f t="shared" si="4"/>
        <v>16.376006258299263</v>
      </c>
    </row>
    <row r="30" spans="1:17" s="3" customFormat="1" ht="36.75" customHeight="1" x14ac:dyDescent="0.25">
      <c r="B30" s="34" t="str">
        <f>Indicadores_Generales!C10</f>
        <v>Endeudamiento total: (máx. 70,%).</v>
      </c>
      <c r="C30" s="19" t="str">
        <f>IF(C8="","",IFERROR(IF(C31&lt;=Indicadores_Generales!$D$10,$B$25,$N$25),""))</f>
        <v>HÁBIL</v>
      </c>
      <c r="D30" s="19" t="str">
        <f>IF(D8="","",IFERROR(IF(D31&lt;=Indicadores_Generales!$D$10,$B$25,$N$25),""))</f>
        <v>HÁBIL</v>
      </c>
      <c r="E30" s="19" t="str">
        <f>IF(E8="","",IFERROR(IF(E31&lt;=Indicadores_Generales!$D$10,$B$25,$N$25),""))</f>
        <v>HÁBIL</v>
      </c>
      <c r="F30" s="19" t="str">
        <f>IF(F8="","",IFERROR(IF(F31&lt;=Indicadores_Generales!$D$10,$B$25,$N$25),""))</f>
        <v>HÁBIL</v>
      </c>
      <c r="G30" s="19" t="str">
        <f>IF(G8="","",IFERROR(IF(G31&lt;=Indicadores_Generales!$D$10,$B$25,$N$25),""))</f>
        <v>HÁBIL</v>
      </c>
      <c r="H30" s="19" t="str">
        <f>IF(H8="","",IFERROR(IF(H31&lt;=Indicadores_Generales!$D$10,$B$25,$N$25),""))</f>
        <v>HÁBIL</v>
      </c>
      <c r="I30" s="19" t="str">
        <f>IF(I8="","",IFERROR(IF(I31&lt;=Indicadores_Generales!$D$10,$B$25,$N$25),""))</f>
        <v>HÁBIL</v>
      </c>
      <c r="J30" s="19" t="str">
        <f>IF(J8="","",IFERROR(IF(J31&lt;=Indicadores_Generales!$D$10,$B$25,$N$25),""))</f>
        <v>HÁBIL</v>
      </c>
      <c r="K30" s="19" t="str">
        <f>IF(K8="","",IFERROR(IF(K31&lt;=Indicadores_Generales!$D$10,$B$25,$N$25),""))</f>
        <v>HÁBIL</v>
      </c>
      <c r="L30" s="19" t="str">
        <f>IF(L8="","",IFERROR(IF(L31&lt;=Indicadores_Generales!$D$10,$B$25,$N$25),""))</f>
        <v>HÁBIL</v>
      </c>
      <c r="M30" s="19" t="str">
        <f>IF(M8="","",IFERROR(IF(M31&lt;=Indicadores_Generales!$D$10,$B$25,$N$25),""))</f>
        <v>HÁBIL</v>
      </c>
      <c r="N30" s="19" t="str">
        <f>IF(N8="","",IFERROR(IF(N31&lt;=Indicadores_Generales!$D$10,$B$25,$N$25),""))</f>
        <v>HÁBIL</v>
      </c>
      <c r="O30" s="19" t="str">
        <f>IF(O8="","",IFERROR(IF(O31&lt;=Indicadores_Generales!$D$10,$B$25,$N$25),""))</f>
        <v>HÁBIL</v>
      </c>
      <c r="P30" s="19" t="str">
        <f>IF(P8="","",IFERROR(IF(P31&lt;=Indicadores_Generales!$D$10,$B$25,$N$25),""))</f>
        <v>HÁBIL</v>
      </c>
      <c r="Q30" s="50" t="str">
        <f>IF(Q8="","",IFERROR(IF(Q31&lt;=Indicadores_Generales!$D$10,$B$25,$N$25),""))</f>
        <v>HÁBIL</v>
      </c>
    </row>
    <row r="31" spans="1:17" s="3" customFormat="1" ht="36.75" customHeight="1" x14ac:dyDescent="0.25">
      <c r="B31" s="41" t="s">
        <v>33</v>
      </c>
      <c r="C31" s="92">
        <f>IF(C8="","",C16/C15)</f>
        <v>0.6038165181407924</v>
      </c>
      <c r="D31" s="92">
        <f t="shared" ref="D31:Q31" si="5">IF(D8="","",D16/D15)</f>
        <v>0.35343379872039699</v>
      </c>
      <c r="E31" s="92">
        <f t="shared" si="5"/>
        <v>0.42880832699295968</v>
      </c>
      <c r="F31" s="92">
        <f t="shared" si="5"/>
        <v>0</v>
      </c>
      <c r="G31" s="92">
        <f t="shared" si="5"/>
        <v>0.28143646482775053</v>
      </c>
      <c r="H31" s="92">
        <f t="shared" si="5"/>
        <v>5.989683854085965E-2</v>
      </c>
      <c r="I31" s="92">
        <f t="shared" si="5"/>
        <v>0.41865863627075728</v>
      </c>
      <c r="J31" s="92">
        <f t="shared" si="5"/>
        <v>0.49309995521291644</v>
      </c>
      <c r="K31" s="92">
        <f t="shared" si="5"/>
        <v>0.3686830261011011</v>
      </c>
      <c r="L31" s="92">
        <f t="shared" si="5"/>
        <v>0.42437072665381836</v>
      </c>
      <c r="M31" s="92">
        <f t="shared" si="5"/>
        <v>0.23323154996243406</v>
      </c>
      <c r="N31" s="92">
        <f t="shared" si="5"/>
        <v>0.11280231566345107</v>
      </c>
      <c r="O31" s="92">
        <f t="shared" si="5"/>
        <v>0.25848904196635453</v>
      </c>
      <c r="P31" s="92">
        <f t="shared" si="5"/>
        <v>0.12647453745002771</v>
      </c>
      <c r="Q31" s="93">
        <f t="shared" si="5"/>
        <v>0.37534820406296399</v>
      </c>
    </row>
    <row r="32" spans="1:17" s="3" customFormat="1" ht="36.75" customHeight="1" x14ac:dyDescent="0.25">
      <c r="B32" s="34" t="str">
        <f>Indicadores_Generales!C11</f>
        <v>Razon de Cobertura de Intereses (&gt;= a 1, veces) ó Indeterminado.</v>
      </c>
      <c r="C32" s="19" t="str">
        <f>IF(C8="","",IFERROR(IF(C33&gt;Indicadores_Generales!$D$11,$B$25,$N$25),""))</f>
        <v>HÁBIL</v>
      </c>
      <c r="D32" s="19" t="str">
        <f>IF(D8="","",IFERROR(IF(D33&gt;Indicadores_Generales!$D$11,$B$25,$N$25),""))</f>
        <v>HÁBIL</v>
      </c>
      <c r="E32" s="19" t="str">
        <f>IF(E8="","",IFERROR(IF(E33&gt;Indicadores_Generales!$D$11,$B$25,$N$25),""))</f>
        <v>HÁBIL</v>
      </c>
      <c r="F32" s="19" t="str">
        <f>IF(F8="","",IFERROR(IF(F33&gt;Indicadores_Generales!$D$11,$B$25,$N$25),""))</f>
        <v>HÁBIL</v>
      </c>
      <c r="G32" s="19" t="str">
        <f>IF(G8="","",IFERROR(IF(G33&gt;Indicadores_Generales!$D$11,$B$25,$N$25),""))</f>
        <v>HÁBIL</v>
      </c>
      <c r="H32" s="19" t="str">
        <f>IF(H8="","",IFERROR(IF(H33&gt;Indicadores_Generales!$D$11,$B$25,$N$25),""))</f>
        <v>HÁBIL</v>
      </c>
      <c r="I32" s="19" t="str">
        <f>IF(I8="","",IFERROR(IF(I33&gt;Indicadores_Generales!$D$11,$B$25,$N$25),""))</f>
        <v>HÁBIL</v>
      </c>
      <c r="J32" s="19" t="str">
        <f>IF(J8="","",IFERROR(IF(J33&gt;Indicadores_Generales!$D$11,$B$25,$N$25),""))</f>
        <v>HÁBIL</v>
      </c>
      <c r="K32" s="19" t="str">
        <f>IF(K8="","",IFERROR(IF(K33&gt;Indicadores_Generales!$D$11,$B$25,$N$25),""))</f>
        <v>HÁBIL</v>
      </c>
      <c r="L32" s="19" t="str">
        <f>IF(L8="","",IFERROR(IF(L33&gt;Indicadores_Generales!$D$11,$B$25,$N$25),""))</f>
        <v>HÁBIL</v>
      </c>
      <c r="M32" s="19" t="str">
        <f>IF(M8="","",IFERROR(IF(M33&gt;Indicadores_Generales!$D$11,$B$25,$N$25),""))</f>
        <v>HÁBIL</v>
      </c>
      <c r="N32" s="19" t="str">
        <f>IF(N8="","",IFERROR(IF(N33&gt;Indicadores_Generales!$D$11,$B$25,$N$25),""))</f>
        <v>HÁBIL</v>
      </c>
      <c r="O32" s="19" t="str">
        <f>IF(O8="","",IFERROR(IF(O33&gt;Indicadores_Generales!$D$11,$B$25,$N$25),""))</f>
        <v>HÁBIL</v>
      </c>
      <c r="P32" s="19" t="str">
        <f>IF(P8="","",IFERROR(IF(P33&gt;Indicadores_Generales!$D$11,$B$25,$N$25),""))</f>
        <v>HÁBIL</v>
      </c>
      <c r="Q32" s="50" t="str">
        <f>IF(Q8="","",IFERROR(IF(Q33&gt;Indicadores_Generales!$D$11,$B$25,$N$25),""))</f>
        <v>HÁBIL</v>
      </c>
    </row>
    <row r="33" spans="2:17" s="3" customFormat="1" ht="36.75" customHeight="1" x14ac:dyDescent="0.25">
      <c r="B33" s="41" t="s">
        <v>34</v>
      </c>
      <c r="C33" s="94">
        <f t="shared" ref="C33:D33" si="6">IF(C8="","",IFERROR(C19/C20,"Indeterminado"))</f>
        <v>19310.129199999999</v>
      </c>
      <c r="D33" s="94">
        <f t="shared" si="6"/>
        <v>418.97522797925001</v>
      </c>
      <c r="E33" s="94">
        <f>IF(E8="","",IFERROR(E19/E20,"Indeterminado"))</f>
        <v>23.088266414419937</v>
      </c>
      <c r="F33" s="94">
        <f t="shared" ref="F33:Q33" si="7">IF(F8="","",IFERROR(F19/F20,"Indeterminado"))</f>
        <v>3.225806524640217</v>
      </c>
      <c r="G33" s="94">
        <f t="shared" si="7"/>
        <v>20.019306631389536</v>
      </c>
      <c r="H33" s="94">
        <f t="shared" si="7"/>
        <v>1930.7624522727272</v>
      </c>
      <c r="I33" s="94">
        <f t="shared" si="7"/>
        <v>7.0867903728381707</v>
      </c>
      <c r="J33" s="94">
        <f t="shared" si="7"/>
        <v>6.5017800500918383</v>
      </c>
      <c r="K33" s="94">
        <f t="shared" si="7"/>
        <v>7.3247522429819707</v>
      </c>
      <c r="L33" s="94">
        <f t="shared" si="7"/>
        <v>99.168521021955598</v>
      </c>
      <c r="M33" s="94" t="str">
        <f t="shared" si="7"/>
        <v>Indeterminado</v>
      </c>
      <c r="N33" s="94">
        <f t="shared" si="7"/>
        <v>250.44189249499848</v>
      </c>
      <c r="O33" s="94">
        <f t="shared" si="7"/>
        <v>4.4127066999567468</v>
      </c>
      <c r="P33" s="94">
        <f t="shared" si="7"/>
        <v>2446.8020557004024</v>
      </c>
      <c r="Q33" s="95">
        <f t="shared" si="7"/>
        <v>311.92231575496459</v>
      </c>
    </row>
    <row r="34" spans="2:17" s="3" customFormat="1" ht="36.75" customHeight="1" x14ac:dyDescent="0.25">
      <c r="B34" s="34" t="str">
        <f>Indicadores_Generales!C12</f>
        <v>Capital de Trabajo ≥  A 25,% del PPTO Oficial.</v>
      </c>
      <c r="C34" s="19" t="str">
        <f>IFERROR(IF(C35&gt;(C23*Indicadores_Generales!$D$12),$B$25,$N$25),"")</f>
        <v>HÁBIL</v>
      </c>
      <c r="D34" s="19" t="str">
        <f>IFERROR(IF(D35&gt;(D23*Indicadores_Generales!$D$12),$B$25,$N$25),"")</f>
        <v>HÁBIL</v>
      </c>
      <c r="E34" s="19" t="str">
        <f>IFERROR(IF(E35&gt;(E23*Indicadores_Generales!$D$12),$B$25,$N$25),"")</f>
        <v>HÁBIL</v>
      </c>
      <c r="F34" s="19" t="str">
        <f>IFERROR(IF(F35&gt;(F23*Indicadores_Generales!$D$12),$B$25,$N$25),"")</f>
        <v>HÁBIL</v>
      </c>
      <c r="G34" s="19" t="str">
        <f>IFERROR(IF(G35&gt;(G23*Indicadores_Generales!$D$12),$B$25,$N$25),"")</f>
        <v>HÁBIL</v>
      </c>
      <c r="H34" s="19" t="str">
        <f>IFERROR(IF(H35&gt;(H23*Indicadores_Generales!$D$12),$B$25,$N$25),"")</f>
        <v>HÁBIL</v>
      </c>
      <c r="I34" s="19" t="str">
        <f>IFERROR(IF(I35&gt;(I23*Indicadores_Generales!$D$12),$B$25,$N$25),"")</f>
        <v>HÁBIL</v>
      </c>
      <c r="J34" s="19" t="str">
        <f>IFERROR(IF(J35&gt;(J23*Indicadores_Generales!$D$12),$B$25,$N$25),"")</f>
        <v>HÁBIL</v>
      </c>
      <c r="K34" s="19" t="str">
        <f>IFERROR(IF(K35&gt;(K23*Indicadores_Generales!$D$12),$B$25,$N$25),"")</f>
        <v>HÁBIL</v>
      </c>
      <c r="L34" s="19" t="str">
        <f>IFERROR(IF(L35&gt;(L23*Indicadores_Generales!$D$12),$B$25,$N$25),"")</f>
        <v>HÁBIL</v>
      </c>
      <c r="M34" s="19" t="str">
        <f>IFERROR(IF(M35&gt;(M23*Indicadores_Generales!$D$12),$B$25,$N$25),"")</f>
        <v>HÁBIL</v>
      </c>
      <c r="N34" s="19" t="str">
        <f>IFERROR(IF(N35&gt;(N23*Indicadores_Generales!$D$12),$B$25,$N$25),"")</f>
        <v>HÁBIL</v>
      </c>
      <c r="O34" s="19" t="str">
        <f>IFERROR(IF(O35&gt;(O23*Indicadores_Generales!$D$12),$B$25,$N$25),"")</f>
        <v>HÁBIL</v>
      </c>
      <c r="P34" s="19" t="str">
        <f>IFERROR(IF(P35&gt;(P23*Indicadores_Generales!$D$12),$B$25,$N$25),"")</f>
        <v>HÁBIL</v>
      </c>
      <c r="Q34" s="50" t="str">
        <f>IFERROR(IF(Q35&gt;(Q23*Indicadores_Generales!$D$12),$B$25,$N$25),"")</f>
        <v>HÁBIL</v>
      </c>
    </row>
    <row r="35" spans="2:17" s="21" customFormat="1" ht="36.75" customHeight="1" x14ac:dyDescent="0.25">
      <c r="B35" s="20" t="str">
        <f>"CT = Activo Corriente - Pasivo Corriente ≥ $ "&amp;FIXED(Indicadores_Generales!D5*Indicadores_Generales!D12,0,FALSE)</f>
        <v>CT = Activo Corriente - Pasivo Corriente ≥ $ 200.013.404</v>
      </c>
      <c r="C35" s="105">
        <f>IF(C8="","",SUMIFS(Indicadores_Generales!$T:$T,Indicadores_Generales!$B:$B,C9))</f>
        <v>1017002104</v>
      </c>
      <c r="D35" s="105">
        <f>IF(D8="","",SUMIFS(Indicadores_Generales!$T:$T,Indicadores_Generales!$B:$B,D9))</f>
        <v>2084256114</v>
      </c>
      <c r="E35" s="105">
        <f>IF(E8="","",SUMIFS(Indicadores_Generales!$T:$T,Indicadores_Generales!$B:$B,E9))</f>
        <v>5637755000</v>
      </c>
      <c r="F35" s="105">
        <f>IF(F8="","",SUMIFS(Indicadores_Generales!$T:$T,Indicadores_Generales!$B:$B,F9))</f>
        <v>505574854</v>
      </c>
      <c r="G35" s="105">
        <f>IF(G8="","",SUMIFS(Indicadores_Generales!$T:$T,Indicadores_Generales!$B:$B,G9))</f>
        <v>8729606599</v>
      </c>
      <c r="H35" s="105">
        <f>IF(H8="","",SUMIFS(Indicadores_Generales!$T:$T,Indicadores_Generales!$B:$B,H9))</f>
        <v>1291670510</v>
      </c>
      <c r="I35" s="105">
        <f>IF(I8="","",SUMIFS(Indicadores_Generales!$T:$T,Indicadores_Generales!$B:$B,I9))</f>
        <v>10304884091</v>
      </c>
      <c r="J35" s="105">
        <f>IF(J8="","",SUMIFS(Indicadores_Generales!$T:$T,Indicadores_Generales!$B:$B,J9))</f>
        <v>4096317000</v>
      </c>
      <c r="K35" s="105">
        <f>IF(K8="","",SUMIFS(Indicadores_Generales!$T:$T,Indicadores_Generales!$B:$B,K9))</f>
        <v>4368250157</v>
      </c>
      <c r="L35" s="105">
        <f>IF(L8="","",SUMIFS(Indicadores_Generales!$T:$T,Indicadores_Generales!$B:$B,L9))</f>
        <v>2557499619</v>
      </c>
      <c r="M35" s="105">
        <f>IF(M8="","",SUMIFS(Indicadores_Generales!$T:$T,Indicadores_Generales!$B:$B,M9))</f>
        <v>1194541110</v>
      </c>
      <c r="N35" s="105">
        <f>IF(N8="","",SUMIFS(Indicadores_Generales!$T:$T,Indicadores_Generales!$B:$B,N9))</f>
        <v>4975665208</v>
      </c>
      <c r="O35" s="105">
        <f>IF(O8="","",SUMIFS(Indicadores_Generales!$T:$T,Indicadores_Generales!$B:$B,O9))</f>
        <v>10013342739</v>
      </c>
      <c r="P35" s="105">
        <f>IF(P8="","",SUMIFS(Indicadores_Generales!$T:$T,Indicadores_Generales!$B:$B,P9))</f>
        <v>10808395137</v>
      </c>
      <c r="Q35" s="105">
        <f>IF(Q8="","",SUMIFS(Indicadores_Generales!$T:$T,Indicadores_Generales!$B:$B,Q9))</f>
        <v>8888606811</v>
      </c>
    </row>
    <row r="36" spans="2:17" s="3" customFormat="1" ht="36.75" customHeight="1" x14ac:dyDescent="0.25">
      <c r="B36" s="153" t="s">
        <v>35</v>
      </c>
      <c r="C36" s="154"/>
      <c r="D36" s="154"/>
      <c r="E36" s="154"/>
      <c r="F36" s="154"/>
      <c r="G36" s="154"/>
      <c r="H36" s="154"/>
      <c r="I36" s="154"/>
      <c r="J36" s="154"/>
      <c r="K36" s="154"/>
      <c r="L36" s="154"/>
      <c r="M36" s="154"/>
      <c r="N36" s="154"/>
      <c r="O36" s="154"/>
      <c r="P36" s="154"/>
      <c r="Q36" s="155"/>
    </row>
    <row r="37" spans="2:17" s="3" customFormat="1" ht="36.75" customHeight="1" x14ac:dyDescent="0.25">
      <c r="B37" s="22"/>
      <c r="C37" s="5"/>
      <c r="D37" s="5"/>
      <c r="E37" s="5"/>
      <c r="F37" s="5"/>
      <c r="G37" s="5"/>
      <c r="H37" s="5"/>
      <c r="I37" s="5"/>
      <c r="J37" s="5"/>
      <c r="K37" s="5"/>
      <c r="L37" s="5"/>
      <c r="M37" s="5"/>
      <c r="N37" s="5"/>
      <c r="O37" s="5"/>
      <c r="P37" s="5"/>
      <c r="Q37" s="6"/>
    </row>
    <row r="38" spans="2:17" s="3" customFormat="1" ht="36.75" customHeight="1" x14ac:dyDescent="0.25">
      <c r="B38" s="34" t="str">
        <f>Indicadores_Generales!C13</f>
        <v>Indicador  Rentabilidad del Patrimonio RP =&gt; AL 0%</v>
      </c>
      <c r="C38" s="19" t="str">
        <f>IF(C8="","",IFERROR(IF(C39&gt;=Indicadores_Generales!$D$13,$B$25,$N$25),""))</f>
        <v>HÁBIL</v>
      </c>
      <c r="D38" s="19" t="str">
        <f>IF(D8="","",IFERROR(IF(D39&gt;=Indicadores_Generales!$D$13,$B$25,$N$25),""))</f>
        <v>HÁBIL</v>
      </c>
      <c r="E38" s="19" t="str">
        <f>IF(E8="","",IFERROR(IF(E39&gt;=Indicadores_Generales!$D$13,$B$25,$N$25),""))</f>
        <v>HÁBIL</v>
      </c>
      <c r="F38" s="19" t="str">
        <f>IF(F8="","",IFERROR(IF(F39&gt;=Indicadores_Generales!$D$13,$B$25,$N$25),""))</f>
        <v>HÁBIL</v>
      </c>
      <c r="G38" s="19" t="str">
        <f>IF(G8="","",IFERROR(IF(G39&gt;=Indicadores_Generales!$D$13,$B$25,$N$25),""))</f>
        <v>HÁBIL</v>
      </c>
      <c r="H38" s="19" t="str">
        <f>IF(H8="","",IFERROR(IF(H39&gt;=Indicadores_Generales!$D$13,$B$25,$N$25),""))</f>
        <v>HÁBIL</v>
      </c>
      <c r="I38" s="19" t="str">
        <f>IF(I8="","",IFERROR(IF(I39&gt;=Indicadores_Generales!$D$13,$B$25,$N$25),""))</f>
        <v>HÁBIL</v>
      </c>
      <c r="J38" s="19" t="str">
        <f>IF(J8="","",IFERROR(IF(J39&gt;=Indicadores_Generales!$D$13,$B$25,$N$25),""))</f>
        <v>HÁBIL</v>
      </c>
      <c r="K38" s="19" t="str">
        <f>IF(K8="","",IFERROR(IF(K39&gt;=Indicadores_Generales!$D$13,$B$25,$N$25),""))</f>
        <v>HÁBIL</v>
      </c>
      <c r="L38" s="19" t="str">
        <f>IF(L8="","",IFERROR(IF(L39&gt;=Indicadores_Generales!$D$13,$B$25,$N$25),""))</f>
        <v>HÁBIL</v>
      </c>
      <c r="M38" s="19" t="str">
        <f>IF(M8="","",IFERROR(IF(M39&gt;=Indicadores_Generales!$D$13,$B$25,$N$25),""))</f>
        <v>HÁBIL</v>
      </c>
      <c r="N38" s="19" t="str">
        <f>IF(N8="","",IFERROR(IF(N39&gt;=Indicadores_Generales!$D$13,$B$25,$N$25),""))</f>
        <v>HÁBIL</v>
      </c>
      <c r="O38" s="19" t="str">
        <f>IF(O8="","",IFERROR(IF(O39&gt;=Indicadores_Generales!$D$13,$B$25,$N$25),""))</f>
        <v>HÁBIL</v>
      </c>
      <c r="P38" s="19" t="str">
        <f>IF(P8="","",IFERROR(IF(P39&gt;=Indicadores_Generales!$D$13,$B$25,$N$25),""))</f>
        <v>HÁBIL</v>
      </c>
      <c r="Q38" s="50" t="str">
        <f>IF(Q8="","",IFERROR(IF(Q39&gt;=Indicadores_Generales!$D$13,$B$25,$N$25),""))</f>
        <v>HÁBIL</v>
      </c>
    </row>
    <row r="39" spans="2:17" s="3" customFormat="1" ht="36.75" customHeight="1" x14ac:dyDescent="0.25">
      <c r="B39" s="41" t="s">
        <v>36</v>
      </c>
      <c r="C39" s="92">
        <f>IF(C8="","",C19/C17)</f>
        <v>0.21292792592086113</v>
      </c>
      <c r="D39" s="92">
        <f t="shared" ref="D39:Q39" si="8">IF(D8="","",D19/D17)</f>
        <v>0.28740188100251318</v>
      </c>
      <c r="E39" s="92">
        <f t="shared" si="8"/>
        <v>8.3387892176853301E-2</v>
      </c>
      <c r="F39" s="92">
        <f t="shared" si="8"/>
        <v>0.16910524588709075</v>
      </c>
      <c r="G39" s="92">
        <f t="shared" si="8"/>
        <v>0.19199459715859479</v>
      </c>
      <c r="H39" s="92">
        <f t="shared" si="8"/>
        <v>0.17243423207054742</v>
      </c>
      <c r="I39" s="92">
        <f t="shared" si="8"/>
        <v>0.29515336557117966</v>
      </c>
      <c r="J39" s="92">
        <f t="shared" si="8"/>
        <v>0.18890181812601092</v>
      </c>
      <c r="K39" s="92">
        <f t="shared" si="8"/>
        <v>0.24174261487095638</v>
      </c>
      <c r="L39" s="92">
        <f t="shared" si="8"/>
        <v>0.41870568294892213</v>
      </c>
      <c r="M39" s="92">
        <f t="shared" si="8"/>
        <v>2.2036759507644575E-2</v>
      </c>
      <c r="N39" s="92">
        <f t="shared" si="8"/>
        <v>0.15377173278330403</v>
      </c>
      <c r="O39" s="92">
        <f t="shared" si="8"/>
        <v>8.0109581444614927E-2</v>
      </c>
      <c r="P39" s="92">
        <f t="shared" si="8"/>
        <v>0.24368513232779332</v>
      </c>
      <c r="Q39" s="93">
        <f t="shared" si="8"/>
        <v>0.62968678831571878</v>
      </c>
    </row>
    <row r="40" spans="2:17" s="3" customFormat="1" ht="36.75" customHeight="1" x14ac:dyDescent="0.25">
      <c r="B40" s="34" t="str">
        <f>Indicadores_Generales!C14</f>
        <v>Indicador  Rentabilidad del Activo RAct =&gt; AL 0%</v>
      </c>
      <c r="C40" s="19" t="str">
        <f>IF(C8="","",IFERROR(IF(C41&gt;=Indicadores_Generales!$D$14,$B$25,$N$25),""))</f>
        <v>HÁBIL</v>
      </c>
      <c r="D40" s="19" t="str">
        <f>IF(D8="","",IFERROR(IF(D41&gt;=Indicadores_Generales!$D$14,$B$25,$N$25),""))</f>
        <v>HÁBIL</v>
      </c>
      <c r="E40" s="19" t="str">
        <f>IF(E8="","",IFERROR(IF(E41&gt;=Indicadores_Generales!$D$14,$B$25,$N$25),""))</f>
        <v>HÁBIL</v>
      </c>
      <c r="F40" s="19" t="str">
        <f>IF(F8="","",IFERROR(IF(F41&gt;=Indicadores_Generales!$D$14,$B$25,$N$25),""))</f>
        <v>HÁBIL</v>
      </c>
      <c r="G40" s="19" t="str">
        <f>IF(G8="","",IFERROR(IF(G41&gt;=Indicadores_Generales!$D$14,$B$25,$N$25),""))</f>
        <v>HÁBIL</v>
      </c>
      <c r="H40" s="19" t="str">
        <f>IF(H8="","",IFERROR(IF(H41&gt;=Indicadores_Generales!$D$14,$B$25,$N$25),""))</f>
        <v>HÁBIL</v>
      </c>
      <c r="I40" s="19" t="str">
        <f>IF(I8="","",IFERROR(IF(I41&gt;=Indicadores_Generales!$D$14,$B$25,$N$25),""))</f>
        <v>HÁBIL</v>
      </c>
      <c r="J40" s="19" t="str">
        <f>IF(J8="","",IFERROR(IF(J41&gt;=Indicadores_Generales!$D$14,$B$25,$N$25),""))</f>
        <v>HÁBIL</v>
      </c>
      <c r="K40" s="19" t="str">
        <f>IF(K8="","",IFERROR(IF(K41&gt;=Indicadores_Generales!$D$14,$B$25,$N$25),""))</f>
        <v>HÁBIL</v>
      </c>
      <c r="L40" s="19" t="str">
        <f>IF(L8="","",IFERROR(IF(L41&gt;=Indicadores_Generales!$D$14,$B$25,$N$25),""))</f>
        <v>HÁBIL</v>
      </c>
      <c r="M40" s="19" t="str">
        <f>IF(M8="","",IFERROR(IF(M41&gt;=Indicadores_Generales!$D$14,$B$25,$N$25),""))</f>
        <v>HÁBIL</v>
      </c>
      <c r="N40" s="19" t="str">
        <f>IF(N8="","",IFERROR(IF(N41&gt;=Indicadores_Generales!$D$14,$B$25,$N$25),""))</f>
        <v>HÁBIL</v>
      </c>
      <c r="O40" s="19" t="str">
        <f>IF(O8="","",IFERROR(IF(O41&gt;=Indicadores_Generales!$D$14,$B$25,$N$25),""))</f>
        <v>HÁBIL</v>
      </c>
      <c r="P40" s="19" t="str">
        <f>IF(P8="","",IFERROR(IF(P41&gt;=Indicadores_Generales!$D$14,$B$25,$N$25),""))</f>
        <v>HÁBIL</v>
      </c>
      <c r="Q40" s="50" t="str">
        <f>IF(Q8="","",IFERROR(IF(Q41&gt;=Indicadores_Generales!$D$14,$B$25,$N$25),""))</f>
        <v>HÁBIL</v>
      </c>
    </row>
    <row r="41" spans="2:17" s="3" customFormat="1" ht="36.75" customHeight="1" x14ac:dyDescent="0.25">
      <c r="B41" s="41" t="s">
        <v>37</v>
      </c>
      <c r="C41" s="92">
        <f>IF(C8="","",C19/C15)</f>
        <v>8.4358527076386192E-2</v>
      </c>
      <c r="D41" s="92">
        <f t="shared" ref="D41:Q41" si="9">IF(D8="","",D19/D15)</f>
        <v>0.18582434244040746</v>
      </c>
      <c r="E41" s="92">
        <f t="shared" si="9"/>
        <v>4.7630469641027524E-2</v>
      </c>
      <c r="F41" s="92">
        <f t="shared" si="9"/>
        <v>0.16910524588709075</v>
      </c>
      <c r="G41" s="92">
        <f t="shared" si="9"/>
        <v>0.1379603164682518</v>
      </c>
      <c r="H41" s="92">
        <f t="shared" si="9"/>
        <v>0.16210596671330071</v>
      </c>
      <c r="I41" s="92">
        <f t="shared" si="9"/>
        <v>0.17158486005042531</v>
      </c>
      <c r="J41" s="92">
        <f t="shared" si="9"/>
        <v>9.5754340068436444E-2</v>
      </c>
      <c r="K41" s="92">
        <f t="shared" si="9"/>
        <v>0.15261621608273915</v>
      </c>
      <c r="L41" s="92">
        <f t="shared" si="9"/>
        <v>0.24101924802180472</v>
      </c>
      <c r="M41" s="92">
        <f t="shared" si="9"/>
        <v>1.6897091931527226E-2</v>
      </c>
      <c r="N41" s="92">
        <f t="shared" si="9"/>
        <v>0.13642592524176592</v>
      </c>
      <c r="O41" s="92">
        <f t="shared" si="9"/>
        <v>5.9402132478064036E-2</v>
      </c>
      <c r="P41" s="92">
        <f t="shared" si="9"/>
        <v>0.21286516793318686</v>
      </c>
      <c r="Q41" s="93">
        <f t="shared" si="9"/>
        <v>0.39333498319923799</v>
      </c>
    </row>
    <row r="42" spans="2:17" s="3" customFormat="1" ht="31.5" x14ac:dyDescent="0.25">
      <c r="B42" s="40" t="s">
        <v>38</v>
      </c>
      <c r="C42" s="23" t="str">
        <f>IF(C8="","",IF(COUNTIF(C28:C41,"NO HÁBIL")&gt;=1,"NO HABILITADO","HABILITADO"))</f>
        <v>HABILITADO</v>
      </c>
      <c r="D42" s="23" t="str">
        <f>IF(D8="","",IF(COUNTIF(D28:D41,"NO HÁBIL")&gt;=1,"NO HABILITADO","HABILITADO"))</f>
        <v>HABILITADO</v>
      </c>
      <c r="E42" s="23" t="str">
        <f t="shared" ref="E42:Q42" si="10">IF(E8="","",IF(COUNTIF(E28:E41,"NO HÁBIL")&gt;=1,"NO HABILITADO","HABILITADO"))</f>
        <v>HABILITADO</v>
      </c>
      <c r="F42" s="23" t="str">
        <f t="shared" si="10"/>
        <v>HABILITADO</v>
      </c>
      <c r="G42" s="23" t="str">
        <f t="shared" si="10"/>
        <v>HABILITADO</v>
      </c>
      <c r="H42" s="23" t="str">
        <f>IF(H8="","",IF(COUNTIF(H28:H41,"NO HÁBIL")&gt;=1,"NO HABILITADO","HABILITADO"))</f>
        <v>HABILITADO</v>
      </c>
      <c r="I42" s="23" t="str">
        <f t="shared" si="10"/>
        <v>HABILITADO</v>
      </c>
      <c r="J42" s="23" t="str">
        <f t="shared" si="10"/>
        <v>HABILITADO</v>
      </c>
      <c r="K42" s="23" t="str">
        <f t="shared" si="10"/>
        <v>HABILITADO</v>
      </c>
      <c r="L42" s="23" t="str">
        <f t="shared" si="10"/>
        <v>HABILITADO</v>
      </c>
      <c r="M42" s="23" t="str">
        <f t="shared" si="10"/>
        <v>HABILITADO</v>
      </c>
      <c r="N42" s="23" t="str">
        <f t="shared" si="10"/>
        <v>HABILITADO</v>
      </c>
      <c r="O42" s="23" t="str">
        <f t="shared" si="10"/>
        <v>HABILITADO</v>
      </c>
      <c r="P42" s="23" t="str">
        <f t="shared" si="10"/>
        <v>HABILITADO</v>
      </c>
      <c r="Q42" s="51" t="str">
        <f t="shared" si="10"/>
        <v>HABILITADO</v>
      </c>
    </row>
    <row r="43" spans="2:17" s="3" customFormat="1" ht="15.75" hidden="1" x14ac:dyDescent="0.25">
      <c r="B43" s="22"/>
      <c r="C43" s="5"/>
      <c r="D43" s="5"/>
      <c r="E43" s="5"/>
      <c r="F43" s="5"/>
      <c r="G43" s="5"/>
      <c r="H43" s="5"/>
      <c r="I43" s="5"/>
      <c r="J43" s="5"/>
      <c r="K43" s="5"/>
      <c r="L43" s="5"/>
      <c r="M43" s="5"/>
      <c r="N43" s="5"/>
      <c r="O43" s="5"/>
      <c r="P43" s="5"/>
      <c r="Q43" s="6"/>
    </row>
    <row r="44" spans="2:17" s="3" customFormat="1" ht="15.75" customHeight="1" x14ac:dyDescent="0.25">
      <c r="B44" s="175" t="s">
        <v>39</v>
      </c>
      <c r="C44" s="176"/>
      <c r="D44" s="176"/>
      <c r="E44" s="176"/>
      <c r="F44" s="176"/>
      <c r="G44" s="176"/>
      <c r="H44" s="176"/>
      <c r="I44" s="176"/>
      <c r="J44" s="176"/>
      <c r="K44" s="176"/>
      <c r="L44" s="176"/>
      <c r="M44" s="176"/>
      <c r="N44" s="176"/>
      <c r="O44" s="176"/>
      <c r="P44" s="176"/>
      <c r="Q44" s="177"/>
    </row>
    <row r="45" spans="2:17" s="3" customFormat="1" ht="36.75" customHeight="1" x14ac:dyDescent="0.25">
      <c r="B45" s="175"/>
      <c r="C45" s="176"/>
      <c r="D45" s="176"/>
      <c r="E45" s="176"/>
      <c r="F45" s="176"/>
      <c r="G45" s="176"/>
      <c r="H45" s="176"/>
      <c r="I45" s="176"/>
      <c r="J45" s="176"/>
      <c r="K45" s="176"/>
      <c r="L45" s="176"/>
      <c r="M45" s="176"/>
      <c r="N45" s="176"/>
      <c r="O45" s="176"/>
      <c r="P45" s="176"/>
      <c r="Q45" s="177"/>
    </row>
    <row r="46" spans="2:17" s="3" customFormat="1" ht="15.75" x14ac:dyDescent="0.25">
      <c r="B46" s="24"/>
      <c r="C46" s="52"/>
      <c r="D46" s="52"/>
      <c r="E46" s="52"/>
      <c r="F46" s="52"/>
      <c r="G46" s="52"/>
      <c r="H46" s="52"/>
      <c r="I46" s="52"/>
      <c r="J46" s="52"/>
      <c r="K46" s="52"/>
      <c r="L46" s="52"/>
      <c r="M46" s="52"/>
      <c r="N46" s="52"/>
      <c r="O46" s="52"/>
      <c r="P46" s="52"/>
      <c r="Q46" s="25"/>
    </row>
    <row r="47" spans="2:17" s="3" customFormat="1" ht="15.75" x14ac:dyDescent="0.25">
      <c r="B47" s="24"/>
      <c r="C47" s="52"/>
      <c r="D47" s="52"/>
      <c r="E47" s="52"/>
      <c r="F47" s="52"/>
      <c r="G47" s="52"/>
      <c r="H47" s="52"/>
      <c r="I47" s="52"/>
      <c r="J47" s="52"/>
      <c r="K47" s="52"/>
      <c r="L47" s="52"/>
      <c r="M47" s="52"/>
      <c r="N47" s="52"/>
      <c r="O47" s="52"/>
      <c r="P47" s="52"/>
      <c r="Q47" s="25"/>
    </row>
    <row r="48" spans="2:17" s="3" customFormat="1" ht="15.75" x14ac:dyDescent="0.25">
      <c r="B48" s="26"/>
      <c r="C48" s="53"/>
      <c r="D48" s="53"/>
      <c r="E48" s="53"/>
      <c r="F48" s="53"/>
      <c r="G48" s="53"/>
      <c r="H48" s="53"/>
      <c r="I48" s="53"/>
      <c r="J48" s="53"/>
      <c r="K48" s="53"/>
      <c r="L48" s="53"/>
      <c r="M48" s="53"/>
      <c r="N48" s="52"/>
      <c r="O48" s="52"/>
      <c r="P48" s="52"/>
      <c r="Q48" s="25"/>
    </row>
    <row r="49" spans="1:17" s="3" customFormat="1" ht="22.5" customHeight="1" x14ac:dyDescent="0.25">
      <c r="A49" s="27"/>
      <c r="B49" s="24"/>
      <c r="C49" s="52"/>
      <c r="D49" s="52"/>
      <c r="E49" s="52"/>
      <c r="F49" s="52"/>
      <c r="G49" s="52"/>
      <c r="H49" s="52"/>
      <c r="I49" s="52"/>
      <c r="J49" s="52"/>
      <c r="K49" s="52"/>
      <c r="L49" s="52"/>
      <c r="M49" s="52"/>
      <c r="N49" s="52"/>
      <c r="O49" s="52"/>
      <c r="P49" s="52"/>
      <c r="Q49" s="25"/>
    </row>
    <row r="50" spans="1:17" s="3" customFormat="1" ht="22.5" customHeight="1" x14ac:dyDescent="0.25">
      <c r="A50" s="27"/>
      <c r="B50" s="28"/>
      <c r="C50" s="54"/>
      <c r="D50" s="55"/>
      <c r="E50" s="55"/>
      <c r="F50" s="55"/>
      <c r="G50" s="53"/>
      <c r="H50" s="178"/>
      <c r="I50" s="178"/>
      <c r="J50" s="53"/>
      <c r="K50" s="55"/>
      <c r="L50" s="178"/>
      <c r="M50" s="178"/>
      <c r="N50" s="53"/>
      <c r="O50" s="178"/>
      <c r="P50" s="178"/>
      <c r="Q50" s="179"/>
    </row>
    <row r="51" spans="1:17" ht="23.25" customHeight="1" x14ac:dyDescent="0.25">
      <c r="A51" s="29"/>
      <c r="B51" s="30" t="s">
        <v>40</v>
      </c>
      <c r="C51" s="56"/>
      <c r="D51" s="180" t="s">
        <v>40</v>
      </c>
      <c r="E51" s="180"/>
      <c r="F51" s="57"/>
      <c r="G51" s="58"/>
      <c r="H51" s="180" t="s">
        <v>40</v>
      </c>
      <c r="I51" s="180"/>
      <c r="J51" s="57"/>
      <c r="K51" s="57"/>
      <c r="L51" s="180" t="s">
        <v>41</v>
      </c>
      <c r="M51" s="180"/>
      <c r="N51" s="58"/>
      <c r="O51" s="180" t="s">
        <v>42</v>
      </c>
      <c r="P51" s="180"/>
      <c r="Q51" s="181"/>
    </row>
    <row r="52" spans="1:17" ht="21" customHeight="1" x14ac:dyDescent="0.25">
      <c r="A52" s="29"/>
      <c r="B52" s="31"/>
      <c r="C52" s="59"/>
      <c r="D52" s="59"/>
      <c r="E52" s="59"/>
      <c r="F52" s="59"/>
      <c r="G52" s="59"/>
      <c r="H52" s="59"/>
      <c r="I52" s="59"/>
      <c r="J52" s="59"/>
      <c r="K52" s="59"/>
      <c r="L52" s="59"/>
      <c r="M52" s="59"/>
      <c r="N52" s="59"/>
      <c r="O52" s="60"/>
      <c r="P52" s="60"/>
      <c r="Q52" s="32"/>
    </row>
    <row r="53" spans="1:17" s="3" customFormat="1" ht="22.5" customHeight="1" x14ac:dyDescent="0.25">
      <c r="A53" s="27"/>
      <c r="B53" s="182" t="str">
        <f>"NOTA: La fecha de corte de la información financiera registrada en el RUP debe ser de acuerdo a lo establecido en el pliego definitivo de condiciones del proceso "&amp;Indicadores_Generales!D4&amp;"."</f>
        <v>NOTA: La fecha de corte de la información financiera registrada en el RUP debe ser de acuerdo a lo establecido en el pliego definitivo de condiciones del proceso  FDLBOSACM-004-2022(71937).</v>
      </c>
      <c r="C53" s="183"/>
      <c r="D53" s="183"/>
      <c r="E53" s="183"/>
      <c r="F53" s="183"/>
      <c r="G53" s="183"/>
      <c r="H53" s="183"/>
      <c r="I53" s="183"/>
      <c r="J53" s="183"/>
      <c r="K53" s="183"/>
      <c r="L53" s="183"/>
      <c r="M53" s="183"/>
      <c r="N53" s="183"/>
      <c r="O53" s="183"/>
      <c r="P53" s="183"/>
      <c r="Q53" s="184"/>
    </row>
    <row r="54" spans="1:17" s="3" customFormat="1" ht="22.5" customHeight="1" thickBot="1" x14ac:dyDescent="0.3">
      <c r="A54" s="27"/>
      <c r="B54" s="185"/>
      <c r="C54" s="186"/>
      <c r="D54" s="186"/>
      <c r="E54" s="186"/>
      <c r="F54" s="186"/>
      <c r="G54" s="186"/>
      <c r="H54" s="186"/>
      <c r="I54" s="186"/>
      <c r="J54" s="186"/>
      <c r="K54" s="186"/>
      <c r="L54" s="186"/>
      <c r="M54" s="186"/>
      <c r="N54" s="186"/>
      <c r="O54" s="186"/>
      <c r="P54" s="186"/>
      <c r="Q54" s="187"/>
    </row>
  </sheetData>
  <mergeCells count="17">
    <mergeCell ref="B24:Q24"/>
    <mergeCell ref="B1:B5"/>
    <mergeCell ref="C1:P5"/>
    <mergeCell ref="Q1:Q5"/>
    <mergeCell ref="B6:Q6"/>
    <mergeCell ref="B7:Q7"/>
    <mergeCell ref="B27:Q27"/>
    <mergeCell ref="B36:Q36"/>
    <mergeCell ref="B44:Q45"/>
    <mergeCell ref="H50:I50"/>
    <mergeCell ref="L50:M50"/>
    <mergeCell ref="O50:Q50"/>
    <mergeCell ref="D51:E51"/>
    <mergeCell ref="H51:I51"/>
    <mergeCell ref="L51:M51"/>
    <mergeCell ref="O51:Q51"/>
    <mergeCell ref="B53:Q54"/>
  </mergeCells>
  <conditionalFormatting sqref="C12:Q12">
    <cfRule type="cellIs" dxfId="59" priority="16" operator="equal">
      <formula>0</formula>
    </cfRule>
  </conditionalFormatting>
  <conditionalFormatting sqref="C42:Q42">
    <cfRule type="cellIs" dxfId="58" priority="14" operator="equal">
      <formula>"No Habilitado"</formula>
    </cfRule>
    <cfRule type="cellIs" dxfId="57" priority="15" operator="equal">
      <formula>"Habilitado"</formula>
    </cfRule>
  </conditionalFormatting>
  <conditionalFormatting sqref="C40:Q40">
    <cfRule type="cellIs" dxfId="56" priority="12" operator="equal">
      <formula>"Hábil"</formula>
    </cfRule>
    <cfRule type="cellIs" dxfId="55" priority="13" operator="equal">
      <formula>"No Hábil"</formula>
    </cfRule>
  </conditionalFormatting>
  <conditionalFormatting sqref="C38:Q38">
    <cfRule type="cellIs" dxfId="54" priority="10" operator="equal">
      <formula>"Hábil"</formula>
    </cfRule>
    <cfRule type="cellIs" dxfId="53" priority="11" operator="equal">
      <formula>"No Hábil"</formula>
    </cfRule>
  </conditionalFormatting>
  <conditionalFormatting sqref="C34:Q34">
    <cfRule type="cellIs" dxfId="52" priority="8" operator="equal">
      <formula>"Hábil"</formula>
    </cfRule>
    <cfRule type="cellIs" dxfId="51" priority="9" operator="equal">
      <formula>"No Hábil"</formula>
    </cfRule>
  </conditionalFormatting>
  <conditionalFormatting sqref="C32:Q32">
    <cfRule type="cellIs" dxfId="50" priority="6" operator="equal">
      <formula>"Hábil"</formula>
    </cfRule>
    <cfRule type="cellIs" dxfId="49" priority="7" operator="equal">
      <formula>"No Hábil"</formula>
    </cfRule>
  </conditionalFormatting>
  <conditionalFormatting sqref="C30:Q30">
    <cfRule type="cellIs" dxfId="48" priority="4" operator="equal">
      <formula>"Hábil"</formula>
    </cfRule>
    <cfRule type="cellIs" dxfId="47" priority="5" operator="equal">
      <formula>"No Hábil"</formula>
    </cfRule>
  </conditionalFormatting>
  <conditionalFormatting sqref="C28:Q28">
    <cfRule type="cellIs" dxfId="46" priority="2" operator="equal">
      <formula>"Hábil"</formula>
    </cfRule>
    <cfRule type="cellIs" dxfId="45" priority="3" operator="equal">
      <formula>"No Hábil"</formula>
    </cfRule>
  </conditionalFormatting>
  <printOptions horizontalCentered="1" verticalCentered="1"/>
  <pageMargins left="0.19685039370078741" right="0.19685039370078741" top="0.15748031496062992" bottom="0.15748031496062992" header="0.31496062992125984" footer="0.31496062992125984"/>
  <pageSetup paperSize="256" scale="41"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80254-78BC-4C76-94BF-3268D80D4BA9}">
  <sheetPr>
    <pageSetUpPr fitToPage="1"/>
  </sheetPr>
  <dimension ref="A1:Q54"/>
  <sheetViews>
    <sheetView showGridLines="0" topLeftCell="C34" zoomScale="60" zoomScaleNormal="60" zoomScalePageLayoutView="90" workbookViewId="0">
      <selection activeCell="J74" sqref="J74"/>
    </sheetView>
  </sheetViews>
  <sheetFormatPr baseColWidth="10" defaultColWidth="18.7109375" defaultRowHeight="15" x14ac:dyDescent="0.25"/>
  <cols>
    <col min="1" max="1" width="1.42578125" style="1" customWidth="1"/>
    <col min="2" max="2" width="44.85546875" style="1" customWidth="1"/>
    <col min="3" max="17" width="25.28515625" style="1" customWidth="1"/>
    <col min="18" max="16384" width="18.7109375" style="1"/>
  </cols>
  <sheetData>
    <row r="1" spans="1:17" x14ac:dyDescent="0.25">
      <c r="B1" s="156"/>
      <c r="C1" s="158" t="s">
        <v>18</v>
      </c>
      <c r="D1" s="159"/>
      <c r="E1" s="159"/>
      <c r="F1" s="159"/>
      <c r="G1" s="159"/>
      <c r="H1" s="159"/>
      <c r="I1" s="159"/>
      <c r="J1" s="159"/>
      <c r="K1" s="159"/>
      <c r="L1" s="159"/>
      <c r="M1" s="159"/>
      <c r="N1" s="159"/>
      <c r="O1" s="159"/>
      <c r="P1" s="160"/>
      <c r="Q1" s="167" t="s">
        <v>19</v>
      </c>
    </row>
    <row r="2" spans="1:17" x14ac:dyDescent="0.25">
      <c r="B2" s="157"/>
      <c r="C2" s="161"/>
      <c r="D2" s="193"/>
      <c r="E2" s="193"/>
      <c r="F2" s="193"/>
      <c r="G2" s="193"/>
      <c r="H2" s="193"/>
      <c r="I2" s="193"/>
      <c r="J2" s="193"/>
      <c r="K2" s="193"/>
      <c r="L2" s="193"/>
      <c r="M2" s="193"/>
      <c r="N2" s="193"/>
      <c r="O2" s="193"/>
      <c r="P2" s="163"/>
      <c r="Q2" s="168"/>
    </row>
    <row r="3" spans="1:17" ht="16.5" customHeight="1" x14ac:dyDescent="0.25">
      <c r="B3" s="157"/>
      <c r="C3" s="161"/>
      <c r="D3" s="193"/>
      <c r="E3" s="193"/>
      <c r="F3" s="193"/>
      <c r="G3" s="193"/>
      <c r="H3" s="193"/>
      <c r="I3" s="193"/>
      <c r="J3" s="193"/>
      <c r="K3" s="193"/>
      <c r="L3" s="193"/>
      <c r="M3" s="193"/>
      <c r="N3" s="193"/>
      <c r="O3" s="193"/>
      <c r="P3" s="163"/>
      <c r="Q3" s="168"/>
    </row>
    <row r="4" spans="1:17" x14ac:dyDescent="0.25">
      <c r="B4" s="157"/>
      <c r="C4" s="161"/>
      <c r="D4" s="193"/>
      <c r="E4" s="193"/>
      <c r="F4" s="193"/>
      <c r="G4" s="193"/>
      <c r="H4" s="193"/>
      <c r="I4" s="193"/>
      <c r="J4" s="193"/>
      <c r="K4" s="193"/>
      <c r="L4" s="193"/>
      <c r="M4" s="193"/>
      <c r="N4" s="193"/>
      <c r="O4" s="193"/>
      <c r="P4" s="163"/>
      <c r="Q4" s="168"/>
    </row>
    <row r="5" spans="1:17" ht="23.25" customHeight="1" x14ac:dyDescent="0.25">
      <c r="B5" s="157"/>
      <c r="C5" s="164"/>
      <c r="D5" s="165"/>
      <c r="E5" s="165"/>
      <c r="F5" s="165"/>
      <c r="G5" s="165"/>
      <c r="H5" s="165"/>
      <c r="I5" s="165"/>
      <c r="J5" s="165"/>
      <c r="K5" s="165"/>
      <c r="L5" s="165"/>
      <c r="M5" s="165"/>
      <c r="N5" s="165"/>
      <c r="O5" s="165"/>
      <c r="P5" s="166"/>
      <c r="Q5" s="168"/>
    </row>
    <row r="6" spans="1:17" ht="26.25" customHeight="1" x14ac:dyDescent="0.25">
      <c r="B6" s="188" t="str">
        <f>"PROCESO DE SELECCIÓN "&amp;Indicadores_Generales!D4</f>
        <v>PROCESO DE SELECCIÓN  FDLBOSACM-004-2022(71937)</v>
      </c>
      <c r="C6" s="189"/>
      <c r="D6" s="189"/>
      <c r="E6" s="189"/>
      <c r="F6" s="189"/>
      <c r="G6" s="189"/>
      <c r="H6" s="189"/>
      <c r="I6" s="189"/>
      <c r="J6" s="189"/>
      <c r="K6" s="189"/>
      <c r="L6" s="189"/>
      <c r="M6" s="189"/>
      <c r="N6" s="189"/>
      <c r="O6" s="189"/>
      <c r="P6" s="189"/>
      <c r="Q6" s="190"/>
    </row>
    <row r="7" spans="1:17" ht="42" customHeight="1" x14ac:dyDescent="0.25">
      <c r="B7" s="172" t="str">
        <f>"OBJETO: "&amp;UPPER(Indicadores_Generales!D6)</f>
        <v>OBJETO: REALIZAR LA INTERVENTORÍA
TÉCNICA, ADMINISTRATIVA, FINANCIERA, JURÍDICA, SOCIAL, AMBIENTAL Y
SST AL CONTRATO DE OBRA PÚBLICA QUE TENDRÁ POR OBJETO
CONTRACTUAL EJECUTAR POR EL SISTEMA DE PRECIOS UNITARIOS FIJOS SIN
FORMULA DE REAJUSTE Y A MONTO AGOTABLE LAS ACTIVIDADES
NECESARIAS PARA LA EJECUCIÓN DE LAS OBRAS DE CONSTRUCCIÓN DE
MALLA VIAL Y ESPACIO PUBLICO ASOCIADO DE LA LOCALIDAD DE BOSA, DE
ACUERDO CON LA DESCRIPCIÓN, ESPECIFICACIONES, ESTUDIOS, DISEÑOS Y
DEMÁS CONDICIONES ESTABLECIDAS EN EL ANEXO TÉCNICO</v>
      </c>
      <c r="C7" s="173"/>
      <c r="D7" s="173"/>
      <c r="E7" s="173"/>
      <c r="F7" s="173"/>
      <c r="G7" s="173"/>
      <c r="H7" s="173"/>
      <c r="I7" s="173"/>
      <c r="J7" s="173"/>
      <c r="K7" s="173"/>
      <c r="L7" s="173"/>
      <c r="M7" s="173"/>
      <c r="N7" s="173"/>
      <c r="O7" s="173"/>
      <c r="P7" s="173"/>
      <c r="Q7" s="174"/>
    </row>
    <row r="8" spans="1:17" ht="51" customHeight="1" x14ac:dyDescent="0.25">
      <c r="B8" s="108" t="s">
        <v>20</v>
      </c>
      <c r="C8" s="35" t="str">
        <f>IFERROR(IF(VLOOKUP(C9,Indicadores_Generales!$B$17:$AG$143,5,0)=0,"",VLOOKUP(C9,Indicadores_Generales!$B$17:$AG$143,5,0)),"")</f>
        <v>TECNUMEC S.A.S.</v>
      </c>
      <c r="D8" s="35" t="str">
        <f>IFERROR(IF(VLOOKUP(D9,Indicadores_Generales!$B$17:$AG$143,5,0)=0,"",VLOOKUP(D9,Indicadores_Generales!$B$17:$AG$143,5,0)),"")</f>
        <v>CONSORCIO VIAS BOSA</v>
      </c>
      <c r="E8" s="35" t="str">
        <f>IFERROR(IF(VLOOKUP(E9,Indicadores_Generales!$B$17:$AG$143,5,0)=0,"",VLOOKUP(E9,Indicadores_Generales!$B$17:$AG$143,5,0)),"")</f>
        <v>CONSORCIO VYO 2022</v>
      </c>
      <c r="F8" s="35" t="str">
        <f>IFERROR(IF(VLOOKUP(F9,Indicadores_Generales!$B$17:$AG$143,5,0)=0,"",VLOOKUP(F9,Indicadores_Generales!$B$17:$AG$143,5,0)),"")</f>
        <v>D&amp;B INGENIEROS CIVILES S.A.S.</v>
      </c>
      <c r="G8" s="35" t="str">
        <f>IFERROR(IF(VLOOKUP(G9,Indicadores_Generales!$B$17:$AG$143,5,0)=0,"",VLOOKUP(G9,Indicadores_Generales!$B$17:$AG$143,5,0)),"")</f>
        <v>CONSORCIO INTERTRONCAL 2022</v>
      </c>
      <c r="H8" s="35" t="str">
        <f>IFERROR(IF(VLOOKUP(H9,Indicadores_Generales!$B$17:$AG$143,5,0)=0,"",VLOOKUP(H9,Indicadores_Generales!$B$17:$AG$143,5,0)),"")</f>
        <v xml:space="preserve">	HMV SERVICIOS S.A.S.</v>
      </c>
      <c r="I8" s="35" t="str">
        <f>IFERROR(IF(VLOOKUP(I9,Indicadores_Generales!$B$17:$AG$143,5,0)=0,"",VLOOKUP(I9,Indicadores_Generales!$B$17:$AG$143,5,0)),"")</f>
        <v>CONSORCIO MALLA VIAL 2022</v>
      </c>
      <c r="J8" s="35" t="str">
        <f>IFERROR(IF(VLOOKUP(J9,Indicadores_Generales!$B$17:$AG$143,5,0)=0,"",VLOOKUP(J9,Indicadores_Generales!$B$17:$AG$143,5,0)),"")</f>
        <v>CONSORCIO INCOL-ALEPH</v>
      </c>
      <c r="K8" s="35" t="str">
        <f>IFERROR(IF(VLOOKUP(K9,Indicadores_Generales!$B$17:$AG$143,5,0)=0,"",VLOOKUP(K9,Indicadores_Generales!$B$17:$AG$143,5,0)),"")</f>
        <v>CONSULTORES DEL OCCIDENTE SAS</v>
      </c>
      <c r="L8" s="35" t="str">
        <f>IFERROR(IF(VLOOKUP(L9,Indicadores_Generales!$B$17:$AG$143,5,0)=0,"",VLOOKUP(L9,Indicadores_Generales!$B$17:$AG$143,5,0)),"")</f>
        <v>CONSORCIO BOSA</v>
      </c>
      <c r="M8" s="35" t="str">
        <f>IFERROR(IF(VLOOKUP(M9,Indicadores_Generales!$B$17:$AG$143,5,0)=0,"",VLOOKUP(M9,Indicadores_Generales!$B$17:$AG$143,5,0)),"")</f>
        <v>CONSORCIO KALROY BOSA 04</v>
      </c>
      <c r="N8" s="35" t="str">
        <f>IFERROR(IF(VLOOKUP(N9,Indicadores_Generales!$B$17:$AG$143,5,0)=0,"",VLOOKUP(N9,Indicadores_Generales!$B$17:$AG$143,5,0)),"")</f>
        <v>UNIÓN TEMPORAL - RUTAS BOSA.</v>
      </c>
      <c r="O8" s="35" t="str">
        <f>IFERROR(IF(VLOOKUP(O9,Indicadores_Generales!$B$17:$AG$143,5,0)=0,"",VLOOKUP(O9,Indicadores_Generales!$B$17:$AG$143,5,0)),"")</f>
        <v>CONSORCIO AV</v>
      </c>
      <c r="P8" s="35" t="str">
        <f>IFERROR(IF(VLOOKUP(P9,Indicadores_Generales!$B$17:$AG$143,5,0)=0,"",VLOOKUP(P9,Indicadores_Generales!$B$17:$AG$143,5,0)),"")</f>
        <v>CONSORCIO INGEVIAL</v>
      </c>
      <c r="Q8" s="43" t="str">
        <f>IFERROR(IF(VLOOKUP(Q9,Indicadores_Generales!$B$17:$AG$143,5,0)=0,"",VLOOKUP(Q9,Indicadores_Generales!$B$17:$AG$143,5,0)),"")</f>
        <v>CONSORCIO INTERVENTORIA BOSA</v>
      </c>
    </row>
    <row r="9" spans="1:17" s="3" customFormat="1" ht="24" customHeight="1" x14ac:dyDescent="0.25">
      <c r="A9" s="2"/>
      <c r="B9" s="109" t="s">
        <v>2</v>
      </c>
      <c r="C9" s="36">
        <v>61</v>
      </c>
      <c r="D9" s="36">
        <v>62</v>
      </c>
      <c r="E9" s="36">
        <v>63</v>
      </c>
      <c r="F9" s="36">
        <v>64</v>
      </c>
      <c r="G9" s="36">
        <v>65</v>
      </c>
      <c r="H9" s="36">
        <v>66</v>
      </c>
      <c r="I9" s="36">
        <v>67</v>
      </c>
      <c r="J9" s="36">
        <v>68</v>
      </c>
      <c r="K9" s="36">
        <v>69</v>
      </c>
      <c r="L9" s="36">
        <v>70</v>
      </c>
      <c r="M9" s="36">
        <v>71</v>
      </c>
      <c r="N9" s="36">
        <v>72</v>
      </c>
      <c r="O9" s="36">
        <v>73</v>
      </c>
      <c r="P9" s="36">
        <v>74</v>
      </c>
      <c r="Q9" s="36">
        <v>75</v>
      </c>
    </row>
    <row r="10" spans="1:17" s="3" customFormat="1" ht="31.5" x14ac:dyDescent="0.25">
      <c r="B10" s="109" t="s">
        <v>48</v>
      </c>
      <c r="C10" s="4">
        <f>IF(C8="","",IFERROR(IF(VLOOKUP(C9,Indicadores_Generales!$B$17:$AG$143,4,0)=0,"",DATE(VLOOKUP(C9,Indicadores_Generales!$B$17:$AG$143,4,0),12,31)),""))</f>
        <v>44561</v>
      </c>
      <c r="D10" s="4">
        <f>IF(D8="","",IFERROR(IF(VLOOKUP(D9,Indicadores_Generales!$B$17:$AG$143,4,0)=0,"",DATE(VLOOKUP(D9,Indicadores_Generales!$B$17:$AG$143,4,0),12,31)),""))</f>
        <v>44561</v>
      </c>
      <c r="E10" s="4">
        <f>IF(E8="","",IFERROR(IF(VLOOKUP(E9,Indicadores_Generales!$B$17:$AG$143,4,0)=0,"",DATE(VLOOKUP(E9,Indicadores_Generales!$B$17:$AG$143,4,0),12,31)),""))</f>
        <v>44561</v>
      </c>
      <c r="F10" s="4">
        <f>IF(F8="","",IFERROR(IF(VLOOKUP(F9,Indicadores_Generales!$B$17:$AG$143,4,0)=0,"",DATE(VLOOKUP(F9,Indicadores_Generales!$B$17:$AG$143,4,0),12,31)),""))</f>
        <v>44561</v>
      </c>
      <c r="G10" s="4">
        <f>IF(G8="","",IFERROR(IF(VLOOKUP(G9,Indicadores_Generales!$B$17:$AG$143,4,0)=0,"",DATE(VLOOKUP(G9,Indicadores_Generales!$B$17:$AG$143,4,0),12,31)),""))</f>
        <v>44561</v>
      </c>
      <c r="H10" s="4">
        <f>IF(H8="","",IFERROR(IF(VLOOKUP(H9,Indicadores_Generales!$B$17:$AG$143,4,0)=0,"",DATE(VLOOKUP(H9,Indicadores_Generales!$B$17:$AG$143,4,0),12,31)),""))</f>
        <v>44561</v>
      </c>
      <c r="I10" s="4">
        <f>IF(I8="","",IFERROR(IF(VLOOKUP(I9,Indicadores_Generales!$B$17:$AG$143,4,0)=0,"",DATE(VLOOKUP(I9,Indicadores_Generales!$B$17:$AG$143,4,0),12,31)),""))</f>
        <v>44561</v>
      </c>
      <c r="J10" s="4">
        <f>IF(J8="","",IFERROR(IF(VLOOKUP(J9,Indicadores_Generales!$B$17:$AG$143,4,0)=0,"",DATE(VLOOKUP(J9,Indicadores_Generales!$B$17:$AG$143,4,0),12,31)),""))</f>
        <v>44561</v>
      </c>
      <c r="K10" s="4">
        <f>IF(K8="","",IFERROR(IF(VLOOKUP(K9,Indicadores_Generales!$B$17:$AG$143,4,0)=0,"",DATE(VLOOKUP(K9,Indicadores_Generales!$B$17:$AG$143,4,0),12,31)),""))</f>
        <v>44561</v>
      </c>
      <c r="L10" s="4">
        <f>IF(L8="","",IFERROR(IF(VLOOKUP(L9,Indicadores_Generales!$B$17:$AG$143,4,0)=0,"",DATE(VLOOKUP(L9,Indicadores_Generales!$B$17:$AG$143,4,0),12,31)),""))</f>
        <v>44561</v>
      </c>
      <c r="M10" s="4">
        <f>IF(M8="","",IFERROR(IF(VLOOKUP(M9,Indicadores_Generales!$B$17:$AG$143,4,0)=0,"",DATE(VLOOKUP(M9,Indicadores_Generales!$B$17:$AG$143,4,0),12,31)),""))</f>
        <v>44561</v>
      </c>
      <c r="N10" s="4">
        <f>IF(N8="","",IFERROR(IF(VLOOKUP(N9,Indicadores_Generales!$B$17:$AG$143,4,0)=0,"",DATE(VLOOKUP(N9,Indicadores_Generales!$B$17:$AG$143,4,0),12,31)),""))</f>
        <v>44561</v>
      </c>
      <c r="O10" s="4">
        <f>IF(O8="","",IFERROR(IF(VLOOKUP(O9,Indicadores_Generales!$B$17:$AG$143,4,0)=0,"",DATE(VLOOKUP(O9,Indicadores_Generales!$B$17:$AG$143,4,0),12,31)),""))</f>
        <v>44561</v>
      </c>
      <c r="P10" s="4">
        <f>IF(P8="","",IFERROR(IF(VLOOKUP(P9,Indicadores_Generales!$B$17:$AG$143,4,0)=0,"",DATE(VLOOKUP(P9,Indicadores_Generales!$B$17:$AG$143,4,0),12,31)),""))</f>
        <v>44561</v>
      </c>
      <c r="Q10" s="45">
        <f>IF(Q8="","",IFERROR(IF(VLOOKUP(Q9,Indicadores_Generales!$B$17:$AG$143,4,0)=0,"",DATE(VLOOKUP(Q9,Indicadores_Generales!$B$17:$AG$143,4,0),12,31)),""))</f>
        <v>44561</v>
      </c>
    </row>
    <row r="11" spans="1:17" s="3" customFormat="1" ht="24" customHeight="1" x14ac:dyDescent="0.25">
      <c r="B11" s="109" t="s">
        <v>21</v>
      </c>
      <c r="C11" s="123" t="str">
        <f>IF(C8="","",IF(C10="","","VIGENTE"))</f>
        <v>VIGENTE</v>
      </c>
      <c r="D11" s="123" t="str">
        <f t="shared" ref="D11:Q11" si="0">IF(D8="","",IF(D10="","","VIGENTE"))</f>
        <v>VIGENTE</v>
      </c>
      <c r="E11" s="123" t="str">
        <f t="shared" si="0"/>
        <v>VIGENTE</v>
      </c>
      <c r="F11" s="123" t="str">
        <f t="shared" si="0"/>
        <v>VIGENTE</v>
      </c>
      <c r="G11" s="123" t="str">
        <f t="shared" si="0"/>
        <v>VIGENTE</v>
      </c>
      <c r="H11" s="123" t="str">
        <f t="shared" si="0"/>
        <v>VIGENTE</v>
      </c>
      <c r="I11" s="123" t="str">
        <f t="shared" si="0"/>
        <v>VIGENTE</v>
      </c>
      <c r="J11" s="123" t="str">
        <f t="shared" si="0"/>
        <v>VIGENTE</v>
      </c>
      <c r="K11" s="123" t="str">
        <f t="shared" si="0"/>
        <v>VIGENTE</v>
      </c>
      <c r="L11" s="123" t="str">
        <f t="shared" si="0"/>
        <v>VIGENTE</v>
      </c>
      <c r="M11" s="123" t="str">
        <f t="shared" si="0"/>
        <v>VIGENTE</v>
      </c>
      <c r="N11" s="123" t="str">
        <f t="shared" si="0"/>
        <v>VIGENTE</v>
      </c>
      <c r="O11" s="123" t="str">
        <f t="shared" si="0"/>
        <v>VIGENTE</v>
      </c>
      <c r="P11" s="123" t="str">
        <f t="shared" si="0"/>
        <v>VIGENTE</v>
      </c>
      <c r="Q11" s="124" t="str">
        <f t="shared" si="0"/>
        <v>VIGENTE</v>
      </c>
    </row>
    <row r="12" spans="1:17" s="3" customFormat="1" ht="31.5" x14ac:dyDescent="0.25">
      <c r="B12" s="109" t="s">
        <v>22</v>
      </c>
      <c r="C12" s="7">
        <f>IF(C8="","",SUMIFS(Indicadores_Generales!$G:$G,Indicadores_Generales!$B:$B,C9))</f>
        <v>1</v>
      </c>
      <c r="D12" s="7">
        <f>IF(D8="","",SUMIFS(Indicadores_Generales!$G:$G,Indicadores_Generales!$B:$B,D9))</f>
        <v>1</v>
      </c>
      <c r="E12" s="7">
        <f>IF(E8="","",SUMIFS(Indicadores_Generales!$G:$G,Indicadores_Generales!$B:$B,E9))</f>
        <v>1</v>
      </c>
      <c r="F12" s="7">
        <f>IF(F8="","",SUMIFS(Indicadores_Generales!$G:$G,Indicadores_Generales!$B:$B,F9))</f>
        <v>1</v>
      </c>
      <c r="G12" s="7">
        <f>IF(G8="","",SUMIFS(Indicadores_Generales!$G:$G,Indicadores_Generales!$B:$B,G9))</f>
        <v>1</v>
      </c>
      <c r="H12" s="7">
        <f>IF(H8="","",SUMIFS(Indicadores_Generales!$G:$G,Indicadores_Generales!$B:$B,H9))</f>
        <v>1</v>
      </c>
      <c r="I12" s="7">
        <f>IF(I8="","",SUMIFS(Indicadores_Generales!$G:$G,Indicadores_Generales!$B:$B,I9))</f>
        <v>1</v>
      </c>
      <c r="J12" s="7">
        <f>IF(J8="","",SUMIFS(Indicadores_Generales!$G:$G,Indicadores_Generales!$B:$B,J9))</f>
        <v>1</v>
      </c>
      <c r="K12" s="7">
        <f>IF(K8="","",SUMIFS(Indicadores_Generales!$G:$G,Indicadores_Generales!$B:$B,K9))</f>
        <v>1</v>
      </c>
      <c r="L12" s="7">
        <f>IF(L8="","",SUMIFS(Indicadores_Generales!$G:$G,Indicadores_Generales!$B:$B,L9))</f>
        <v>1</v>
      </c>
      <c r="M12" s="7">
        <f>IF(M8="","",SUMIFS(Indicadores_Generales!$G:$G,Indicadores_Generales!$B:$B,M9))</f>
        <v>1</v>
      </c>
      <c r="N12" s="7">
        <f>IF(N8="","",SUMIFS(Indicadores_Generales!$G:$G,Indicadores_Generales!$B:$B,N9))</f>
        <v>1</v>
      </c>
      <c r="O12" s="7">
        <f>IF(O8="","",SUMIFS(Indicadores_Generales!$G:$G,Indicadores_Generales!$B:$B,O9))</f>
        <v>1</v>
      </c>
      <c r="P12" s="7">
        <f>IF(P8="","",SUMIFS(Indicadores_Generales!$G:$G,Indicadores_Generales!$B:$B,P9))</f>
        <v>1</v>
      </c>
      <c r="Q12" s="46">
        <f>IF(Q8="","",SUMIFS(Indicadores_Generales!$G:$G,Indicadores_Generales!$B:$B,Q9))</f>
        <v>1</v>
      </c>
    </row>
    <row r="13" spans="1:17" s="3" customFormat="1" ht="26.25" customHeight="1" x14ac:dyDescent="0.25">
      <c r="B13" s="109" t="s">
        <v>4</v>
      </c>
      <c r="C13" s="8">
        <f>IF(C8="","",SUMIFS(Indicadores_Generales!$U:$U,Indicadores_Generales!$B:$B,C9))</f>
        <v>3025424340</v>
      </c>
      <c r="D13" s="8">
        <f>IF(D8="","",SUMIFS(Indicadores_Generales!$U:$U,Indicadores_Generales!$B:$B,D9))</f>
        <v>1733465500</v>
      </c>
      <c r="E13" s="8">
        <f>IF(E8="","",SUMIFS(Indicadores_Generales!$U:$U,Indicadores_Generales!$B:$B,E9))</f>
        <v>2103405294.8</v>
      </c>
      <c r="F13" s="8">
        <f>IF(F8="","",SUMIFS(Indicadores_Generales!$U:$U,Indicadores_Generales!$B:$B,F9))</f>
        <v>3034257047</v>
      </c>
      <c r="G13" s="8">
        <f>IF(G8="","",SUMIFS(Indicadores_Generales!$U:$U,Indicadores_Generales!$B:$B,G9))</f>
        <v>3472717944</v>
      </c>
      <c r="H13" s="8">
        <f>IF(H8="","",SUMIFS(Indicadores_Generales!$U:$U,Indicadores_Generales!$B:$B,H9))</f>
        <v>8896825410</v>
      </c>
      <c r="I13" s="8">
        <f>IF(I8="","",SUMIFS(Indicadores_Generales!$U:$U,Indicadores_Generales!$B:$B,I9))</f>
        <v>2915041921</v>
      </c>
      <c r="J13" s="8">
        <f>IF(J8="","",SUMIFS(Indicadores_Generales!$U:$U,Indicadores_Generales!$B:$B,J9))</f>
        <v>2289853419</v>
      </c>
      <c r="K13" s="8">
        <f>IF(K8="","",SUMIFS(Indicadores_Generales!$U:$U,Indicadores_Generales!$B:$B,K9))</f>
        <v>2214750008</v>
      </c>
      <c r="L13" s="8">
        <f>IF(L8="","",SUMIFS(Indicadores_Generales!$U:$U,Indicadores_Generales!$B:$B,L9))</f>
        <v>1147355354.7</v>
      </c>
      <c r="M13" s="8">
        <f>IF(M8="","",SUMIFS(Indicadores_Generales!$U:$U,Indicadores_Generales!$B:$B,M9))</f>
        <v>736648225.39999998</v>
      </c>
      <c r="N13" s="8">
        <f>IF(N8="","",SUMIFS(Indicadores_Generales!$U:$U,Indicadores_Generales!$B:$B,N9))</f>
        <v>2021142639.4499998</v>
      </c>
      <c r="O13" s="8">
        <f>IF(O8="","",SUMIFS(Indicadores_Generales!$U:$U,Indicadores_Generales!$B:$B,O9))</f>
        <v>1078236723.6500001</v>
      </c>
      <c r="P13" s="8">
        <f>IF(P8="","",SUMIFS(Indicadores_Generales!$U:$U,Indicadores_Generales!$B:$B,P9))</f>
        <v>1582435650</v>
      </c>
      <c r="Q13" s="47">
        <f>IF(Q8="","",SUMIFS(Indicadores_Generales!$U:$U,Indicadores_Generales!$B:$B,Q9))</f>
        <v>5626050559.0499992</v>
      </c>
    </row>
    <row r="14" spans="1:17" s="3" customFormat="1" ht="26.25" customHeight="1" x14ac:dyDescent="0.25">
      <c r="B14" s="109" t="s">
        <v>5</v>
      </c>
      <c r="C14" s="8">
        <f>IF(C8="","",SUMIFS(Indicadores_Generales!$V:$V,Indicadores_Generales!$B:$B,C9))</f>
        <v>392373356</v>
      </c>
      <c r="D14" s="8">
        <f>IF(D8="","",SUMIFS(Indicadores_Generales!$V:$V,Indicadores_Generales!$B:$B,D9))</f>
        <v>171308000</v>
      </c>
      <c r="E14" s="8">
        <f>IF(E8="","",SUMIFS(Indicadores_Generales!$V:$V,Indicadores_Generales!$B:$B,E9))</f>
        <v>165881442.55000001</v>
      </c>
      <c r="F14" s="8">
        <f>IF(F8="","",SUMIFS(Indicadores_Generales!$V:$V,Indicadores_Generales!$B:$B,F9))</f>
        <v>80344151</v>
      </c>
      <c r="G14" s="8">
        <f>IF(G8="","",SUMIFS(Indicadores_Generales!$V:$V,Indicadores_Generales!$B:$B,G9))</f>
        <v>392892948</v>
      </c>
      <c r="H14" s="8">
        <f>IF(H8="","",SUMIFS(Indicadores_Generales!$V:$V,Indicadores_Generales!$B:$B,H9))</f>
        <v>2515564498</v>
      </c>
      <c r="I14" s="8">
        <f>IF(I8="","",SUMIFS(Indicadores_Generales!$V:$V,Indicadores_Generales!$B:$B,I9))</f>
        <v>1310002639.5</v>
      </c>
      <c r="J14" s="8">
        <f>IF(J8="","",SUMIFS(Indicadores_Generales!$V:$V,Indicadores_Generales!$B:$B,J9))</f>
        <v>339558946.39999998</v>
      </c>
      <c r="K14" s="8">
        <f>IF(K8="","",SUMIFS(Indicadores_Generales!$V:$V,Indicadores_Generales!$B:$B,K9))</f>
        <v>9883345</v>
      </c>
      <c r="L14" s="8">
        <f>IF(L8="","",SUMIFS(Indicadores_Generales!$V:$V,Indicadores_Generales!$B:$B,L9))</f>
        <v>230674115.5</v>
      </c>
      <c r="M14" s="8">
        <f>IF(M8="","",SUMIFS(Indicadores_Generales!$V:$V,Indicadores_Generales!$B:$B,M9))</f>
        <v>66538853.549999997</v>
      </c>
      <c r="N14" s="8">
        <f>IF(N8="","",SUMIFS(Indicadores_Generales!$V:$V,Indicadores_Generales!$B:$B,N9))</f>
        <v>629421303.29999995</v>
      </c>
      <c r="O14" s="8">
        <f>IF(O8="","",SUMIFS(Indicadores_Generales!$V:$V,Indicadores_Generales!$B:$B,O9))</f>
        <v>1055466.5</v>
      </c>
      <c r="P14" s="8">
        <f>IF(P8="","",SUMIFS(Indicadores_Generales!$V:$V,Indicadores_Generales!$B:$B,P9))</f>
        <v>9918250</v>
      </c>
      <c r="Q14" s="47">
        <f>IF(Q8="","",SUMIFS(Indicadores_Generales!$V:$V,Indicadores_Generales!$B:$B,Q9))</f>
        <v>60182807.5</v>
      </c>
    </row>
    <row r="15" spans="1:17" s="3" customFormat="1" ht="26.25" customHeight="1" x14ac:dyDescent="0.25">
      <c r="B15" s="109" t="s">
        <v>6</v>
      </c>
      <c r="C15" s="8">
        <f>IF(C8="","",SUMIFS(Indicadores_Generales!$W:$W,Indicadores_Generales!$B:$B,C9))</f>
        <v>3103458991</v>
      </c>
      <c r="D15" s="8">
        <f>IF(D8="","",SUMIFS(Indicadores_Generales!$W:$W,Indicadores_Generales!$B:$B,D9))</f>
        <v>3282948000</v>
      </c>
      <c r="E15" s="8">
        <f>IF(E8="","",SUMIFS(Indicadores_Generales!$W:$W,Indicadores_Generales!$B:$B,E9))</f>
        <v>2311419051.0499997</v>
      </c>
      <c r="F15" s="8">
        <f>IF(F8="","",SUMIFS(Indicadores_Generales!$W:$W,Indicadores_Generales!$B:$B,F9))</f>
        <v>3840605758</v>
      </c>
      <c r="G15" s="8">
        <f>IF(G8="","",SUMIFS(Indicadores_Generales!$W:$W,Indicadores_Generales!$B:$B,G9))</f>
        <v>3799703696.5</v>
      </c>
      <c r="H15" s="8">
        <f>IF(H8="","",SUMIFS(Indicadores_Generales!$W:$W,Indicadores_Generales!$B:$B,H9))</f>
        <v>8948328677</v>
      </c>
      <c r="I15" s="8">
        <f>IF(I8="","",SUMIFS(Indicadores_Generales!$W:$W,Indicadores_Generales!$B:$B,I9))</f>
        <v>3256990178</v>
      </c>
      <c r="J15" s="8">
        <f>IF(J8="","",SUMIFS(Indicadores_Generales!$W:$W,Indicadores_Generales!$B:$B,J9))</f>
        <v>2648486751.8000002</v>
      </c>
      <c r="K15" s="8">
        <f>IF(K8="","",SUMIFS(Indicadores_Generales!$W:$W,Indicadores_Generales!$B:$B,K9))</f>
        <v>2270060008</v>
      </c>
      <c r="L15" s="8">
        <f>IF(L8="","",SUMIFS(Indicadores_Generales!$W:$W,Indicadores_Generales!$B:$B,L9))</f>
        <v>1392155354.6999998</v>
      </c>
      <c r="M15" s="8">
        <f>IF(M8="","",SUMIFS(Indicadores_Generales!$W:$W,Indicadores_Generales!$B:$B,M9))</f>
        <v>738337083.0999999</v>
      </c>
      <c r="N15" s="8">
        <f>IF(N8="","",SUMIFS(Indicadores_Generales!$W:$W,Indicadores_Generales!$B:$B,N9))</f>
        <v>2058938572.9499998</v>
      </c>
      <c r="O15" s="8">
        <f>IF(O8="","",SUMIFS(Indicadores_Generales!$W:$W,Indicadores_Generales!$B:$B,O9))</f>
        <v>1658291879.4499998</v>
      </c>
      <c r="P15" s="8">
        <f>IF(P8="","",SUMIFS(Indicadores_Generales!$W:$W,Indicadores_Generales!$B:$B,P9))</f>
        <v>2104350650</v>
      </c>
      <c r="Q15" s="47">
        <f>IF(Q8="","",SUMIFS(Indicadores_Generales!$W:$W,Indicadores_Generales!$B:$B,Q9))</f>
        <v>5657928346.8000002</v>
      </c>
    </row>
    <row r="16" spans="1:17" s="3" customFormat="1" ht="26.25" customHeight="1" x14ac:dyDescent="0.25">
      <c r="B16" s="109" t="s">
        <v>7</v>
      </c>
      <c r="C16" s="8">
        <f>IF(C8="","",SUMIFS(Indicadores_Generales!$X:$X,Indicadores_Generales!$B:$B,C9))</f>
        <v>392373356</v>
      </c>
      <c r="D16" s="8">
        <f>IF(D8="","",SUMIFS(Indicadores_Generales!$X:$X,Indicadores_Generales!$B:$B,D9))</f>
        <v>182683500</v>
      </c>
      <c r="E16" s="8">
        <f>IF(E8="","",SUMIFS(Indicadores_Generales!$X:$X,Indicadores_Generales!$B:$B,E9))</f>
        <v>557162943.39999998</v>
      </c>
      <c r="F16" s="8">
        <f>IF(F8="","",SUMIFS(Indicadores_Generales!$X:$X,Indicadores_Generales!$B:$B,F9))</f>
        <v>1360479111</v>
      </c>
      <c r="G16" s="8">
        <f>IF(G8="","",SUMIFS(Indicadores_Generales!$X:$X,Indicadores_Generales!$B:$B,G9))</f>
        <v>1968766948</v>
      </c>
      <c r="H16" s="8">
        <f>IF(H8="","",SUMIFS(Indicadores_Generales!$X:$X,Indicadores_Generales!$B:$B,H9))</f>
        <v>2539710213</v>
      </c>
      <c r="I16" s="8">
        <f>IF(I8="","",SUMIFS(Indicadores_Generales!$X:$X,Indicadores_Generales!$B:$B,I9))</f>
        <v>1736061328</v>
      </c>
      <c r="J16" s="8">
        <f>IF(J8="","",SUMIFS(Indicadores_Generales!$X:$X,Indicadores_Generales!$B:$B,J9))</f>
        <v>545634940.79999995</v>
      </c>
      <c r="K16" s="8">
        <f>IF(K8="","",SUMIFS(Indicadores_Generales!$X:$X,Indicadores_Generales!$B:$B,K9))</f>
        <v>9883345</v>
      </c>
      <c r="L16" s="8">
        <f>IF(L8="","",SUMIFS(Indicadores_Generales!$X:$X,Indicadores_Generales!$B:$B,L9))</f>
        <v>230674115.5</v>
      </c>
      <c r="M16" s="8">
        <f>IF(M8="","",SUMIFS(Indicadores_Generales!$X:$X,Indicadores_Generales!$B:$B,M9))</f>
        <v>66538853.549999997</v>
      </c>
      <c r="N16" s="8">
        <f>IF(N8="","",SUMIFS(Indicadores_Generales!$X:$X,Indicadores_Generales!$B:$B,N9))</f>
        <v>1302332811.3999999</v>
      </c>
      <c r="O16" s="8">
        <f>IF(O8="","",SUMIFS(Indicadores_Generales!$X:$X,Indicadores_Generales!$B:$B,O9))</f>
        <v>112601595.59999999</v>
      </c>
      <c r="P16" s="8">
        <f>IF(P8="","",SUMIFS(Indicadores_Generales!$X:$X,Indicadores_Generales!$B:$B,P9))</f>
        <v>103245750</v>
      </c>
      <c r="Q16" s="47">
        <f>IF(Q8="","",SUMIFS(Indicadores_Generales!$X:$X,Indicadores_Generales!$B:$B,Q9))</f>
        <v>1010835771.6</v>
      </c>
    </row>
    <row r="17" spans="1:17" s="3" customFormat="1" ht="26.25" customHeight="1" x14ac:dyDescent="0.25">
      <c r="B17" s="109" t="s">
        <v>23</v>
      </c>
      <c r="C17" s="8">
        <f>IF(C8="","",SUMIFS(Indicadores_Generales!$Y:$Y,Indicadores_Generales!$B:$B,C9))</f>
        <v>2711085635</v>
      </c>
      <c r="D17" s="8">
        <f>IF(D8="","",SUMIFS(Indicadores_Generales!$Y:$Y,Indicadores_Generales!$B:$B,D9))</f>
        <v>3100264500</v>
      </c>
      <c r="E17" s="8">
        <f>IF(E8="","",SUMIFS(Indicadores_Generales!$Y:$Y,Indicadores_Generales!$B:$B,E9))</f>
        <v>1754256107.7</v>
      </c>
      <c r="F17" s="8">
        <f>IF(F8="","",SUMIFS(Indicadores_Generales!$Y:$Y,Indicadores_Generales!$B:$B,F9))</f>
        <v>2480126647</v>
      </c>
      <c r="G17" s="8">
        <f>IF(G8="","",SUMIFS(Indicadores_Generales!$Y:$Y,Indicadores_Generales!$B:$B,G9))</f>
        <v>1830936748.5</v>
      </c>
      <c r="H17" s="8">
        <f>IF(H8="","",SUMIFS(Indicadores_Generales!$Y:$Y,Indicadores_Generales!$B:$B,H9))</f>
        <v>6408618464</v>
      </c>
      <c r="I17" s="8">
        <f>IF(I8="","",SUMIFS(Indicadores_Generales!$Y:$Y,Indicadores_Generales!$B:$B,I9))</f>
        <v>1520928850</v>
      </c>
      <c r="J17" s="8">
        <f>IF(J8="","",SUMIFS(Indicadores_Generales!$Y:$Y,Indicadores_Generales!$B:$B,J9))</f>
        <v>2102851811</v>
      </c>
      <c r="K17" s="8">
        <f>IF(K8="","",SUMIFS(Indicadores_Generales!$Y:$Y,Indicadores_Generales!$B:$B,K9))</f>
        <v>2260176663</v>
      </c>
      <c r="L17" s="8">
        <f>IF(L8="","",SUMIFS(Indicadores_Generales!$Y:$Y,Indicadores_Generales!$B:$B,L9))</f>
        <v>1161481239.1999998</v>
      </c>
      <c r="M17" s="8">
        <f>IF(M8="","",SUMIFS(Indicadores_Generales!$Y:$Y,Indicadores_Generales!$B:$B,M9))</f>
        <v>671798229.54999995</v>
      </c>
      <c r="N17" s="8">
        <f>IF(N8="","",SUMIFS(Indicadores_Generales!$Y:$Y,Indicadores_Generales!$B:$B,N9))</f>
        <v>756605761.54999995</v>
      </c>
      <c r="O17" s="8">
        <f>IF(O8="","",SUMIFS(Indicadores_Generales!$Y:$Y,Indicadores_Generales!$B:$B,O9))</f>
        <v>1545690283.8499999</v>
      </c>
      <c r="P17" s="8">
        <f>IF(P8="","",SUMIFS(Indicadores_Generales!$Y:$Y,Indicadores_Generales!$B:$B,P9))</f>
        <v>2001104900</v>
      </c>
      <c r="Q17" s="47">
        <f>IF(Q8="","",SUMIFS(Indicadores_Generales!$Y:$Y,Indicadores_Generales!$B:$B,Q9))</f>
        <v>4647092575.1999998</v>
      </c>
    </row>
    <row r="18" spans="1:17" s="3" customFormat="1" ht="36.75" customHeight="1" x14ac:dyDescent="0.25">
      <c r="B18" s="109" t="s">
        <v>24</v>
      </c>
      <c r="C18" s="8">
        <f>IF(C8="","",C15-C16-C17)</f>
        <v>0</v>
      </c>
      <c r="D18" s="8">
        <f t="shared" ref="D18:Q18" si="1">IF(D8="","",D15-D16-D17)</f>
        <v>0</v>
      </c>
      <c r="E18" s="8">
        <f t="shared" si="1"/>
        <v>-5.0000429153442383E-2</v>
      </c>
      <c r="F18" s="8">
        <f t="shared" si="1"/>
        <v>0</v>
      </c>
      <c r="G18" s="8">
        <f t="shared" si="1"/>
        <v>0</v>
      </c>
      <c r="H18" s="8">
        <f t="shared" si="1"/>
        <v>0</v>
      </c>
      <c r="I18" s="8">
        <f t="shared" si="1"/>
        <v>0</v>
      </c>
      <c r="J18" s="8">
        <f t="shared" si="1"/>
        <v>2.384185791015625E-7</v>
      </c>
      <c r="K18" s="8">
        <f t="shared" si="1"/>
        <v>0</v>
      </c>
      <c r="L18" s="8">
        <f t="shared" si="1"/>
        <v>0</v>
      </c>
      <c r="M18" s="8">
        <f t="shared" si="1"/>
        <v>0</v>
      </c>
      <c r="N18" s="8">
        <f t="shared" si="1"/>
        <v>0</v>
      </c>
      <c r="O18" s="8">
        <f t="shared" si="1"/>
        <v>0</v>
      </c>
      <c r="P18" s="8">
        <f t="shared" si="1"/>
        <v>0</v>
      </c>
      <c r="Q18" s="47">
        <f t="shared" si="1"/>
        <v>0</v>
      </c>
    </row>
    <row r="19" spans="1:17" s="3" customFormat="1" ht="26.25" customHeight="1" x14ac:dyDescent="0.25">
      <c r="B19" s="109" t="s">
        <v>25</v>
      </c>
      <c r="C19" s="8">
        <f>IF(C8="","",SUMIFS(Indicadores_Generales!$Z:$Z,Indicadores_Generales!$B:$B,C9))</f>
        <v>211862009</v>
      </c>
      <c r="D19" s="8">
        <f>IF(D8="","",SUMIFS(Indicadores_Generales!$Z:$Z,Indicadores_Generales!$B:$B,D9))</f>
        <v>279189000</v>
      </c>
      <c r="E19" s="8">
        <f>IF(E8="","",SUMIFS(Indicadores_Generales!$Z:$Z,Indicadores_Generales!$B:$B,E9))</f>
        <v>290601351.75</v>
      </c>
      <c r="F19" s="8">
        <f>IF(F8="","",SUMIFS(Indicadores_Generales!$Z:$Z,Indicadores_Generales!$B:$B,F9))</f>
        <v>558644409</v>
      </c>
      <c r="G19" s="8">
        <f>IF(G8="","",SUMIFS(Indicadores_Generales!$Z:$Z,Indicadores_Generales!$B:$B,G9))</f>
        <v>781618692</v>
      </c>
      <c r="H19" s="8">
        <f>IF(H8="","",SUMIFS(Indicadores_Generales!$Z:$Z,Indicadores_Generales!$B:$B,H9))</f>
        <v>474555410</v>
      </c>
      <c r="I19" s="8">
        <f>IF(I8="","",SUMIFS(Indicadores_Generales!$Z:$Z,Indicadores_Generales!$B:$B,I9))</f>
        <v>148344602</v>
      </c>
      <c r="J19" s="8">
        <f>IF(J8="","",SUMIFS(Indicadores_Generales!$Z:$Z,Indicadores_Generales!$B:$B,J9))</f>
        <v>255889226.60000002</v>
      </c>
      <c r="K19" s="8">
        <f>IF(K8="","",SUMIFS(Indicadores_Generales!$Z:$Z,Indicadores_Generales!$B:$B,K9))</f>
        <v>463832474</v>
      </c>
      <c r="L19" s="8">
        <f>IF(L8="","",SUMIFS(Indicadores_Generales!$Z:$Z,Indicadores_Generales!$B:$B,L9))</f>
        <v>176464826.59999999</v>
      </c>
      <c r="M19" s="8">
        <f>IF(M8="","",SUMIFS(Indicadores_Generales!$Z:$Z,Indicadores_Generales!$B:$B,M9))</f>
        <v>64353154.799999997</v>
      </c>
      <c r="N19" s="8">
        <f>IF(N8="","",SUMIFS(Indicadores_Generales!$Z:$Z,Indicadores_Generales!$B:$B,N9))</f>
        <v>69959255.900000006</v>
      </c>
      <c r="O19" s="8">
        <f>IF(O8="","",SUMIFS(Indicadores_Generales!$Z:$Z,Indicadores_Generales!$B:$B,O9))</f>
        <v>345699328.5</v>
      </c>
      <c r="P19" s="8">
        <f>IF(P8="","",SUMIFS(Indicadores_Generales!$Z:$Z,Indicadores_Generales!$B:$B,P9))</f>
        <v>397221492.75</v>
      </c>
      <c r="Q19" s="47">
        <f>IF(Q8="","",SUMIFS(Indicadores_Generales!$Z:$Z,Indicadores_Generales!$B:$B,Q9))</f>
        <v>980990386.0999999</v>
      </c>
    </row>
    <row r="20" spans="1:17" s="3" customFormat="1" ht="26.25" customHeight="1" x14ac:dyDescent="0.25">
      <c r="B20" s="109" t="s">
        <v>26</v>
      </c>
      <c r="C20" s="8">
        <f>IF(C8="","",SUMIFS(Indicadores_Generales!$AA:$AA,Indicadores_Generales!$B:$B,C9))</f>
        <v>0</v>
      </c>
      <c r="D20" s="8">
        <f>IF(D8="","",SUMIFS(Indicadores_Generales!$AA:$AA,Indicadores_Generales!$B:$B,D9))</f>
        <v>0</v>
      </c>
      <c r="E20" s="8">
        <f>IF(E8="","",SUMIFS(Indicadores_Generales!$AA:$AA,Indicadores_Generales!$B:$B,E9))</f>
        <v>1548624.2</v>
      </c>
      <c r="F20" s="8">
        <f>IF(F8="","",SUMIFS(Indicadores_Generales!$AA:$AA,Indicadores_Generales!$B:$B,F9))</f>
        <v>10873019</v>
      </c>
      <c r="G20" s="8">
        <f>IF(G8="","",SUMIFS(Indicadores_Generales!$AA:$AA,Indicadores_Generales!$B:$B,G9))</f>
        <v>22309500</v>
      </c>
      <c r="H20" s="8">
        <f>IF(H8="","",SUMIFS(Indicadores_Generales!$AA:$AA,Indicadores_Generales!$B:$B,H9))</f>
        <v>14756198</v>
      </c>
      <c r="I20" s="8">
        <f>IF(I8="","",SUMIFS(Indicadores_Generales!$AA:$AA,Indicadores_Generales!$B:$B,I9))</f>
        <v>5644407.5</v>
      </c>
      <c r="J20" s="8">
        <f>IF(J8="","",SUMIFS(Indicadores_Generales!$AA:$AA,Indicadores_Generales!$B:$B,J9))</f>
        <v>15361182.4</v>
      </c>
      <c r="K20" s="8">
        <f>IF(K8="","",SUMIFS(Indicadores_Generales!$AA:$AA,Indicadores_Generales!$B:$B,K9))</f>
        <v>0</v>
      </c>
      <c r="L20" s="8">
        <f>IF(L8="","",SUMIFS(Indicadores_Generales!$AA:$AA,Indicadores_Generales!$B:$B,L9))</f>
        <v>699999.29999999993</v>
      </c>
      <c r="M20" s="8">
        <f>IF(M8="","",SUMIFS(Indicadores_Generales!$AA:$AA,Indicadores_Generales!$B:$B,M9))</f>
        <v>164164.6</v>
      </c>
      <c r="N20" s="8">
        <f>IF(N8="","",SUMIFS(Indicadores_Generales!$AA:$AA,Indicadores_Generales!$B:$B,N9))</f>
        <v>5564853.9500000002</v>
      </c>
      <c r="O20" s="8">
        <f>IF(O8="","",SUMIFS(Indicadores_Generales!$AA:$AA,Indicadores_Generales!$B:$B,O9))</f>
        <v>0</v>
      </c>
      <c r="P20" s="8">
        <f>IF(P8="","",SUMIFS(Indicadores_Generales!$AA:$AA,Indicadores_Generales!$B:$B,P9))</f>
        <v>3597540</v>
      </c>
      <c r="Q20" s="47">
        <f>IF(Q8="","",SUMIFS(Indicadores_Generales!$AA:$AA,Indicadores_Generales!$B:$B,Q9))</f>
        <v>1191238.1000000001</v>
      </c>
    </row>
    <row r="21" spans="1:17" s="3" customFormat="1" ht="58.5" customHeight="1" x14ac:dyDescent="0.25">
      <c r="B21" s="109" t="s">
        <v>27</v>
      </c>
      <c r="C21" s="9">
        <f>IF(C8="","",C19/C17)</f>
        <v>7.8146557329237587E-2</v>
      </c>
      <c r="D21" s="9">
        <f t="shared" ref="D21:Q21" si="2">IF(D8="","",D19/D17)</f>
        <v>9.0053284163335093E-2</v>
      </c>
      <c r="E21" s="9">
        <f t="shared" si="2"/>
        <v>0.16565503205287771</v>
      </c>
      <c r="F21" s="9">
        <f t="shared" si="2"/>
        <v>0.22524833950546236</v>
      </c>
      <c r="G21" s="9">
        <f t="shared" si="2"/>
        <v>0.42689551817688037</v>
      </c>
      <c r="H21" s="9">
        <f t="shared" si="2"/>
        <v>7.4049565076433302E-2</v>
      </c>
      <c r="I21" s="9">
        <f t="shared" si="2"/>
        <v>9.7535530343842186E-2</v>
      </c>
      <c r="J21" s="9">
        <f t="shared" si="2"/>
        <v>0.12168676140726876</v>
      </c>
      <c r="K21" s="9">
        <f t="shared" si="2"/>
        <v>0.20521956606008898</v>
      </c>
      <c r="L21" s="9">
        <f t="shared" si="2"/>
        <v>0.15193084541042151</v>
      </c>
      <c r="M21" s="9">
        <f t="shared" si="2"/>
        <v>9.5792385227193258E-2</v>
      </c>
      <c r="N21" s="9">
        <f t="shared" si="2"/>
        <v>9.2464608988279268E-2</v>
      </c>
      <c r="O21" s="9">
        <f t="shared" si="2"/>
        <v>0.2236536854193929</v>
      </c>
      <c r="P21" s="9">
        <f t="shared" si="2"/>
        <v>0.19850108445089509</v>
      </c>
      <c r="Q21" s="48">
        <f t="shared" si="2"/>
        <v>0.21109766380278758</v>
      </c>
    </row>
    <row r="22" spans="1:17" s="3" customFormat="1" ht="57" customHeight="1" x14ac:dyDescent="0.25">
      <c r="B22" s="109" t="s">
        <v>28</v>
      </c>
      <c r="C22" s="9">
        <f>IF(C8="","",C19/C15)</f>
        <v>6.826641164403903E-2</v>
      </c>
      <c r="D22" s="9">
        <f t="shared" ref="D22:Q22" si="3">IF(D8="","",D19/D15)</f>
        <v>8.5042163323939338E-2</v>
      </c>
      <c r="E22" s="9">
        <f t="shared" si="3"/>
        <v>0.12572421760476085</v>
      </c>
      <c r="F22" s="9">
        <f t="shared" si="3"/>
        <v>0.1454573690195462</v>
      </c>
      <c r="G22" s="9">
        <f t="shared" si="3"/>
        <v>0.20570516925305732</v>
      </c>
      <c r="H22" s="9">
        <f t="shared" si="3"/>
        <v>5.3032854193180864E-2</v>
      </c>
      <c r="I22" s="9">
        <f t="shared" si="3"/>
        <v>4.5546530352478083E-2</v>
      </c>
      <c r="J22" s="9">
        <f t="shared" si="3"/>
        <v>9.6617144271569089E-2</v>
      </c>
      <c r="K22" s="9">
        <f>IF(K8="","",K19/K15)</f>
        <v>0.20432608493405077</v>
      </c>
      <c r="L22" s="9">
        <f t="shared" si="3"/>
        <v>0.12675656204908753</v>
      </c>
      <c r="M22" s="9">
        <f t="shared" si="3"/>
        <v>8.7159586417907234E-2</v>
      </c>
      <c r="N22" s="9">
        <f t="shared" si="3"/>
        <v>3.3978311358635625E-2</v>
      </c>
      <c r="O22" s="9">
        <f t="shared" si="3"/>
        <v>0.20846711775170543</v>
      </c>
      <c r="P22" s="9">
        <f t="shared" si="3"/>
        <v>0.18876202630488412</v>
      </c>
      <c r="Q22" s="48">
        <f t="shared" si="3"/>
        <v>0.17338331735056817</v>
      </c>
    </row>
    <row r="23" spans="1:17" s="3" customFormat="1" ht="35.25" customHeight="1" x14ac:dyDescent="0.25">
      <c r="B23" s="10" t="s">
        <v>29</v>
      </c>
      <c r="C23" s="11">
        <f>IF(C8="","",Indicadores_Generales!$D$5)</f>
        <v>800053615</v>
      </c>
      <c r="D23" s="11">
        <f>IF(D8="","",Indicadores_Generales!$D$5)</f>
        <v>800053615</v>
      </c>
      <c r="E23" s="11">
        <f>IF(E8="","",Indicadores_Generales!$D$5)</f>
        <v>800053615</v>
      </c>
      <c r="F23" s="11">
        <f>IF(F8="","",Indicadores_Generales!$D$5)</f>
        <v>800053615</v>
      </c>
      <c r="G23" s="11">
        <f>IF(G8="","",Indicadores_Generales!$D$5)</f>
        <v>800053615</v>
      </c>
      <c r="H23" s="11">
        <f>IF(H8="","",Indicadores_Generales!$D$5)</f>
        <v>800053615</v>
      </c>
      <c r="I23" s="11">
        <f>IF(I8="","",Indicadores_Generales!$D$5)</f>
        <v>800053615</v>
      </c>
      <c r="J23" s="11">
        <f>IF(J8="","",Indicadores_Generales!$D$5)</f>
        <v>800053615</v>
      </c>
      <c r="K23" s="11">
        <f>IF(K8="","",Indicadores_Generales!$D$5)</f>
        <v>800053615</v>
      </c>
      <c r="L23" s="11">
        <f>IF(L8="","",Indicadores_Generales!$D$5)</f>
        <v>800053615</v>
      </c>
      <c r="M23" s="11">
        <f>IF(M8="","",Indicadores_Generales!$D$5)</f>
        <v>800053615</v>
      </c>
      <c r="N23" s="11">
        <f>IF(N8="","",Indicadores_Generales!$D$5)</f>
        <v>800053615</v>
      </c>
      <c r="O23" s="11">
        <f>IF(O8="","",Indicadores_Generales!$D$5)</f>
        <v>800053615</v>
      </c>
      <c r="P23" s="11">
        <f>IF(P8="","",Indicadores_Generales!$D$5)</f>
        <v>800053615</v>
      </c>
      <c r="Q23" s="49">
        <f>IF(Q8="","",Indicadores_Generales!$D$5)</f>
        <v>800053615</v>
      </c>
    </row>
    <row r="24" spans="1:17" s="3" customFormat="1" ht="30" customHeight="1" x14ac:dyDescent="0.25">
      <c r="B24" s="153" t="s">
        <v>30</v>
      </c>
      <c r="C24" s="154"/>
      <c r="D24" s="154"/>
      <c r="E24" s="154"/>
      <c r="F24" s="154"/>
      <c r="G24" s="154"/>
      <c r="H24" s="154"/>
      <c r="I24" s="154"/>
      <c r="J24" s="154"/>
      <c r="K24" s="154"/>
      <c r="L24" s="154"/>
      <c r="M24" s="154"/>
      <c r="N24" s="154"/>
      <c r="O24" s="154"/>
      <c r="P24" s="154"/>
      <c r="Q24" s="155"/>
    </row>
    <row r="25" spans="1:17" s="3" customFormat="1" ht="15.75" x14ac:dyDescent="0.25">
      <c r="A25" s="12"/>
      <c r="B25" s="13" t="s">
        <v>31</v>
      </c>
      <c r="C25" s="14"/>
      <c r="D25" s="14"/>
      <c r="E25" s="14"/>
      <c r="F25" s="14"/>
      <c r="G25" s="14"/>
      <c r="H25" s="14"/>
      <c r="I25" s="14"/>
      <c r="J25" s="14"/>
      <c r="K25" s="14"/>
      <c r="L25" s="14"/>
      <c r="M25" s="14"/>
      <c r="N25" s="14" t="s">
        <v>55</v>
      </c>
      <c r="O25" s="14"/>
      <c r="P25" s="14"/>
      <c r="Q25" s="15"/>
    </row>
    <row r="26" spans="1:17" s="3" customFormat="1" ht="15.75" hidden="1" x14ac:dyDescent="0.25">
      <c r="B26" s="16"/>
      <c r="C26" s="17"/>
      <c r="D26" s="17"/>
      <c r="E26" s="17"/>
      <c r="F26" s="17"/>
      <c r="G26" s="17"/>
      <c r="H26" s="17"/>
      <c r="I26" s="17"/>
      <c r="J26" s="17"/>
      <c r="K26" s="17"/>
      <c r="L26" s="17"/>
      <c r="M26" s="17"/>
      <c r="N26" s="17"/>
      <c r="O26" s="17"/>
      <c r="P26" s="17"/>
      <c r="Q26" s="18"/>
    </row>
    <row r="27" spans="1:17" s="3" customFormat="1" ht="15.75" x14ac:dyDescent="0.25">
      <c r="B27" s="153" t="s">
        <v>30</v>
      </c>
      <c r="C27" s="154"/>
      <c r="D27" s="154"/>
      <c r="E27" s="154"/>
      <c r="F27" s="154"/>
      <c r="G27" s="154"/>
      <c r="H27" s="154"/>
      <c r="I27" s="154"/>
      <c r="J27" s="154"/>
      <c r="K27" s="154"/>
      <c r="L27" s="154"/>
      <c r="M27" s="154"/>
      <c r="N27" s="154"/>
      <c r="O27" s="154"/>
      <c r="P27" s="154"/>
      <c r="Q27" s="155"/>
    </row>
    <row r="28" spans="1:17" s="3" customFormat="1" ht="15.75" x14ac:dyDescent="0.25">
      <c r="B28" s="34" t="str">
        <f>[1]Indicadores_Generales!C9</f>
        <v>Indice de Liquidez: (mín. 1, ) veces.</v>
      </c>
      <c r="C28" s="19" t="str">
        <f>IF(C8="","",IFERROR(IF(C29&gt;=Indicadores_Generales!$D$9,$B$25,$N$25),""))</f>
        <v>HÁBIL</v>
      </c>
      <c r="D28" s="19" t="str">
        <f>IF(D8="","",IFERROR(IF(D29&gt;=Indicadores_Generales!$D$9,$B$25,$N$25),""))</f>
        <v>HÁBIL</v>
      </c>
      <c r="E28" s="19" t="str">
        <f>IF(E8="","",IFERROR(IF(E29&gt;=Indicadores_Generales!$D$9,$B$25,$N$25),""))</f>
        <v>HÁBIL</v>
      </c>
      <c r="F28" s="19" t="str">
        <f>IF(F8="","",IFERROR(IF(F29&gt;=Indicadores_Generales!$D$9,$B$25,$N$25),""))</f>
        <v>HÁBIL</v>
      </c>
      <c r="G28" s="19" t="str">
        <f>IF(G8="","",IFERROR(IF(G29&gt;=Indicadores_Generales!$D$9,$B$25,$N$25),""))</f>
        <v>HÁBIL</v>
      </c>
      <c r="H28" s="19" t="str">
        <f>IF(H8="","",IFERROR(IF(H29&gt;=Indicadores_Generales!$D$9,$B$25,$N$25),""))</f>
        <v>HÁBIL</v>
      </c>
      <c r="I28" s="19" t="str">
        <f>IF(I8="","",IFERROR(IF(I29&gt;=Indicadores_Generales!$D$9,$B$25,$N$25),""))</f>
        <v>HÁBIL</v>
      </c>
      <c r="J28" s="19" t="str">
        <f>IF(J8="","",IFERROR(IF(J29&gt;=Indicadores_Generales!$D$9,$B$25,$N$25),""))</f>
        <v>HÁBIL</v>
      </c>
      <c r="K28" s="19" t="str">
        <f>IF(K8="","",IFERROR(IF(K29&gt;=Indicadores_Generales!$D$9,$B$25,$N$25),""))</f>
        <v>HÁBIL</v>
      </c>
      <c r="L28" s="19" t="str">
        <f>IF(L8="","",IFERROR(IF(L29&gt;=Indicadores_Generales!$D$9,$B$25,$N$25),""))</f>
        <v>HÁBIL</v>
      </c>
      <c r="M28" s="19" t="str">
        <f>IF(M8="","",IFERROR(IF(M29&gt;=Indicadores_Generales!$D$9,$B$25,$N$25),""))</f>
        <v>HÁBIL</v>
      </c>
      <c r="N28" s="19" t="str">
        <f>IF(N8="","",IFERROR(IF(N29&gt;=Indicadores_Generales!$D$9,$B$25,$N$25),""))</f>
        <v>HÁBIL</v>
      </c>
      <c r="O28" s="19" t="str">
        <f>IF(O8="","",IFERROR(IF(O29&gt;=Indicadores_Generales!$D$9,$B$25,$N$25),""))</f>
        <v>HÁBIL</v>
      </c>
      <c r="P28" s="19" t="str">
        <f>IF(P8="","",IFERROR(IF(P29&gt;=Indicadores_Generales!$D$9,$B$25,$N$25),""))</f>
        <v>HÁBIL</v>
      </c>
      <c r="Q28" s="50" t="str">
        <f>IF(Q8="","",IFERROR(IF(Q29&gt;=Indicadores_Generales!$D$9,$B$25,$N$25),""))</f>
        <v>HÁBIL</v>
      </c>
    </row>
    <row r="29" spans="1:17" s="3" customFormat="1" ht="15.75" x14ac:dyDescent="0.25">
      <c r="B29" s="110" t="s">
        <v>32</v>
      </c>
      <c r="C29" s="90">
        <f>IF(C8="","",IFERROR(C13/C14,"Indeterminado"))</f>
        <v>7.7105753837169315</v>
      </c>
      <c r="D29" s="90">
        <f>IF(D8="","",IFERROR(D13/D14,"Indeterminado"))</f>
        <v>10.118999112709272</v>
      </c>
      <c r="E29" s="90">
        <f t="shared" ref="E29:Q29" si="4">IF(E8="","",IFERROR(E13/E14,"Indeterminado"))</f>
        <v>12.680172431982506</v>
      </c>
      <c r="F29" s="90">
        <f t="shared" si="4"/>
        <v>37.765749083589171</v>
      </c>
      <c r="G29" s="90">
        <f t="shared" si="4"/>
        <v>8.838840100535478</v>
      </c>
      <c r="H29" s="90">
        <f t="shared" si="4"/>
        <v>3.5367113095583207</v>
      </c>
      <c r="I29" s="90">
        <f t="shared" si="4"/>
        <v>2.2252183568978223</v>
      </c>
      <c r="J29" s="90">
        <f t="shared" si="4"/>
        <v>6.743610920215767</v>
      </c>
      <c r="K29" s="90">
        <f t="shared" si="4"/>
        <v>224.08911234000229</v>
      </c>
      <c r="L29" s="90">
        <f t="shared" si="4"/>
        <v>4.9739232865943297</v>
      </c>
      <c r="M29" s="90">
        <f t="shared" si="4"/>
        <v>11.070948567613245</v>
      </c>
      <c r="N29" s="90">
        <f t="shared" si="4"/>
        <v>3.2111125391742044</v>
      </c>
      <c r="O29" s="90">
        <f t="shared" si="4"/>
        <v>1021.5736109578088</v>
      </c>
      <c r="P29" s="90">
        <f t="shared" si="4"/>
        <v>159.54786882766618</v>
      </c>
      <c r="Q29" s="91">
        <f t="shared" si="4"/>
        <v>93.482687045631749</v>
      </c>
    </row>
    <row r="30" spans="1:17" s="3" customFormat="1" ht="17.25" customHeight="1" x14ac:dyDescent="0.25">
      <c r="B30" s="34" t="str">
        <f>[1]Indicadores_Generales!C10</f>
        <v>Endeudamiento total: (máx. 70,%).</v>
      </c>
      <c r="C30" s="19" t="str">
        <f>IF(C8="","",IFERROR(IF(C31&lt;=Indicadores_Generales!$D$10,$B$25,$N$25),""))</f>
        <v>HÁBIL</v>
      </c>
      <c r="D30" s="19" t="str">
        <f>IF(D8="","",IFERROR(IF(D31&lt;=Indicadores_Generales!$D$10,$B$25,$N$25),""))</f>
        <v>HÁBIL</v>
      </c>
      <c r="E30" s="19" t="str">
        <f>IF(E8="","",IFERROR(IF(E31&lt;=Indicadores_Generales!$D$10,$B$25,$N$25),""))</f>
        <v>HÁBIL</v>
      </c>
      <c r="F30" s="19" t="str">
        <f>IF(F8="","",IFERROR(IF(F31&lt;=Indicadores_Generales!$D$10,$B$25,$N$25),""))</f>
        <v>HÁBIL</v>
      </c>
      <c r="G30" s="19" t="str">
        <f>IF(G8="","",IFERROR(IF(G31&lt;=Indicadores_Generales!$D$10,$B$25,$N$25),""))</f>
        <v>HÁBIL</v>
      </c>
      <c r="H30" s="19" t="str">
        <f>IF(H8="","",IFERROR(IF(H31&lt;=Indicadores_Generales!$D$10,$B$25,$N$25),""))</f>
        <v>HÁBIL</v>
      </c>
      <c r="I30" s="19" t="str">
        <f>IF(I8="","",IFERROR(IF(I31&lt;=Indicadores_Generales!$D$10,$B$25,$N$25),""))</f>
        <v>HÁBIL</v>
      </c>
      <c r="J30" s="19" t="str">
        <f>IF(J8="","",IFERROR(IF(J31&lt;=Indicadores_Generales!$D$10,$B$25,$N$25),""))</f>
        <v>HÁBIL</v>
      </c>
      <c r="K30" s="19" t="str">
        <f>IF(K8="","",IFERROR(IF(K31&lt;=Indicadores_Generales!$D$10,$B$25,$N$25),""))</f>
        <v>HÁBIL</v>
      </c>
      <c r="L30" s="19" t="str">
        <f>IF(L8="","",IFERROR(IF(L31&lt;=Indicadores_Generales!$D$10,$B$25,$N$25),""))</f>
        <v>HÁBIL</v>
      </c>
      <c r="M30" s="19" t="str">
        <f>IF(M8="","",IFERROR(IF(M31&lt;=Indicadores_Generales!$D$10,$B$25,$N$25),""))</f>
        <v>HÁBIL</v>
      </c>
      <c r="N30" s="19" t="str">
        <f>IF(N8="","",IFERROR(IF(N31&lt;=Indicadores_Generales!$D$10,$B$25,$N$25),""))</f>
        <v>HÁBIL</v>
      </c>
      <c r="O30" s="19" t="str">
        <f>IF(O8="","",IFERROR(IF(O31&lt;=Indicadores_Generales!$D$10,$B$25,$N$25),""))</f>
        <v>HÁBIL</v>
      </c>
      <c r="P30" s="19" t="str">
        <f>IF(P8="","",IFERROR(IF(P31&lt;=Indicadores_Generales!$D$10,$B$25,$N$25),""))</f>
        <v>HÁBIL</v>
      </c>
      <c r="Q30" s="50" t="str">
        <f>IF(Q8="","",IFERROR(IF(Q31&lt;=Indicadores_Generales!$D$10,$B$25,$N$25),""))</f>
        <v>HÁBIL</v>
      </c>
    </row>
    <row r="31" spans="1:17" s="3" customFormat="1" ht="15.75" x14ac:dyDescent="0.25">
      <c r="B31" s="110" t="s">
        <v>33</v>
      </c>
      <c r="C31" s="92">
        <f>IF(C8="","",C16/C15)</f>
        <v>0.12643097818849186</v>
      </c>
      <c r="D31" s="92">
        <f t="shared" ref="D31:Q31" si="5">IF(D8="","",D16/D15)</f>
        <v>5.564617532778466E-2</v>
      </c>
      <c r="E31" s="92">
        <f t="shared" si="5"/>
        <v>0.24104800172296739</v>
      </c>
      <c r="F31" s="92">
        <f t="shared" si="5"/>
        <v>0.35423555468199658</v>
      </c>
      <c r="G31" s="92">
        <f t="shared" si="5"/>
        <v>0.51813696678861554</v>
      </c>
      <c r="H31" s="92">
        <f t="shared" si="5"/>
        <v>0.28381950470011774</v>
      </c>
      <c r="I31" s="92">
        <f t="shared" si="5"/>
        <v>0.53302627061222907</v>
      </c>
      <c r="J31" s="92">
        <f t="shared" si="5"/>
        <v>0.20601762135648524</v>
      </c>
      <c r="K31" s="92">
        <f t="shared" si="5"/>
        <v>4.3537813825051978E-3</v>
      </c>
      <c r="L31" s="92">
        <f t="shared" si="5"/>
        <v>0.16569567090427831</v>
      </c>
      <c r="M31" s="92">
        <f t="shared" si="5"/>
        <v>9.0119885717548365E-2</v>
      </c>
      <c r="N31" s="92">
        <f t="shared" si="5"/>
        <v>0.63252630676302668</v>
      </c>
      <c r="O31" s="92">
        <f t="shared" si="5"/>
        <v>6.7902157030007404E-2</v>
      </c>
      <c r="P31" s="92">
        <f t="shared" si="5"/>
        <v>4.9062997176825072E-2</v>
      </c>
      <c r="Q31" s="93">
        <f t="shared" si="5"/>
        <v>0.17865828438278236</v>
      </c>
    </row>
    <row r="32" spans="1:17" s="3" customFormat="1" ht="33.75" customHeight="1" x14ac:dyDescent="0.25">
      <c r="B32" s="34" t="str">
        <f>[1]Indicadores_Generales!C11</f>
        <v>Razon de Cobertura de Intereses (&gt;= a 1, veces) ó Indeterminado.</v>
      </c>
      <c r="C32" s="19" t="str">
        <f>IF(C8="","",IFERROR(IF(C33&gt;Indicadores_Generales!$D$11,$B$25,$N$25),""))</f>
        <v>HÁBIL</v>
      </c>
      <c r="D32" s="19" t="str">
        <f>IF(D8="","",IFERROR(IF(D33&gt;Indicadores_Generales!$D$11,$B$25,$N$25),""))</f>
        <v>HÁBIL</v>
      </c>
      <c r="E32" s="19" t="str">
        <f>IF(E8="","",IFERROR(IF(E33&gt;Indicadores_Generales!$D$11,$B$25,$N$25),""))</f>
        <v>HÁBIL</v>
      </c>
      <c r="F32" s="19" t="str">
        <f>IF(F8="","",IFERROR(IF(F33&gt;Indicadores_Generales!$D$11,$B$25,$N$25),""))</f>
        <v>HÁBIL</v>
      </c>
      <c r="G32" s="19" t="str">
        <f>IF(G8="","",IFERROR(IF(G33&gt;Indicadores_Generales!$D$11,$B$25,$N$25),""))</f>
        <v>HÁBIL</v>
      </c>
      <c r="H32" s="19" t="str">
        <f>IF(H8="","",IFERROR(IF(H33&gt;Indicadores_Generales!$D$11,$B$25,$N$25),""))</f>
        <v>HÁBIL</v>
      </c>
      <c r="I32" s="19" t="str">
        <f>IF(I8="","",IFERROR(IF(I33&gt;Indicadores_Generales!$D$11,$B$25,$N$25),""))</f>
        <v>HÁBIL</v>
      </c>
      <c r="J32" s="19" t="str">
        <f>IF(J8="","",IFERROR(IF(J33&gt;Indicadores_Generales!$D$11,$B$25,$N$25),""))</f>
        <v>HÁBIL</v>
      </c>
      <c r="K32" s="19" t="str">
        <f>IF(K8="","",IFERROR(IF(K33&gt;Indicadores_Generales!$D$11,$B$25,$N$25),""))</f>
        <v>HÁBIL</v>
      </c>
      <c r="L32" s="19" t="str">
        <f>IF(L8="","",IFERROR(IF(L33&gt;Indicadores_Generales!$D$11,$B$25,$N$25),""))</f>
        <v>HÁBIL</v>
      </c>
      <c r="M32" s="19" t="str">
        <f>IF(M8="","",IFERROR(IF(M33&gt;Indicadores_Generales!$D$11,$B$25,$N$25),""))</f>
        <v>HÁBIL</v>
      </c>
      <c r="N32" s="19" t="str">
        <f>IF(N8="","",IFERROR(IF(N33&gt;Indicadores_Generales!$D$11,$B$25,$N$25),""))</f>
        <v>HÁBIL</v>
      </c>
      <c r="O32" s="19" t="str">
        <f>IF(O8="","",IFERROR(IF(O33&gt;Indicadores_Generales!$D$11,$B$25,$N$25),""))</f>
        <v>HÁBIL</v>
      </c>
      <c r="P32" s="19" t="str">
        <f>IF(P8="","",IFERROR(IF(P33&gt;Indicadores_Generales!$D$11,$B$25,$N$25),""))</f>
        <v>HÁBIL</v>
      </c>
      <c r="Q32" s="50" t="str">
        <f>IF(Q8="","",IFERROR(IF(Q33&gt;Indicadores_Generales!$D$11,$B$25,$N$25),""))</f>
        <v>HÁBIL</v>
      </c>
    </row>
    <row r="33" spans="2:17" s="3" customFormat="1" ht="31.5" x14ac:dyDescent="0.25">
      <c r="B33" s="110" t="s">
        <v>34</v>
      </c>
      <c r="C33" s="94" t="str">
        <f t="shared" ref="C33:D33" si="6">IF(C8="","",IFERROR(C19/C20,"Indeterminado"))</f>
        <v>Indeterminado</v>
      </c>
      <c r="D33" s="94" t="str">
        <f t="shared" si="6"/>
        <v>Indeterminado</v>
      </c>
      <c r="E33" s="94">
        <f>IF(E8="","",IFERROR(E19/E20,"Indeterminado"))</f>
        <v>187.65130478394951</v>
      </c>
      <c r="F33" s="94">
        <f t="shared" ref="F33:Q33" si="7">IF(F8="","",IFERROR(F19/F20,"Indeterminado"))</f>
        <v>51.378960066196889</v>
      </c>
      <c r="G33" s="94">
        <f t="shared" si="7"/>
        <v>35.035240233981042</v>
      </c>
      <c r="H33" s="94">
        <f t="shared" si="7"/>
        <v>32.159734506137696</v>
      </c>
      <c r="I33" s="94">
        <f t="shared" si="7"/>
        <v>26.281695997321243</v>
      </c>
      <c r="J33" s="94">
        <f t="shared" si="7"/>
        <v>16.658172524531707</v>
      </c>
      <c r="K33" s="94" t="str">
        <f t="shared" si="7"/>
        <v>Indeterminado</v>
      </c>
      <c r="L33" s="94">
        <f t="shared" si="7"/>
        <v>252.09286152143298</v>
      </c>
      <c r="M33" s="94">
        <f t="shared" si="7"/>
        <v>392.00384735807836</v>
      </c>
      <c r="N33" s="94">
        <f t="shared" si="7"/>
        <v>12.571624795292248</v>
      </c>
      <c r="O33" s="94" t="str">
        <f t="shared" si="7"/>
        <v>Indeterminado</v>
      </c>
      <c r="P33" s="94">
        <f t="shared" si="7"/>
        <v>110.41475362330927</v>
      </c>
      <c r="Q33" s="95">
        <f t="shared" si="7"/>
        <v>823.50487790811917</v>
      </c>
    </row>
    <row r="34" spans="2:17" s="3" customFormat="1" ht="31.5" x14ac:dyDescent="0.25">
      <c r="B34" s="34" t="str">
        <f>[1]Indicadores_Generales!C12</f>
        <v>Capital de Trabajo ≥  A 37,5% del PPTO Oficial.</v>
      </c>
      <c r="C34" s="19" t="str">
        <f>IFERROR(IF(C35&gt;(C23*Indicadores_Generales!$D$12),$B$25,$N$25),"")</f>
        <v>HÁBIL</v>
      </c>
      <c r="D34" s="19" t="str">
        <f>IFERROR(IF(D35&gt;(D23*Indicadores_Generales!$D$12),$B$25,$N$25),"")</f>
        <v>HÁBIL</v>
      </c>
      <c r="E34" s="19" t="str">
        <f>IFERROR(IF(E35&gt;(E23*Indicadores_Generales!$D$12),$B$25,$N$25),"")</f>
        <v>HÁBIL</v>
      </c>
      <c r="F34" s="19" t="str">
        <f>IFERROR(IF(F35&gt;(F23*Indicadores_Generales!$D$12),$B$25,$N$25),"")</f>
        <v>HÁBIL</v>
      </c>
      <c r="G34" s="19" t="str">
        <f>IFERROR(IF(G35&gt;(G23*Indicadores_Generales!$D$12),$B$25,$N$25),"")</f>
        <v>HÁBIL</v>
      </c>
      <c r="H34" s="19" t="str">
        <f>IFERROR(IF(H35&gt;(H23*Indicadores_Generales!$D$12),$B$25,$N$25),"")</f>
        <v>HÁBIL</v>
      </c>
      <c r="I34" s="19" t="str">
        <f>IFERROR(IF(I35&gt;(I23*Indicadores_Generales!$D$12),$B$25,$N$25),"")</f>
        <v>HÁBIL</v>
      </c>
      <c r="J34" s="19" t="str">
        <f>IFERROR(IF(J35&gt;(J23*Indicadores_Generales!$D$12),$B$25,$N$25),"")</f>
        <v>HÁBIL</v>
      </c>
      <c r="K34" s="19" t="str">
        <f>IFERROR(IF(K35&gt;(K23*Indicadores_Generales!$D$12),$B$25,$N$25),"")</f>
        <v>HÁBIL</v>
      </c>
      <c r="L34" s="19" t="str">
        <f>IFERROR(IF(L35&gt;(L23*Indicadores_Generales!$D$12),$B$25,$N$25),"")</f>
        <v>HÁBIL</v>
      </c>
      <c r="M34" s="19" t="str">
        <f>IFERROR(IF(M35&gt;(M23*Indicadores_Generales!$D$12),$B$25,$N$25),"")</f>
        <v>HÁBIL</v>
      </c>
      <c r="N34" s="19" t="str">
        <f>IFERROR(IF(N35&gt;(N23*Indicadores_Generales!$D$12),$B$25,$N$25),"")</f>
        <v>HÁBIL</v>
      </c>
      <c r="O34" s="19" t="str">
        <f>IFERROR(IF(O35&gt;(O23*Indicadores_Generales!$D$12),$B$25,$N$25),"")</f>
        <v>HÁBIL</v>
      </c>
      <c r="P34" s="19" t="str">
        <f>IFERROR(IF(P35&gt;(P23*Indicadores_Generales!$D$12),$B$25,$N$25),"")</f>
        <v>HÁBIL</v>
      </c>
      <c r="Q34" s="50" t="str">
        <f>IFERROR(IF(Q35&gt;(Q23*Indicadores_Generales!$D$12),$B$25,$N$25),"")</f>
        <v>HÁBIL</v>
      </c>
    </row>
    <row r="35" spans="2:17" s="21" customFormat="1" ht="34.5" customHeight="1" x14ac:dyDescent="0.25">
      <c r="B35" s="20" t="str">
        <f>"CT = Activo Corriente - Pasivo Corriente ≥ $ "&amp;FIXED([1]Indicadores_Generales!D5*[1]Indicadores_Generales!D12,0,FALSE)</f>
        <v>CT = Activo Corriente - Pasivo Corriente ≥ $ 243.596.639</v>
      </c>
      <c r="C35" s="105">
        <f>IF(C8="","",SUMIFS(Indicadores_Generales!$T:$T,Indicadores_Generales!$B:$B,C9))</f>
        <v>2633050984</v>
      </c>
      <c r="D35" s="105">
        <f>IF(D8="","",SUMIFS(Indicadores_Generales!$T:$T,Indicadores_Generales!$B:$B,D9))</f>
        <v>3124315000</v>
      </c>
      <c r="E35" s="105">
        <f>IF(E8="","",SUMIFS(Indicadores_Generales!$T:$T,Indicadores_Generales!$B:$B,E9))</f>
        <v>3517551437</v>
      </c>
      <c r="F35" s="105">
        <f>IF(F8="","",SUMIFS(Indicadores_Generales!$T:$T,Indicadores_Generales!$B:$B,F9))</f>
        <v>2953912896</v>
      </c>
      <c r="G35" s="105">
        <f>IF(G8="","",SUMIFS(Indicadores_Generales!$T:$T,Indicadores_Generales!$B:$B,G9))</f>
        <v>6159649992</v>
      </c>
      <c r="H35" s="105">
        <f>IF(H8="","",SUMIFS(Indicadores_Generales!$T:$T,Indicadores_Generales!$B:$B,H9))</f>
        <v>6381260912</v>
      </c>
      <c r="I35" s="105">
        <f>IF(I8="","",SUMIFS(Indicadores_Generales!$T:$T,Indicadores_Generales!$B:$B,I9))</f>
        <v>3210078563</v>
      </c>
      <c r="J35" s="105">
        <f>IF(J8="","",SUMIFS(Indicadores_Generales!$T:$T,Indicadores_Generales!$B:$B,J9))</f>
        <v>4074194554</v>
      </c>
      <c r="K35" s="105">
        <f>IF(K8="","",SUMIFS(Indicadores_Generales!$T:$T,Indicadores_Generales!$B:$B,K9))</f>
        <v>2204866663</v>
      </c>
      <c r="L35" s="94">
        <f>IF(L8="","",SUMIFS(Indicadores_Generales!$T:$T,Indicadores_Generales!$B:$B,L9))</f>
        <v>1549155372</v>
      </c>
      <c r="M35" s="94">
        <f>IF(M8="","",SUMIFS(Indicadores_Generales!$T:$T,Indicadores_Generales!$B:$B,M9))</f>
        <v>1897933657</v>
      </c>
      <c r="N35" s="94">
        <f>IF(N8="","",SUMIFS(Indicadores_Generales!$T:$T,Indicadores_Generales!$B:$B,N9))</f>
        <v>2829643617</v>
      </c>
      <c r="O35" s="94">
        <f>IF(O8="","",SUMIFS(Indicadores_Generales!$T:$T,Indicadores_Generales!$B:$B,O9))</f>
        <v>1137281571</v>
      </c>
      <c r="P35" s="94">
        <f>IF(P8="","",SUMIFS(Indicadores_Generales!$T:$T,Indicadores_Generales!$B:$B,P9))</f>
        <v>1694692000</v>
      </c>
      <c r="Q35" s="95">
        <f>IF(Q8="","",SUMIFS(Indicadores_Generales!$T:$T,Indicadores_Generales!$B:$B,Q9))</f>
        <v>6743367607</v>
      </c>
    </row>
    <row r="36" spans="2:17" s="3" customFormat="1" ht="15.75" x14ac:dyDescent="0.25">
      <c r="B36" s="153" t="s">
        <v>35</v>
      </c>
      <c r="C36" s="154"/>
      <c r="D36" s="154"/>
      <c r="E36" s="154"/>
      <c r="F36" s="154"/>
      <c r="G36" s="154"/>
      <c r="H36" s="154"/>
      <c r="I36" s="154"/>
      <c r="J36" s="154"/>
      <c r="K36" s="154"/>
      <c r="L36" s="154"/>
      <c r="M36" s="154"/>
      <c r="N36" s="154"/>
      <c r="O36" s="154"/>
      <c r="P36" s="154"/>
      <c r="Q36" s="155"/>
    </row>
    <row r="37" spans="2:17" s="3" customFormat="1" ht="15.75" hidden="1" x14ac:dyDescent="0.25">
      <c r="B37" s="22"/>
      <c r="C37" s="5"/>
      <c r="D37" s="5"/>
      <c r="E37" s="5"/>
      <c r="F37" s="5"/>
      <c r="G37" s="5"/>
      <c r="H37" s="5"/>
      <c r="I37" s="5"/>
      <c r="J37" s="5"/>
      <c r="K37" s="5"/>
      <c r="L37" s="5"/>
      <c r="M37" s="5"/>
      <c r="N37" s="5"/>
      <c r="O37" s="5"/>
      <c r="P37" s="5"/>
      <c r="Q37" s="6"/>
    </row>
    <row r="38" spans="2:17" s="3" customFormat="1" ht="32.25" customHeight="1" x14ac:dyDescent="0.25">
      <c r="B38" s="34" t="str">
        <f>[1]Indicadores_Generales!C13</f>
        <v>Indicador  Rentabilidad del Patrimonio RP =&gt; AL 0%</v>
      </c>
      <c r="C38" s="19" t="str">
        <f>IF(C8="","",IFERROR(IF(C39&gt;=Indicadores_Generales!$D$13,$B$25,$N$25),""))</f>
        <v>HÁBIL</v>
      </c>
      <c r="D38" s="19" t="str">
        <f>IF(D8="","",IFERROR(IF(D39&gt;=Indicadores_Generales!$D$13,$B$25,$N$25),""))</f>
        <v>HÁBIL</v>
      </c>
      <c r="E38" s="19" t="str">
        <f>IF(E8="","",IFERROR(IF(E39&gt;=Indicadores_Generales!$D$13,$B$25,$N$25),""))</f>
        <v>HÁBIL</v>
      </c>
      <c r="F38" s="19" t="str">
        <f>IF(F8="","",IFERROR(IF(F39&gt;=Indicadores_Generales!$D$13,$B$25,$N$25),""))</f>
        <v>HÁBIL</v>
      </c>
      <c r="G38" s="19" t="str">
        <f>IF(G8="","",IFERROR(IF(G39&gt;=Indicadores_Generales!$D$13,$B$25,$N$25),""))</f>
        <v>HÁBIL</v>
      </c>
      <c r="H38" s="19" t="str">
        <f>IF(H8="","",IFERROR(IF(H39&gt;=Indicadores_Generales!$D$13,$B$25,$N$25),""))</f>
        <v>HÁBIL</v>
      </c>
      <c r="I38" s="19" t="str">
        <f>IF(I8="","",IFERROR(IF(I39&gt;=Indicadores_Generales!$D$13,$B$25,$N$25),""))</f>
        <v>HÁBIL</v>
      </c>
      <c r="J38" s="19" t="str">
        <f>IF(J8="","",IFERROR(IF(J39&gt;=Indicadores_Generales!$D$13,$B$25,$N$25),""))</f>
        <v>HÁBIL</v>
      </c>
      <c r="K38" s="19" t="str">
        <f>IF(K8="","",IFERROR(IF(K39&gt;=Indicadores_Generales!$D$13,$B$25,$N$25),""))</f>
        <v>HÁBIL</v>
      </c>
      <c r="L38" s="19" t="str">
        <f>IF(L8="","",IFERROR(IF(L39&gt;=Indicadores_Generales!$D$13,$B$25,$N$25),""))</f>
        <v>HÁBIL</v>
      </c>
      <c r="M38" s="19" t="str">
        <f>IF(M8="","",IFERROR(IF(M39&gt;=Indicadores_Generales!$D$13,$B$25,$N$25),""))</f>
        <v>HÁBIL</v>
      </c>
      <c r="N38" s="19" t="str">
        <f>IF(N8="","",IFERROR(IF(N39&gt;=Indicadores_Generales!$D$13,$B$25,$N$25),""))</f>
        <v>HÁBIL</v>
      </c>
      <c r="O38" s="19" t="str">
        <f>IF(O8="","",IFERROR(IF(O39&gt;=Indicadores_Generales!$D$13,$B$25,$N$25),""))</f>
        <v>HÁBIL</v>
      </c>
      <c r="P38" s="19" t="str">
        <f>IF(P8="","",IFERROR(IF(P39&gt;=Indicadores_Generales!$D$13,$B$25,$N$25),""))</f>
        <v>HÁBIL</v>
      </c>
      <c r="Q38" s="50" t="str">
        <f>IF(Q8="","",IFERROR(IF(Q39&gt;=Indicadores_Generales!$D$13,$B$25,$N$25),""))</f>
        <v>HÁBIL</v>
      </c>
    </row>
    <row r="39" spans="2:17" s="3" customFormat="1" ht="49.5" customHeight="1" x14ac:dyDescent="0.25">
      <c r="B39" s="110" t="s">
        <v>36</v>
      </c>
      <c r="C39" s="92">
        <f>IF(C8="","",C19/C17)</f>
        <v>7.8146557329237587E-2</v>
      </c>
      <c r="D39" s="92">
        <f t="shared" ref="D39:Q39" si="8">IF(D8="","",D19/D17)</f>
        <v>9.0053284163335093E-2</v>
      </c>
      <c r="E39" s="92">
        <f t="shared" si="8"/>
        <v>0.16565503205287771</v>
      </c>
      <c r="F39" s="92">
        <f t="shared" si="8"/>
        <v>0.22524833950546236</v>
      </c>
      <c r="G39" s="92">
        <f t="shared" si="8"/>
        <v>0.42689551817688037</v>
      </c>
      <c r="H39" s="92">
        <f t="shared" si="8"/>
        <v>7.4049565076433302E-2</v>
      </c>
      <c r="I39" s="92">
        <f t="shared" si="8"/>
        <v>9.7535530343842186E-2</v>
      </c>
      <c r="J39" s="92">
        <f t="shared" si="8"/>
        <v>0.12168676140726876</v>
      </c>
      <c r="K39" s="92">
        <f t="shared" si="8"/>
        <v>0.20521956606008898</v>
      </c>
      <c r="L39" s="92">
        <f t="shared" si="8"/>
        <v>0.15193084541042151</v>
      </c>
      <c r="M39" s="92">
        <f t="shared" si="8"/>
        <v>9.5792385227193258E-2</v>
      </c>
      <c r="N39" s="92">
        <f t="shared" si="8"/>
        <v>9.2464608988279268E-2</v>
      </c>
      <c r="O39" s="92">
        <f t="shared" si="8"/>
        <v>0.2236536854193929</v>
      </c>
      <c r="P39" s="92">
        <f t="shared" si="8"/>
        <v>0.19850108445089509</v>
      </c>
      <c r="Q39" s="93">
        <f t="shared" si="8"/>
        <v>0.21109766380278758</v>
      </c>
    </row>
    <row r="40" spans="2:17" s="3" customFormat="1" ht="31.5" x14ac:dyDescent="0.25">
      <c r="B40" s="34" t="str">
        <f>[1]Indicadores_Generales!C14</f>
        <v>Indicador  Rentabilidad del Activo RAct =&gt; AL 0%</v>
      </c>
      <c r="C40" s="19" t="str">
        <f>IF(C8="","",IFERROR(IF(C41&gt;=Indicadores_Generales!$D$14,$B$25,$N$25),""))</f>
        <v>HÁBIL</v>
      </c>
      <c r="D40" s="19" t="str">
        <f>IF(D8="","",IFERROR(IF(D41&gt;=Indicadores_Generales!$D$14,$B$25,$N$25),""))</f>
        <v>HÁBIL</v>
      </c>
      <c r="E40" s="19" t="str">
        <f>IF(E8="","",IFERROR(IF(E41&gt;=Indicadores_Generales!$D$14,$B$25,$N$25),""))</f>
        <v>HÁBIL</v>
      </c>
      <c r="F40" s="19" t="str">
        <f>IF(F8="","",IFERROR(IF(F41&gt;=Indicadores_Generales!$D$14,$B$25,$N$25),""))</f>
        <v>HÁBIL</v>
      </c>
      <c r="G40" s="19" t="str">
        <f>IF(G8="","",IFERROR(IF(G41&gt;=Indicadores_Generales!$D$14,$B$25,$N$25),""))</f>
        <v>HÁBIL</v>
      </c>
      <c r="H40" s="19" t="str">
        <f>IF(H8="","",IFERROR(IF(H41&gt;=Indicadores_Generales!$D$14,$B$25,$N$25),""))</f>
        <v>HÁBIL</v>
      </c>
      <c r="I40" s="19" t="str">
        <f>IF(I8="","",IFERROR(IF(I41&gt;=Indicadores_Generales!$D$14,$B$25,$N$25),""))</f>
        <v>HÁBIL</v>
      </c>
      <c r="J40" s="19" t="str">
        <f>IF(J8="","",IFERROR(IF(J41&gt;=Indicadores_Generales!$D$14,$B$25,$N$25),""))</f>
        <v>HÁBIL</v>
      </c>
      <c r="K40" s="19" t="str">
        <f>IF(K8="","",IFERROR(IF(K41&gt;=Indicadores_Generales!$D$14,$B$25,$N$25),""))</f>
        <v>HÁBIL</v>
      </c>
      <c r="L40" s="19" t="str">
        <f>IF(L8="","",IFERROR(IF(L41&gt;=Indicadores_Generales!$D$14,$B$25,$N$25),""))</f>
        <v>HÁBIL</v>
      </c>
      <c r="M40" s="19" t="str">
        <f>IF(M8="","",IFERROR(IF(M41&gt;=Indicadores_Generales!$D$14,$B$25,$N$25),""))</f>
        <v>HÁBIL</v>
      </c>
      <c r="N40" s="19" t="str">
        <f>IF(N8="","",IFERROR(IF(N41&gt;=Indicadores_Generales!$D$14,$B$25,$N$25),""))</f>
        <v>HÁBIL</v>
      </c>
      <c r="O40" s="19" t="str">
        <f>IF(O8="","",IFERROR(IF(O41&gt;=Indicadores_Generales!$D$14,$B$25,$N$25),""))</f>
        <v>HÁBIL</v>
      </c>
      <c r="P40" s="19" t="str">
        <f>IF(P8="","",IFERROR(IF(P41&gt;=Indicadores_Generales!$D$14,$B$25,$N$25),""))</f>
        <v>HÁBIL</v>
      </c>
      <c r="Q40" s="50" t="str">
        <f>IF(Q8="","",IFERROR(IF(Q41&gt;=Indicadores_Generales!$D$14,$B$25,$N$25),""))</f>
        <v>HÁBIL</v>
      </c>
    </row>
    <row r="41" spans="2:17" s="3" customFormat="1" ht="15.75" x14ac:dyDescent="0.25">
      <c r="B41" s="110" t="s">
        <v>37</v>
      </c>
      <c r="C41" s="92">
        <f>IF(C8="","",C19/C15)</f>
        <v>6.826641164403903E-2</v>
      </c>
      <c r="D41" s="92">
        <f t="shared" ref="D41:Q41" si="9">IF(D8="","",D19/D15)</f>
        <v>8.5042163323939338E-2</v>
      </c>
      <c r="E41" s="92">
        <f t="shared" si="9"/>
        <v>0.12572421760476085</v>
      </c>
      <c r="F41" s="92">
        <f t="shared" si="9"/>
        <v>0.1454573690195462</v>
      </c>
      <c r="G41" s="92">
        <f t="shared" si="9"/>
        <v>0.20570516925305732</v>
      </c>
      <c r="H41" s="92">
        <f t="shared" si="9"/>
        <v>5.3032854193180864E-2</v>
      </c>
      <c r="I41" s="92">
        <f t="shared" si="9"/>
        <v>4.5546530352478083E-2</v>
      </c>
      <c r="J41" s="92">
        <f t="shared" si="9"/>
        <v>9.6617144271569089E-2</v>
      </c>
      <c r="K41" s="92">
        <f t="shared" si="9"/>
        <v>0.20432608493405077</v>
      </c>
      <c r="L41" s="92">
        <f t="shared" si="9"/>
        <v>0.12675656204908753</v>
      </c>
      <c r="M41" s="92">
        <f t="shared" si="9"/>
        <v>8.7159586417907234E-2</v>
      </c>
      <c r="N41" s="92">
        <f t="shared" si="9"/>
        <v>3.3978311358635625E-2</v>
      </c>
      <c r="O41" s="92">
        <f t="shared" si="9"/>
        <v>0.20846711775170543</v>
      </c>
      <c r="P41" s="92">
        <f t="shared" si="9"/>
        <v>0.18876202630488412</v>
      </c>
      <c r="Q41" s="93">
        <f t="shared" si="9"/>
        <v>0.17338331735056817</v>
      </c>
    </row>
    <row r="42" spans="2:17" s="3" customFormat="1" ht="31.5" x14ac:dyDescent="0.25">
      <c r="B42" s="109" t="s">
        <v>38</v>
      </c>
      <c r="C42" s="23" t="str">
        <f>IF(C8="","",IF(COUNTIF(C28:C41,"NO HÁBIL")&gt;=1,"NO HABILITADO","HABILITADO"))</f>
        <v>HABILITADO</v>
      </c>
      <c r="D42" s="23" t="str">
        <f>IF(D8="","",IF(COUNTIF(D28:D41,"NO HÁBIL")&gt;=1,"NO HABILITADO","HABILITADO"))</f>
        <v>HABILITADO</v>
      </c>
      <c r="E42" s="23" t="str">
        <f t="shared" ref="E42:Q42" si="10">IF(E8="","",IF(COUNTIF(E28:E41,"NO HÁBIL")&gt;=1,"NO HABILITADO","HABILITADO"))</f>
        <v>HABILITADO</v>
      </c>
      <c r="F42" s="23" t="str">
        <f t="shared" si="10"/>
        <v>HABILITADO</v>
      </c>
      <c r="G42" s="23" t="str">
        <f>IF(G8="","",IF(COUNTIF(G28:G41,"NO HÁBIL")&gt;=1,"NO HABILITADO","HABILITADO"))</f>
        <v>HABILITADO</v>
      </c>
      <c r="H42" s="23" t="str">
        <f>IF(H8="","",IF(COUNTIF(H28:H41,"NO HÁBIL")&gt;=1,"NO HABILITADO","HABILITADO"))</f>
        <v>HABILITADO</v>
      </c>
      <c r="I42" s="23" t="str">
        <f t="shared" si="10"/>
        <v>HABILITADO</v>
      </c>
      <c r="J42" s="23" t="str">
        <f t="shared" si="10"/>
        <v>HABILITADO</v>
      </c>
      <c r="K42" s="23" t="str">
        <f t="shared" si="10"/>
        <v>HABILITADO</v>
      </c>
      <c r="L42" s="23" t="str">
        <f t="shared" si="10"/>
        <v>HABILITADO</v>
      </c>
      <c r="M42" s="23" t="str">
        <f t="shared" si="10"/>
        <v>HABILITADO</v>
      </c>
      <c r="N42" s="23" t="str">
        <f t="shared" si="10"/>
        <v>HABILITADO</v>
      </c>
      <c r="O42" s="23" t="str">
        <f t="shared" si="10"/>
        <v>HABILITADO</v>
      </c>
      <c r="P42" s="23" t="str">
        <f t="shared" si="10"/>
        <v>HABILITADO</v>
      </c>
      <c r="Q42" s="51" t="str">
        <f t="shared" si="10"/>
        <v>HABILITADO</v>
      </c>
    </row>
    <row r="43" spans="2:17" s="3" customFormat="1" ht="15.75" hidden="1" x14ac:dyDescent="0.25">
      <c r="B43" s="22"/>
      <c r="C43" s="5"/>
      <c r="D43" s="5"/>
      <c r="E43" s="5"/>
      <c r="F43" s="5"/>
      <c r="G43" s="5"/>
      <c r="H43" s="5"/>
      <c r="I43" s="5"/>
      <c r="J43" s="5"/>
      <c r="K43" s="5"/>
      <c r="L43" s="5"/>
      <c r="M43" s="5"/>
      <c r="N43" s="5"/>
      <c r="O43" s="5"/>
      <c r="P43" s="5"/>
      <c r="Q43" s="6"/>
    </row>
    <row r="44" spans="2:17" s="3" customFormat="1" ht="15.75" customHeight="1" x14ac:dyDescent="0.25">
      <c r="B44" s="175" t="s">
        <v>39</v>
      </c>
      <c r="C44" s="176"/>
      <c r="D44" s="176"/>
      <c r="E44" s="176"/>
      <c r="F44" s="176"/>
      <c r="G44" s="176"/>
      <c r="H44" s="176"/>
      <c r="I44" s="176"/>
      <c r="J44" s="176"/>
      <c r="K44" s="176"/>
      <c r="L44" s="176"/>
      <c r="M44" s="176"/>
      <c r="N44" s="176"/>
      <c r="O44" s="176"/>
      <c r="P44" s="176"/>
      <c r="Q44" s="177"/>
    </row>
    <row r="45" spans="2:17" s="3" customFormat="1" ht="36.75" customHeight="1" x14ac:dyDescent="0.25">
      <c r="B45" s="175"/>
      <c r="C45" s="176"/>
      <c r="D45" s="176"/>
      <c r="E45" s="176"/>
      <c r="F45" s="176"/>
      <c r="G45" s="176"/>
      <c r="H45" s="176"/>
      <c r="I45" s="176"/>
      <c r="J45" s="176"/>
      <c r="K45" s="176"/>
      <c r="L45" s="176"/>
      <c r="M45" s="176"/>
      <c r="N45" s="176"/>
      <c r="O45" s="176"/>
      <c r="P45" s="176"/>
      <c r="Q45" s="177"/>
    </row>
    <row r="46" spans="2:17" s="3" customFormat="1" ht="15.75" x14ac:dyDescent="0.25">
      <c r="B46" s="24"/>
      <c r="C46" s="114"/>
      <c r="D46" s="114"/>
      <c r="E46" s="114"/>
      <c r="F46" s="114"/>
      <c r="G46" s="114"/>
      <c r="H46" s="114"/>
      <c r="I46" s="114"/>
      <c r="J46" s="114"/>
      <c r="K46" s="114"/>
      <c r="L46" s="114"/>
      <c r="M46" s="114"/>
      <c r="N46" s="114"/>
      <c r="O46" s="114"/>
      <c r="P46" s="114"/>
      <c r="Q46" s="25"/>
    </row>
    <row r="47" spans="2:17" s="3" customFormat="1" ht="15.75" x14ac:dyDescent="0.25">
      <c r="B47" s="24"/>
      <c r="C47" s="114"/>
      <c r="D47" s="114"/>
      <c r="E47" s="114"/>
      <c r="F47" s="114"/>
      <c r="G47" s="114"/>
      <c r="H47" s="114"/>
      <c r="I47" s="114"/>
      <c r="J47" s="114"/>
      <c r="K47" s="114"/>
      <c r="L47" s="114"/>
      <c r="M47" s="114"/>
      <c r="N47" s="114"/>
      <c r="O47" s="114"/>
      <c r="P47" s="114"/>
      <c r="Q47" s="25"/>
    </row>
    <row r="48" spans="2:17" s="3" customFormat="1" ht="15.75" x14ac:dyDescent="0.25">
      <c r="B48" s="26"/>
      <c r="C48" s="115"/>
      <c r="D48" s="115"/>
      <c r="E48" s="115"/>
      <c r="F48" s="115"/>
      <c r="G48" s="115"/>
      <c r="H48" s="115"/>
      <c r="I48" s="115"/>
      <c r="J48" s="115"/>
      <c r="K48" s="115"/>
      <c r="L48" s="115"/>
      <c r="M48" s="115"/>
      <c r="N48" s="114"/>
      <c r="O48" s="114"/>
      <c r="P48" s="114"/>
      <c r="Q48" s="25"/>
    </row>
    <row r="49" spans="1:17" s="3" customFormat="1" ht="22.5" customHeight="1" x14ac:dyDescent="0.25">
      <c r="A49" s="27"/>
      <c r="B49" s="24"/>
      <c r="C49" s="114"/>
      <c r="D49" s="114"/>
      <c r="E49" s="114"/>
      <c r="F49" s="114"/>
      <c r="G49" s="114"/>
      <c r="H49" s="114"/>
      <c r="I49" s="114"/>
      <c r="J49" s="114"/>
      <c r="K49" s="114"/>
      <c r="L49" s="114"/>
      <c r="M49" s="114"/>
      <c r="N49" s="114"/>
      <c r="O49" s="114"/>
      <c r="P49" s="114"/>
      <c r="Q49" s="25"/>
    </row>
    <row r="50" spans="1:17" s="3" customFormat="1" ht="22.5" customHeight="1" x14ac:dyDescent="0.25">
      <c r="A50" s="27"/>
      <c r="B50" s="28"/>
      <c r="C50" s="116"/>
      <c r="D50" s="117"/>
      <c r="E50" s="117"/>
      <c r="F50" s="117"/>
      <c r="G50" s="115"/>
      <c r="H50" s="192"/>
      <c r="I50" s="192"/>
      <c r="J50" s="115"/>
      <c r="K50" s="117"/>
      <c r="L50" s="192"/>
      <c r="M50" s="192"/>
      <c r="N50" s="115"/>
      <c r="O50" s="192"/>
      <c r="P50" s="192"/>
      <c r="Q50" s="179"/>
    </row>
    <row r="51" spans="1:17" ht="23.25" customHeight="1" x14ac:dyDescent="0.25">
      <c r="A51" s="29"/>
      <c r="B51" s="30" t="s">
        <v>40</v>
      </c>
      <c r="C51" s="118"/>
      <c r="D51" s="191" t="s">
        <v>40</v>
      </c>
      <c r="E51" s="191"/>
      <c r="F51" s="119"/>
      <c r="G51" s="120"/>
      <c r="H51" s="191" t="s">
        <v>40</v>
      </c>
      <c r="I51" s="191"/>
      <c r="J51" s="119"/>
      <c r="K51" s="119"/>
      <c r="L51" s="191" t="s">
        <v>41</v>
      </c>
      <c r="M51" s="191"/>
      <c r="N51" s="120"/>
      <c r="O51" s="191" t="s">
        <v>42</v>
      </c>
      <c r="P51" s="191"/>
      <c r="Q51" s="181"/>
    </row>
    <row r="52" spans="1:17" ht="21" customHeight="1" x14ac:dyDescent="0.25">
      <c r="A52" s="29"/>
      <c r="B52" s="31"/>
      <c r="C52" s="121"/>
      <c r="D52" s="121"/>
      <c r="E52" s="121"/>
      <c r="F52" s="121"/>
      <c r="G52" s="121"/>
      <c r="H52" s="121"/>
      <c r="I52" s="121"/>
      <c r="J52" s="121"/>
      <c r="K52" s="121"/>
      <c r="L52" s="121"/>
      <c r="M52" s="121"/>
      <c r="N52" s="121"/>
      <c r="O52" s="122"/>
      <c r="P52" s="122"/>
      <c r="Q52" s="32"/>
    </row>
    <row r="53" spans="1:17" s="3" customFormat="1" ht="22.5" customHeight="1" x14ac:dyDescent="0.25">
      <c r="A53" s="27"/>
      <c r="B53" s="182" t="str">
        <f>"NOTA: La fecha de corte de la información financiera registrada en el RUP debe ser de acuerdo a lo establecido en el pliego definitivo de condiciones del proceso "&amp;[1]Indicadores_Generales!D4&amp;"."</f>
        <v>NOTA: La fecha de corte de la información financiera registrada en el RUP debe ser de acuerdo a lo establecido en el pliego definitivo de condiciones del proceso FDLBOSACM-003-2022 (71936).</v>
      </c>
      <c r="C53" s="183"/>
      <c r="D53" s="183"/>
      <c r="E53" s="183"/>
      <c r="F53" s="183"/>
      <c r="G53" s="183"/>
      <c r="H53" s="183"/>
      <c r="I53" s="183"/>
      <c r="J53" s="183"/>
      <c r="K53" s="183"/>
      <c r="L53" s="183"/>
      <c r="M53" s="183"/>
      <c r="N53" s="183"/>
      <c r="O53" s="183"/>
      <c r="P53" s="183"/>
      <c r="Q53" s="184"/>
    </row>
    <row r="54" spans="1:17" s="3" customFormat="1" ht="22.5" customHeight="1" thickBot="1" x14ac:dyDescent="0.3">
      <c r="A54" s="27"/>
      <c r="B54" s="185"/>
      <c r="C54" s="186"/>
      <c r="D54" s="186"/>
      <c r="E54" s="186"/>
      <c r="F54" s="186"/>
      <c r="G54" s="186"/>
      <c r="H54" s="186"/>
      <c r="I54" s="186"/>
      <c r="J54" s="186"/>
      <c r="K54" s="186"/>
      <c r="L54" s="186"/>
      <c r="M54" s="186"/>
      <c r="N54" s="186"/>
      <c r="O54" s="186"/>
      <c r="P54" s="186"/>
      <c r="Q54" s="187"/>
    </row>
  </sheetData>
  <mergeCells count="17">
    <mergeCell ref="B24:Q24"/>
    <mergeCell ref="B1:B5"/>
    <mergeCell ref="C1:P5"/>
    <mergeCell ref="Q1:Q5"/>
    <mergeCell ref="B6:Q6"/>
    <mergeCell ref="B7:Q7"/>
    <mergeCell ref="B27:Q27"/>
    <mergeCell ref="B36:Q36"/>
    <mergeCell ref="B44:Q45"/>
    <mergeCell ref="H50:I50"/>
    <mergeCell ref="L50:M50"/>
    <mergeCell ref="O50:Q50"/>
    <mergeCell ref="D51:E51"/>
    <mergeCell ref="H51:I51"/>
    <mergeCell ref="L51:M51"/>
    <mergeCell ref="O51:Q51"/>
    <mergeCell ref="B53:Q54"/>
  </mergeCells>
  <conditionalFormatting sqref="C12:Q12">
    <cfRule type="cellIs" dxfId="44" priority="16" operator="equal">
      <formula>0</formula>
    </cfRule>
  </conditionalFormatting>
  <conditionalFormatting sqref="C34:Q34">
    <cfRule type="cellIs" dxfId="43" priority="14" operator="equal">
      <formula>"Hábil"</formula>
    </cfRule>
    <cfRule type="cellIs" dxfId="42" priority="15" operator="equal">
      <formula>"No Hábil"</formula>
    </cfRule>
  </conditionalFormatting>
  <conditionalFormatting sqref="C32:Q32">
    <cfRule type="cellIs" dxfId="41" priority="12" operator="equal">
      <formula>"Hábil"</formula>
    </cfRule>
    <cfRule type="cellIs" dxfId="40" priority="13" operator="equal">
      <formula>"No Hábil"</formula>
    </cfRule>
  </conditionalFormatting>
  <conditionalFormatting sqref="C30:Q30">
    <cfRule type="cellIs" dxfId="39" priority="10" operator="equal">
      <formula>"Hábil"</formula>
    </cfRule>
    <cfRule type="cellIs" dxfId="38" priority="11" operator="equal">
      <formula>"No Hábil"</formula>
    </cfRule>
  </conditionalFormatting>
  <conditionalFormatting sqref="C28:Q28">
    <cfRule type="cellIs" dxfId="37" priority="8" operator="equal">
      <formula>"Hábil"</formula>
    </cfRule>
    <cfRule type="cellIs" dxfId="36" priority="9" operator="equal">
      <formula>"No Hábil"</formula>
    </cfRule>
  </conditionalFormatting>
  <conditionalFormatting sqref="C42:Q42">
    <cfRule type="cellIs" dxfId="35" priority="6" operator="equal">
      <formula>"No Habilitado"</formula>
    </cfRule>
    <cfRule type="cellIs" dxfId="34" priority="7" operator="equal">
      <formula>"Habilitado"</formula>
    </cfRule>
  </conditionalFormatting>
  <conditionalFormatting sqref="C40:Q40">
    <cfRule type="cellIs" dxfId="33" priority="4" operator="equal">
      <formula>"Hábil"</formula>
    </cfRule>
    <cfRule type="cellIs" dxfId="32" priority="5" operator="equal">
      <formula>"No Hábil"</formula>
    </cfRule>
  </conditionalFormatting>
  <conditionalFormatting sqref="C38:Q38">
    <cfRule type="cellIs" dxfId="31" priority="2" operator="equal">
      <formula>"Hábil"</formula>
    </cfRule>
    <cfRule type="cellIs" dxfId="30" priority="3" operator="equal">
      <formula>"No Hábil"</formula>
    </cfRule>
  </conditionalFormatting>
  <printOptions horizontalCentered="1" verticalCentered="1"/>
  <pageMargins left="0.19685039370078741" right="0.19685039370078741" top="0.15748031496062992" bottom="0.15748031496062992" header="0.31496062992125984" footer="0.31496062992125984"/>
  <pageSetup paperSize="256" scale="4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D47D7D-8CDF-4664-B07E-819BC85072A1}">
  <sheetPr>
    <pageSetUpPr fitToPage="1"/>
  </sheetPr>
  <dimension ref="A1:Q54"/>
  <sheetViews>
    <sheetView showGridLines="0" topLeftCell="A29" zoomScale="60" zoomScaleNormal="60" zoomScalePageLayoutView="90" workbookViewId="0">
      <selection activeCell="F67" sqref="F67"/>
    </sheetView>
  </sheetViews>
  <sheetFormatPr baseColWidth="10" defaultColWidth="18.7109375" defaultRowHeight="15" x14ac:dyDescent="0.25"/>
  <cols>
    <col min="1" max="1" width="1.42578125" style="1" customWidth="1"/>
    <col min="2" max="2" width="44.85546875" style="1" customWidth="1"/>
    <col min="3" max="17" width="25.28515625" style="1" customWidth="1"/>
    <col min="18" max="16384" width="18.7109375" style="1"/>
  </cols>
  <sheetData>
    <row r="1" spans="1:17" x14ac:dyDescent="0.25">
      <c r="B1" s="156"/>
      <c r="C1" s="158" t="s">
        <v>18</v>
      </c>
      <c r="D1" s="159"/>
      <c r="E1" s="159"/>
      <c r="F1" s="159"/>
      <c r="G1" s="159"/>
      <c r="H1" s="159"/>
      <c r="I1" s="159"/>
      <c r="J1" s="159"/>
      <c r="K1" s="159"/>
      <c r="L1" s="159"/>
      <c r="M1" s="159"/>
      <c r="N1" s="159"/>
      <c r="O1" s="159"/>
      <c r="P1" s="160"/>
      <c r="Q1" s="167" t="s">
        <v>19</v>
      </c>
    </row>
    <row r="2" spans="1:17" x14ac:dyDescent="0.25">
      <c r="B2" s="157"/>
      <c r="C2" s="161"/>
      <c r="D2" s="193"/>
      <c r="E2" s="193"/>
      <c r="F2" s="193"/>
      <c r="G2" s="193"/>
      <c r="H2" s="193"/>
      <c r="I2" s="193"/>
      <c r="J2" s="193"/>
      <c r="K2" s="193"/>
      <c r="L2" s="193"/>
      <c r="M2" s="193"/>
      <c r="N2" s="193"/>
      <c r="O2" s="193"/>
      <c r="P2" s="163"/>
      <c r="Q2" s="168"/>
    </row>
    <row r="3" spans="1:17" ht="16.5" customHeight="1" x14ac:dyDescent="0.25">
      <c r="B3" s="157"/>
      <c r="C3" s="161"/>
      <c r="D3" s="193"/>
      <c r="E3" s="193"/>
      <c r="F3" s="193"/>
      <c r="G3" s="193"/>
      <c r="H3" s="193"/>
      <c r="I3" s="193"/>
      <c r="J3" s="193"/>
      <c r="K3" s="193"/>
      <c r="L3" s="193"/>
      <c r="M3" s="193"/>
      <c r="N3" s="193"/>
      <c r="O3" s="193"/>
      <c r="P3" s="163"/>
      <c r="Q3" s="168"/>
    </row>
    <row r="4" spans="1:17" x14ac:dyDescent="0.25">
      <c r="B4" s="157"/>
      <c r="C4" s="161"/>
      <c r="D4" s="193"/>
      <c r="E4" s="193"/>
      <c r="F4" s="193"/>
      <c r="G4" s="193"/>
      <c r="H4" s="193"/>
      <c r="I4" s="193"/>
      <c r="J4" s="193"/>
      <c r="K4" s="193"/>
      <c r="L4" s="193"/>
      <c r="M4" s="193"/>
      <c r="N4" s="193"/>
      <c r="O4" s="193"/>
      <c r="P4" s="163"/>
      <c r="Q4" s="168"/>
    </row>
    <row r="5" spans="1:17" ht="23.25" customHeight="1" x14ac:dyDescent="0.25">
      <c r="B5" s="157"/>
      <c r="C5" s="164"/>
      <c r="D5" s="165"/>
      <c r="E5" s="165"/>
      <c r="F5" s="165"/>
      <c r="G5" s="165"/>
      <c r="H5" s="165"/>
      <c r="I5" s="165"/>
      <c r="J5" s="165"/>
      <c r="K5" s="165"/>
      <c r="L5" s="165"/>
      <c r="M5" s="165"/>
      <c r="N5" s="165"/>
      <c r="O5" s="165"/>
      <c r="P5" s="166"/>
      <c r="Q5" s="168"/>
    </row>
    <row r="6" spans="1:17" ht="26.25" customHeight="1" x14ac:dyDescent="0.25">
      <c r="B6" s="188" t="str">
        <f>"PROCESO DE SELECCIÓN "&amp;Indicadores_Generales!D4</f>
        <v>PROCESO DE SELECCIÓN  FDLBOSACM-004-2022(71937)</v>
      </c>
      <c r="C6" s="189"/>
      <c r="D6" s="189"/>
      <c r="E6" s="189"/>
      <c r="F6" s="189"/>
      <c r="G6" s="189"/>
      <c r="H6" s="189"/>
      <c r="I6" s="189"/>
      <c r="J6" s="189"/>
      <c r="K6" s="189"/>
      <c r="L6" s="189"/>
      <c r="M6" s="189"/>
      <c r="N6" s="189"/>
      <c r="O6" s="189"/>
      <c r="P6" s="189"/>
      <c r="Q6" s="190"/>
    </row>
    <row r="7" spans="1:17" ht="42" customHeight="1" x14ac:dyDescent="0.25">
      <c r="B7" s="172" t="str">
        <f>"OBJETO: "&amp;UPPER(Indicadores_Generales!D6)</f>
        <v>OBJETO: REALIZAR LA INTERVENTORÍA
TÉCNICA, ADMINISTRATIVA, FINANCIERA, JURÍDICA, SOCIAL, AMBIENTAL Y
SST AL CONTRATO DE OBRA PÚBLICA QUE TENDRÁ POR OBJETO
CONTRACTUAL EJECUTAR POR EL SISTEMA DE PRECIOS UNITARIOS FIJOS SIN
FORMULA DE REAJUSTE Y A MONTO AGOTABLE LAS ACTIVIDADES
NECESARIAS PARA LA EJECUCIÓN DE LAS OBRAS DE CONSTRUCCIÓN DE
MALLA VIAL Y ESPACIO PUBLICO ASOCIADO DE LA LOCALIDAD DE BOSA, DE
ACUERDO CON LA DESCRIPCIÓN, ESPECIFICACIONES, ESTUDIOS, DISEÑOS Y
DEMÁS CONDICIONES ESTABLECIDAS EN EL ANEXO TÉCNICO</v>
      </c>
      <c r="C7" s="173"/>
      <c r="D7" s="173"/>
      <c r="E7" s="173"/>
      <c r="F7" s="173"/>
      <c r="G7" s="173"/>
      <c r="H7" s="173"/>
      <c r="I7" s="173"/>
      <c r="J7" s="173"/>
      <c r="K7" s="173"/>
      <c r="L7" s="173"/>
      <c r="M7" s="173"/>
      <c r="N7" s="173"/>
      <c r="O7" s="173"/>
      <c r="P7" s="173"/>
      <c r="Q7" s="174"/>
    </row>
    <row r="8" spans="1:17" ht="51" customHeight="1" x14ac:dyDescent="0.25">
      <c r="B8" s="127" t="s">
        <v>20</v>
      </c>
      <c r="C8" s="35" t="str">
        <f>IFERROR(IF(VLOOKUP(C9,Indicadores_Generales!$B$17:$AG$200,5,0)=0,"",VLOOKUP(C9,Indicadores_Generales!$B$17:$AG$200,5,0)),"")</f>
        <v>CONSORCIO ING VIAL</v>
      </c>
      <c r="D8" s="35" t="str">
        <f>IFERROR(IF(VLOOKUP(D9,Indicadores_Generales!$B$17:$AG$200,5,0)=0,"",VLOOKUP(D9,Indicadores_Generales!$B$17:$AG$200,5,0)),"")</f>
        <v>CONSORCIO INTERVENTORES</v>
      </c>
      <c r="E8" s="35" t="str">
        <f>IFERROR(IF(VLOOKUP(E9,Indicadores_Generales!$B$17:$AG$200,5,0)=0,"",VLOOKUP(E9,Indicadores_Generales!$B$17:$AG$200,5,0)),"")</f>
        <v>INGECON SAS</v>
      </c>
      <c r="F8" s="35" t="str">
        <f>IFERROR(IF(VLOOKUP(F9,Indicadores_Generales!$B$17:$AG$200,5,0)=0,"",VLOOKUP(F9,Indicadores_Generales!$B$17:$AG$200,5,0)),"")</f>
        <v xml:space="preserve">	INTERVENTORIA Y CONSTRUCIVILES SAS</v>
      </c>
      <c r="G8" s="35" t="str">
        <f>IFERROR(IF(VLOOKUP(G9,Indicadores_Generales!$B$17:$AG$200,5,0)=0,"",VLOOKUP(G9,Indicadores_Generales!$B$17:$AG$200,5,0)),"")</f>
        <v>CONSORCIO INTERVIAS BOSA -22</v>
      </c>
      <c r="H8" s="35" t="str">
        <f>IFERROR(IF(VLOOKUP(H9,Indicadores_Generales!$B$17:$AG$200,5,0)=0,"",VLOOKUP(H9,Indicadores_Generales!$B$17:$AG$200,5,0)),"")</f>
        <v>AYMCO SAS</v>
      </c>
      <c r="I8" s="35" t="str">
        <f>IFERROR(IF(VLOOKUP(I9,Indicadores_Generales!$B$17:$AG$200,5,0)=0,"",VLOOKUP(I9,Indicadores_Generales!$B$17:$AG$200,5,0)),"")</f>
        <v>CONSORCIO NLA 2022</v>
      </c>
      <c r="J8" s="35" t="str">
        <f>IFERROR(IF(VLOOKUP(J9,Indicadores_Generales!$B$17:$AG$200,5,0)=0,"",VLOOKUP(J9,Indicadores_Generales!$B$17:$AG$200,5,0)),"")</f>
        <v>CONSORCIO URBANO</v>
      </c>
      <c r="K8" s="35" t="str">
        <f>IFERROR(IF(VLOOKUP(K9,Indicadores_Generales!$B$17:$AG$200,5,0)=0,"",VLOOKUP(K9,Indicadores_Generales!$B$17:$AG$200,5,0)),"")</f>
        <v>CONSORCIO INTERVIAL AB 004</v>
      </c>
      <c r="L8" s="35" t="str">
        <f>IFERROR(IF(VLOOKUP(L9,Indicadores_Generales!$B$17:$AG$200,5,0)=0,"",VLOOKUP(L9,Indicadores_Generales!$B$17:$AG$200,5,0)),"")</f>
        <v>CONSORCIO MALLA VIAL BOSA 22</v>
      </c>
      <c r="M8" s="35" t="str">
        <f>IFERROR(IF(VLOOKUP(M9,Indicadores_Generales!$B$17:$AG$200,5,0)=0,"",VLOOKUP(M9,Indicadores_Generales!$B$17:$AG$200,5,0)),"")</f>
        <v xml:space="preserve">	TERRA I.C. SAS</v>
      </c>
      <c r="N8" s="35" t="str">
        <f>IFERROR(IF(VLOOKUP(N9,Indicadores_Generales!$B$17:$AG$200,5,0)=0,"",VLOOKUP(N9,Indicadores_Generales!$B$17:$AG$200,5,0)),"")</f>
        <v xml:space="preserve">	CONSORCIO INTERVENTORIA BOSA</v>
      </c>
      <c r="O8" s="35" t="str">
        <f>IFERROR(IF(VLOOKUP(O9,Indicadores_Generales!$B$17:$AG$200,5,0)=0,"",VLOOKUP(O9,Indicadores_Generales!$B$17:$AG$200,5,0)),"")</f>
        <v xml:space="preserve">	CONSORCIO VIAS URBANAS PCC</v>
      </c>
      <c r="P8" s="35" t="str">
        <f>IFERROR(IF(VLOOKUP(P9,Indicadores_Generales!$B$17:$AG$200,5,0)=0,"",VLOOKUP(P9,Indicadores_Generales!$B$17:$AG$200,5,0)),"")</f>
        <v>CONSORCIO CONEXION VIAL BOSA</v>
      </c>
      <c r="Q8" s="43" t="str">
        <f>IFERROR(IF(VLOOKUP(Q9,Indicadores_Generales!$B$17:$AG$200,5,0)=0,"",VLOOKUP(Q9,Indicadores_Generales!$B$17:$AG$200,5,0)),"")</f>
        <v>CONSORCIO INT. GQQI</v>
      </c>
    </row>
    <row r="9" spans="1:17" s="3" customFormat="1" ht="24" customHeight="1" x14ac:dyDescent="0.25">
      <c r="A9" s="2"/>
      <c r="B9" s="130" t="s">
        <v>2</v>
      </c>
      <c r="C9" s="36">
        <v>76</v>
      </c>
      <c r="D9" s="36">
        <v>77</v>
      </c>
      <c r="E9" s="36">
        <v>78</v>
      </c>
      <c r="F9" s="36">
        <v>79</v>
      </c>
      <c r="G9" s="36">
        <v>80</v>
      </c>
      <c r="H9" s="36">
        <v>81</v>
      </c>
      <c r="I9" s="36">
        <v>82</v>
      </c>
      <c r="J9" s="36">
        <v>83</v>
      </c>
      <c r="K9" s="36">
        <v>84</v>
      </c>
      <c r="L9" s="36">
        <v>85</v>
      </c>
      <c r="M9" s="36">
        <v>86</v>
      </c>
      <c r="N9" s="36">
        <v>87</v>
      </c>
      <c r="O9" s="36">
        <v>88</v>
      </c>
      <c r="P9" s="36">
        <v>89</v>
      </c>
      <c r="Q9" s="36">
        <v>90</v>
      </c>
    </row>
    <row r="10" spans="1:17" s="3" customFormat="1" ht="31.5" x14ac:dyDescent="0.25">
      <c r="B10" s="130" t="s">
        <v>48</v>
      </c>
      <c r="C10" s="4">
        <f>IF(C8="","",IFERROR(IF(VLOOKUP(C9,Indicadores_Generales!$B$17:$AG$200,4,0)=0,"",DATE(VLOOKUP(C9,Indicadores_Generales!$B$17:$AG$200,4,0),12,31)),""))</f>
        <v>44561</v>
      </c>
      <c r="D10" s="4">
        <f>IF(D8="","",IFERROR(IF(VLOOKUP(D9,Indicadores_Generales!$B$17:$AG$200,4,0)=0,"",DATE(VLOOKUP(D9,Indicadores_Generales!$B$17:$AG$200,4,0),12,31)),""))</f>
        <v>44561</v>
      </c>
      <c r="E10" s="4">
        <f>IF(E8="","",IFERROR(IF(VLOOKUP(E9,Indicadores_Generales!$B$17:$AG$200,4,0)=0,"",DATE(VLOOKUP(E9,Indicadores_Generales!$B$17:$AG$200,4,0),12,31)),""))</f>
        <v>44196</v>
      </c>
      <c r="F10" s="4">
        <f>IF(F8="","",IFERROR(IF(VLOOKUP(F9,Indicadores_Generales!$B$17:$AG$200,4,0)=0,"",DATE(VLOOKUP(F9,Indicadores_Generales!$B$17:$AG$200,4,0),12,31)),""))</f>
        <v>44561</v>
      </c>
      <c r="G10" s="4">
        <f>IF(G8="","",IFERROR(IF(VLOOKUP(G9,Indicadores_Generales!$B$17:$AG$200,4,0)=0,"",DATE(VLOOKUP(G9,Indicadores_Generales!$B$17:$AG$200,4,0),12,31)),""))</f>
        <v>44561</v>
      </c>
      <c r="H10" s="4">
        <f>IF(H8="","",IFERROR(IF(VLOOKUP(H9,Indicadores_Generales!$B$17:$AG$200,4,0)=0,"",DATE(VLOOKUP(H9,Indicadores_Generales!$B$17:$AG$200,4,0),12,31)),""))</f>
        <v>44561</v>
      </c>
      <c r="I10" s="4">
        <f>IF(I8="","",IFERROR(IF(VLOOKUP(I9,Indicadores_Generales!$B$17:$AG$200,4,0)=0,"",DATE(VLOOKUP(I9,Indicadores_Generales!$B$17:$AG$200,4,0),12,31)),""))</f>
        <v>44561</v>
      </c>
      <c r="J10" s="4">
        <f>IF(J8="","",IFERROR(IF(VLOOKUP(J9,Indicadores_Generales!$B$17:$AG$200,4,0)=0,"",DATE(VLOOKUP(J9,Indicadores_Generales!$B$17:$AG$200,4,0),12,31)),""))</f>
        <v>44561</v>
      </c>
      <c r="K10" s="4">
        <f>IF(K8="","",IFERROR(IF(VLOOKUP(K9,Indicadores_Generales!$B$17:$AG$200,4,0)=0,"",DATE(VLOOKUP(K9,Indicadores_Generales!$B$17:$AG$200,4,0),12,31)),""))</f>
        <v>44561</v>
      </c>
      <c r="L10" s="4">
        <f>IF(L8="","",IFERROR(IF(VLOOKUP(L9,Indicadores_Generales!$B$17:$AG$200,4,0)=0,"",DATE(VLOOKUP(L9,Indicadores_Generales!$B$17:$AG$200,4,0),12,31)),""))</f>
        <v>44561</v>
      </c>
      <c r="M10" s="4">
        <f>IF(M8="","",IFERROR(IF(VLOOKUP(M9,Indicadores_Generales!$B$17:$AG$200,4,0)=0,"",DATE(VLOOKUP(M9,Indicadores_Generales!$B$17:$AG$200,4,0),12,31)),""))</f>
        <v>44561</v>
      </c>
      <c r="N10" s="4">
        <f>IF(N8="","",IFERROR(IF(VLOOKUP(N9,Indicadores_Generales!$B$17:$AG$200,4,0)=0,"",DATE(VLOOKUP(N9,Indicadores_Generales!$B$17:$AG$200,4,0),12,31)),""))</f>
        <v>44561</v>
      </c>
      <c r="O10" s="4">
        <f>IF(O8="","",IFERROR(IF(VLOOKUP(O9,Indicadores_Generales!$B$17:$AG$200,4,0)=0,"",DATE(VLOOKUP(O9,Indicadores_Generales!$B$17:$AG$200,4,0),12,31)),""))</f>
        <v>44561</v>
      </c>
      <c r="P10" s="4">
        <f>IF(P8="","",IFERROR(IF(VLOOKUP(P9,Indicadores_Generales!$B$17:$AG$200,4,0)=0,"",DATE(VLOOKUP(P9,Indicadores_Generales!$B$17:$AG$200,4,0),12,31)),""))</f>
        <v>44561</v>
      </c>
      <c r="Q10" s="45">
        <f>IF(Q8="","",IFERROR(IF(VLOOKUP(Q9,Indicadores_Generales!$B$17:$AG$200,4,0)=0,"",DATE(VLOOKUP(Q9,Indicadores_Generales!$B$17:$AG$200,4,0),12,31)),""))</f>
        <v>44196</v>
      </c>
    </row>
    <row r="11" spans="1:17" s="3" customFormat="1" ht="24" customHeight="1" x14ac:dyDescent="0.25">
      <c r="B11" s="130" t="s">
        <v>21</v>
      </c>
      <c r="C11" s="128" t="str">
        <f>IF(C8="","",IF(C10="","","VIGENTE"))</f>
        <v>VIGENTE</v>
      </c>
      <c r="D11" s="128" t="str">
        <f t="shared" ref="D11:Q11" si="0">IF(D8="","",IF(D10="","","VIGENTE"))</f>
        <v>VIGENTE</v>
      </c>
      <c r="E11" s="128" t="str">
        <f t="shared" si="0"/>
        <v>VIGENTE</v>
      </c>
      <c r="F11" s="128" t="str">
        <f t="shared" si="0"/>
        <v>VIGENTE</v>
      </c>
      <c r="G11" s="128" t="str">
        <f t="shared" si="0"/>
        <v>VIGENTE</v>
      </c>
      <c r="H11" s="128" t="str">
        <f t="shared" si="0"/>
        <v>VIGENTE</v>
      </c>
      <c r="I11" s="128" t="str">
        <f t="shared" si="0"/>
        <v>VIGENTE</v>
      </c>
      <c r="J11" s="128" t="str">
        <f t="shared" si="0"/>
        <v>VIGENTE</v>
      </c>
      <c r="K11" s="128" t="str">
        <f t="shared" si="0"/>
        <v>VIGENTE</v>
      </c>
      <c r="L11" s="128" t="str">
        <f t="shared" si="0"/>
        <v>VIGENTE</v>
      </c>
      <c r="M11" s="128" t="str">
        <f t="shared" si="0"/>
        <v>VIGENTE</v>
      </c>
      <c r="N11" s="128" t="str">
        <f t="shared" si="0"/>
        <v>VIGENTE</v>
      </c>
      <c r="O11" s="128" t="str">
        <f t="shared" si="0"/>
        <v>VIGENTE</v>
      </c>
      <c r="P11" s="128" t="str">
        <f t="shared" si="0"/>
        <v>VIGENTE</v>
      </c>
      <c r="Q11" s="129" t="str">
        <f t="shared" si="0"/>
        <v>VIGENTE</v>
      </c>
    </row>
    <row r="12" spans="1:17" s="3" customFormat="1" ht="31.5" x14ac:dyDescent="0.25">
      <c r="B12" s="130" t="s">
        <v>22</v>
      </c>
      <c r="C12" s="7">
        <f>IF(C8="","",SUMIFS(Indicadores_Generales!$G:$G,Indicadores_Generales!$B:$B,C9))</f>
        <v>1</v>
      </c>
      <c r="D12" s="7">
        <f>IF(D8="","",SUMIFS(Indicadores_Generales!$G:$G,Indicadores_Generales!$B:$B,D9))</f>
        <v>1</v>
      </c>
      <c r="E12" s="7">
        <f>IF(E8="","",SUMIFS(Indicadores_Generales!$G:$G,Indicadores_Generales!$B:$B,E9))</f>
        <v>1</v>
      </c>
      <c r="F12" s="7">
        <f>IF(F8="","",SUMIFS(Indicadores_Generales!$G:$G,Indicadores_Generales!$B:$B,F9))</f>
        <v>1</v>
      </c>
      <c r="G12" s="7">
        <f>IF(G8="","",SUMIFS(Indicadores_Generales!$G:$G,Indicadores_Generales!$B:$B,G9))</f>
        <v>1</v>
      </c>
      <c r="H12" s="7">
        <f>IF(H8="","",SUMIFS(Indicadores_Generales!$G:$G,Indicadores_Generales!$B:$B,H9))</f>
        <v>1</v>
      </c>
      <c r="I12" s="7">
        <f>IF(I8="","",SUMIFS(Indicadores_Generales!$G:$G,Indicadores_Generales!$B:$B,I9))</f>
        <v>1</v>
      </c>
      <c r="J12" s="7">
        <f>IF(J8="","",SUMIFS(Indicadores_Generales!$G:$G,Indicadores_Generales!$B:$B,J9))</f>
        <v>1</v>
      </c>
      <c r="K12" s="7">
        <f>IF(K8="","",SUMIFS(Indicadores_Generales!$G:$G,Indicadores_Generales!$B:$B,K9))</f>
        <v>1</v>
      </c>
      <c r="L12" s="7">
        <f>IF(L8="","",SUMIFS(Indicadores_Generales!$G:$G,Indicadores_Generales!$B:$B,L9))</f>
        <v>1</v>
      </c>
      <c r="M12" s="7">
        <f>IF(M8="","",SUMIFS(Indicadores_Generales!$G:$G,Indicadores_Generales!$B:$B,M9))</f>
        <v>1</v>
      </c>
      <c r="N12" s="7">
        <f>IF(N8="","",SUMIFS(Indicadores_Generales!$G:$G,Indicadores_Generales!$B:$B,N9))</f>
        <v>1</v>
      </c>
      <c r="O12" s="7">
        <f>IF(O8="","",SUMIFS(Indicadores_Generales!$G:$G,Indicadores_Generales!$B:$B,O9))</f>
        <v>1</v>
      </c>
      <c r="P12" s="7">
        <f>IF(P8="","",SUMIFS(Indicadores_Generales!$G:$G,Indicadores_Generales!$B:$B,P9))</f>
        <v>1</v>
      </c>
      <c r="Q12" s="46">
        <f>IF(Q8="","",SUMIFS(Indicadores_Generales!$G:$G,Indicadores_Generales!$B:$B,Q9))</f>
        <v>1</v>
      </c>
    </row>
    <row r="13" spans="1:17" s="3" customFormat="1" ht="26.25" customHeight="1" x14ac:dyDescent="0.25">
      <c r="B13" s="130" t="s">
        <v>4</v>
      </c>
      <c r="C13" s="8">
        <f>IF(C8="","",SUMIFS(Indicadores_Generales!$U:$U,Indicadores_Generales!$B:$B,C9))</f>
        <v>3766665114.8999996</v>
      </c>
      <c r="D13" s="8">
        <f>IF(D8="","",SUMIFS(Indicadores_Generales!$U:$U,Indicadores_Generales!$B:$B,D9))</f>
        <v>1256272008.5</v>
      </c>
      <c r="E13" s="8">
        <f>IF(E8="","",SUMIFS(Indicadores_Generales!$U:$U,Indicadores_Generales!$B:$B,E9))</f>
        <v>7349286000</v>
      </c>
      <c r="F13" s="8">
        <f>IF(F8="","",SUMIFS(Indicadores_Generales!$U:$U,Indicadores_Generales!$B:$B,F9))</f>
        <v>1071811782</v>
      </c>
      <c r="G13" s="8">
        <f>IF(G8="","",SUMIFS(Indicadores_Generales!$U:$U,Indicadores_Generales!$B:$B,G9))</f>
        <v>407282429.75999999</v>
      </c>
      <c r="H13" s="8">
        <f>IF(H8="","",SUMIFS(Indicadores_Generales!$U:$U,Indicadores_Generales!$B:$B,H9))</f>
        <v>1392913000</v>
      </c>
      <c r="I13" s="8">
        <f>IF(I8="","",SUMIFS(Indicadores_Generales!$U:$U,Indicadores_Generales!$B:$B,I9))</f>
        <v>2460360184</v>
      </c>
      <c r="J13" s="8">
        <f>IF(J8="","",SUMIFS(Indicadores_Generales!$U:$U,Indicadores_Generales!$B:$B,J9))</f>
        <v>12971362476.099998</v>
      </c>
      <c r="K13" s="8">
        <f>IF(K8="","",SUMIFS(Indicadores_Generales!$U:$U,Indicadores_Generales!$B:$B,K9))</f>
        <v>4270884188.6000004</v>
      </c>
      <c r="L13" s="8">
        <f>IF(L8="","",SUMIFS(Indicadores_Generales!$U:$U,Indicadores_Generales!$B:$B,L9))</f>
        <v>2258961155.4000001</v>
      </c>
      <c r="M13" s="8">
        <f>IF(M8="","",SUMIFS(Indicadores_Generales!$U:$U,Indicadores_Generales!$B:$B,M9))</f>
        <v>1264870948</v>
      </c>
      <c r="N13" s="8">
        <f>IF(N8="","",SUMIFS(Indicadores_Generales!$U:$U,Indicadores_Generales!$B:$B,N9))</f>
        <v>1106921472.4999998</v>
      </c>
      <c r="O13" s="8">
        <f>IF(O8="","",SUMIFS(Indicadores_Generales!$U:$U,Indicadores_Generales!$B:$B,O9))</f>
        <v>2910270742.2999997</v>
      </c>
      <c r="P13" s="8">
        <f>IF(P8="","",SUMIFS(Indicadores_Generales!$U:$U,Indicadores_Generales!$B:$B,P9))</f>
        <v>2839408510.9999995</v>
      </c>
      <c r="Q13" s="47">
        <f>IF(Q8="","",SUMIFS(Indicadores_Generales!$U:$U,Indicadores_Generales!$B:$B,Q9))</f>
        <v>432787956.11500001</v>
      </c>
    </row>
    <row r="14" spans="1:17" s="3" customFormat="1" ht="26.25" customHeight="1" x14ac:dyDescent="0.25">
      <c r="B14" s="130" t="s">
        <v>5</v>
      </c>
      <c r="C14" s="8">
        <f>IF(C8="","",SUMIFS(Indicadores_Generales!$V:$V,Indicadores_Generales!$B:$B,C9))</f>
        <v>181279368.87399998</v>
      </c>
      <c r="D14" s="8">
        <f>IF(D8="","",SUMIFS(Indicadores_Generales!$V:$V,Indicadores_Generales!$B:$B,D9))</f>
        <v>296375915</v>
      </c>
      <c r="E14" s="8">
        <f>IF(E8="","",SUMIFS(Indicadores_Generales!$V:$V,Indicadores_Generales!$B:$B,E9))</f>
        <v>1970263000</v>
      </c>
      <c r="F14" s="8">
        <f>IF(F8="","",SUMIFS(Indicadores_Generales!$V:$V,Indicadores_Generales!$B:$B,F9))</f>
        <v>197482969</v>
      </c>
      <c r="G14" s="8">
        <f>IF(G8="","",SUMIFS(Indicadores_Generales!$V:$V,Indicadores_Generales!$B:$B,G9))</f>
        <v>0</v>
      </c>
      <c r="H14" s="8">
        <f>IF(H8="","",SUMIFS(Indicadores_Generales!$V:$V,Indicadores_Generales!$B:$B,H9))</f>
        <v>202938000</v>
      </c>
      <c r="I14" s="8">
        <f>IF(I8="","",SUMIFS(Indicadores_Generales!$V:$V,Indicadores_Generales!$B:$B,I9))</f>
        <v>743660395.85000002</v>
      </c>
      <c r="J14" s="8">
        <f>IF(J8="","",SUMIFS(Indicadores_Generales!$V:$V,Indicadores_Generales!$B:$B,J9))</f>
        <v>3957881271.1999998</v>
      </c>
      <c r="K14" s="8">
        <f>IF(K8="","",SUMIFS(Indicadores_Generales!$V:$V,Indicadores_Generales!$B:$B,K9))</f>
        <v>460123688.80000001</v>
      </c>
      <c r="L14" s="8">
        <f>IF(L8="","",SUMIFS(Indicadores_Generales!$V:$V,Indicadores_Generales!$B:$B,L9))</f>
        <v>39990564.799999997</v>
      </c>
      <c r="M14" s="8">
        <f>IF(M8="","",SUMIFS(Indicadores_Generales!$V:$V,Indicadores_Generales!$B:$B,M9))</f>
        <v>256288169</v>
      </c>
      <c r="N14" s="8">
        <f>IF(N8="","",SUMIFS(Indicadores_Generales!$V:$V,Indicadores_Generales!$B:$B,N9))</f>
        <v>154540769.15000001</v>
      </c>
      <c r="O14" s="8">
        <f>IF(O8="","",SUMIFS(Indicadores_Generales!$V:$V,Indicadores_Generales!$B:$B,O9))</f>
        <v>100452156.5</v>
      </c>
      <c r="P14" s="8">
        <f>IF(P8="","",SUMIFS(Indicadores_Generales!$V:$V,Indicadores_Generales!$B:$B,P9))</f>
        <v>221783164.79999998</v>
      </c>
      <c r="Q14" s="47">
        <f>IF(Q8="","",SUMIFS(Indicadores_Generales!$V:$V,Indicadores_Generales!$B:$B,Q9))</f>
        <v>36610494</v>
      </c>
    </row>
    <row r="15" spans="1:17" s="3" customFormat="1" ht="26.25" customHeight="1" x14ac:dyDescent="0.25">
      <c r="B15" s="130" t="s">
        <v>6</v>
      </c>
      <c r="C15" s="8">
        <f>IF(C8="","",SUMIFS(Indicadores_Generales!$W:$W,Indicadores_Generales!$B:$B,C9))</f>
        <v>4107384471.7369995</v>
      </c>
      <c r="D15" s="8">
        <f>IF(D8="","",SUMIFS(Indicadores_Generales!$W:$W,Indicadores_Generales!$B:$B,D9))</f>
        <v>2303254632.5</v>
      </c>
      <c r="E15" s="8">
        <f>IF(E8="","",SUMIFS(Indicadores_Generales!$W:$W,Indicadores_Generales!$B:$B,E9))</f>
        <v>10100361000</v>
      </c>
      <c r="F15" s="8">
        <f>IF(F8="","",SUMIFS(Indicadores_Generales!$W:$W,Indicadores_Generales!$B:$B,F9))</f>
        <v>2947754489</v>
      </c>
      <c r="G15" s="8">
        <f>IF(G8="","",SUMIFS(Indicadores_Generales!$W:$W,Indicadores_Generales!$B:$B,G9))</f>
        <v>419928351.36000001</v>
      </c>
      <c r="H15" s="8">
        <f>IF(H8="","",SUMIFS(Indicadores_Generales!$W:$W,Indicadores_Generales!$B:$B,H9))</f>
        <v>2185904000</v>
      </c>
      <c r="I15" s="8">
        <f>IF(I8="","",SUMIFS(Indicadores_Generales!$W:$W,Indicadores_Generales!$B:$B,I9))</f>
        <v>4006378995.2499995</v>
      </c>
      <c r="J15" s="8">
        <f>IF(J8="","",SUMIFS(Indicadores_Generales!$W:$W,Indicadores_Generales!$B:$B,J9))</f>
        <v>14345955036.499998</v>
      </c>
      <c r="K15" s="8">
        <f>IF(K8="","",SUMIFS(Indicadores_Generales!$W:$W,Indicadores_Generales!$B:$B,K9))</f>
        <v>7854985833.8000002</v>
      </c>
      <c r="L15" s="8">
        <f>IF(L8="","",SUMIFS(Indicadores_Generales!$W:$W,Indicadores_Generales!$B:$B,L9))</f>
        <v>2452890801.5</v>
      </c>
      <c r="M15" s="8">
        <f>IF(M8="","",SUMIFS(Indicadores_Generales!$W:$W,Indicadores_Generales!$B:$B,M9))</f>
        <v>1791728318</v>
      </c>
      <c r="N15" s="8">
        <f>IF(N8="","",SUMIFS(Indicadores_Generales!$W:$W,Indicadores_Generales!$B:$B,N9))</f>
        <v>1107757892.4999998</v>
      </c>
      <c r="O15" s="8">
        <f>IF(O8="","",SUMIFS(Indicadores_Generales!$W:$W,Indicadores_Generales!$B:$B,O9))</f>
        <v>3521304875.5</v>
      </c>
      <c r="P15" s="8">
        <f>IF(P8="","",SUMIFS(Indicadores_Generales!$W:$W,Indicadores_Generales!$B:$B,P9))</f>
        <v>2886736276.9999995</v>
      </c>
      <c r="Q15" s="47">
        <f>IF(Q8="","",SUMIFS(Indicadores_Generales!$W:$W,Indicadores_Generales!$B:$B,Q9))</f>
        <v>490094293.61500001</v>
      </c>
    </row>
    <row r="16" spans="1:17" s="3" customFormat="1" ht="26.25" customHeight="1" x14ac:dyDescent="0.25">
      <c r="B16" s="130" t="s">
        <v>7</v>
      </c>
      <c r="C16" s="8">
        <f>IF(C8="","",SUMIFS(Indicadores_Generales!$X:$X,Indicadores_Generales!$B:$B,C9))</f>
        <v>676864297.23649991</v>
      </c>
      <c r="D16" s="8">
        <f>IF(D8="","",SUMIFS(Indicadores_Generales!$X:$X,Indicadores_Generales!$B:$B,D9))</f>
        <v>997990377.5</v>
      </c>
      <c r="E16" s="8">
        <f>IF(E8="","",SUMIFS(Indicadores_Generales!$X:$X,Indicadores_Generales!$B:$B,E9))</f>
        <v>5410250000</v>
      </c>
      <c r="F16" s="8">
        <f>IF(F8="","",SUMIFS(Indicadores_Generales!$X:$X,Indicadores_Generales!$B:$B,F9))</f>
        <v>197482969</v>
      </c>
      <c r="G16" s="8">
        <f>IF(G8="","",SUMIFS(Indicadores_Generales!$X:$X,Indicadores_Generales!$B:$B,G9))</f>
        <v>8952000</v>
      </c>
      <c r="H16" s="8">
        <f>IF(H8="","",SUMIFS(Indicadores_Generales!$X:$X,Indicadores_Generales!$B:$B,H9))</f>
        <v>202938000</v>
      </c>
      <c r="I16" s="8">
        <f>IF(I8="","",SUMIFS(Indicadores_Generales!$X:$X,Indicadores_Generales!$B:$B,I9))</f>
        <v>2000359476.3499999</v>
      </c>
      <c r="J16" s="8">
        <f>IF(J8="","",SUMIFS(Indicadores_Generales!$X:$X,Indicadores_Generales!$B:$B,J9))</f>
        <v>6079450952.999999</v>
      </c>
      <c r="K16" s="8">
        <f>IF(K8="","",SUMIFS(Indicadores_Generales!$X:$X,Indicadores_Generales!$B:$B,K9))</f>
        <v>3219740294.1999998</v>
      </c>
      <c r="L16" s="8">
        <f>IF(L8="","",SUMIFS(Indicadores_Generales!$X:$X,Indicadores_Generales!$B:$B,L9))</f>
        <v>579537772.64999998</v>
      </c>
      <c r="M16" s="8">
        <f>IF(M8="","",SUMIFS(Indicadores_Generales!$X:$X,Indicadores_Generales!$B:$B,M9))</f>
        <v>431370000</v>
      </c>
      <c r="N16" s="8">
        <f>IF(N8="","",SUMIFS(Indicadores_Generales!$X:$X,Indicadores_Generales!$B:$B,N9))</f>
        <v>386336858.85000002</v>
      </c>
      <c r="O16" s="8">
        <f>IF(O8="","",SUMIFS(Indicadores_Generales!$X:$X,Indicadores_Generales!$B:$B,O9))</f>
        <v>615379415.89999998</v>
      </c>
      <c r="P16" s="8">
        <f>IF(P8="","",SUMIFS(Indicadores_Generales!$X:$X,Indicadores_Generales!$B:$B,P9))</f>
        <v>957804946.79999995</v>
      </c>
      <c r="Q16" s="47">
        <f>IF(Q8="","",SUMIFS(Indicadores_Generales!$X:$X,Indicadores_Generales!$B:$B,Q9))</f>
        <v>43957283</v>
      </c>
    </row>
    <row r="17" spans="1:17" s="3" customFormat="1" ht="26.25" customHeight="1" x14ac:dyDescent="0.25">
      <c r="B17" s="130" t="s">
        <v>23</v>
      </c>
      <c r="C17" s="8">
        <f>IF(C8="","",SUMIFS(Indicadores_Generales!$Y:$Y,Indicadores_Generales!$B:$B,C9))</f>
        <v>3430520172.6004996</v>
      </c>
      <c r="D17" s="8">
        <f>IF(D8="","",SUMIFS(Indicadores_Generales!$Y:$Y,Indicadores_Generales!$B:$B,D9))</f>
        <v>1305264255</v>
      </c>
      <c r="E17" s="8">
        <f>IF(E8="","",SUMIFS(Indicadores_Generales!$Y:$Y,Indicadores_Generales!$B:$B,E9))</f>
        <v>4690111000</v>
      </c>
      <c r="F17" s="8">
        <f>IF(F8="","",SUMIFS(Indicadores_Generales!$Y:$Y,Indicadores_Generales!$B:$B,F9))</f>
        <v>2750271520</v>
      </c>
      <c r="G17" s="8">
        <f>IF(G8="","",SUMIFS(Indicadores_Generales!$Y:$Y,Indicadores_Generales!$B:$B,G9))</f>
        <v>410976351.36000001</v>
      </c>
      <c r="H17" s="8">
        <f>IF(H8="","",SUMIFS(Indicadores_Generales!$Y:$Y,Indicadores_Generales!$B:$B,H9))</f>
        <v>1982966000</v>
      </c>
      <c r="I17" s="8">
        <f>IF(I8="","",SUMIFS(Indicadores_Generales!$Y:$Y,Indicadores_Generales!$B:$B,I9))</f>
        <v>2006019518.8999999</v>
      </c>
      <c r="J17" s="8">
        <f>IF(J8="","",SUMIFS(Indicadores_Generales!$Y:$Y,Indicadores_Generales!$B:$B,J9))</f>
        <v>8266504083.499999</v>
      </c>
      <c r="K17" s="8">
        <f>IF(K8="","",SUMIFS(Indicadores_Generales!$Y:$Y,Indicadores_Generales!$B:$B,K9))</f>
        <v>4635245539.6000004</v>
      </c>
      <c r="L17" s="8">
        <f>IF(L8="","",SUMIFS(Indicadores_Generales!$Y:$Y,Indicadores_Generales!$B:$B,L9))</f>
        <v>1873353028.8499999</v>
      </c>
      <c r="M17" s="8">
        <f>IF(M8="","",SUMIFS(Indicadores_Generales!$Y:$Y,Indicadores_Generales!$B:$B,M9))</f>
        <v>1360358318</v>
      </c>
      <c r="N17" s="8">
        <f>IF(N8="","",SUMIFS(Indicadores_Generales!$Y:$Y,Indicadores_Generales!$B:$B,N9))</f>
        <v>721421033.64999998</v>
      </c>
      <c r="O17" s="8">
        <f>IF(O8="","",SUMIFS(Indicadores_Generales!$Y:$Y,Indicadores_Generales!$B:$B,O9))</f>
        <v>2905925459.5999999</v>
      </c>
      <c r="P17" s="8">
        <f>IF(P8="","",SUMIFS(Indicadores_Generales!$Y:$Y,Indicadores_Generales!$B:$B,P9))</f>
        <v>1928931329.8</v>
      </c>
      <c r="Q17" s="47">
        <f>IF(Q8="","",SUMIFS(Indicadores_Generales!$Y:$Y,Indicadores_Generales!$B:$B,Q9))</f>
        <v>446137010.61500001</v>
      </c>
    </row>
    <row r="18" spans="1:17" s="3" customFormat="1" ht="36.75" customHeight="1" x14ac:dyDescent="0.25">
      <c r="B18" s="130" t="s">
        <v>24</v>
      </c>
      <c r="C18" s="8">
        <f>IF(C8="","",C15-C16-C17)</f>
        <v>1.9000000953674316</v>
      </c>
      <c r="D18" s="8">
        <f t="shared" ref="D18:Q18" si="1">IF(D8="","",D15-D16-D17)</f>
        <v>0</v>
      </c>
      <c r="E18" s="8">
        <f t="shared" si="1"/>
        <v>0</v>
      </c>
      <c r="F18" s="8">
        <f t="shared" si="1"/>
        <v>0</v>
      </c>
      <c r="G18" s="8">
        <f t="shared" si="1"/>
        <v>0</v>
      </c>
      <c r="H18" s="8">
        <f t="shared" si="1"/>
        <v>0</v>
      </c>
      <c r="I18" s="8">
        <f t="shared" si="1"/>
        <v>-2.384185791015625E-7</v>
      </c>
      <c r="J18" s="8">
        <f t="shared" si="1"/>
        <v>0</v>
      </c>
      <c r="K18" s="8">
        <f t="shared" si="1"/>
        <v>0</v>
      </c>
      <c r="L18" s="8">
        <f t="shared" si="1"/>
        <v>0</v>
      </c>
      <c r="M18" s="8">
        <f t="shared" si="1"/>
        <v>0</v>
      </c>
      <c r="N18" s="8">
        <f t="shared" si="1"/>
        <v>-2.384185791015625E-7</v>
      </c>
      <c r="O18" s="8">
        <f t="shared" si="1"/>
        <v>0</v>
      </c>
      <c r="P18" s="8">
        <f t="shared" si="1"/>
        <v>0.39999961853027344</v>
      </c>
      <c r="Q18" s="47">
        <f t="shared" si="1"/>
        <v>0</v>
      </c>
    </row>
    <row r="19" spans="1:17" s="3" customFormat="1" ht="26.25" customHeight="1" x14ac:dyDescent="0.25">
      <c r="B19" s="130" t="s">
        <v>25</v>
      </c>
      <c r="C19" s="8">
        <f>IF(C8="","",SUMIFS(Indicadores_Generales!$Z:$Z,Indicadores_Generales!$B:$B,C9))</f>
        <v>995107391.47049999</v>
      </c>
      <c r="D19" s="8">
        <f>IF(D8="","",SUMIFS(Indicadores_Generales!$Z:$Z,Indicadores_Generales!$B:$B,D9))</f>
        <v>324151890.5</v>
      </c>
      <c r="E19" s="8">
        <f>IF(E8="","",SUMIFS(Indicadores_Generales!$Z:$Z,Indicadores_Generales!$B:$B,E9))</f>
        <v>1471322000</v>
      </c>
      <c r="F19" s="8">
        <f>IF(F8="","",SUMIFS(Indicadores_Generales!$Z:$Z,Indicadores_Generales!$B:$B,F9))</f>
        <v>464730623</v>
      </c>
      <c r="G19" s="8">
        <f>IF(G8="","",SUMIFS(Indicadores_Generales!$Z:$Z,Indicadores_Generales!$B:$B,G9))</f>
        <v>7110273.5999999996</v>
      </c>
      <c r="H19" s="8">
        <f>IF(H8="","",SUMIFS(Indicadores_Generales!$Z:$Z,Indicadores_Generales!$B:$B,H9))</f>
        <v>234368000</v>
      </c>
      <c r="I19" s="8">
        <f>IF(I8="","",SUMIFS(Indicadores_Generales!$Z:$Z,Indicadores_Generales!$B:$B,I9))</f>
        <v>487736485.19999999</v>
      </c>
      <c r="J19" s="8">
        <f>IF(J8="","",SUMIFS(Indicadores_Generales!$Z:$Z,Indicadores_Generales!$B:$B,J9))</f>
        <v>1305662452.0999999</v>
      </c>
      <c r="K19" s="8">
        <f>IF(K8="","",SUMIFS(Indicadores_Generales!$Z:$Z,Indicadores_Generales!$B:$B,K9))</f>
        <v>777562484.20000005</v>
      </c>
      <c r="L19" s="8">
        <f>IF(L8="","",SUMIFS(Indicadores_Generales!$Z:$Z,Indicadores_Generales!$B:$B,L9))</f>
        <v>1343229208.8999999</v>
      </c>
      <c r="M19" s="8">
        <f>IF(M8="","",SUMIFS(Indicadores_Generales!$Z:$Z,Indicadores_Generales!$B:$B,M9))</f>
        <v>350790733</v>
      </c>
      <c r="N19" s="8">
        <f>IF(N8="","",SUMIFS(Indicadores_Generales!$Z:$Z,Indicadores_Generales!$B:$B,N9))</f>
        <v>58448006.149999999</v>
      </c>
      <c r="O19" s="8">
        <f>IF(O8="","",SUMIFS(Indicadores_Generales!$Z:$Z,Indicadores_Generales!$B:$B,O9))</f>
        <v>537416245</v>
      </c>
      <c r="P19" s="8">
        <f>IF(P8="","",SUMIFS(Indicadores_Generales!$Z:$Z,Indicadores_Generales!$B:$B,P9))</f>
        <v>459313334.39999998</v>
      </c>
      <c r="Q19" s="47">
        <f>IF(Q8="","",SUMIFS(Indicadores_Generales!$Z:$Z,Indicadores_Generales!$B:$B,Q9))</f>
        <v>74037266</v>
      </c>
    </row>
    <row r="20" spans="1:17" s="3" customFormat="1" ht="26.25" customHeight="1" x14ac:dyDescent="0.25">
      <c r="B20" s="130" t="s">
        <v>26</v>
      </c>
      <c r="C20" s="8">
        <f>IF(C8="","",SUMIFS(Indicadores_Generales!$AA:$AA,Indicadores_Generales!$B:$B,C9))</f>
        <v>656031.05499999993</v>
      </c>
      <c r="D20" s="8">
        <f>IF(D8="","",SUMIFS(Indicadores_Generales!$AA:$AA,Indicadores_Generales!$B:$B,D9))</f>
        <v>13413339</v>
      </c>
      <c r="E20" s="8">
        <f>IF(E8="","",SUMIFS(Indicadores_Generales!$AA:$AA,Indicadores_Generales!$B:$B,E9))</f>
        <v>1167083</v>
      </c>
      <c r="F20" s="8">
        <f>IF(F8="","",SUMIFS(Indicadores_Generales!$AA:$AA,Indicadores_Generales!$B:$B,F9))</f>
        <v>0</v>
      </c>
      <c r="G20" s="8">
        <f>IF(G8="","",SUMIFS(Indicadores_Generales!$AA:$AA,Indicadores_Generales!$B:$B,G9))</f>
        <v>0</v>
      </c>
      <c r="H20" s="8">
        <f>IF(H8="","",SUMIFS(Indicadores_Generales!$AA:$AA,Indicadores_Generales!$B:$B,H9))</f>
        <v>0</v>
      </c>
      <c r="I20" s="8">
        <f>IF(I8="","",SUMIFS(Indicadores_Generales!$AA:$AA,Indicadores_Generales!$B:$B,I9))</f>
        <v>8588183.1860000007</v>
      </c>
      <c r="J20" s="8">
        <f>IF(J8="","",SUMIFS(Indicadores_Generales!$AA:$AA,Indicadores_Generales!$B:$B,J9))</f>
        <v>4030105.8999999994</v>
      </c>
      <c r="K20" s="8">
        <f>IF(K8="","",SUMIFS(Indicadores_Generales!$AA:$AA,Indicadores_Generales!$B:$B,K9))</f>
        <v>33897027.399999999</v>
      </c>
      <c r="L20" s="8">
        <f>IF(L8="","",SUMIFS(Indicadores_Generales!$AA:$AA,Indicadores_Generales!$B:$B,L9))</f>
        <v>42624535.399999999</v>
      </c>
      <c r="M20" s="8">
        <f>IF(M8="","",SUMIFS(Indicadores_Generales!$AA:$AA,Indicadores_Generales!$B:$B,M9))</f>
        <v>11065821</v>
      </c>
      <c r="N20" s="8">
        <f>IF(N8="","",SUMIFS(Indicadores_Generales!$AA:$AA,Indicadores_Generales!$B:$B,N9))</f>
        <v>38464287.799999997</v>
      </c>
      <c r="O20" s="8">
        <f>IF(O8="","",SUMIFS(Indicadores_Generales!$AA:$AA,Indicadores_Generales!$B:$B,O9))</f>
        <v>13878876.6</v>
      </c>
      <c r="P20" s="8">
        <f>IF(P8="","",SUMIFS(Indicadores_Generales!$AA:$AA,Indicadores_Generales!$B:$B,P9))</f>
        <v>73762047</v>
      </c>
      <c r="Q20" s="47">
        <f>IF(Q8="","",SUMIFS(Indicadores_Generales!$AA:$AA,Indicadores_Generales!$B:$B,Q9))</f>
        <v>194683.5</v>
      </c>
    </row>
    <row r="21" spans="1:17" s="3" customFormat="1" ht="58.5" customHeight="1" x14ac:dyDescent="0.25">
      <c r="B21" s="130" t="s">
        <v>27</v>
      </c>
      <c r="C21" s="9">
        <f>IF(C8="","",C19/C17)</f>
        <v>0.29007478207485971</v>
      </c>
      <c r="D21" s="9">
        <f t="shared" ref="D21:Q21" si="2">IF(D8="","",D19/D17)</f>
        <v>0.24834196543595688</v>
      </c>
      <c r="E21" s="9">
        <f t="shared" si="2"/>
        <v>0.31370728752475152</v>
      </c>
      <c r="F21" s="9">
        <f t="shared" si="2"/>
        <v>0.1689762700229685</v>
      </c>
      <c r="G21" s="9">
        <f t="shared" si="2"/>
        <v>1.730093124937903E-2</v>
      </c>
      <c r="H21" s="9">
        <f t="shared" si="2"/>
        <v>0.11819062959223708</v>
      </c>
      <c r="I21" s="9">
        <f t="shared" si="2"/>
        <v>0.2431364603408496</v>
      </c>
      <c r="J21" s="9">
        <f t="shared" si="2"/>
        <v>0.15794614493762985</v>
      </c>
      <c r="K21" s="9">
        <f t="shared" si="2"/>
        <v>0.16775000969357493</v>
      </c>
      <c r="L21" s="9">
        <f t="shared" si="2"/>
        <v>0.71701872963291469</v>
      </c>
      <c r="M21" s="9">
        <f t="shared" si="2"/>
        <v>0.25786642266115067</v>
      </c>
      <c r="N21" s="9">
        <f t="shared" si="2"/>
        <v>8.1017884735470933E-2</v>
      </c>
      <c r="O21" s="9">
        <f t="shared" si="2"/>
        <v>0.18493806963444109</v>
      </c>
      <c r="P21" s="9">
        <f t="shared" si="2"/>
        <v>0.23811803318453206</v>
      </c>
      <c r="Q21" s="48">
        <f t="shared" si="2"/>
        <v>0.16595185837180287</v>
      </c>
    </row>
    <row r="22" spans="1:17" s="3" customFormat="1" ht="57" customHeight="1" x14ac:dyDescent="0.25">
      <c r="B22" s="130" t="s">
        <v>28</v>
      </c>
      <c r="C22" s="9">
        <f>IF(C8="","",C19/C15)</f>
        <v>0.2422727646554286</v>
      </c>
      <c r="D22" s="9">
        <f t="shared" ref="D22:Q22" si="3">IF(D8="","",D19/D15)</f>
        <v>0.14073645437463372</v>
      </c>
      <c r="E22" s="9">
        <f t="shared" si="3"/>
        <v>0.14567023891522293</v>
      </c>
      <c r="F22" s="9">
        <f t="shared" si="3"/>
        <v>0.15765581045986493</v>
      </c>
      <c r="G22" s="9">
        <f t="shared" si="3"/>
        <v>1.6932111339880547E-2</v>
      </c>
      <c r="H22" s="9">
        <f t="shared" si="3"/>
        <v>0.1072178833105205</v>
      </c>
      <c r="I22" s="9">
        <f t="shared" si="3"/>
        <v>0.1217399766168565</v>
      </c>
      <c r="J22" s="9">
        <f t="shared" si="3"/>
        <v>9.1012584995424889E-2</v>
      </c>
      <c r="K22" s="9">
        <f>IF(K8="","",K19/K15)</f>
        <v>9.8989673648315069E-2</v>
      </c>
      <c r="L22" s="9">
        <f t="shared" si="3"/>
        <v>0.54761068372003507</v>
      </c>
      <c r="M22" s="9">
        <f t="shared" si="3"/>
        <v>0.19578343964087527</v>
      </c>
      <c r="N22" s="9">
        <f t="shared" si="3"/>
        <v>5.2762437122514126E-2</v>
      </c>
      <c r="O22" s="9">
        <f t="shared" si="3"/>
        <v>0.15261849342814734</v>
      </c>
      <c r="P22" s="9">
        <f t="shared" si="3"/>
        <v>0.1591116369235277</v>
      </c>
      <c r="Q22" s="48">
        <f t="shared" si="3"/>
        <v>0.15106739042785294</v>
      </c>
    </row>
    <row r="23" spans="1:17" s="3" customFormat="1" ht="35.25" customHeight="1" x14ac:dyDescent="0.25">
      <c r="B23" s="10" t="s">
        <v>29</v>
      </c>
      <c r="C23" s="11">
        <f>IF(C8="","",Indicadores_Generales!$D$5)</f>
        <v>800053615</v>
      </c>
      <c r="D23" s="11">
        <f>IF(D8="","",Indicadores_Generales!$D$5)</f>
        <v>800053615</v>
      </c>
      <c r="E23" s="11">
        <f>IF(E8="","",Indicadores_Generales!$D$5)</f>
        <v>800053615</v>
      </c>
      <c r="F23" s="11">
        <f>IF(F8="","",Indicadores_Generales!$D$5)</f>
        <v>800053615</v>
      </c>
      <c r="G23" s="11">
        <f>IF(G8="","",Indicadores_Generales!$D$5)</f>
        <v>800053615</v>
      </c>
      <c r="H23" s="11">
        <f>IF(H8="","",Indicadores_Generales!$D$5)</f>
        <v>800053615</v>
      </c>
      <c r="I23" s="11">
        <f>IF(I8="","",Indicadores_Generales!$D$5)</f>
        <v>800053615</v>
      </c>
      <c r="J23" s="11">
        <f>IF(J8="","",Indicadores_Generales!$D$5)</f>
        <v>800053615</v>
      </c>
      <c r="K23" s="11">
        <f>IF(K8="","",Indicadores_Generales!$D$5)</f>
        <v>800053615</v>
      </c>
      <c r="L23" s="11">
        <f>IF(L8="","",Indicadores_Generales!$D$5)</f>
        <v>800053615</v>
      </c>
      <c r="M23" s="11">
        <f>IF(M8="","",Indicadores_Generales!$D$5)</f>
        <v>800053615</v>
      </c>
      <c r="N23" s="11">
        <f>IF(N8="","",Indicadores_Generales!$D$5)</f>
        <v>800053615</v>
      </c>
      <c r="O23" s="11">
        <f>IF(O8="","",Indicadores_Generales!$D$5)</f>
        <v>800053615</v>
      </c>
      <c r="P23" s="11">
        <f>IF(P8="","",Indicadores_Generales!$D$5)</f>
        <v>800053615</v>
      </c>
      <c r="Q23" s="49">
        <f>IF(Q8="","",Indicadores_Generales!$D$5)</f>
        <v>800053615</v>
      </c>
    </row>
    <row r="24" spans="1:17" s="3" customFormat="1" ht="30" customHeight="1" x14ac:dyDescent="0.25">
      <c r="B24" s="153" t="s">
        <v>30</v>
      </c>
      <c r="C24" s="154"/>
      <c r="D24" s="154"/>
      <c r="E24" s="154"/>
      <c r="F24" s="154"/>
      <c r="G24" s="154"/>
      <c r="H24" s="154"/>
      <c r="I24" s="154"/>
      <c r="J24" s="154"/>
      <c r="K24" s="154"/>
      <c r="L24" s="154"/>
      <c r="M24" s="154"/>
      <c r="N24" s="154"/>
      <c r="O24" s="154"/>
      <c r="P24" s="154"/>
      <c r="Q24" s="155"/>
    </row>
    <row r="25" spans="1:17" s="3" customFormat="1" ht="15.75" x14ac:dyDescent="0.25">
      <c r="A25" s="12"/>
      <c r="B25" s="13" t="s">
        <v>31</v>
      </c>
      <c r="C25" s="14"/>
      <c r="D25" s="14"/>
      <c r="E25" s="14"/>
      <c r="F25" s="14"/>
      <c r="G25" s="14"/>
      <c r="H25" s="14"/>
      <c r="I25" s="14"/>
      <c r="J25" s="14"/>
      <c r="K25" s="14"/>
      <c r="L25" s="14"/>
      <c r="M25" s="14"/>
      <c r="N25" s="14" t="s">
        <v>55</v>
      </c>
      <c r="O25" s="14"/>
      <c r="P25" s="14"/>
      <c r="Q25" s="15"/>
    </row>
    <row r="26" spans="1:17" s="3" customFormat="1" ht="15.75" hidden="1" x14ac:dyDescent="0.25">
      <c r="B26" s="16"/>
      <c r="C26" s="17"/>
      <c r="D26" s="17"/>
      <c r="E26" s="17"/>
      <c r="F26" s="17"/>
      <c r="G26" s="17"/>
      <c r="H26" s="17"/>
      <c r="I26" s="17"/>
      <c r="J26" s="17"/>
      <c r="K26" s="17"/>
      <c r="L26" s="17"/>
      <c r="M26" s="17"/>
      <c r="N26" s="17"/>
      <c r="O26" s="17"/>
      <c r="P26" s="17"/>
      <c r="Q26" s="18"/>
    </row>
    <row r="27" spans="1:17" s="3" customFormat="1" ht="15.75" x14ac:dyDescent="0.25">
      <c r="B27" s="153" t="s">
        <v>30</v>
      </c>
      <c r="C27" s="154"/>
      <c r="D27" s="154"/>
      <c r="E27" s="154"/>
      <c r="F27" s="154"/>
      <c r="G27" s="154"/>
      <c r="H27" s="154"/>
      <c r="I27" s="154"/>
      <c r="J27" s="154"/>
      <c r="K27" s="154"/>
      <c r="L27" s="154"/>
      <c r="M27" s="154"/>
      <c r="N27" s="154"/>
      <c r="O27" s="154"/>
      <c r="P27" s="154"/>
      <c r="Q27" s="155"/>
    </row>
    <row r="28" spans="1:17" s="3" customFormat="1" ht="15.75" x14ac:dyDescent="0.25">
      <c r="B28" s="34" t="str">
        <f>[1]Indicadores_Generales!C9</f>
        <v>Indice de Liquidez: (mín. 1, ) veces.</v>
      </c>
      <c r="C28" s="19" t="str">
        <f>IF(C8="","",IFERROR(IF(C29&gt;=Indicadores_Generales!$D$9,$B$25,$N$25),""))</f>
        <v>HÁBIL</v>
      </c>
      <c r="D28" s="19" t="str">
        <f>IF(D8="","",IFERROR(IF(D29&gt;=Indicadores_Generales!$D$9,$B$25,$N$25),""))</f>
        <v>HÁBIL</v>
      </c>
      <c r="E28" s="19" t="str">
        <f>IF(E8="","",IFERROR(IF(E29&gt;=Indicadores_Generales!$D$9,$B$25,$N$25),""))</f>
        <v>HÁBIL</v>
      </c>
      <c r="F28" s="19" t="str">
        <f>IF(F8="","",IFERROR(IF(F29&gt;=Indicadores_Generales!$D$9,$B$25,$N$25),""))</f>
        <v>HÁBIL</v>
      </c>
      <c r="G28" s="19" t="str">
        <f>IF(G8="","",IFERROR(IF(G29&gt;=Indicadores_Generales!$D$9,$B$25,$N$25),""))</f>
        <v>HÁBIL</v>
      </c>
      <c r="H28" s="19" t="str">
        <f>IF(H8="","",IFERROR(IF(H29&gt;=Indicadores_Generales!$D$9,$B$25,$N$25),""))</f>
        <v>HÁBIL</v>
      </c>
      <c r="I28" s="19" t="str">
        <f>IF(I8="","",IFERROR(IF(I29&gt;=Indicadores_Generales!$D$9,$B$25,$N$25),""))</f>
        <v>HÁBIL</v>
      </c>
      <c r="J28" s="19" t="str">
        <f>IF(J8="","",IFERROR(IF(J29&gt;=Indicadores_Generales!$D$9,$B$25,$N$25),""))</f>
        <v>HÁBIL</v>
      </c>
      <c r="K28" s="19" t="str">
        <f>IF(K8="","",IFERROR(IF(K29&gt;=Indicadores_Generales!$D$9,$B$25,$N$25),""))</f>
        <v>HÁBIL</v>
      </c>
      <c r="L28" s="19" t="str">
        <f>IF(L8="","",IFERROR(IF(L29&gt;=Indicadores_Generales!$D$9,$B$25,$N$25),""))</f>
        <v>HÁBIL</v>
      </c>
      <c r="M28" s="19" t="str">
        <f>IF(M8="","",IFERROR(IF(M29&gt;=Indicadores_Generales!$D$9,$B$25,$N$25),""))</f>
        <v>HÁBIL</v>
      </c>
      <c r="N28" s="19" t="str">
        <f>IF(N8="","",IFERROR(IF(N29&gt;=Indicadores_Generales!$D$9,$B$25,$N$25),""))</f>
        <v>HÁBIL</v>
      </c>
      <c r="O28" s="19" t="str">
        <f>IF(O8="","",IFERROR(IF(O29&gt;=Indicadores_Generales!$D$9,$B$25,$N$25),""))</f>
        <v>HÁBIL</v>
      </c>
      <c r="P28" s="19" t="str">
        <f>IF(P8="","",IFERROR(IF(P29&gt;=Indicadores_Generales!$D$9,$B$25,$N$25),""))</f>
        <v>HÁBIL</v>
      </c>
      <c r="Q28" s="50" t="str">
        <f>IF(Q8="","",IFERROR(IF(Q29&gt;=Indicadores_Generales!$D$9,$B$25,$N$25),""))</f>
        <v>HÁBIL</v>
      </c>
    </row>
    <row r="29" spans="1:17" s="3" customFormat="1" ht="15.75" x14ac:dyDescent="0.25">
      <c r="B29" s="131" t="s">
        <v>32</v>
      </c>
      <c r="C29" s="90">
        <f>IF(C8="","",IFERROR(C13/C14,"Indeterminado"))</f>
        <v>20.778233829344682</v>
      </c>
      <c r="D29" s="90">
        <f>IF(D8="","",IFERROR(D13/D14,"Indeterminado"))</f>
        <v>4.2387790131326968</v>
      </c>
      <c r="E29" s="90">
        <f t="shared" ref="E29:Q29" si="4">IF(E8="","",IFERROR(E13/E14,"Indeterminado"))</f>
        <v>3.7301040520986284</v>
      </c>
      <c r="F29" s="90">
        <f t="shared" si="4"/>
        <v>5.4273631160568589</v>
      </c>
      <c r="G29" s="90" t="str">
        <f t="shared" si="4"/>
        <v>Indeterminado</v>
      </c>
      <c r="H29" s="90">
        <f t="shared" si="4"/>
        <v>6.8637367077629623</v>
      </c>
      <c r="I29" s="90">
        <f t="shared" si="4"/>
        <v>3.3084458951021869</v>
      </c>
      <c r="J29" s="90">
        <f t="shared" si="4"/>
        <v>3.2773500737598376</v>
      </c>
      <c r="K29" s="90">
        <f t="shared" si="4"/>
        <v>9.2820350104956386</v>
      </c>
      <c r="L29" s="90">
        <f t="shared" si="4"/>
        <v>56.48735312185439</v>
      </c>
      <c r="M29" s="90">
        <f t="shared" si="4"/>
        <v>4.9353466175803069</v>
      </c>
      <c r="N29" s="90">
        <f t="shared" si="4"/>
        <v>7.1626502093153306</v>
      </c>
      <c r="O29" s="90">
        <f t="shared" si="4"/>
        <v>28.971709953285071</v>
      </c>
      <c r="P29" s="90">
        <f t="shared" si="4"/>
        <v>12.802633209605997</v>
      </c>
      <c r="Q29" s="91">
        <f t="shared" si="4"/>
        <v>11.821418091626953</v>
      </c>
    </row>
    <row r="30" spans="1:17" s="3" customFormat="1" ht="17.25" customHeight="1" x14ac:dyDescent="0.25">
      <c r="B30" s="34" t="str">
        <f>[1]Indicadores_Generales!C10</f>
        <v>Endeudamiento total: (máx. 70,%).</v>
      </c>
      <c r="C30" s="19" t="str">
        <f>IF(C8="","",IFERROR(IF(C31&lt;=Indicadores_Generales!$D$10,$B$25,$N$25),""))</f>
        <v>HÁBIL</v>
      </c>
      <c r="D30" s="19" t="str">
        <f>IF(D8="","",IFERROR(IF(D31&lt;=Indicadores_Generales!$D$10,$B$25,$N$25),""))</f>
        <v>HÁBIL</v>
      </c>
      <c r="E30" s="19" t="str">
        <f>IF(E8="","",IFERROR(IF(E31&lt;=Indicadores_Generales!$D$10,$B$25,$N$25),""))</f>
        <v>HÁBIL</v>
      </c>
      <c r="F30" s="19" t="str">
        <f>IF(F8="","",IFERROR(IF(F31&lt;=Indicadores_Generales!$D$10,$B$25,$N$25),""))</f>
        <v>HÁBIL</v>
      </c>
      <c r="G30" s="19" t="str">
        <f>IF(G8="","",IFERROR(IF(G31&lt;=Indicadores_Generales!$D$10,$B$25,$N$25),""))</f>
        <v>HÁBIL</v>
      </c>
      <c r="H30" s="19" t="str">
        <f>IF(H8="","",IFERROR(IF(H31&lt;=Indicadores_Generales!$D$10,$B$25,$N$25),""))</f>
        <v>HÁBIL</v>
      </c>
      <c r="I30" s="19" t="str">
        <f>IF(I8="","",IFERROR(IF(I31&lt;=Indicadores_Generales!$D$10,$B$25,$N$25),""))</f>
        <v>HÁBIL</v>
      </c>
      <c r="J30" s="19" t="str">
        <f>IF(J8="","",IFERROR(IF(J31&lt;=Indicadores_Generales!$D$10,$B$25,$N$25),""))</f>
        <v>HÁBIL</v>
      </c>
      <c r="K30" s="19" t="str">
        <f>IF(K8="","",IFERROR(IF(K31&lt;=Indicadores_Generales!$D$10,$B$25,$N$25),""))</f>
        <v>HÁBIL</v>
      </c>
      <c r="L30" s="19" t="str">
        <f>IF(L8="","",IFERROR(IF(L31&lt;=Indicadores_Generales!$D$10,$B$25,$N$25),""))</f>
        <v>HÁBIL</v>
      </c>
      <c r="M30" s="19" t="str">
        <f>IF(M8="","",IFERROR(IF(M31&lt;=Indicadores_Generales!$D$10,$B$25,$N$25),""))</f>
        <v>HÁBIL</v>
      </c>
      <c r="N30" s="19" t="str">
        <f>IF(N8="","",IFERROR(IF(N31&lt;=Indicadores_Generales!$D$10,$B$25,$N$25),""))</f>
        <v>HÁBIL</v>
      </c>
      <c r="O30" s="19" t="str">
        <f>IF(O8="","",IFERROR(IF(O31&lt;=Indicadores_Generales!$D$10,$B$25,$N$25),""))</f>
        <v>HÁBIL</v>
      </c>
      <c r="P30" s="19" t="str">
        <f>IF(P8="","",IFERROR(IF(P31&lt;=Indicadores_Generales!$D$10,$B$25,$N$25),""))</f>
        <v>HÁBIL</v>
      </c>
      <c r="Q30" s="50" t="str">
        <f>IF(Q8="","",IFERROR(IF(Q31&lt;=Indicadores_Generales!$D$10,$B$25,$N$25),""))</f>
        <v>HÁBIL</v>
      </c>
    </row>
    <row r="31" spans="1:17" s="3" customFormat="1" ht="15.75" x14ac:dyDescent="0.25">
      <c r="B31" s="131" t="s">
        <v>33</v>
      </c>
      <c r="C31" s="92">
        <f>IF(C8="","",C16/C15)</f>
        <v>0.1647920475655536</v>
      </c>
      <c r="D31" s="92">
        <f t="shared" ref="D31:Q31" si="5">IF(D8="","",D16/D15)</f>
        <v>0.43329572137526134</v>
      </c>
      <c r="E31" s="92">
        <f t="shared" si="5"/>
        <v>0.53564917135140022</v>
      </c>
      <c r="F31" s="92">
        <f t="shared" si="5"/>
        <v>6.6994374781528823E-2</v>
      </c>
      <c r="G31" s="92">
        <f t="shared" si="5"/>
        <v>2.1317922381300584E-2</v>
      </c>
      <c r="H31" s="92">
        <f t="shared" si="5"/>
        <v>9.2839392763817627E-2</v>
      </c>
      <c r="I31" s="92">
        <f t="shared" si="5"/>
        <v>0.49929362117803755</v>
      </c>
      <c r="J31" s="92">
        <f t="shared" si="5"/>
        <v>0.4237745718240597</v>
      </c>
      <c r="K31" s="92">
        <f t="shared" si="5"/>
        <v>0.40989765765654967</v>
      </c>
      <c r="L31" s="92">
        <f t="shared" si="5"/>
        <v>0.23626725343647548</v>
      </c>
      <c r="M31" s="92">
        <f t="shared" si="5"/>
        <v>0.24075636672501372</v>
      </c>
      <c r="N31" s="92">
        <f t="shared" si="5"/>
        <v>0.34875568160305398</v>
      </c>
      <c r="O31" s="92">
        <f t="shared" si="5"/>
        <v>0.17475891399849908</v>
      </c>
      <c r="P31" s="92">
        <f t="shared" si="5"/>
        <v>0.33179509830228948</v>
      </c>
      <c r="Q31" s="93">
        <f t="shared" si="5"/>
        <v>8.9691480951074321E-2</v>
      </c>
    </row>
    <row r="32" spans="1:17" s="3" customFormat="1" ht="33.75" customHeight="1" x14ac:dyDescent="0.25">
      <c r="B32" s="34" t="str">
        <f>[1]Indicadores_Generales!C11</f>
        <v>Razon de Cobertura de Intereses (&gt;= a 1, veces) ó Indeterminado.</v>
      </c>
      <c r="C32" s="19" t="str">
        <f>IF(C8="","",IFERROR(IF(C33&gt;Indicadores_Generales!$D$11,$B$25,$N$25),""))</f>
        <v>HÁBIL</v>
      </c>
      <c r="D32" s="19" t="str">
        <f>IF(D8="","",IFERROR(IF(D33&gt;Indicadores_Generales!$D$11,$B$25,$N$25),""))</f>
        <v>HÁBIL</v>
      </c>
      <c r="E32" s="19" t="str">
        <f>IF(E8="","",IFERROR(IF(E33&gt;Indicadores_Generales!$D$11,$B$25,$N$25),""))</f>
        <v>HÁBIL</v>
      </c>
      <c r="F32" s="19" t="str">
        <f>IF(F8="","",IFERROR(IF(F33&gt;Indicadores_Generales!$D$11,$B$25,$N$25),""))</f>
        <v>HÁBIL</v>
      </c>
      <c r="G32" s="19" t="str">
        <f>IF(G8="","",IFERROR(IF(G33&gt;Indicadores_Generales!$D$11,$B$25,$N$25),""))</f>
        <v>HÁBIL</v>
      </c>
      <c r="H32" s="19" t="str">
        <f>IF(H8="","",IFERROR(IF(H33&gt;Indicadores_Generales!$D$11,$B$25,$N$25),""))</f>
        <v>HÁBIL</v>
      </c>
      <c r="I32" s="19" t="str">
        <f>IF(I8="","",IFERROR(IF(I33&gt;Indicadores_Generales!$D$11,$B$25,$N$25),""))</f>
        <v>HÁBIL</v>
      </c>
      <c r="J32" s="19" t="str">
        <f>IF(J8="","",IFERROR(IF(J33&gt;Indicadores_Generales!$D$11,$B$25,$N$25),""))</f>
        <v>HÁBIL</v>
      </c>
      <c r="K32" s="19" t="str">
        <f>IF(K8="","",IFERROR(IF(K33&gt;Indicadores_Generales!$D$11,$B$25,$N$25),""))</f>
        <v>HÁBIL</v>
      </c>
      <c r="L32" s="19" t="str">
        <f>IF(L8="","",IFERROR(IF(L33&gt;Indicadores_Generales!$D$11,$B$25,$N$25),""))</f>
        <v>HÁBIL</v>
      </c>
      <c r="M32" s="19" t="str">
        <f>IF(M8="","",IFERROR(IF(M33&gt;Indicadores_Generales!$D$11,$B$25,$N$25),""))</f>
        <v>HÁBIL</v>
      </c>
      <c r="N32" s="19" t="str">
        <f>IF(N8="","",IFERROR(IF(N33&gt;Indicadores_Generales!$D$11,$B$25,$N$25),""))</f>
        <v>HÁBIL</v>
      </c>
      <c r="O32" s="19" t="str">
        <f>IF(O8="","",IFERROR(IF(O33&gt;Indicadores_Generales!$D$11,$B$25,$N$25),""))</f>
        <v>HÁBIL</v>
      </c>
      <c r="P32" s="19" t="str">
        <f>IF(P8="","",IFERROR(IF(P33&gt;Indicadores_Generales!$D$11,$B$25,$N$25),""))</f>
        <v>HÁBIL</v>
      </c>
      <c r="Q32" s="50" t="str">
        <f>IF(Q8="","",IFERROR(IF(Q33&gt;Indicadores_Generales!$D$11,$B$25,$N$25),""))</f>
        <v>HÁBIL</v>
      </c>
    </row>
    <row r="33" spans="2:17" s="3" customFormat="1" ht="31.5" x14ac:dyDescent="0.25">
      <c r="B33" s="131" t="s">
        <v>34</v>
      </c>
      <c r="C33" s="94">
        <f t="shared" ref="C33:D33" si="6">IF(C8="","",IFERROR(C19/C20,"Indeterminado"))</f>
        <v>1516.8601911238791</v>
      </c>
      <c r="D33" s="94">
        <f t="shared" si="6"/>
        <v>24.166383217482238</v>
      </c>
      <c r="E33" s="94">
        <f>IF(E8="","",IFERROR(E19/E20,"Indeterminado"))</f>
        <v>1260.6832590312772</v>
      </c>
      <c r="F33" s="94" t="str">
        <f t="shared" ref="F33:Q33" si="7">IF(F8="","",IFERROR(F19/F20,"Indeterminado"))</f>
        <v>Indeterminado</v>
      </c>
      <c r="G33" s="94" t="str">
        <f t="shared" si="7"/>
        <v>Indeterminado</v>
      </c>
      <c r="H33" s="94" t="str">
        <f t="shared" si="7"/>
        <v>Indeterminado</v>
      </c>
      <c r="I33" s="94">
        <f t="shared" si="7"/>
        <v>56.791579154375988</v>
      </c>
      <c r="J33" s="94">
        <f t="shared" si="7"/>
        <v>323.97720667836546</v>
      </c>
      <c r="K33" s="94">
        <f t="shared" si="7"/>
        <v>22.938957892219189</v>
      </c>
      <c r="L33" s="94">
        <f t="shared" si="7"/>
        <v>31.513052196224052</v>
      </c>
      <c r="M33" s="94">
        <f t="shared" si="7"/>
        <v>31.700380206764596</v>
      </c>
      <c r="N33" s="94">
        <f t="shared" si="7"/>
        <v>1.5195395389590445</v>
      </c>
      <c r="O33" s="94">
        <f t="shared" si="7"/>
        <v>38.72188365735596</v>
      </c>
      <c r="P33" s="94">
        <f t="shared" si="7"/>
        <v>6.226960246913972</v>
      </c>
      <c r="Q33" s="95">
        <f t="shared" si="7"/>
        <v>380.29553608806089</v>
      </c>
    </row>
    <row r="34" spans="2:17" s="3" customFormat="1" ht="31.5" x14ac:dyDescent="0.25">
      <c r="B34" s="34" t="str">
        <f>[1]Indicadores_Generales!C12</f>
        <v>Capital de Trabajo ≥  A 37,5% del PPTO Oficial.</v>
      </c>
      <c r="C34" s="19" t="str">
        <f>IFERROR(IF(C35&gt;(C23*Indicadores_Generales!$D$12),$B$25,$N$25),"")</f>
        <v>HÁBIL</v>
      </c>
      <c r="D34" s="19" t="str">
        <f>IFERROR(IF(D35&gt;(D23*Indicadores_Generales!$D$12),$B$25,$N$25),"")</f>
        <v>HÁBIL</v>
      </c>
      <c r="E34" s="19" t="str">
        <f>IFERROR(IF(E35&gt;(E23*Indicadores_Generales!$D$12),$B$25,$N$25),"")</f>
        <v>HÁBIL</v>
      </c>
      <c r="F34" s="19" t="str">
        <f>IFERROR(IF(F35&gt;(F23*Indicadores_Generales!$D$12),$B$25,$N$25),"")</f>
        <v>HÁBIL</v>
      </c>
      <c r="G34" s="19" t="str">
        <f>IFERROR(IF(G35&gt;(G23*Indicadores_Generales!$D$12),$B$25,$N$25),"")</f>
        <v>HÁBIL</v>
      </c>
      <c r="H34" s="19" t="str">
        <f>IFERROR(IF(H35&gt;(H23*Indicadores_Generales!$D$12),$B$25,$N$25),"")</f>
        <v>HÁBIL</v>
      </c>
      <c r="I34" s="19" t="str">
        <f>IFERROR(IF(I35&gt;(I23*Indicadores_Generales!$D$12),$B$25,$N$25),"")</f>
        <v>HÁBIL</v>
      </c>
      <c r="J34" s="19" t="str">
        <f>IFERROR(IF(J35&gt;(J23*Indicadores_Generales!$D$12),$B$25,$N$25),"")</f>
        <v>HÁBIL</v>
      </c>
      <c r="K34" s="19" t="str">
        <f>IFERROR(IF(K35&gt;(K23*Indicadores_Generales!$D$12),$B$25,$N$25),"")</f>
        <v>HÁBIL</v>
      </c>
      <c r="L34" s="19" t="str">
        <f>IFERROR(IF(L35&gt;(L23*Indicadores_Generales!$D$12),$B$25,$N$25),"")</f>
        <v>HÁBIL</v>
      </c>
      <c r="M34" s="19" t="str">
        <f>IFERROR(IF(M35&gt;(M23*Indicadores_Generales!$D$12),$B$25,$N$25),"")</f>
        <v>HÁBIL</v>
      </c>
      <c r="N34" s="19" t="str">
        <f>IFERROR(IF(N35&gt;(N23*Indicadores_Generales!$D$12),$B$25,$N$25),"")</f>
        <v>HÁBIL</v>
      </c>
      <c r="O34" s="19" t="str">
        <f>IFERROR(IF(O35&gt;(O23*Indicadores_Generales!$D$12),$B$25,$N$25),"")</f>
        <v>HÁBIL</v>
      </c>
      <c r="P34" s="19" t="str">
        <f>IFERROR(IF(P35&gt;(P23*Indicadores_Generales!$D$12),$B$25,$N$25),"")</f>
        <v>HÁBIL</v>
      </c>
      <c r="Q34" s="50" t="str">
        <f>IFERROR(IF(Q35&gt;(Q23*Indicadores_Generales!$D$12),$B$25,$N$25),"")</f>
        <v>HÁBIL</v>
      </c>
    </row>
    <row r="35" spans="2:17" s="21" customFormat="1" ht="34.5" customHeight="1" x14ac:dyDescent="0.25">
      <c r="B35" s="20" t="str">
        <f>"CT = Activo Corriente - Pasivo Corriente ≥ $ "&amp;FIXED([1]Indicadores_Generales!D5*[1]Indicadores_Generales!D12,0,FALSE)</f>
        <v>CT = Activo Corriente - Pasivo Corriente ≥ $ 243.596.639</v>
      </c>
      <c r="C35" s="105">
        <f>IF(C8="","",SUMIFS(Indicadores_Generales!$T:$T,Indicadores_Generales!$B:$B,C9))</f>
        <v>3778675055.0799999</v>
      </c>
      <c r="D35" s="105">
        <f>IF(D8="","",SUMIFS(Indicadores_Generales!$T:$T,Indicadores_Generales!$B:$B,D9))</f>
        <v>1919792187</v>
      </c>
      <c r="E35" s="105">
        <f>IF(E8="","",SUMIFS(Indicadores_Generales!$T:$T,Indicadores_Generales!$B:$B,E9))</f>
        <v>5379023000</v>
      </c>
      <c r="F35" s="105">
        <f>IF(F8="","",SUMIFS(Indicadores_Generales!$T:$T,Indicadores_Generales!$B:$B,F9))</f>
        <v>874328813</v>
      </c>
      <c r="G35" s="105">
        <f>IF(G8="","",SUMIFS(Indicadores_Generales!$T:$T,Indicadores_Generales!$B:$B,G9))</f>
        <v>798505062</v>
      </c>
      <c r="H35" s="105">
        <f>IF(H8="","",SUMIFS(Indicadores_Generales!$T:$T,Indicadores_Generales!$B:$B,H9))</f>
        <v>1189975000</v>
      </c>
      <c r="I35" s="105">
        <f>IF(I8="","",SUMIFS(Indicadores_Generales!$T:$T,Indicadores_Generales!$B:$B,I9))</f>
        <v>2997189592</v>
      </c>
      <c r="J35" s="105">
        <f>IF(J8="","",SUMIFS(Indicadores_Generales!$T:$T,Indicadores_Generales!$B:$B,J9))</f>
        <v>13535108847</v>
      </c>
      <c r="K35" s="105">
        <f>IF(K8="","",SUMIFS(Indicadores_Generales!$T:$T,Indicadores_Generales!$B:$B,K9))</f>
        <v>8517174440</v>
      </c>
      <c r="L35" s="94">
        <f>IF(L8="","",SUMIFS(Indicadores_Generales!$T:$T,Indicadores_Generales!$B:$B,L9))</f>
        <v>4809488840</v>
      </c>
      <c r="M35" s="94">
        <f>IF(M8="","",SUMIFS(Indicadores_Generales!$T:$T,Indicadores_Generales!$B:$B,M9))</f>
        <v>1008582779</v>
      </c>
      <c r="N35" s="94">
        <f>IF(N8="","",SUMIFS(Indicadores_Generales!$T:$T,Indicadores_Generales!$B:$B,N9))</f>
        <v>1498822551</v>
      </c>
      <c r="O35" s="94">
        <f>IF(O8="","",SUMIFS(Indicadores_Generales!$T:$T,Indicadores_Generales!$B:$B,O9))</f>
        <v>6814158673</v>
      </c>
      <c r="P35" s="94">
        <f>IF(P8="","",SUMIFS(Indicadores_Generales!$T:$T,Indicadores_Generales!$B:$B,P9))</f>
        <v>4463112912</v>
      </c>
      <c r="Q35" s="95">
        <f>IF(Q8="","",SUMIFS(Indicadores_Generales!$T:$T,Indicadores_Generales!$B:$B,Q9))</f>
        <v>792354924.23000002</v>
      </c>
    </row>
    <row r="36" spans="2:17" s="3" customFormat="1" ht="15.75" x14ac:dyDescent="0.25">
      <c r="B36" s="153" t="s">
        <v>35</v>
      </c>
      <c r="C36" s="154"/>
      <c r="D36" s="154"/>
      <c r="E36" s="154"/>
      <c r="F36" s="154"/>
      <c r="G36" s="154"/>
      <c r="H36" s="154"/>
      <c r="I36" s="154"/>
      <c r="J36" s="154"/>
      <c r="K36" s="154"/>
      <c r="L36" s="154"/>
      <c r="M36" s="154"/>
      <c r="N36" s="154"/>
      <c r="O36" s="154"/>
      <c r="P36" s="154"/>
      <c r="Q36" s="155"/>
    </row>
    <row r="37" spans="2:17" s="3" customFormat="1" ht="15.75" hidden="1" x14ac:dyDescent="0.25">
      <c r="B37" s="22"/>
      <c r="C37" s="5"/>
      <c r="D37" s="5"/>
      <c r="E37" s="5"/>
      <c r="F37" s="5"/>
      <c r="G37" s="5"/>
      <c r="H37" s="5"/>
      <c r="I37" s="5"/>
      <c r="J37" s="5"/>
      <c r="K37" s="5"/>
      <c r="L37" s="5"/>
      <c r="M37" s="5"/>
      <c r="N37" s="5"/>
      <c r="O37" s="5"/>
      <c r="P37" s="5"/>
      <c r="Q37" s="6"/>
    </row>
    <row r="38" spans="2:17" s="3" customFormat="1" ht="32.25" customHeight="1" x14ac:dyDescent="0.25">
      <c r="B38" s="34" t="str">
        <f>[1]Indicadores_Generales!C13</f>
        <v>Indicador  Rentabilidad del Patrimonio RP =&gt; AL 0%</v>
      </c>
      <c r="C38" s="19" t="str">
        <f>IF(C8="","",IFERROR(IF(C39&gt;=Indicadores_Generales!$D$13,$B$25,$N$25),""))</f>
        <v>HÁBIL</v>
      </c>
      <c r="D38" s="19" t="str">
        <f>IF(D8="","",IFERROR(IF(D39&gt;=Indicadores_Generales!$D$13,$B$25,$N$25),""))</f>
        <v>HÁBIL</v>
      </c>
      <c r="E38" s="19" t="str">
        <f>IF(E8="","",IFERROR(IF(E39&gt;=Indicadores_Generales!$D$13,$B$25,$N$25),""))</f>
        <v>HÁBIL</v>
      </c>
      <c r="F38" s="19" t="str">
        <f>IF(F8="","",IFERROR(IF(F39&gt;=Indicadores_Generales!$D$13,$B$25,$N$25),""))</f>
        <v>HÁBIL</v>
      </c>
      <c r="G38" s="19" t="str">
        <f>IF(G8="","",IFERROR(IF(G39&gt;=Indicadores_Generales!$D$13,$B$25,$N$25),""))</f>
        <v>HÁBIL</v>
      </c>
      <c r="H38" s="19" t="str">
        <f>IF(H8="","",IFERROR(IF(H39&gt;=Indicadores_Generales!$D$13,$B$25,$N$25),""))</f>
        <v>HÁBIL</v>
      </c>
      <c r="I38" s="19" t="str">
        <f>IF(I8="","",IFERROR(IF(I39&gt;=Indicadores_Generales!$D$13,$B$25,$N$25),""))</f>
        <v>HÁBIL</v>
      </c>
      <c r="J38" s="19" t="str">
        <f>IF(J8="","",IFERROR(IF(J39&gt;=Indicadores_Generales!$D$13,$B$25,$N$25),""))</f>
        <v>HÁBIL</v>
      </c>
      <c r="K38" s="19" t="str">
        <f>IF(K8="","",IFERROR(IF(K39&gt;=Indicadores_Generales!$D$13,$B$25,$N$25),""))</f>
        <v>HÁBIL</v>
      </c>
      <c r="L38" s="19" t="str">
        <f>IF(L8="","",IFERROR(IF(L39&gt;=Indicadores_Generales!$D$13,$B$25,$N$25),""))</f>
        <v>HÁBIL</v>
      </c>
      <c r="M38" s="19" t="str">
        <f>IF(M8="","",IFERROR(IF(M39&gt;=Indicadores_Generales!$D$13,$B$25,$N$25),""))</f>
        <v>HÁBIL</v>
      </c>
      <c r="N38" s="19" t="str">
        <f>IF(N8="","",IFERROR(IF(N39&gt;=Indicadores_Generales!$D$13,$B$25,$N$25),""))</f>
        <v>HÁBIL</v>
      </c>
      <c r="O38" s="19" t="str">
        <f>IF(O8="","",IFERROR(IF(O39&gt;=Indicadores_Generales!$D$13,$B$25,$N$25),""))</f>
        <v>HÁBIL</v>
      </c>
      <c r="P38" s="19" t="str">
        <f>IF(P8="","",IFERROR(IF(P39&gt;=Indicadores_Generales!$D$13,$B$25,$N$25),""))</f>
        <v>HÁBIL</v>
      </c>
      <c r="Q38" s="50" t="str">
        <f>IF(Q8="","",IFERROR(IF(Q39&gt;=Indicadores_Generales!$D$13,$B$25,$N$25),""))</f>
        <v>HÁBIL</v>
      </c>
    </row>
    <row r="39" spans="2:17" s="3" customFormat="1" ht="42" customHeight="1" x14ac:dyDescent="0.25">
      <c r="B39" s="131" t="s">
        <v>36</v>
      </c>
      <c r="C39" s="92">
        <f>IF(C8="","",C19/C17)</f>
        <v>0.29007478207485971</v>
      </c>
      <c r="D39" s="92">
        <f t="shared" ref="D39:Q39" si="8">IF(D8="","",D19/D17)</f>
        <v>0.24834196543595688</v>
      </c>
      <c r="E39" s="92">
        <f t="shared" si="8"/>
        <v>0.31370728752475152</v>
      </c>
      <c r="F39" s="92">
        <f t="shared" si="8"/>
        <v>0.1689762700229685</v>
      </c>
      <c r="G39" s="92">
        <f t="shared" si="8"/>
        <v>1.730093124937903E-2</v>
      </c>
      <c r="H39" s="92">
        <f t="shared" si="8"/>
        <v>0.11819062959223708</v>
      </c>
      <c r="I39" s="92">
        <f t="shared" si="8"/>
        <v>0.2431364603408496</v>
      </c>
      <c r="J39" s="92">
        <f t="shared" si="8"/>
        <v>0.15794614493762985</v>
      </c>
      <c r="K39" s="92">
        <f t="shared" si="8"/>
        <v>0.16775000969357493</v>
      </c>
      <c r="L39" s="92">
        <f t="shared" si="8"/>
        <v>0.71701872963291469</v>
      </c>
      <c r="M39" s="92">
        <f t="shared" si="8"/>
        <v>0.25786642266115067</v>
      </c>
      <c r="N39" s="92">
        <f t="shared" si="8"/>
        <v>8.1017884735470933E-2</v>
      </c>
      <c r="O39" s="92">
        <f t="shared" si="8"/>
        <v>0.18493806963444109</v>
      </c>
      <c r="P39" s="92">
        <f t="shared" si="8"/>
        <v>0.23811803318453206</v>
      </c>
      <c r="Q39" s="93">
        <f t="shared" si="8"/>
        <v>0.16595185837180287</v>
      </c>
    </row>
    <row r="40" spans="2:17" s="3" customFormat="1" ht="31.5" x14ac:dyDescent="0.25">
      <c r="B40" s="34" t="str">
        <f>[1]Indicadores_Generales!C14</f>
        <v>Indicador  Rentabilidad del Activo RAct =&gt; AL 0%</v>
      </c>
      <c r="C40" s="19" t="str">
        <f>IF(C8="","",IFERROR(IF(C41&gt;=Indicadores_Generales!$D$14,$B$25,$N$25),""))</f>
        <v>HÁBIL</v>
      </c>
      <c r="D40" s="19" t="str">
        <f>IF(D8="","",IFERROR(IF(D41&gt;=Indicadores_Generales!$D$14,$B$25,$N$25),""))</f>
        <v>HÁBIL</v>
      </c>
      <c r="E40" s="19" t="str">
        <f>IF(E8="","",IFERROR(IF(E41&gt;=Indicadores_Generales!$D$14,$B$25,$N$25),""))</f>
        <v>HÁBIL</v>
      </c>
      <c r="F40" s="19" t="str">
        <f>IF(F8="","",IFERROR(IF(F41&gt;=Indicadores_Generales!$D$14,$B$25,$N$25),""))</f>
        <v>HÁBIL</v>
      </c>
      <c r="G40" s="19" t="str">
        <f>IF(G8="","",IFERROR(IF(G41&gt;=Indicadores_Generales!$D$14,$B$25,$N$25),""))</f>
        <v>HÁBIL</v>
      </c>
      <c r="H40" s="19" t="str">
        <f>IF(H8="","",IFERROR(IF(H41&gt;=Indicadores_Generales!$D$14,$B$25,$N$25),""))</f>
        <v>HÁBIL</v>
      </c>
      <c r="I40" s="19" t="str">
        <f>IF(I8="","",IFERROR(IF(I41&gt;=Indicadores_Generales!$D$14,$B$25,$N$25),""))</f>
        <v>HÁBIL</v>
      </c>
      <c r="J40" s="19" t="str">
        <f>IF(J8="","",IFERROR(IF(J41&gt;=Indicadores_Generales!$D$14,$B$25,$N$25),""))</f>
        <v>HÁBIL</v>
      </c>
      <c r="K40" s="19" t="str">
        <f>IF(K8="","",IFERROR(IF(K41&gt;=Indicadores_Generales!$D$14,$B$25,$N$25),""))</f>
        <v>HÁBIL</v>
      </c>
      <c r="L40" s="19" t="str">
        <f>IF(L8="","",IFERROR(IF(L41&gt;=Indicadores_Generales!$D$14,$B$25,$N$25),""))</f>
        <v>HÁBIL</v>
      </c>
      <c r="M40" s="19" t="str">
        <f>IF(M8="","",IFERROR(IF(M41&gt;=Indicadores_Generales!$D$14,$B$25,$N$25),""))</f>
        <v>HÁBIL</v>
      </c>
      <c r="N40" s="19" t="str">
        <f>IF(N8="","",IFERROR(IF(N41&gt;=Indicadores_Generales!$D$14,$B$25,$N$25),""))</f>
        <v>HÁBIL</v>
      </c>
      <c r="O40" s="19" t="str">
        <f>IF(O8="","",IFERROR(IF(O41&gt;=Indicadores_Generales!$D$14,$B$25,$N$25),""))</f>
        <v>HÁBIL</v>
      </c>
      <c r="P40" s="19" t="str">
        <f>IF(P8="","",IFERROR(IF(P41&gt;=Indicadores_Generales!$D$14,$B$25,$N$25),""))</f>
        <v>HÁBIL</v>
      </c>
      <c r="Q40" s="50" t="str">
        <f>IF(Q8="","",IFERROR(IF(Q41&gt;=Indicadores_Generales!$D$14,$B$25,$N$25),""))</f>
        <v>HÁBIL</v>
      </c>
    </row>
    <row r="41" spans="2:17" s="3" customFormat="1" ht="15.75" x14ac:dyDescent="0.25">
      <c r="B41" s="131" t="s">
        <v>37</v>
      </c>
      <c r="C41" s="92">
        <f>IF(C8="","",C19/C15)</f>
        <v>0.2422727646554286</v>
      </c>
      <c r="D41" s="92">
        <f t="shared" ref="D41:Q41" si="9">IF(D8="","",D19/D15)</f>
        <v>0.14073645437463372</v>
      </c>
      <c r="E41" s="92">
        <f t="shared" si="9"/>
        <v>0.14567023891522293</v>
      </c>
      <c r="F41" s="92">
        <f t="shared" si="9"/>
        <v>0.15765581045986493</v>
      </c>
      <c r="G41" s="92">
        <f t="shared" si="9"/>
        <v>1.6932111339880547E-2</v>
      </c>
      <c r="H41" s="92">
        <f t="shared" si="9"/>
        <v>0.1072178833105205</v>
      </c>
      <c r="I41" s="92">
        <f t="shared" si="9"/>
        <v>0.1217399766168565</v>
      </c>
      <c r="J41" s="92">
        <f t="shared" si="9"/>
        <v>9.1012584995424889E-2</v>
      </c>
      <c r="K41" s="92">
        <f t="shared" si="9"/>
        <v>9.8989673648315069E-2</v>
      </c>
      <c r="L41" s="92">
        <f t="shared" si="9"/>
        <v>0.54761068372003507</v>
      </c>
      <c r="M41" s="92">
        <f t="shared" si="9"/>
        <v>0.19578343964087527</v>
      </c>
      <c r="N41" s="92">
        <f t="shared" si="9"/>
        <v>5.2762437122514126E-2</v>
      </c>
      <c r="O41" s="92">
        <f t="shared" si="9"/>
        <v>0.15261849342814734</v>
      </c>
      <c r="P41" s="92">
        <f t="shared" si="9"/>
        <v>0.1591116369235277</v>
      </c>
      <c r="Q41" s="93">
        <f t="shared" si="9"/>
        <v>0.15106739042785294</v>
      </c>
    </row>
    <row r="42" spans="2:17" s="3" customFormat="1" ht="31.5" x14ac:dyDescent="0.25">
      <c r="B42" s="130" t="s">
        <v>38</v>
      </c>
      <c r="C42" s="23" t="str">
        <f>IF(C8="","",IF(COUNTIF(C28:C41,"NO HÁBIL")&gt;=1,"NO HABILITADO","HABILITADO"))</f>
        <v>HABILITADO</v>
      </c>
      <c r="D42" s="23" t="str">
        <f>IF(D8="","",IF(COUNTIF(D28:D41,"NO HÁBIL")&gt;=1,"NO HABILITADO","HABILITADO"))</f>
        <v>HABILITADO</v>
      </c>
      <c r="E42" s="23" t="str">
        <f t="shared" ref="E42:Q42" si="10">IF(E8="","",IF(COUNTIF(E28:E41,"NO HÁBIL")&gt;=1,"NO HABILITADO","HABILITADO"))</f>
        <v>HABILITADO</v>
      </c>
      <c r="F42" s="23" t="str">
        <f t="shared" si="10"/>
        <v>HABILITADO</v>
      </c>
      <c r="G42" s="23" t="str">
        <f>IF(G8="","",IF(COUNTIF(G28:G41,"NO HÁBIL")&gt;=1,"NO HABILITADO","HABILITADO"))</f>
        <v>HABILITADO</v>
      </c>
      <c r="H42" s="23" t="str">
        <f>IF(H8="","",IF(COUNTIF(H28:H41,"NO HÁBIL")&gt;=1,"NO HABILITADO","HABILITADO"))</f>
        <v>HABILITADO</v>
      </c>
      <c r="I42" s="23" t="str">
        <f t="shared" si="10"/>
        <v>HABILITADO</v>
      </c>
      <c r="J42" s="23" t="str">
        <f t="shared" si="10"/>
        <v>HABILITADO</v>
      </c>
      <c r="K42" s="23" t="str">
        <f t="shared" si="10"/>
        <v>HABILITADO</v>
      </c>
      <c r="L42" s="23" t="str">
        <f t="shared" si="10"/>
        <v>HABILITADO</v>
      </c>
      <c r="M42" s="23" t="str">
        <f t="shared" si="10"/>
        <v>HABILITADO</v>
      </c>
      <c r="N42" s="23" t="str">
        <f t="shared" si="10"/>
        <v>HABILITADO</v>
      </c>
      <c r="O42" s="23" t="str">
        <f t="shared" si="10"/>
        <v>HABILITADO</v>
      </c>
      <c r="P42" s="23" t="str">
        <f t="shared" si="10"/>
        <v>HABILITADO</v>
      </c>
      <c r="Q42" s="51" t="str">
        <f t="shared" si="10"/>
        <v>HABILITADO</v>
      </c>
    </row>
    <row r="43" spans="2:17" s="3" customFormat="1" ht="15.75" hidden="1" x14ac:dyDescent="0.25">
      <c r="B43" s="22"/>
      <c r="C43" s="5"/>
      <c r="D43" s="5"/>
      <c r="E43" s="5"/>
      <c r="F43" s="5"/>
      <c r="G43" s="5"/>
      <c r="H43" s="5"/>
      <c r="I43" s="5"/>
      <c r="J43" s="5"/>
      <c r="K43" s="5"/>
      <c r="L43" s="5"/>
      <c r="M43" s="5"/>
      <c r="N43" s="5"/>
      <c r="O43" s="5"/>
      <c r="P43" s="5"/>
      <c r="Q43" s="6"/>
    </row>
    <row r="44" spans="2:17" s="3" customFormat="1" ht="15.75" customHeight="1" x14ac:dyDescent="0.25">
      <c r="B44" s="175" t="s">
        <v>39</v>
      </c>
      <c r="C44" s="176"/>
      <c r="D44" s="176"/>
      <c r="E44" s="176"/>
      <c r="F44" s="176"/>
      <c r="G44" s="176"/>
      <c r="H44" s="176"/>
      <c r="I44" s="176"/>
      <c r="J44" s="176"/>
      <c r="K44" s="176"/>
      <c r="L44" s="176"/>
      <c r="M44" s="176"/>
      <c r="N44" s="176"/>
      <c r="O44" s="176"/>
      <c r="P44" s="176"/>
      <c r="Q44" s="177"/>
    </row>
    <row r="45" spans="2:17" s="3" customFormat="1" ht="36.75" customHeight="1" x14ac:dyDescent="0.25">
      <c r="B45" s="175"/>
      <c r="C45" s="176"/>
      <c r="D45" s="176"/>
      <c r="E45" s="176"/>
      <c r="F45" s="176"/>
      <c r="G45" s="176"/>
      <c r="H45" s="176"/>
      <c r="I45" s="176"/>
      <c r="J45" s="176"/>
      <c r="K45" s="176"/>
      <c r="L45" s="176"/>
      <c r="M45" s="176"/>
      <c r="N45" s="176"/>
      <c r="O45" s="176"/>
      <c r="P45" s="176"/>
      <c r="Q45" s="177"/>
    </row>
    <row r="46" spans="2:17" s="3" customFormat="1" ht="15.75" x14ac:dyDescent="0.25">
      <c r="B46" s="24"/>
      <c r="C46" s="114"/>
      <c r="D46" s="114"/>
      <c r="E46" s="114"/>
      <c r="F46" s="114"/>
      <c r="G46" s="114"/>
      <c r="H46" s="114"/>
      <c r="I46" s="114"/>
      <c r="J46" s="114"/>
      <c r="K46" s="114"/>
      <c r="L46" s="114"/>
      <c r="M46" s="114"/>
      <c r="N46" s="114"/>
      <c r="O46" s="114"/>
      <c r="P46" s="114"/>
      <c r="Q46" s="25"/>
    </row>
    <row r="47" spans="2:17" s="3" customFormat="1" ht="15.75" x14ac:dyDescent="0.25">
      <c r="B47" s="24"/>
      <c r="C47" s="114"/>
      <c r="D47" s="114"/>
      <c r="E47" s="114"/>
      <c r="F47" s="114"/>
      <c r="G47" s="114"/>
      <c r="H47" s="114"/>
      <c r="I47" s="114"/>
      <c r="J47" s="114"/>
      <c r="K47" s="114"/>
      <c r="L47" s="114"/>
      <c r="M47" s="114"/>
      <c r="N47" s="114"/>
      <c r="O47" s="114"/>
      <c r="P47" s="114"/>
      <c r="Q47" s="25"/>
    </row>
    <row r="48" spans="2:17" s="3" customFormat="1" ht="15.75" x14ac:dyDescent="0.25">
      <c r="B48" s="26"/>
      <c r="C48" s="115"/>
      <c r="D48" s="115"/>
      <c r="E48" s="115"/>
      <c r="F48" s="115"/>
      <c r="G48" s="115"/>
      <c r="H48" s="115"/>
      <c r="I48" s="115"/>
      <c r="J48" s="115"/>
      <c r="K48" s="115"/>
      <c r="L48" s="115"/>
      <c r="M48" s="115"/>
      <c r="N48" s="114"/>
      <c r="O48" s="114"/>
      <c r="P48" s="114"/>
      <c r="Q48" s="25"/>
    </row>
    <row r="49" spans="1:17" s="3" customFormat="1" ht="22.5" customHeight="1" x14ac:dyDescent="0.25">
      <c r="A49" s="27"/>
      <c r="B49" s="24"/>
      <c r="C49" s="114"/>
      <c r="D49" s="114"/>
      <c r="E49" s="114"/>
      <c r="F49" s="114"/>
      <c r="G49" s="114"/>
      <c r="H49" s="114"/>
      <c r="I49" s="114"/>
      <c r="J49" s="114"/>
      <c r="K49" s="114"/>
      <c r="L49" s="114"/>
      <c r="M49" s="114"/>
      <c r="N49" s="114"/>
      <c r="O49" s="114"/>
      <c r="P49" s="114"/>
      <c r="Q49" s="25"/>
    </row>
    <row r="50" spans="1:17" s="3" customFormat="1" ht="22.5" customHeight="1" x14ac:dyDescent="0.25">
      <c r="A50" s="27"/>
      <c r="B50" s="28"/>
      <c r="C50" s="133"/>
      <c r="D50" s="117"/>
      <c r="E50" s="117"/>
      <c r="F50" s="117"/>
      <c r="G50" s="115"/>
      <c r="H50" s="192"/>
      <c r="I50" s="192"/>
      <c r="J50" s="115"/>
      <c r="K50" s="117"/>
      <c r="L50" s="192"/>
      <c r="M50" s="192"/>
      <c r="N50" s="115"/>
      <c r="O50" s="192"/>
      <c r="P50" s="192"/>
      <c r="Q50" s="179"/>
    </row>
    <row r="51" spans="1:17" ht="23.25" customHeight="1" x14ac:dyDescent="0.25">
      <c r="A51" s="29"/>
      <c r="B51" s="30" t="s">
        <v>40</v>
      </c>
      <c r="C51" s="132"/>
      <c r="D51" s="191" t="s">
        <v>40</v>
      </c>
      <c r="E51" s="191"/>
      <c r="F51" s="119"/>
      <c r="G51" s="120"/>
      <c r="H51" s="191" t="s">
        <v>40</v>
      </c>
      <c r="I51" s="191"/>
      <c r="J51" s="119"/>
      <c r="K51" s="119"/>
      <c r="L51" s="191" t="s">
        <v>41</v>
      </c>
      <c r="M51" s="191"/>
      <c r="N51" s="120"/>
      <c r="O51" s="191" t="s">
        <v>42</v>
      </c>
      <c r="P51" s="191"/>
      <c r="Q51" s="181"/>
    </row>
    <row r="52" spans="1:17" ht="21" customHeight="1" x14ac:dyDescent="0.25">
      <c r="A52" s="29"/>
      <c r="B52" s="31"/>
      <c r="C52" s="121"/>
      <c r="D52" s="121"/>
      <c r="E52" s="121"/>
      <c r="F52" s="121"/>
      <c r="G52" s="121"/>
      <c r="H52" s="121"/>
      <c r="I52" s="121"/>
      <c r="J52" s="121"/>
      <c r="K52" s="121"/>
      <c r="L52" s="121"/>
      <c r="M52" s="121"/>
      <c r="N52" s="121"/>
      <c r="O52" s="122"/>
      <c r="P52" s="122"/>
      <c r="Q52" s="32"/>
    </row>
    <row r="53" spans="1:17" s="3" customFormat="1" ht="22.5" customHeight="1" x14ac:dyDescent="0.25">
      <c r="A53" s="27"/>
      <c r="B53" s="182" t="str">
        <f>"NOTA: La fecha de corte de la información financiera registrada en el RUP debe ser de acuerdo a lo establecido en el pliego definitivo de condiciones del proceso "&amp;[1]Indicadores_Generales!D4&amp;"."</f>
        <v>NOTA: La fecha de corte de la información financiera registrada en el RUP debe ser de acuerdo a lo establecido en el pliego definitivo de condiciones del proceso FDLBOSACM-003-2022 (71936).</v>
      </c>
      <c r="C53" s="183"/>
      <c r="D53" s="183"/>
      <c r="E53" s="183"/>
      <c r="F53" s="183"/>
      <c r="G53" s="183"/>
      <c r="H53" s="183"/>
      <c r="I53" s="183"/>
      <c r="J53" s="183"/>
      <c r="K53" s="183"/>
      <c r="L53" s="183"/>
      <c r="M53" s="183"/>
      <c r="N53" s="183"/>
      <c r="O53" s="183"/>
      <c r="P53" s="183"/>
      <c r="Q53" s="184"/>
    </row>
    <row r="54" spans="1:17" s="3" customFormat="1" ht="22.5" customHeight="1" thickBot="1" x14ac:dyDescent="0.3">
      <c r="A54" s="27"/>
      <c r="B54" s="185"/>
      <c r="C54" s="186"/>
      <c r="D54" s="186"/>
      <c r="E54" s="186"/>
      <c r="F54" s="186"/>
      <c r="G54" s="186"/>
      <c r="H54" s="186"/>
      <c r="I54" s="186"/>
      <c r="J54" s="186"/>
      <c r="K54" s="186"/>
      <c r="L54" s="186"/>
      <c r="M54" s="186"/>
      <c r="N54" s="186"/>
      <c r="O54" s="186"/>
      <c r="P54" s="186"/>
      <c r="Q54" s="187"/>
    </row>
  </sheetData>
  <mergeCells count="17">
    <mergeCell ref="B24:Q24"/>
    <mergeCell ref="B1:B5"/>
    <mergeCell ref="C1:P5"/>
    <mergeCell ref="Q1:Q5"/>
    <mergeCell ref="B6:Q6"/>
    <mergeCell ref="B7:Q7"/>
    <mergeCell ref="B27:Q27"/>
    <mergeCell ref="B36:Q36"/>
    <mergeCell ref="B44:Q45"/>
    <mergeCell ref="H50:I50"/>
    <mergeCell ref="L50:M50"/>
    <mergeCell ref="O50:Q50"/>
    <mergeCell ref="D51:E51"/>
    <mergeCell ref="H51:I51"/>
    <mergeCell ref="L51:M51"/>
    <mergeCell ref="O51:Q51"/>
    <mergeCell ref="B53:Q54"/>
  </mergeCells>
  <conditionalFormatting sqref="C12:Q12">
    <cfRule type="cellIs" dxfId="29" priority="16" operator="equal">
      <formula>0</formula>
    </cfRule>
  </conditionalFormatting>
  <conditionalFormatting sqref="C34:Q34">
    <cfRule type="cellIs" dxfId="28" priority="14" operator="equal">
      <formula>"Hábil"</formula>
    </cfRule>
    <cfRule type="cellIs" dxfId="27" priority="15" operator="equal">
      <formula>"No Hábil"</formula>
    </cfRule>
  </conditionalFormatting>
  <conditionalFormatting sqref="C32:Q32">
    <cfRule type="cellIs" dxfId="26" priority="12" operator="equal">
      <formula>"Hábil"</formula>
    </cfRule>
    <cfRule type="cellIs" dxfId="25" priority="13" operator="equal">
      <formula>"No Hábil"</formula>
    </cfRule>
  </conditionalFormatting>
  <conditionalFormatting sqref="C30:Q30">
    <cfRule type="cellIs" dxfId="24" priority="10" operator="equal">
      <formula>"Hábil"</formula>
    </cfRule>
    <cfRule type="cellIs" dxfId="23" priority="11" operator="equal">
      <formula>"No Hábil"</formula>
    </cfRule>
  </conditionalFormatting>
  <conditionalFormatting sqref="C28:Q28">
    <cfRule type="cellIs" dxfId="22" priority="8" operator="equal">
      <formula>"Hábil"</formula>
    </cfRule>
    <cfRule type="cellIs" dxfId="21" priority="9" operator="equal">
      <formula>"No Hábil"</formula>
    </cfRule>
  </conditionalFormatting>
  <conditionalFormatting sqref="C42:Q42">
    <cfRule type="cellIs" dxfId="20" priority="6" operator="equal">
      <formula>"No Habilitado"</formula>
    </cfRule>
    <cfRule type="cellIs" dxfId="19" priority="7" operator="equal">
      <formula>"Habilitado"</formula>
    </cfRule>
  </conditionalFormatting>
  <conditionalFormatting sqref="C40:Q40">
    <cfRule type="cellIs" dxfId="18" priority="4" operator="equal">
      <formula>"Hábil"</formula>
    </cfRule>
    <cfRule type="cellIs" dxfId="17" priority="5" operator="equal">
      <formula>"No Hábil"</formula>
    </cfRule>
  </conditionalFormatting>
  <conditionalFormatting sqref="C38:Q38">
    <cfRule type="cellIs" dxfId="16" priority="2" operator="equal">
      <formula>"Hábil"</formula>
    </cfRule>
    <cfRule type="cellIs" dxfId="15" priority="3" operator="equal">
      <formula>"No Hábil"</formula>
    </cfRule>
  </conditionalFormatting>
  <printOptions horizontalCentered="1" verticalCentered="1"/>
  <pageMargins left="0.19685039370078741" right="0.19685039370078741" top="0.15748031496062992" bottom="0.15748031496062992" header="0.31496062992125984" footer="0.31496062992125984"/>
  <pageSetup paperSize="256" scale="41" orientation="landscape"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B6E4BE-798D-4877-A6EE-C740408DE853}">
  <sheetPr>
    <pageSetUpPr fitToPage="1"/>
  </sheetPr>
  <dimension ref="A1:Q54"/>
  <sheetViews>
    <sheetView showGridLines="0" topLeftCell="A22" zoomScale="60" zoomScaleNormal="60" zoomScalePageLayoutView="90" workbookViewId="0">
      <selection activeCell="B64" sqref="B64"/>
    </sheetView>
  </sheetViews>
  <sheetFormatPr baseColWidth="10" defaultColWidth="18.7109375" defaultRowHeight="15" x14ac:dyDescent="0.25"/>
  <cols>
    <col min="1" max="1" width="1.42578125" style="1" customWidth="1"/>
    <col min="2" max="2" width="44.85546875" style="1" customWidth="1"/>
    <col min="3" max="17" width="25.28515625" style="1" customWidth="1"/>
    <col min="18" max="16384" width="18.7109375" style="1"/>
  </cols>
  <sheetData>
    <row r="1" spans="1:17" x14ac:dyDescent="0.25">
      <c r="B1" s="156"/>
      <c r="C1" s="158" t="s">
        <v>18</v>
      </c>
      <c r="D1" s="159"/>
      <c r="E1" s="159"/>
      <c r="F1" s="159"/>
      <c r="G1" s="159"/>
      <c r="H1" s="159"/>
      <c r="I1" s="159"/>
      <c r="J1" s="159"/>
      <c r="K1" s="159"/>
      <c r="L1" s="159"/>
      <c r="M1" s="159"/>
      <c r="N1" s="159"/>
      <c r="O1" s="159"/>
      <c r="P1" s="160"/>
      <c r="Q1" s="167" t="s">
        <v>19</v>
      </c>
    </row>
    <row r="2" spans="1:17" x14ac:dyDescent="0.25">
      <c r="B2" s="157"/>
      <c r="C2" s="161"/>
      <c r="D2" s="193"/>
      <c r="E2" s="193"/>
      <c r="F2" s="193"/>
      <c r="G2" s="193"/>
      <c r="H2" s="193"/>
      <c r="I2" s="193"/>
      <c r="J2" s="193"/>
      <c r="K2" s="193"/>
      <c r="L2" s="193"/>
      <c r="M2" s="193"/>
      <c r="N2" s="193"/>
      <c r="O2" s="193"/>
      <c r="P2" s="163"/>
      <c r="Q2" s="168"/>
    </row>
    <row r="3" spans="1:17" ht="16.5" customHeight="1" x14ac:dyDescent="0.25">
      <c r="B3" s="157"/>
      <c r="C3" s="161"/>
      <c r="D3" s="193"/>
      <c r="E3" s="193"/>
      <c r="F3" s="193"/>
      <c r="G3" s="193"/>
      <c r="H3" s="193"/>
      <c r="I3" s="193"/>
      <c r="J3" s="193"/>
      <c r="K3" s="193"/>
      <c r="L3" s="193"/>
      <c r="M3" s="193"/>
      <c r="N3" s="193"/>
      <c r="O3" s="193"/>
      <c r="P3" s="163"/>
      <c r="Q3" s="168"/>
    </row>
    <row r="4" spans="1:17" x14ac:dyDescent="0.25">
      <c r="B4" s="157"/>
      <c r="C4" s="161"/>
      <c r="D4" s="193"/>
      <c r="E4" s="193"/>
      <c r="F4" s="193"/>
      <c r="G4" s="193"/>
      <c r="H4" s="193"/>
      <c r="I4" s="193"/>
      <c r="J4" s="193"/>
      <c r="K4" s="193"/>
      <c r="L4" s="193"/>
      <c r="M4" s="193"/>
      <c r="N4" s="193"/>
      <c r="O4" s="193"/>
      <c r="P4" s="163"/>
      <c r="Q4" s="168"/>
    </row>
    <row r="5" spans="1:17" ht="23.25" customHeight="1" x14ac:dyDescent="0.25">
      <c r="B5" s="157"/>
      <c r="C5" s="164"/>
      <c r="D5" s="165"/>
      <c r="E5" s="165"/>
      <c r="F5" s="165"/>
      <c r="G5" s="165"/>
      <c r="H5" s="165"/>
      <c r="I5" s="165"/>
      <c r="J5" s="165"/>
      <c r="K5" s="165"/>
      <c r="L5" s="165"/>
      <c r="M5" s="165"/>
      <c r="N5" s="165"/>
      <c r="O5" s="165"/>
      <c r="P5" s="166"/>
      <c r="Q5" s="168"/>
    </row>
    <row r="6" spans="1:17" ht="26.25" customHeight="1" x14ac:dyDescent="0.25">
      <c r="B6" s="188" t="str">
        <f>"PROCESO DE SELECCIÓN "&amp;Indicadores_Generales!D4</f>
        <v>PROCESO DE SELECCIÓN  FDLBOSACM-004-2022(71937)</v>
      </c>
      <c r="C6" s="189"/>
      <c r="D6" s="189"/>
      <c r="E6" s="189"/>
      <c r="F6" s="189"/>
      <c r="G6" s="189"/>
      <c r="H6" s="189"/>
      <c r="I6" s="189"/>
      <c r="J6" s="189"/>
      <c r="K6" s="189"/>
      <c r="L6" s="189"/>
      <c r="M6" s="189"/>
      <c r="N6" s="189"/>
      <c r="O6" s="189"/>
      <c r="P6" s="189"/>
      <c r="Q6" s="190"/>
    </row>
    <row r="7" spans="1:17" ht="42" customHeight="1" x14ac:dyDescent="0.25">
      <c r="B7" s="172" t="str">
        <f>"OBJETO: "&amp;UPPER(Indicadores_Generales!D6)</f>
        <v>OBJETO: REALIZAR LA INTERVENTORÍA
TÉCNICA, ADMINISTRATIVA, FINANCIERA, JURÍDICA, SOCIAL, AMBIENTAL Y
SST AL CONTRATO DE OBRA PÚBLICA QUE TENDRÁ POR OBJETO
CONTRACTUAL EJECUTAR POR EL SISTEMA DE PRECIOS UNITARIOS FIJOS SIN
FORMULA DE REAJUSTE Y A MONTO AGOTABLE LAS ACTIVIDADES
NECESARIAS PARA LA EJECUCIÓN DE LAS OBRAS DE CONSTRUCCIÓN DE
MALLA VIAL Y ESPACIO PUBLICO ASOCIADO DE LA LOCALIDAD DE BOSA, DE
ACUERDO CON LA DESCRIPCIÓN, ESPECIFICACIONES, ESTUDIOS, DISEÑOS Y
DEMÁS CONDICIONES ESTABLECIDAS EN EL ANEXO TÉCNICO</v>
      </c>
      <c r="C7" s="173"/>
      <c r="D7" s="173"/>
      <c r="E7" s="173"/>
      <c r="F7" s="173"/>
      <c r="G7" s="173"/>
      <c r="H7" s="173"/>
      <c r="I7" s="173"/>
      <c r="J7" s="173"/>
      <c r="K7" s="173"/>
      <c r="L7" s="173"/>
      <c r="M7" s="173"/>
      <c r="N7" s="173"/>
      <c r="O7" s="173"/>
      <c r="P7" s="173"/>
      <c r="Q7" s="174"/>
    </row>
    <row r="8" spans="1:17" ht="51" customHeight="1" x14ac:dyDescent="0.25">
      <c r="B8" s="127" t="s">
        <v>20</v>
      </c>
      <c r="C8" s="35" t="str">
        <f>IFERROR(IF(VLOOKUP(C9,Indicadores_Generales!$B$17:$AG$200,5,0)=0,"",VLOOKUP(C9,Indicadores_Generales!$B$17:$AG$200,5,0)),"")</f>
        <v>DAM SOLUCIONES E INGENIERIA SAS</v>
      </c>
      <c r="D8" s="35" t="str">
        <f>IFERROR(IF(VLOOKUP(D9,Indicadores_Generales!$B$17:$AG$200,5,0)=0,"",VLOOKUP(D9,Indicadores_Generales!$B$17:$AG$200,5,0)),"")</f>
        <v xml:space="preserve">	DPC INGENIEROS SAS</v>
      </c>
      <c r="E8" s="35" t="str">
        <f>IFERROR(IF(VLOOKUP(E9,Indicadores_Generales!$B$17:$AG$200,5,0)=0,"",VLOOKUP(E9,Indicadores_Generales!$B$17:$AG$200,5,0)),"")</f>
        <v>CONSORCIO INTERBOSA</v>
      </c>
      <c r="F8" s="35" t="str">
        <f>IFERROR(IF(VLOOKUP(F9,Indicadores_Generales!$B$17:$AG$200,5,0)=0,"",VLOOKUP(F9,Indicadores_Generales!$B$17:$AG$200,5,0)),"")</f>
        <v>CELQO S.A.S.</v>
      </c>
      <c r="G8" s="35" t="str">
        <f>IFERROR(IF(VLOOKUP(G9,Indicadores_Generales!$B$17:$AG$200,5,0)=0,"",VLOOKUP(G9,Indicadores_Generales!$B$17:$AG$200,5,0)),"")</f>
        <v>CIVILE AMC-INTERVENTORÍAS</v>
      </c>
      <c r="H8" s="35" t="str">
        <f>IFERROR(IF(VLOOKUP(H9,Indicadores_Generales!$B$17:$AG$200,5,0)=0,"",VLOOKUP(H9,Indicadores_Generales!$B$17:$AG$200,5,0)),"")</f>
        <v xml:space="preserve">	INTERSA S.A.</v>
      </c>
      <c r="I8" s="35" t="str">
        <f>IFERROR(IF(VLOOKUP(I9,Indicadores_Generales!$B$17:$AG$200,5,0)=0,"",VLOOKUP(I9,Indicadores_Generales!$B$17:$AG$200,5,0)),"")</f>
        <v/>
      </c>
      <c r="J8" s="35" t="str">
        <f>IFERROR(IF(VLOOKUP(J9,Indicadores_Generales!$B$17:$AG$200,5,0)=0,"",VLOOKUP(J9,Indicadores_Generales!$B$17:$AG$200,5,0)),"")</f>
        <v/>
      </c>
      <c r="K8" s="35" t="str">
        <f>IFERROR(IF(VLOOKUP(K9,Indicadores_Generales!$B$17:$AG$200,5,0)=0,"",VLOOKUP(K9,Indicadores_Generales!$B$17:$AG$200,5,0)),"")</f>
        <v/>
      </c>
      <c r="L8" s="35" t="str">
        <f>IFERROR(IF(VLOOKUP(L9,Indicadores_Generales!$B$17:$AG$200,5,0)=0,"",VLOOKUP(L9,Indicadores_Generales!$B$17:$AG$200,5,0)),"")</f>
        <v/>
      </c>
      <c r="M8" s="35" t="str">
        <f>IFERROR(IF(VLOOKUP(M9,Indicadores_Generales!$B$17:$AG$200,5,0)=0,"",VLOOKUP(M9,Indicadores_Generales!$B$17:$AG$200,5,0)),"")</f>
        <v/>
      </c>
      <c r="N8" s="35" t="str">
        <f>IFERROR(IF(VLOOKUP(N9,Indicadores_Generales!$B$17:$AG$200,5,0)=0,"",VLOOKUP(N9,Indicadores_Generales!$B$17:$AG$200,5,0)),"")</f>
        <v/>
      </c>
      <c r="O8" s="35" t="str">
        <f>IFERROR(IF(VLOOKUP(O9,Indicadores_Generales!$B$17:$AG$200,5,0)=0,"",VLOOKUP(O9,Indicadores_Generales!$B$17:$AG$200,5,0)),"")</f>
        <v/>
      </c>
      <c r="P8" s="35" t="str">
        <f>IFERROR(IF(VLOOKUP(P9,Indicadores_Generales!$B$17:$AG$200,5,0)=0,"",VLOOKUP(P9,Indicadores_Generales!$B$17:$AG$200,5,0)),"")</f>
        <v/>
      </c>
      <c r="Q8" s="43" t="str">
        <f>IFERROR(IF(VLOOKUP(Q9,Indicadores_Generales!$B$17:$AG$200,5,0)=0,"",VLOOKUP(Q9,Indicadores_Generales!$B$17:$AG$200,5,0)),"")</f>
        <v/>
      </c>
    </row>
    <row r="9" spans="1:17" s="3" customFormat="1" ht="24" customHeight="1" x14ac:dyDescent="0.25">
      <c r="A9" s="2"/>
      <c r="B9" s="130" t="s">
        <v>2</v>
      </c>
      <c r="C9" s="36">
        <v>91</v>
      </c>
      <c r="D9" s="36">
        <v>92</v>
      </c>
      <c r="E9" s="36">
        <v>93</v>
      </c>
      <c r="F9" s="36">
        <v>94</v>
      </c>
      <c r="G9" s="36">
        <v>95</v>
      </c>
      <c r="H9" s="36">
        <v>96</v>
      </c>
      <c r="I9" s="36">
        <v>97</v>
      </c>
      <c r="J9" s="36">
        <v>98</v>
      </c>
      <c r="K9" s="36">
        <v>99</v>
      </c>
      <c r="L9" s="36">
        <v>100</v>
      </c>
      <c r="M9" s="36">
        <v>101</v>
      </c>
      <c r="N9" s="36">
        <v>102</v>
      </c>
      <c r="O9" s="36">
        <v>103</v>
      </c>
      <c r="P9" s="36">
        <v>104</v>
      </c>
      <c r="Q9" s="36">
        <v>105</v>
      </c>
    </row>
    <row r="10" spans="1:17" s="3" customFormat="1" ht="31.5" x14ac:dyDescent="0.25">
      <c r="B10" s="130" t="s">
        <v>48</v>
      </c>
      <c r="C10" s="4">
        <f>IF(C8="","",IFERROR(IF(VLOOKUP(C9,Indicadores_Generales!$B$17:$AG$200,4,0)=0,"",DATE(VLOOKUP(C9,Indicadores_Generales!$B$17:$AG$200,4,0),12,31)),""))</f>
        <v>44561</v>
      </c>
      <c r="D10" s="4">
        <f>IF(D8="","",IFERROR(IF(VLOOKUP(D9,Indicadores_Generales!$B$17:$AG$200,4,0)=0,"",DATE(VLOOKUP(D9,Indicadores_Generales!$B$17:$AG$200,4,0),12,31)),""))</f>
        <v>44561</v>
      </c>
      <c r="E10" s="4">
        <f>IF(E8="","",IFERROR(IF(VLOOKUP(E9,Indicadores_Generales!$B$17:$AG$200,4,0)=0,"",DATE(VLOOKUP(E9,Indicadores_Generales!$B$17:$AG$200,4,0),12,31)),""))</f>
        <v>44561</v>
      </c>
      <c r="F10" s="4">
        <f>IF(F8="","",IFERROR(IF(VLOOKUP(F9,Indicadores_Generales!$B$17:$AG$200,4,0)=0,"",DATE(VLOOKUP(F9,Indicadores_Generales!$B$17:$AG$200,4,0),12,31)),""))</f>
        <v>44561</v>
      </c>
      <c r="G10" s="4">
        <f>IF(G8="","",IFERROR(IF(VLOOKUP(G9,Indicadores_Generales!$B$17:$AG$200,4,0)=0,"",DATE(VLOOKUP(G9,Indicadores_Generales!$B$17:$AG$200,4,0),12,31)),""))</f>
        <v>44561</v>
      </c>
      <c r="H10" s="4">
        <f>IF(H8="","",IFERROR(IF(VLOOKUP(H9,Indicadores_Generales!$B$17:$AG$200,4,0)=0,"",DATE(VLOOKUP(H9,Indicadores_Generales!$B$17:$AG$200,4,0),12,31)),""))</f>
        <v>44561</v>
      </c>
      <c r="I10" s="4" t="str">
        <f>IF(I8="","",IFERROR(IF(VLOOKUP(I9,Indicadores_Generales!$B$17:$AG$200,4,0)=0,"",DATE(VLOOKUP(I9,Indicadores_Generales!$B$17:$AG$200,4,0),12,31)),""))</f>
        <v/>
      </c>
      <c r="J10" s="4" t="str">
        <f>IF(J8="","",IFERROR(IF(VLOOKUP(J9,Indicadores_Generales!$B$17:$AG$200,4,0)=0,"",DATE(VLOOKUP(J9,Indicadores_Generales!$B$17:$AG$200,4,0),12,31)),""))</f>
        <v/>
      </c>
      <c r="K10" s="4" t="str">
        <f>IF(K8="","",IFERROR(IF(VLOOKUP(K9,Indicadores_Generales!$B$17:$AG$200,4,0)=0,"",DATE(VLOOKUP(K9,Indicadores_Generales!$B$17:$AG$200,4,0),12,31)),""))</f>
        <v/>
      </c>
      <c r="L10" s="4" t="str">
        <f>IF(L8="","",IFERROR(IF(VLOOKUP(L9,Indicadores_Generales!$B$17:$AG$200,4,0)=0,"",DATE(VLOOKUP(L9,Indicadores_Generales!$B$17:$AG$200,4,0),12,31)),""))</f>
        <v/>
      </c>
      <c r="M10" s="4" t="str">
        <f>IF(M8="","",IFERROR(IF(VLOOKUP(M9,Indicadores_Generales!$B$17:$AG$200,4,0)=0,"",DATE(VLOOKUP(M9,Indicadores_Generales!$B$17:$AG$200,4,0),12,31)),""))</f>
        <v/>
      </c>
      <c r="N10" s="4" t="str">
        <f>IF(N8="","",IFERROR(IF(VLOOKUP(N9,Indicadores_Generales!$B$17:$AG$200,4,0)=0,"",DATE(VLOOKUP(N9,Indicadores_Generales!$B$17:$AG$200,4,0),12,31)),""))</f>
        <v/>
      </c>
      <c r="O10" s="4" t="str">
        <f>IF(O8="","",IFERROR(IF(VLOOKUP(O9,Indicadores_Generales!$B$17:$AG$200,4,0)=0,"",DATE(VLOOKUP(O9,Indicadores_Generales!$B$17:$AG$200,4,0),12,31)),""))</f>
        <v/>
      </c>
      <c r="P10" s="4" t="str">
        <f>IF(P8="","",IFERROR(IF(VLOOKUP(P9,Indicadores_Generales!$B$17:$AG$200,4,0)=0,"",DATE(VLOOKUP(P9,Indicadores_Generales!$B$17:$AG$200,4,0),12,31)),""))</f>
        <v/>
      </c>
      <c r="Q10" s="45" t="str">
        <f>IF(Q8="","",IFERROR(IF(VLOOKUP(Q9,Indicadores_Generales!$B$17:$AG$200,4,0)=0,"",DATE(VLOOKUP(Q9,Indicadores_Generales!$B$17:$AG$200,4,0),12,31)),""))</f>
        <v/>
      </c>
    </row>
    <row r="11" spans="1:17" s="3" customFormat="1" ht="24" customHeight="1" x14ac:dyDescent="0.25">
      <c r="B11" s="130" t="s">
        <v>21</v>
      </c>
      <c r="C11" s="128" t="str">
        <f>IF(C8="","",IF(C10="","","VIGENTE"))</f>
        <v>VIGENTE</v>
      </c>
      <c r="D11" s="128" t="str">
        <f t="shared" ref="D11:Q11" si="0">IF(D8="","",IF(D10="","","VIGENTE"))</f>
        <v>VIGENTE</v>
      </c>
      <c r="E11" s="128" t="str">
        <f t="shared" si="0"/>
        <v>VIGENTE</v>
      </c>
      <c r="F11" s="128" t="str">
        <f t="shared" si="0"/>
        <v>VIGENTE</v>
      </c>
      <c r="G11" s="128" t="str">
        <f t="shared" si="0"/>
        <v>VIGENTE</v>
      </c>
      <c r="H11" s="128" t="str">
        <f t="shared" si="0"/>
        <v>VIGENTE</v>
      </c>
      <c r="I11" s="128" t="str">
        <f t="shared" si="0"/>
        <v/>
      </c>
      <c r="J11" s="128" t="str">
        <f t="shared" si="0"/>
        <v/>
      </c>
      <c r="K11" s="128" t="str">
        <f t="shared" si="0"/>
        <v/>
      </c>
      <c r="L11" s="128" t="str">
        <f t="shared" si="0"/>
        <v/>
      </c>
      <c r="M11" s="128" t="str">
        <f t="shared" si="0"/>
        <v/>
      </c>
      <c r="N11" s="128" t="str">
        <f t="shared" si="0"/>
        <v/>
      </c>
      <c r="O11" s="128" t="str">
        <f t="shared" si="0"/>
        <v/>
      </c>
      <c r="P11" s="128" t="str">
        <f t="shared" si="0"/>
        <v/>
      </c>
      <c r="Q11" s="129" t="str">
        <f t="shared" si="0"/>
        <v/>
      </c>
    </row>
    <row r="12" spans="1:17" s="3" customFormat="1" ht="31.5" x14ac:dyDescent="0.25">
      <c r="B12" s="130" t="s">
        <v>22</v>
      </c>
      <c r="C12" s="7">
        <f>IF(C8="","",SUMIFS(Indicadores_Generales!$G:$G,Indicadores_Generales!$B:$B,C9))</f>
        <v>1</v>
      </c>
      <c r="D12" s="7">
        <f>IF(D8="","",SUMIFS(Indicadores_Generales!$G:$G,Indicadores_Generales!$B:$B,D9))</f>
        <v>1</v>
      </c>
      <c r="E12" s="7">
        <f>IF(E8="","",SUMIFS(Indicadores_Generales!$G:$G,Indicadores_Generales!$B:$B,E9))</f>
        <v>1</v>
      </c>
      <c r="F12" s="7">
        <f>IF(F8="","",SUMIFS(Indicadores_Generales!$G:$G,Indicadores_Generales!$B:$B,F9))</f>
        <v>1</v>
      </c>
      <c r="G12" s="7">
        <f>IF(G8="","",SUMIFS(Indicadores_Generales!$G:$G,Indicadores_Generales!$B:$B,G9))</f>
        <v>1</v>
      </c>
      <c r="H12" s="7">
        <f>IF(H8="","",SUMIFS(Indicadores_Generales!$G:$G,Indicadores_Generales!$B:$B,H9))</f>
        <v>1</v>
      </c>
      <c r="I12" s="7" t="str">
        <f>IF(I8="","",SUMIFS(Indicadores_Generales!$G:$G,Indicadores_Generales!$B:$B,I9))</f>
        <v/>
      </c>
      <c r="J12" s="7" t="str">
        <f>IF(J8="","",SUMIFS(Indicadores_Generales!$G:$G,Indicadores_Generales!$B:$B,J9))</f>
        <v/>
      </c>
      <c r="K12" s="7" t="str">
        <f>IF(K8="","",SUMIFS(Indicadores_Generales!$G:$G,Indicadores_Generales!$B:$B,K9))</f>
        <v/>
      </c>
      <c r="L12" s="7" t="str">
        <f>IF(L8="","",SUMIFS(Indicadores_Generales!$G:$G,Indicadores_Generales!$B:$B,L9))</f>
        <v/>
      </c>
      <c r="M12" s="7" t="str">
        <f>IF(M8="","",SUMIFS(Indicadores_Generales!$G:$G,Indicadores_Generales!$B:$B,M9))</f>
        <v/>
      </c>
      <c r="N12" s="7" t="str">
        <f>IF(N8="","",SUMIFS(Indicadores_Generales!$G:$G,Indicadores_Generales!$B:$B,N9))</f>
        <v/>
      </c>
      <c r="O12" s="7" t="str">
        <f>IF(O8="","",SUMIFS(Indicadores_Generales!$G:$G,Indicadores_Generales!$B:$B,O9))</f>
        <v/>
      </c>
      <c r="P12" s="7" t="str">
        <f>IF(P8="","",SUMIFS(Indicadores_Generales!$G:$G,Indicadores_Generales!$B:$B,P9))</f>
        <v/>
      </c>
      <c r="Q12" s="46" t="str">
        <f>IF(Q8="","",SUMIFS(Indicadores_Generales!$G:$G,Indicadores_Generales!$B:$B,Q9))</f>
        <v/>
      </c>
    </row>
    <row r="13" spans="1:17" s="3" customFormat="1" ht="26.25" customHeight="1" x14ac:dyDescent="0.25">
      <c r="B13" s="130" t="s">
        <v>4</v>
      </c>
      <c r="C13" s="8">
        <f>IF(C8="","",SUMIFS(Indicadores_Generales!$U:$U,Indicadores_Generales!$B:$B,C9))</f>
        <v>1383247532</v>
      </c>
      <c r="D13" s="8">
        <f>IF(D8="","",SUMIFS(Indicadores_Generales!$U:$U,Indicadores_Generales!$B:$B,D9))</f>
        <v>9694030676</v>
      </c>
      <c r="E13" s="8">
        <f>IF(E8="","",SUMIFS(Indicadores_Generales!$U:$U,Indicadores_Generales!$B:$B,E9))</f>
        <v>14698461278.849998</v>
      </c>
      <c r="F13" s="8">
        <f>IF(F8="","",SUMIFS(Indicadores_Generales!$U:$U,Indicadores_Generales!$B:$B,F9))</f>
        <v>5106505039</v>
      </c>
      <c r="G13" s="8">
        <f>IF(G8="","",SUMIFS(Indicadores_Generales!$U:$U,Indicadores_Generales!$B:$B,G9))</f>
        <v>3204612788</v>
      </c>
      <c r="H13" s="8">
        <f>IF(H8="","",SUMIFS(Indicadores_Generales!$U:$U,Indicadores_Generales!$B:$B,H9))</f>
        <v>2972054000</v>
      </c>
      <c r="I13" s="8" t="str">
        <f>IF(I8="","",SUMIFS(Indicadores_Generales!$U:$U,Indicadores_Generales!$B:$B,I9))</f>
        <v/>
      </c>
      <c r="J13" s="8" t="str">
        <f>IF(J8="","",SUMIFS(Indicadores_Generales!$U:$U,Indicadores_Generales!$B:$B,J9))</f>
        <v/>
      </c>
      <c r="K13" s="8" t="str">
        <f>IF(K8="","",SUMIFS(Indicadores_Generales!$U:$U,Indicadores_Generales!$B:$B,K9))</f>
        <v/>
      </c>
      <c r="L13" s="8" t="str">
        <f>IF(L8="","",SUMIFS(Indicadores_Generales!$U:$U,Indicadores_Generales!$B:$B,L9))</f>
        <v/>
      </c>
      <c r="M13" s="8" t="str">
        <f>IF(M8="","",SUMIFS(Indicadores_Generales!$U:$U,Indicadores_Generales!$B:$B,M9))</f>
        <v/>
      </c>
      <c r="N13" s="8" t="str">
        <f>IF(N8="","",SUMIFS(Indicadores_Generales!$U:$U,Indicadores_Generales!$B:$B,N9))</f>
        <v/>
      </c>
      <c r="O13" s="8" t="str">
        <f>IF(O8="","",SUMIFS(Indicadores_Generales!$U:$U,Indicadores_Generales!$B:$B,O9))</f>
        <v/>
      </c>
      <c r="P13" s="8" t="str">
        <f>IF(P8="","",SUMIFS(Indicadores_Generales!$U:$U,Indicadores_Generales!$B:$B,P9))</f>
        <v/>
      </c>
      <c r="Q13" s="47" t="str">
        <f>IF(Q8="","",SUMIFS(Indicadores_Generales!$U:$U,Indicadores_Generales!$B:$B,Q9))</f>
        <v/>
      </c>
    </row>
    <row r="14" spans="1:17" s="3" customFormat="1" ht="26.25" customHeight="1" x14ac:dyDescent="0.25">
      <c r="B14" s="130" t="s">
        <v>5</v>
      </c>
      <c r="C14" s="8">
        <f>IF(C8="","",SUMIFS(Indicadores_Generales!$V:$V,Indicadores_Generales!$B:$B,C9))</f>
        <v>411318964</v>
      </c>
      <c r="D14" s="8">
        <f>IF(D8="","",SUMIFS(Indicadores_Generales!$V:$V,Indicadores_Generales!$B:$B,D9))</f>
        <v>3522707285</v>
      </c>
      <c r="E14" s="8">
        <f>IF(E8="","",SUMIFS(Indicadores_Generales!$V:$V,Indicadores_Generales!$B:$B,E9))</f>
        <v>1354175253.5999999</v>
      </c>
      <c r="F14" s="8">
        <f>IF(F8="","",SUMIFS(Indicadores_Generales!$V:$V,Indicadores_Generales!$B:$B,F9))</f>
        <v>2268835166</v>
      </c>
      <c r="G14" s="8">
        <f>IF(G8="","",SUMIFS(Indicadores_Generales!$V:$V,Indicadores_Generales!$B:$B,G9))</f>
        <v>279151452.80000001</v>
      </c>
      <c r="H14" s="8">
        <f>IF(H8="","",SUMIFS(Indicadores_Generales!$V:$V,Indicadores_Generales!$B:$B,H9))</f>
        <v>603505000</v>
      </c>
      <c r="I14" s="8" t="str">
        <f>IF(I8="","",SUMIFS(Indicadores_Generales!$V:$V,Indicadores_Generales!$B:$B,I9))</f>
        <v/>
      </c>
      <c r="J14" s="8" t="str">
        <f>IF(J8="","",SUMIFS(Indicadores_Generales!$V:$V,Indicadores_Generales!$B:$B,J9))</f>
        <v/>
      </c>
      <c r="K14" s="8" t="str">
        <f>IF(K8="","",SUMIFS(Indicadores_Generales!$V:$V,Indicadores_Generales!$B:$B,K9))</f>
        <v/>
      </c>
      <c r="L14" s="8" t="str">
        <f>IF(L8="","",SUMIFS(Indicadores_Generales!$V:$V,Indicadores_Generales!$B:$B,L9))</f>
        <v/>
      </c>
      <c r="M14" s="8" t="str">
        <f>IF(M8="","",SUMIFS(Indicadores_Generales!$V:$V,Indicadores_Generales!$B:$B,M9))</f>
        <v/>
      </c>
      <c r="N14" s="8" t="str">
        <f>IF(N8="","",SUMIFS(Indicadores_Generales!$V:$V,Indicadores_Generales!$B:$B,N9))</f>
        <v/>
      </c>
      <c r="O14" s="8" t="str">
        <f>IF(O8="","",SUMIFS(Indicadores_Generales!$V:$V,Indicadores_Generales!$B:$B,O9))</f>
        <v/>
      </c>
      <c r="P14" s="8" t="str">
        <f>IF(P8="","",SUMIFS(Indicadores_Generales!$V:$V,Indicadores_Generales!$B:$B,P9))</f>
        <v/>
      </c>
      <c r="Q14" s="47" t="str">
        <f>IF(Q8="","",SUMIFS(Indicadores_Generales!$V:$V,Indicadores_Generales!$B:$B,Q9))</f>
        <v/>
      </c>
    </row>
    <row r="15" spans="1:17" s="3" customFormat="1" ht="26.25" customHeight="1" x14ac:dyDescent="0.25">
      <c r="B15" s="130" t="s">
        <v>6</v>
      </c>
      <c r="C15" s="8">
        <f>IF(C8="","",SUMIFS(Indicadores_Generales!$W:$W,Indicadores_Generales!$B:$B,C9))</f>
        <v>1393247396</v>
      </c>
      <c r="D15" s="8">
        <f>IF(D8="","",SUMIFS(Indicadores_Generales!$W:$W,Indicadores_Generales!$B:$B,D9))</f>
        <v>10360036117</v>
      </c>
      <c r="E15" s="8">
        <f>IF(E8="","",SUMIFS(Indicadores_Generales!$W:$W,Indicadores_Generales!$B:$B,E9))</f>
        <v>16234875604.499998</v>
      </c>
      <c r="F15" s="8">
        <f>IF(F8="","",SUMIFS(Indicadores_Generales!$W:$W,Indicadores_Generales!$B:$B,F9))</f>
        <v>9164695111</v>
      </c>
      <c r="G15" s="8">
        <f>IF(G8="","",SUMIFS(Indicadores_Generales!$W:$W,Indicadores_Generales!$B:$B,G9))</f>
        <v>3255498209.6000004</v>
      </c>
      <c r="H15" s="8">
        <f>IF(H8="","",SUMIFS(Indicadores_Generales!$W:$W,Indicadores_Generales!$B:$B,H9))</f>
        <v>3005731000</v>
      </c>
      <c r="I15" s="8" t="str">
        <f>IF(I8="","",SUMIFS(Indicadores_Generales!$W:$W,Indicadores_Generales!$B:$B,I9))</f>
        <v/>
      </c>
      <c r="J15" s="8" t="str">
        <f>IF(J8="","",SUMIFS(Indicadores_Generales!$W:$W,Indicadores_Generales!$B:$B,J9))</f>
        <v/>
      </c>
      <c r="K15" s="8" t="str">
        <f>IF(K8="","",SUMIFS(Indicadores_Generales!$W:$W,Indicadores_Generales!$B:$B,K9))</f>
        <v/>
      </c>
      <c r="L15" s="8" t="str">
        <f>IF(L8="","",SUMIFS(Indicadores_Generales!$W:$W,Indicadores_Generales!$B:$B,L9))</f>
        <v/>
      </c>
      <c r="M15" s="8" t="str">
        <f>IF(M8="","",SUMIFS(Indicadores_Generales!$W:$W,Indicadores_Generales!$B:$B,M9))</f>
        <v/>
      </c>
      <c r="N15" s="8" t="str">
        <f>IF(N8="","",SUMIFS(Indicadores_Generales!$W:$W,Indicadores_Generales!$B:$B,N9))</f>
        <v/>
      </c>
      <c r="O15" s="8" t="str">
        <f>IF(O8="","",SUMIFS(Indicadores_Generales!$W:$W,Indicadores_Generales!$B:$B,O9))</f>
        <v/>
      </c>
      <c r="P15" s="8" t="str">
        <f>IF(P8="","",SUMIFS(Indicadores_Generales!$W:$W,Indicadores_Generales!$B:$B,P9))</f>
        <v/>
      </c>
      <c r="Q15" s="47" t="str">
        <f>IF(Q8="","",SUMIFS(Indicadores_Generales!$W:$W,Indicadores_Generales!$B:$B,Q9))</f>
        <v/>
      </c>
    </row>
    <row r="16" spans="1:17" s="3" customFormat="1" ht="26.25" customHeight="1" x14ac:dyDescent="0.25">
      <c r="B16" s="130" t="s">
        <v>7</v>
      </c>
      <c r="C16" s="8">
        <f>IF(C8="","",SUMIFS(Indicadores_Generales!$X:$X,Indicadores_Generales!$B:$B,C9))</f>
        <v>811410536</v>
      </c>
      <c r="D16" s="8">
        <f>IF(D8="","",SUMIFS(Indicadores_Generales!$X:$X,Indicadores_Generales!$B:$B,D9))</f>
        <v>3522707285</v>
      </c>
      <c r="E16" s="8">
        <f>IF(E8="","",SUMIFS(Indicadores_Generales!$X:$X,Indicadores_Generales!$B:$B,E9))</f>
        <v>6076085493.0500002</v>
      </c>
      <c r="F16" s="8">
        <f>IF(F8="","",SUMIFS(Indicadores_Generales!$X:$X,Indicadores_Generales!$B:$B,F9))</f>
        <v>4610695689</v>
      </c>
      <c r="G16" s="8">
        <f>IF(G8="","",SUMIFS(Indicadores_Generales!$X:$X,Indicadores_Generales!$B:$B,G9))</f>
        <v>522237014.40000004</v>
      </c>
      <c r="H16" s="8">
        <f>IF(H8="","",SUMIFS(Indicadores_Generales!$X:$X,Indicadores_Generales!$B:$B,H9))</f>
        <v>1090172000</v>
      </c>
      <c r="I16" s="8" t="str">
        <f>IF(I8="","",SUMIFS(Indicadores_Generales!$X:$X,Indicadores_Generales!$B:$B,I9))</f>
        <v/>
      </c>
      <c r="J16" s="8" t="str">
        <f>IF(J8="","",SUMIFS(Indicadores_Generales!$X:$X,Indicadores_Generales!$B:$B,J9))</f>
        <v/>
      </c>
      <c r="K16" s="8" t="str">
        <f>IF(K8="","",SUMIFS(Indicadores_Generales!$X:$X,Indicadores_Generales!$B:$B,K9))</f>
        <v/>
      </c>
      <c r="L16" s="8" t="str">
        <f>IF(L8="","",SUMIFS(Indicadores_Generales!$X:$X,Indicadores_Generales!$B:$B,L9))</f>
        <v/>
      </c>
      <c r="M16" s="8" t="str">
        <f>IF(M8="","",SUMIFS(Indicadores_Generales!$X:$X,Indicadores_Generales!$B:$B,M9))</f>
        <v/>
      </c>
      <c r="N16" s="8" t="str">
        <f>IF(N8="","",SUMIFS(Indicadores_Generales!$X:$X,Indicadores_Generales!$B:$B,N9))</f>
        <v/>
      </c>
      <c r="O16" s="8" t="str">
        <f>IF(O8="","",SUMIFS(Indicadores_Generales!$X:$X,Indicadores_Generales!$B:$B,O9))</f>
        <v/>
      </c>
      <c r="P16" s="8" t="str">
        <f>IF(P8="","",SUMIFS(Indicadores_Generales!$X:$X,Indicadores_Generales!$B:$B,P9))</f>
        <v/>
      </c>
      <c r="Q16" s="47" t="str">
        <f>IF(Q8="","",SUMIFS(Indicadores_Generales!$X:$X,Indicadores_Generales!$B:$B,Q9))</f>
        <v/>
      </c>
    </row>
    <row r="17" spans="1:17" s="3" customFormat="1" ht="26.25" customHeight="1" x14ac:dyDescent="0.25">
      <c r="B17" s="130" t="s">
        <v>23</v>
      </c>
      <c r="C17" s="8">
        <f>IF(C8="","",SUMIFS(Indicadores_Generales!$Y:$Y,Indicadores_Generales!$B:$B,C9))</f>
        <v>581836860</v>
      </c>
      <c r="D17" s="8">
        <f>IF(D8="","",SUMIFS(Indicadores_Generales!$Y:$Y,Indicadores_Generales!$B:$B,D9))</f>
        <v>6837328832</v>
      </c>
      <c r="E17" s="8">
        <f>IF(E8="","",SUMIFS(Indicadores_Generales!$Y:$Y,Indicadores_Generales!$B:$B,E9))</f>
        <v>10158790111.450001</v>
      </c>
      <c r="F17" s="8">
        <f>IF(F8="","",SUMIFS(Indicadores_Generales!$Y:$Y,Indicadores_Generales!$B:$B,F9))</f>
        <v>4553999422</v>
      </c>
      <c r="G17" s="8">
        <f>IF(G8="","",SUMIFS(Indicadores_Generales!$Y:$Y,Indicadores_Generales!$B:$B,G9))</f>
        <v>2733261195.2000003</v>
      </c>
      <c r="H17" s="8">
        <f>IF(H8="","",SUMIFS(Indicadores_Generales!$Y:$Y,Indicadores_Generales!$B:$B,H9))</f>
        <v>1915559000</v>
      </c>
      <c r="I17" s="8" t="str">
        <f>IF(I8="","",SUMIFS(Indicadores_Generales!$Y:$Y,Indicadores_Generales!$B:$B,I9))</f>
        <v/>
      </c>
      <c r="J17" s="8" t="str">
        <f>IF(J8="","",SUMIFS(Indicadores_Generales!$Y:$Y,Indicadores_Generales!$B:$B,J9))</f>
        <v/>
      </c>
      <c r="K17" s="8" t="str">
        <f>IF(K8="","",SUMIFS(Indicadores_Generales!$Y:$Y,Indicadores_Generales!$B:$B,K9))</f>
        <v/>
      </c>
      <c r="L17" s="8" t="str">
        <f>IF(L8="","",SUMIFS(Indicadores_Generales!$Y:$Y,Indicadores_Generales!$B:$B,L9))</f>
        <v/>
      </c>
      <c r="M17" s="8" t="str">
        <f>IF(M8="","",SUMIFS(Indicadores_Generales!$Y:$Y,Indicadores_Generales!$B:$B,M9))</f>
        <v/>
      </c>
      <c r="N17" s="8" t="str">
        <f>IF(N8="","",SUMIFS(Indicadores_Generales!$Y:$Y,Indicadores_Generales!$B:$B,N9))</f>
        <v/>
      </c>
      <c r="O17" s="8" t="str">
        <f>IF(O8="","",SUMIFS(Indicadores_Generales!$Y:$Y,Indicadores_Generales!$B:$B,O9))</f>
        <v/>
      </c>
      <c r="P17" s="8" t="str">
        <f>IF(P8="","",SUMIFS(Indicadores_Generales!$Y:$Y,Indicadores_Generales!$B:$B,P9))</f>
        <v/>
      </c>
      <c r="Q17" s="47" t="str">
        <f>IF(Q8="","",SUMIFS(Indicadores_Generales!$Y:$Y,Indicadores_Generales!$B:$B,Q9))</f>
        <v/>
      </c>
    </row>
    <row r="18" spans="1:17" s="3" customFormat="1" ht="36.75" customHeight="1" x14ac:dyDescent="0.25">
      <c r="B18" s="130" t="s">
        <v>24</v>
      </c>
      <c r="C18" s="8">
        <f>IF(C8="","",C15-C16-C17)</f>
        <v>0</v>
      </c>
      <c r="D18" s="8">
        <f t="shared" ref="D18:Q18" si="1">IF(D8="","",D15-D16-D17)</f>
        <v>0</v>
      </c>
      <c r="E18" s="8">
        <f t="shared" si="1"/>
        <v>-3.814697265625E-6</v>
      </c>
      <c r="F18" s="8">
        <f t="shared" si="1"/>
        <v>0</v>
      </c>
      <c r="G18" s="8">
        <f t="shared" si="1"/>
        <v>0</v>
      </c>
      <c r="H18" s="8">
        <f t="shared" si="1"/>
        <v>0</v>
      </c>
      <c r="I18" s="8" t="str">
        <f t="shared" si="1"/>
        <v/>
      </c>
      <c r="J18" s="8" t="str">
        <f t="shared" si="1"/>
        <v/>
      </c>
      <c r="K18" s="8" t="str">
        <f t="shared" si="1"/>
        <v/>
      </c>
      <c r="L18" s="8" t="str">
        <f t="shared" si="1"/>
        <v/>
      </c>
      <c r="M18" s="8" t="str">
        <f t="shared" si="1"/>
        <v/>
      </c>
      <c r="N18" s="8" t="str">
        <f t="shared" si="1"/>
        <v/>
      </c>
      <c r="O18" s="8" t="str">
        <f t="shared" si="1"/>
        <v/>
      </c>
      <c r="P18" s="8" t="str">
        <f t="shared" si="1"/>
        <v/>
      </c>
      <c r="Q18" s="47" t="str">
        <f t="shared" si="1"/>
        <v/>
      </c>
    </row>
    <row r="19" spans="1:17" s="3" customFormat="1" ht="26.25" customHeight="1" x14ac:dyDescent="0.25">
      <c r="B19" s="130" t="s">
        <v>25</v>
      </c>
      <c r="C19" s="8">
        <f>IF(C8="","",SUMIFS(Indicadores_Generales!$Z:$Z,Indicadores_Generales!$B:$B,C9))</f>
        <v>123776567</v>
      </c>
      <c r="D19" s="8">
        <f>IF(D8="","",SUMIFS(Indicadores_Generales!$Z:$Z,Indicadores_Generales!$B:$B,D9))</f>
        <v>777836934</v>
      </c>
      <c r="E19" s="8">
        <f>IF(E8="","",SUMIFS(Indicadores_Generales!$Z:$Z,Indicadores_Generales!$B:$B,E9))</f>
        <v>1903315522.45</v>
      </c>
      <c r="F19" s="8">
        <f>IF(F8="","",SUMIFS(Indicadores_Generales!$Z:$Z,Indicadores_Generales!$B:$B,F9))</f>
        <v>315587047</v>
      </c>
      <c r="G19" s="8">
        <f>IF(G8="","",SUMIFS(Indicadores_Generales!$Z:$Z,Indicadores_Generales!$B:$B,G9))</f>
        <v>739929676</v>
      </c>
      <c r="H19" s="8">
        <f>IF(H8="","",SUMIFS(Indicadores_Generales!$Z:$Z,Indicadores_Generales!$B:$B,H9))</f>
        <v>150374000</v>
      </c>
      <c r="I19" s="8" t="str">
        <f>IF(I8="","",SUMIFS(Indicadores_Generales!$Z:$Z,Indicadores_Generales!$B:$B,I9))</f>
        <v/>
      </c>
      <c r="J19" s="8" t="str">
        <f>IF(J8="","",SUMIFS(Indicadores_Generales!$Z:$Z,Indicadores_Generales!$B:$B,J9))</f>
        <v/>
      </c>
      <c r="K19" s="8" t="str">
        <f>IF(K8="","",SUMIFS(Indicadores_Generales!$Z:$Z,Indicadores_Generales!$B:$B,K9))</f>
        <v/>
      </c>
      <c r="L19" s="8" t="str">
        <f>IF(L8="","",SUMIFS(Indicadores_Generales!$Z:$Z,Indicadores_Generales!$B:$B,L9))</f>
        <v/>
      </c>
      <c r="M19" s="8" t="str">
        <f>IF(M8="","",SUMIFS(Indicadores_Generales!$Z:$Z,Indicadores_Generales!$B:$B,M9))</f>
        <v/>
      </c>
      <c r="N19" s="8" t="str">
        <f>IF(N8="","",SUMIFS(Indicadores_Generales!$Z:$Z,Indicadores_Generales!$B:$B,N9))</f>
        <v/>
      </c>
      <c r="O19" s="8" t="str">
        <f>IF(O8="","",SUMIFS(Indicadores_Generales!$Z:$Z,Indicadores_Generales!$B:$B,O9))</f>
        <v/>
      </c>
      <c r="P19" s="8" t="str">
        <f>IF(P8="","",SUMIFS(Indicadores_Generales!$Z:$Z,Indicadores_Generales!$B:$B,P9))</f>
        <v/>
      </c>
      <c r="Q19" s="47" t="str">
        <f>IF(Q8="","",SUMIFS(Indicadores_Generales!$Z:$Z,Indicadores_Generales!$B:$B,Q9))</f>
        <v/>
      </c>
    </row>
    <row r="20" spans="1:17" s="3" customFormat="1" ht="26.25" customHeight="1" x14ac:dyDescent="0.25">
      <c r="B20" s="130" t="s">
        <v>26</v>
      </c>
      <c r="C20" s="8">
        <f>IF(C8="","",SUMIFS(Indicadores_Generales!$AA:$AA,Indicadores_Generales!$B:$B,C9))</f>
        <v>14813523</v>
      </c>
      <c r="D20" s="8">
        <f>IF(D8="","",SUMIFS(Indicadores_Generales!$AA:$AA,Indicadores_Generales!$B:$B,D9))</f>
        <v>589108</v>
      </c>
      <c r="E20" s="8">
        <f>IF(E8="","",SUMIFS(Indicadores_Generales!$AA:$AA,Indicadores_Generales!$B:$B,E9))</f>
        <v>102221655.84999999</v>
      </c>
      <c r="F20" s="8">
        <f>IF(F8="","",SUMIFS(Indicadores_Generales!$AA:$AA,Indicadores_Generales!$B:$B,F9))</f>
        <v>131360415</v>
      </c>
      <c r="G20" s="8">
        <f>IF(G8="","",SUMIFS(Indicadores_Generales!$AA:$AA,Indicadores_Generales!$B:$B,G9))</f>
        <v>8112240</v>
      </c>
      <c r="H20" s="8">
        <f>IF(H8="","",SUMIFS(Indicadores_Generales!$AA:$AA,Indicadores_Generales!$B:$B,H9))</f>
        <v>10531000</v>
      </c>
      <c r="I20" s="8" t="str">
        <f>IF(I8="","",SUMIFS(Indicadores_Generales!$AA:$AA,Indicadores_Generales!$B:$B,I9))</f>
        <v/>
      </c>
      <c r="J20" s="8" t="str">
        <f>IF(J8="","",SUMIFS(Indicadores_Generales!$AA:$AA,Indicadores_Generales!$B:$B,J9))</f>
        <v/>
      </c>
      <c r="K20" s="8" t="str">
        <f>IF(K8="","",SUMIFS(Indicadores_Generales!$AA:$AA,Indicadores_Generales!$B:$B,K9))</f>
        <v/>
      </c>
      <c r="L20" s="8" t="str">
        <f>IF(L8="","",SUMIFS(Indicadores_Generales!$AA:$AA,Indicadores_Generales!$B:$B,L9))</f>
        <v/>
      </c>
      <c r="M20" s="8" t="str">
        <f>IF(M8="","",SUMIFS(Indicadores_Generales!$AA:$AA,Indicadores_Generales!$B:$B,M9))</f>
        <v/>
      </c>
      <c r="N20" s="8" t="str">
        <f>IF(N8="","",SUMIFS(Indicadores_Generales!$AA:$AA,Indicadores_Generales!$B:$B,N9))</f>
        <v/>
      </c>
      <c r="O20" s="8" t="str">
        <f>IF(O8="","",SUMIFS(Indicadores_Generales!$AA:$AA,Indicadores_Generales!$B:$B,O9))</f>
        <v/>
      </c>
      <c r="P20" s="8" t="str">
        <f>IF(P8="","",SUMIFS(Indicadores_Generales!$AA:$AA,Indicadores_Generales!$B:$B,P9))</f>
        <v/>
      </c>
      <c r="Q20" s="47" t="str">
        <f>IF(Q8="","",SUMIFS(Indicadores_Generales!$AA:$AA,Indicadores_Generales!$B:$B,Q9))</f>
        <v/>
      </c>
    </row>
    <row r="21" spans="1:17" s="3" customFormat="1" ht="58.5" customHeight="1" x14ac:dyDescent="0.25">
      <c r="B21" s="130" t="s">
        <v>27</v>
      </c>
      <c r="C21" s="9">
        <f>IF(C8="","",C19/C17)</f>
        <v>0.21273414510039806</v>
      </c>
      <c r="D21" s="9">
        <f t="shared" ref="D21:Q21" si="2">IF(D8="","",D19/D17)</f>
        <v>0.11376327702122138</v>
      </c>
      <c r="E21" s="9">
        <f t="shared" si="2"/>
        <v>0.18735651603873257</v>
      </c>
      <c r="F21" s="9">
        <f t="shared" si="2"/>
        <v>6.9298877262791186E-2</v>
      </c>
      <c r="G21" s="9">
        <f t="shared" si="2"/>
        <v>0.27071312368515049</v>
      </c>
      <c r="H21" s="9">
        <f t="shared" si="2"/>
        <v>7.8501366963899311E-2</v>
      </c>
      <c r="I21" s="9" t="str">
        <f t="shared" si="2"/>
        <v/>
      </c>
      <c r="J21" s="9" t="str">
        <f t="shared" si="2"/>
        <v/>
      </c>
      <c r="K21" s="9" t="str">
        <f t="shared" si="2"/>
        <v/>
      </c>
      <c r="L21" s="9" t="str">
        <f t="shared" si="2"/>
        <v/>
      </c>
      <c r="M21" s="9" t="str">
        <f t="shared" si="2"/>
        <v/>
      </c>
      <c r="N21" s="9" t="str">
        <f t="shared" si="2"/>
        <v/>
      </c>
      <c r="O21" s="9" t="str">
        <f t="shared" si="2"/>
        <v/>
      </c>
      <c r="P21" s="9" t="str">
        <f t="shared" si="2"/>
        <v/>
      </c>
      <c r="Q21" s="48" t="str">
        <f t="shared" si="2"/>
        <v/>
      </c>
    </row>
    <row r="22" spans="1:17" s="3" customFormat="1" ht="57" customHeight="1" x14ac:dyDescent="0.25">
      <c r="B22" s="130" t="s">
        <v>28</v>
      </c>
      <c r="C22" s="9">
        <f>IF(C8="","",C19/C15)</f>
        <v>8.8840336149460131E-2</v>
      </c>
      <c r="D22" s="9">
        <f t="shared" ref="D22:Q22" si="3">IF(D8="","",D19/D15)</f>
        <v>7.5080523389646409E-2</v>
      </c>
      <c r="E22" s="9">
        <f t="shared" si="3"/>
        <v>0.11723622458323224</v>
      </c>
      <c r="F22" s="9">
        <f t="shared" si="3"/>
        <v>3.443508411111397E-2</v>
      </c>
      <c r="G22" s="9">
        <f t="shared" si="3"/>
        <v>0.2272861566374243</v>
      </c>
      <c r="H22" s="9">
        <f t="shared" si="3"/>
        <v>5.0029094419959737E-2</v>
      </c>
      <c r="I22" s="9" t="str">
        <f t="shared" si="3"/>
        <v/>
      </c>
      <c r="J22" s="9" t="str">
        <f t="shared" si="3"/>
        <v/>
      </c>
      <c r="K22" s="9" t="str">
        <f>IF(K8="","",K19/K15)</f>
        <v/>
      </c>
      <c r="L22" s="9" t="str">
        <f t="shared" si="3"/>
        <v/>
      </c>
      <c r="M22" s="9" t="str">
        <f t="shared" si="3"/>
        <v/>
      </c>
      <c r="N22" s="9" t="str">
        <f t="shared" si="3"/>
        <v/>
      </c>
      <c r="O22" s="9" t="str">
        <f t="shared" si="3"/>
        <v/>
      </c>
      <c r="P22" s="9" t="str">
        <f t="shared" si="3"/>
        <v/>
      </c>
      <c r="Q22" s="48" t="str">
        <f t="shared" si="3"/>
        <v/>
      </c>
    </row>
    <row r="23" spans="1:17" s="3" customFormat="1" ht="35.25" customHeight="1" x14ac:dyDescent="0.25">
      <c r="B23" s="10" t="s">
        <v>29</v>
      </c>
      <c r="C23" s="11">
        <f>IF(C8="","",Indicadores_Generales!$D$5)</f>
        <v>800053615</v>
      </c>
      <c r="D23" s="11">
        <f>IF(D8="","",Indicadores_Generales!$D$5)</f>
        <v>800053615</v>
      </c>
      <c r="E23" s="11">
        <f>IF(E8="","",Indicadores_Generales!$D$5)</f>
        <v>800053615</v>
      </c>
      <c r="F23" s="11">
        <f>IF(F8="","",Indicadores_Generales!$D$5)</f>
        <v>800053615</v>
      </c>
      <c r="G23" s="11">
        <f>IF(G8="","",Indicadores_Generales!$D$5)</f>
        <v>800053615</v>
      </c>
      <c r="H23" s="11">
        <f>IF(H8="","",Indicadores_Generales!$D$5)</f>
        <v>800053615</v>
      </c>
      <c r="I23" s="11" t="str">
        <f>IF(I8="","",Indicadores_Generales!$D$5)</f>
        <v/>
      </c>
      <c r="J23" s="11" t="str">
        <f>IF(J8="","",Indicadores_Generales!$D$5)</f>
        <v/>
      </c>
      <c r="K23" s="11" t="str">
        <f>IF(K8="","",Indicadores_Generales!$D$5)</f>
        <v/>
      </c>
      <c r="L23" s="11" t="str">
        <f>IF(L8="","",Indicadores_Generales!$D$5)</f>
        <v/>
      </c>
      <c r="M23" s="11" t="str">
        <f>IF(M8="","",Indicadores_Generales!$D$5)</f>
        <v/>
      </c>
      <c r="N23" s="11" t="str">
        <f>IF(N8="","",Indicadores_Generales!$D$5)</f>
        <v/>
      </c>
      <c r="O23" s="11" t="str">
        <f>IF(O8="","",Indicadores_Generales!$D$5)</f>
        <v/>
      </c>
      <c r="P23" s="11" t="str">
        <f>IF(P8="","",Indicadores_Generales!$D$5)</f>
        <v/>
      </c>
      <c r="Q23" s="49" t="str">
        <f>IF(Q8="","",Indicadores_Generales!$D$5)</f>
        <v/>
      </c>
    </row>
    <row r="24" spans="1:17" s="3" customFormat="1" ht="30" customHeight="1" x14ac:dyDescent="0.25">
      <c r="B24" s="153" t="s">
        <v>30</v>
      </c>
      <c r="C24" s="154"/>
      <c r="D24" s="154"/>
      <c r="E24" s="154"/>
      <c r="F24" s="154"/>
      <c r="G24" s="154"/>
      <c r="H24" s="154"/>
      <c r="I24" s="154"/>
      <c r="J24" s="154"/>
      <c r="K24" s="154"/>
      <c r="L24" s="154"/>
      <c r="M24" s="154"/>
      <c r="N24" s="154"/>
      <c r="O24" s="154"/>
      <c r="P24" s="154"/>
      <c r="Q24" s="155"/>
    </row>
    <row r="25" spans="1:17" s="3" customFormat="1" ht="15.75" x14ac:dyDescent="0.25">
      <c r="A25" s="12"/>
      <c r="B25" s="13" t="s">
        <v>31</v>
      </c>
      <c r="C25" s="14"/>
      <c r="D25" s="14"/>
      <c r="E25" s="14"/>
      <c r="F25" s="14"/>
      <c r="G25" s="14"/>
      <c r="H25" s="14"/>
      <c r="I25" s="14"/>
      <c r="J25" s="14"/>
      <c r="K25" s="14"/>
      <c r="L25" s="14"/>
      <c r="M25" s="14"/>
      <c r="N25" s="14" t="s">
        <v>55</v>
      </c>
      <c r="O25" s="14"/>
      <c r="P25" s="14"/>
      <c r="Q25" s="15"/>
    </row>
    <row r="26" spans="1:17" s="3" customFormat="1" ht="15.75" hidden="1" x14ac:dyDescent="0.25">
      <c r="B26" s="16"/>
      <c r="C26" s="17"/>
      <c r="D26" s="17"/>
      <c r="E26" s="17"/>
      <c r="F26" s="17"/>
      <c r="G26" s="17"/>
      <c r="H26" s="17"/>
      <c r="I26" s="17"/>
      <c r="J26" s="17"/>
      <c r="K26" s="17"/>
      <c r="L26" s="17"/>
      <c r="M26" s="17"/>
      <c r="N26" s="17"/>
      <c r="O26" s="17"/>
      <c r="P26" s="17"/>
      <c r="Q26" s="18"/>
    </row>
    <row r="27" spans="1:17" s="3" customFormat="1" ht="15.75" x14ac:dyDescent="0.25">
      <c r="B27" s="153" t="s">
        <v>30</v>
      </c>
      <c r="C27" s="154"/>
      <c r="D27" s="154"/>
      <c r="E27" s="154"/>
      <c r="F27" s="154"/>
      <c r="G27" s="154"/>
      <c r="H27" s="154"/>
      <c r="I27" s="154"/>
      <c r="J27" s="154"/>
      <c r="K27" s="154"/>
      <c r="L27" s="154"/>
      <c r="M27" s="154"/>
      <c r="N27" s="154"/>
      <c r="O27" s="154"/>
      <c r="P27" s="154"/>
      <c r="Q27" s="155"/>
    </row>
    <row r="28" spans="1:17" s="3" customFormat="1" ht="15.75" x14ac:dyDescent="0.25">
      <c r="B28" s="34" t="str">
        <f>[1]Indicadores_Generales!C9</f>
        <v>Indice de Liquidez: (mín. 1, ) veces.</v>
      </c>
      <c r="C28" s="19" t="str">
        <f>IF(C8="","",IFERROR(IF(C29&gt;=Indicadores_Generales!$D$9,$B$25,$N$25),""))</f>
        <v>HÁBIL</v>
      </c>
      <c r="D28" s="19" t="str">
        <f>IF(D8="","",IFERROR(IF(D29&gt;=Indicadores_Generales!$D$9,$B$25,$N$25),""))</f>
        <v>HÁBIL</v>
      </c>
      <c r="E28" s="19" t="str">
        <f>IF(E8="","",IFERROR(IF(E29&gt;=Indicadores_Generales!$D$9,$B$25,$N$25),""))</f>
        <v>HÁBIL</v>
      </c>
      <c r="F28" s="19" t="str">
        <f>IF(F8="","",IFERROR(IF(F29&gt;=Indicadores_Generales!$D$9,$B$25,$N$25),""))</f>
        <v>HÁBIL</v>
      </c>
      <c r="G28" s="19" t="str">
        <f>IF(G8="","",IFERROR(IF(G29&gt;=Indicadores_Generales!$D$9,$B$25,$N$25),""))</f>
        <v>HÁBIL</v>
      </c>
      <c r="H28" s="19" t="str">
        <f>IF(H8="","",IFERROR(IF(H29&gt;=Indicadores_Generales!$D$9,$B$25,$N$25),""))</f>
        <v>HÁBIL</v>
      </c>
      <c r="I28" s="19" t="str">
        <f>IF(I8="","",IFERROR(IF(I29&gt;=Indicadores_Generales!$D$9,$B$25,$N$25),""))</f>
        <v/>
      </c>
      <c r="J28" s="19" t="str">
        <f>IF(J8="","",IFERROR(IF(J29&gt;=Indicadores_Generales!$D$9,$B$25,$N$25),""))</f>
        <v/>
      </c>
      <c r="K28" s="19" t="str">
        <f>IF(K8="","",IFERROR(IF(K29&gt;=Indicadores_Generales!$D$9,$B$25,$N$25),""))</f>
        <v/>
      </c>
      <c r="L28" s="19" t="str">
        <f>IF(L8="","",IFERROR(IF(L29&gt;=Indicadores_Generales!$D$9,$B$25,$N$25),""))</f>
        <v/>
      </c>
      <c r="M28" s="19" t="str">
        <f>IF(M8="","",IFERROR(IF(M29&gt;=Indicadores_Generales!$D$9,$B$25,$N$25),""))</f>
        <v/>
      </c>
      <c r="N28" s="19" t="str">
        <f>IF(N8="","",IFERROR(IF(N29&gt;=Indicadores_Generales!$D$9,$B$25,$N$25),""))</f>
        <v/>
      </c>
      <c r="O28" s="19" t="str">
        <f>IF(O8="","",IFERROR(IF(O29&gt;=Indicadores_Generales!$D$9,$B$25,$N$25),""))</f>
        <v/>
      </c>
      <c r="P28" s="19" t="str">
        <f>IF(P8="","",IFERROR(IF(P29&gt;=Indicadores_Generales!$D$9,$B$25,$N$25),""))</f>
        <v/>
      </c>
      <c r="Q28" s="50" t="str">
        <f>IF(Q8="","",IFERROR(IF(Q29&gt;=Indicadores_Generales!$D$9,$B$25,$N$25),""))</f>
        <v/>
      </c>
    </row>
    <row r="29" spans="1:17" s="3" customFormat="1" ht="15.75" x14ac:dyDescent="0.25">
      <c r="B29" s="131" t="s">
        <v>32</v>
      </c>
      <c r="C29" s="90">
        <f>IF(C8="","",IFERROR(C13/C14,"Indeterminado"))</f>
        <v>3.3629558884136448</v>
      </c>
      <c r="D29" s="90">
        <f>IF(D8="","",IFERROR(D13/D14,"Indeterminado"))</f>
        <v>2.7518694832460371</v>
      </c>
      <c r="E29" s="90">
        <f t="shared" ref="E29:Q29" si="4">IF(E8="","",IFERROR(E13/E14,"Indeterminado"))</f>
        <v>10.854179501342204</v>
      </c>
      <c r="F29" s="90">
        <f t="shared" si="4"/>
        <v>2.2507166300683124</v>
      </c>
      <c r="G29" s="90">
        <f t="shared" si="4"/>
        <v>11.479835608435708</v>
      </c>
      <c r="H29" s="90">
        <f t="shared" si="4"/>
        <v>4.9246551395597384</v>
      </c>
      <c r="I29" s="90" t="str">
        <f t="shared" si="4"/>
        <v/>
      </c>
      <c r="J29" s="90" t="str">
        <f t="shared" si="4"/>
        <v/>
      </c>
      <c r="K29" s="90" t="str">
        <f t="shared" si="4"/>
        <v/>
      </c>
      <c r="L29" s="90" t="str">
        <f t="shared" si="4"/>
        <v/>
      </c>
      <c r="M29" s="90" t="str">
        <f t="shared" si="4"/>
        <v/>
      </c>
      <c r="N29" s="90" t="str">
        <f t="shared" si="4"/>
        <v/>
      </c>
      <c r="O29" s="90" t="str">
        <f t="shared" si="4"/>
        <v/>
      </c>
      <c r="P29" s="90" t="str">
        <f t="shared" si="4"/>
        <v/>
      </c>
      <c r="Q29" s="91" t="str">
        <f t="shared" si="4"/>
        <v/>
      </c>
    </row>
    <row r="30" spans="1:17" s="3" customFormat="1" ht="17.25" customHeight="1" x14ac:dyDescent="0.25">
      <c r="B30" s="34" t="str">
        <f>[1]Indicadores_Generales!C10</f>
        <v>Endeudamiento total: (máx. 70,%).</v>
      </c>
      <c r="C30" s="19" t="str">
        <f>IF(C8="","",IFERROR(IF(C31&lt;=Indicadores_Generales!$D$10,$B$25,$N$25),""))</f>
        <v>HÁBIL</v>
      </c>
      <c r="D30" s="19" t="str">
        <f>IF(D8="","",IFERROR(IF(D31&lt;=Indicadores_Generales!$D$10,$B$25,$N$25),""))</f>
        <v>HÁBIL</v>
      </c>
      <c r="E30" s="19" t="str">
        <f>IF(E8="","",IFERROR(IF(E31&lt;=Indicadores_Generales!$D$10,$B$25,$N$25),""))</f>
        <v>HÁBIL</v>
      </c>
      <c r="F30" s="19" t="str">
        <f>IF(F8="","",IFERROR(IF(F31&lt;=Indicadores_Generales!$D$10,$B$25,$N$25),""))</f>
        <v>HÁBIL</v>
      </c>
      <c r="G30" s="19" t="str">
        <f>IF(G8="","",IFERROR(IF(G31&lt;=Indicadores_Generales!$D$10,$B$25,$N$25),""))</f>
        <v>HÁBIL</v>
      </c>
      <c r="H30" s="19" t="str">
        <f>IF(H8="","",IFERROR(IF(H31&lt;=Indicadores_Generales!$D$10,$B$25,$N$25),""))</f>
        <v>HÁBIL</v>
      </c>
      <c r="I30" s="19" t="str">
        <f>IF(I8="","",IFERROR(IF(I31&lt;=Indicadores_Generales!$D$10,$B$25,$N$25),""))</f>
        <v/>
      </c>
      <c r="J30" s="19" t="str">
        <f>IF(J8="","",IFERROR(IF(J31&lt;=Indicadores_Generales!$D$10,$B$25,$N$25),""))</f>
        <v/>
      </c>
      <c r="K30" s="19" t="str">
        <f>IF(K8="","",IFERROR(IF(K31&lt;=Indicadores_Generales!$D$10,$B$25,$N$25),""))</f>
        <v/>
      </c>
      <c r="L30" s="19" t="str">
        <f>IF(L8="","",IFERROR(IF(L31&lt;=Indicadores_Generales!$D$10,$B$25,$N$25),""))</f>
        <v/>
      </c>
      <c r="M30" s="19" t="str">
        <f>IF(M8="","",IFERROR(IF(M31&lt;=Indicadores_Generales!$D$10,$B$25,$N$25),""))</f>
        <v/>
      </c>
      <c r="N30" s="19" t="str">
        <f>IF(N8="","",IFERROR(IF(N31&lt;=Indicadores_Generales!$D$10,$B$25,$N$25),""))</f>
        <v/>
      </c>
      <c r="O30" s="19" t="str">
        <f>IF(O8="","",IFERROR(IF(O31&lt;=Indicadores_Generales!$D$10,$B$25,$N$25),""))</f>
        <v/>
      </c>
      <c r="P30" s="19" t="str">
        <f>IF(P8="","",IFERROR(IF(P31&lt;=Indicadores_Generales!$D$10,$B$25,$N$25),""))</f>
        <v/>
      </c>
      <c r="Q30" s="50" t="str">
        <f>IF(Q8="","",IFERROR(IF(Q31&lt;=Indicadores_Generales!$D$10,$B$25,$N$25),""))</f>
        <v/>
      </c>
    </row>
    <row r="31" spans="1:17" s="3" customFormat="1" ht="15.75" x14ac:dyDescent="0.25">
      <c r="B31" s="131" t="s">
        <v>33</v>
      </c>
      <c r="C31" s="92">
        <f>IF(C8="","",C16/C15)</f>
        <v>0.58238797957171995</v>
      </c>
      <c r="D31" s="92">
        <f t="shared" ref="D31:Q31" si="5">IF(D8="","",D16/D15)</f>
        <v>0.3400284753080654</v>
      </c>
      <c r="E31" s="92">
        <f t="shared" si="5"/>
        <v>0.37426129038930395</v>
      </c>
      <c r="F31" s="92">
        <f t="shared" si="5"/>
        <v>0.50309318893390953</v>
      </c>
      <c r="G31" s="92">
        <f t="shared" si="5"/>
        <v>0.16041692569819191</v>
      </c>
      <c r="H31" s="92">
        <f t="shared" si="5"/>
        <v>0.36269779298280519</v>
      </c>
      <c r="I31" s="92" t="str">
        <f t="shared" si="5"/>
        <v/>
      </c>
      <c r="J31" s="92" t="str">
        <f t="shared" si="5"/>
        <v/>
      </c>
      <c r="K31" s="92" t="str">
        <f t="shared" si="5"/>
        <v/>
      </c>
      <c r="L31" s="92" t="str">
        <f t="shared" si="5"/>
        <v/>
      </c>
      <c r="M31" s="92" t="str">
        <f t="shared" si="5"/>
        <v/>
      </c>
      <c r="N31" s="92" t="str">
        <f t="shared" si="5"/>
        <v/>
      </c>
      <c r="O31" s="92" t="str">
        <f t="shared" si="5"/>
        <v/>
      </c>
      <c r="P31" s="92" t="str">
        <f t="shared" si="5"/>
        <v/>
      </c>
      <c r="Q31" s="93" t="str">
        <f t="shared" si="5"/>
        <v/>
      </c>
    </row>
    <row r="32" spans="1:17" s="3" customFormat="1" ht="33.75" customHeight="1" x14ac:dyDescent="0.25">
      <c r="B32" s="34" t="str">
        <f>[1]Indicadores_Generales!C11</f>
        <v>Razon de Cobertura de Intereses (&gt;= a 1, veces) ó Indeterminado.</v>
      </c>
      <c r="C32" s="19" t="str">
        <f>IF(C8="","",IFERROR(IF(C33&gt;Indicadores_Generales!$D$11,$B$25,$N$25),""))</f>
        <v>HÁBIL</v>
      </c>
      <c r="D32" s="19" t="str">
        <f>IF(D8="","",IFERROR(IF(D33&gt;Indicadores_Generales!$D$11,$B$25,$N$25),""))</f>
        <v>HÁBIL</v>
      </c>
      <c r="E32" s="19" t="str">
        <f>IF(E8="","",IFERROR(IF(E33&gt;Indicadores_Generales!$D$11,$B$25,$N$25),""))</f>
        <v>HÁBIL</v>
      </c>
      <c r="F32" s="19" t="str">
        <f>IF(F8="","",IFERROR(IF(F33&gt;Indicadores_Generales!$D$11,$B$25,$N$25),""))</f>
        <v>HÁBIL</v>
      </c>
      <c r="G32" s="19" t="str">
        <f>IF(G8="","",IFERROR(IF(G33&gt;Indicadores_Generales!$D$11,$B$25,$N$25),""))</f>
        <v>HÁBIL</v>
      </c>
      <c r="H32" s="19" t="str">
        <f>IF(H8="","",IFERROR(IF(H33&gt;Indicadores_Generales!$D$11,$B$25,$N$25),""))</f>
        <v>HÁBIL</v>
      </c>
      <c r="I32" s="19" t="str">
        <f>IF(I8="","",IFERROR(IF(I33&gt;Indicadores_Generales!$D$11,$B$25,$N$25),""))</f>
        <v/>
      </c>
      <c r="J32" s="19" t="str">
        <f>IF(J8="","",IFERROR(IF(J33&gt;Indicadores_Generales!$D$11,$B$25,$N$25),""))</f>
        <v/>
      </c>
      <c r="K32" s="19" t="str">
        <f>IF(K8="","",IFERROR(IF(K33&gt;Indicadores_Generales!$D$11,$B$25,$N$25),""))</f>
        <v/>
      </c>
      <c r="L32" s="19" t="str">
        <f>IF(L8="","",IFERROR(IF(L33&gt;Indicadores_Generales!$D$11,$B$25,$N$25),""))</f>
        <v/>
      </c>
      <c r="M32" s="19" t="str">
        <f>IF(M8="","",IFERROR(IF(M33&gt;Indicadores_Generales!$D$11,$B$25,$N$25),""))</f>
        <v/>
      </c>
      <c r="N32" s="19" t="str">
        <f>IF(N8="","",IFERROR(IF(N33&gt;Indicadores_Generales!$D$11,$B$25,$N$25),""))</f>
        <v/>
      </c>
      <c r="O32" s="19" t="str">
        <f>IF(O8="","",IFERROR(IF(O33&gt;Indicadores_Generales!$D$11,$B$25,$N$25),""))</f>
        <v/>
      </c>
      <c r="P32" s="19" t="str">
        <f>IF(P8="","",IFERROR(IF(P33&gt;Indicadores_Generales!$D$11,$B$25,$N$25),""))</f>
        <v/>
      </c>
      <c r="Q32" s="50" t="str">
        <f>IF(Q8="","",IFERROR(IF(Q33&gt;Indicadores_Generales!$D$11,$B$25,$N$25),""))</f>
        <v/>
      </c>
    </row>
    <row r="33" spans="2:17" s="3" customFormat="1" ht="31.5" x14ac:dyDescent="0.25">
      <c r="B33" s="131" t="s">
        <v>34</v>
      </c>
      <c r="C33" s="94">
        <f t="shared" ref="C33:D33" si="6">IF(C8="","",IFERROR(C19/C20,"Indeterminado"))</f>
        <v>8.3556468640174248</v>
      </c>
      <c r="D33" s="94">
        <f t="shared" si="6"/>
        <v>1320.3638959240072</v>
      </c>
      <c r="E33" s="94">
        <f>IF(E8="","",IFERROR(E19/E20,"Indeterminado"))</f>
        <v>18.619494143617906</v>
      </c>
      <c r="F33" s="94">
        <f t="shared" ref="F33:Q33" si="7">IF(F8="","",IFERROR(F19/F20,"Indeterminado"))</f>
        <v>2.4024516594287557</v>
      </c>
      <c r="G33" s="94">
        <f t="shared" si="7"/>
        <v>91.211511986824846</v>
      </c>
      <c r="H33" s="94">
        <f t="shared" si="7"/>
        <v>14.279175766783782</v>
      </c>
      <c r="I33" s="94" t="str">
        <f t="shared" si="7"/>
        <v/>
      </c>
      <c r="J33" s="94" t="str">
        <f t="shared" si="7"/>
        <v/>
      </c>
      <c r="K33" s="94" t="str">
        <f t="shared" si="7"/>
        <v/>
      </c>
      <c r="L33" s="94" t="str">
        <f t="shared" si="7"/>
        <v/>
      </c>
      <c r="M33" s="94" t="str">
        <f t="shared" si="7"/>
        <v/>
      </c>
      <c r="N33" s="94" t="str">
        <f t="shared" si="7"/>
        <v/>
      </c>
      <c r="O33" s="94" t="str">
        <f t="shared" si="7"/>
        <v/>
      </c>
      <c r="P33" s="94" t="str">
        <f t="shared" si="7"/>
        <v/>
      </c>
      <c r="Q33" s="95" t="str">
        <f t="shared" si="7"/>
        <v/>
      </c>
    </row>
    <row r="34" spans="2:17" s="3" customFormat="1" ht="31.5" x14ac:dyDescent="0.25">
      <c r="B34" s="34" t="str">
        <f>[1]Indicadores_Generales!C12</f>
        <v>Capital de Trabajo ≥  A 37,5% del PPTO Oficial.</v>
      </c>
      <c r="C34" s="19" t="str">
        <f>IFERROR(IF(C35&gt;(C23*Indicadores_Generales!$D$12),$B$25,$N$25),"")</f>
        <v>HÁBIL</v>
      </c>
      <c r="D34" s="19" t="str">
        <f>IFERROR(IF(D35&gt;(D23*Indicadores_Generales!$D$12),$B$25,$N$25),"")</f>
        <v>HÁBIL</v>
      </c>
      <c r="E34" s="19" t="str">
        <f>IFERROR(IF(E35&gt;(E23*Indicadores_Generales!$D$12),$B$25,$N$25),"")</f>
        <v>HÁBIL</v>
      </c>
      <c r="F34" s="19" t="str">
        <f>IFERROR(IF(F35&gt;(F23*Indicadores_Generales!$D$12),$B$25,$N$25),"")</f>
        <v>HÁBIL</v>
      </c>
      <c r="G34" s="19" t="str">
        <f>IFERROR(IF(G35&gt;(G23*Indicadores_Generales!$D$12),$B$25,$N$25),"")</f>
        <v>HÁBIL</v>
      </c>
      <c r="H34" s="19" t="str">
        <f>IFERROR(IF(H35&gt;(H23*Indicadores_Generales!$D$12),$B$25,$N$25),"")</f>
        <v>HÁBIL</v>
      </c>
      <c r="I34" s="19" t="str">
        <f>IFERROR(IF(I35&gt;(I23*Indicadores_Generales!$D$12),$B$25,$N$25),"")</f>
        <v/>
      </c>
      <c r="J34" s="19" t="str">
        <f>IFERROR(IF(J35&gt;(J23*Indicadores_Generales!$D$12),$B$25,$N$25),"")</f>
        <v/>
      </c>
      <c r="K34" s="19" t="str">
        <f>IFERROR(IF(K35&gt;(K23*Indicadores_Generales!$D$12),$B$25,$N$25),"")</f>
        <v/>
      </c>
      <c r="L34" s="19" t="str">
        <f>IFERROR(IF(L35&gt;(L23*Indicadores_Generales!$D$12),$B$25,$N$25),"")</f>
        <v/>
      </c>
      <c r="M34" s="19" t="str">
        <f>IFERROR(IF(M35&gt;(M23*Indicadores_Generales!$D$12),$B$25,$N$25),"")</f>
        <v/>
      </c>
      <c r="N34" s="19" t="str">
        <f>IFERROR(IF(N35&gt;(N23*Indicadores_Generales!$D$12),$B$25,$N$25),"")</f>
        <v/>
      </c>
      <c r="O34" s="19" t="str">
        <f>IFERROR(IF(O35&gt;(O23*Indicadores_Generales!$D$12),$B$25,$N$25),"")</f>
        <v/>
      </c>
      <c r="P34" s="19" t="str">
        <f>IFERROR(IF(P35&gt;(P23*Indicadores_Generales!$D$12),$B$25,$N$25),"")</f>
        <v/>
      </c>
      <c r="Q34" s="50" t="str">
        <f>IFERROR(IF(Q35&gt;(Q23*Indicadores_Generales!$D$12),$B$25,$N$25),"")</f>
        <v/>
      </c>
    </row>
    <row r="35" spans="2:17" s="21" customFormat="1" ht="34.5" customHeight="1" x14ac:dyDescent="0.25">
      <c r="B35" s="20" t="str">
        <f>"CT = Activo Corriente - Pasivo Corriente ≥ $ "&amp;FIXED([1]Indicadores_Generales!D5*[1]Indicadores_Generales!D12,0,FALSE)</f>
        <v>CT = Activo Corriente - Pasivo Corriente ≥ $ 243.596.639</v>
      </c>
      <c r="C35" s="105">
        <f>IF(C8="","",SUMIFS(Indicadores_Generales!$T:$T,Indicadores_Generales!$B:$B,C9))</f>
        <v>971928568</v>
      </c>
      <c r="D35" s="105">
        <f>IF(D8="","",SUMIFS(Indicadores_Generales!$T:$T,Indicadores_Generales!$B:$B,D9))</f>
        <v>6171323391</v>
      </c>
      <c r="E35" s="105">
        <f>IF(E8="","",SUMIFS(Indicadores_Generales!$T:$T,Indicadores_Generales!$B:$B,E9))</f>
        <v>14227932501</v>
      </c>
      <c r="F35" s="105">
        <f>IF(F8="","",SUMIFS(Indicadores_Generales!$T:$T,Indicadores_Generales!$B:$B,F9))</f>
        <v>2837669873</v>
      </c>
      <c r="G35" s="105">
        <f>IF(G8="","",SUMIFS(Indicadores_Generales!$T:$T,Indicadores_Generales!$B:$B,G9))</f>
        <v>4083251169</v>
      </c>
      <c r="H35" s="105">
        <f>IF(H8="","",SUMIFS(Indicadores_Generales!$T:$T,Indicadores_Generales!$B:$B,H9))</f>
        <v>2368549000</v>
      </c>
      <c r="I35" s="105" t="str">
        <f>IF(I8="","",SUMIFS(Indicadores_Generales!$T:$T,Indicadores_Generales!$B:$B,I9))</f>
        <v/>
      </c>
      <c r="J35" s="105" t="str">
        <f>IF(J8="","",SUMIFS(Indicadores_Generales!$T:$T,Indicadores_Generales!$B:$B,J9))</f>
        <v/>
      </c>
      <c r="K35" s="105" t="str">
        <f>IF(K8="","",SUMIFS(Indicadores_Generales!$T:$T,Indicadores_Generales!$B:$B,K9))</f>
        <v/>
      </c>
      <c r="L35" s="94" t="str">
        <f>IF(L8="","",SUMIFS(Indicadores_Generales!$T:$T,Indicadores_Generales!$B:$B,L9))</f>
        <v/>
      </c>
      <c r="M35" s="94" t="str">
        <f>IF(M8="","",SUMIFS(Indicadores_Generales!$T:$T,Indicadores_Generales!$B:$B,M9))</f>
        <v/>
      </c>
      <c r="N35" s="94" t="str">
        <f>IF(N8="","",SUMIFS(Indicadores_Generales!$T:$T,Indicadores_Generales!$B:$B,N9))</f>
        <v/>
      </c>
      <c r="O35" s="94" t="str">
        <f>IF(O8="","",SUMIFS(Indicadores_Generales!$T:$T,Indicadores_Generales!$B:$B,O9))</f>
        <v/>
      </c>
      <c r="P35" s="94" t="str">
        <f>IF(P8="","",SUMIFS(Indicadores_Generales!$T:$T,Indicadores_Generales!$B:$B,P9))</f>
        <v/>
      </c>
      <c r="Q35" s="95" t="str">
        <f>IF(Q8="","",SUMIFS(Indicadores_Generales!$T:$T,Indicadores_Generales!$B:$B,Q9))</f>
        <v/>
      </c>
    </row>
    <row r="36" spans="2:17" s="3" customFormat="1" ht="15.75" x14ac:dyDescent="0.25">
      <c r="B36" s="153" t="s">
        <v>35</v>
      </c>
      <c r="C36" s="154"/>
      <c r="D36" s="154"/>
      <c r="E36" s="154"/>
      <c r="F36" s="154"/>
      <c r="G36" s="154"/>
      <c r="H36" s="154"/>
      <c r="I36" s="154"/>
      <c r="J36" s="154"/>
      <c r="K36" s="154"/>
      <c r="L36" s="154"/>
      <c r="M36" s="154"/>
      <c r="N36" s="154"/>
      <c r="O36" s="154"/>
      <c r="P36" s="154"/>
      <c r="Q36" s="155"/>
    </row>
    <row r="37" spans="2:17" s="3" customFormat="1" ht="15.75" hidden="1" x14ac:dyDescent="0.25">
      <c r="B37" s="22"/>
      <c r="C37" s="5"/>
      <c r="D37" s="5"/>
      <c r="E37" s="5"/>
      <c r="F37" s="5"/>
      <c r="G37" s="5"/>
      <c r="H37" s="5"/>
      <c r="I37" s="5"/>
      <c r="J37" s="5"/>
      <c r="K37" s="5"/>
      <c r="L37" s="5"/>
      <c r="M37" s="5"/>
      <c r="N37" s="5"/>
      <c r="O37" s="5"/>
      <c r="P37" s="5"/>
      <c r="Q37" s="6"/>
    </row>
    <row r="38" spans="2:17" s="3" customFormat="1" ht="32.25" customHeight="1" x14ac:dyDescent="0.25">
      <c r="B38" s="34" t="str">
        <f>[1]Indicadores_Generales!C13</f>
        <v>Indicador  Rentabilidad del Patrimonio RP =&gt; AL 0%</v>
      </c>
      <c r="C38" s="19" t="str">
        <f>IF(C8="","",IFERROR(IF(C39&gt;=Indicadores_Generales!$D$13,$B$25,$N$25),""))</f>
        <v>HÁBIL</v>
      </c>
      <c r="D38" s="19" t="str">
        <f>IF(D8="","",IFERROR(IF(D39&gt;=Indicadores_Generales!$D$13,$B$25,$N$25),""))</f>
        <v>HÁBIL</v>
      </c>
      <c r="E38" s="19" t="str">
        <f>IF(E8="","",IFERROR(IF(E39&gt;=Indicadores_Generales!$D$13,$B$25,$N$25),""))</f>
        <v>HÁBIL</v>
      </c>
      <c r="F38" s="19" t="str">
        <f>IF(F8="","",IFERROR(IF(F39&gt;=Indicadores_Generales!$D$13,$B$25,$N$25),""))</f>
        <v>HÁBIL</v>
      </c>
      <c r="G38" s="19" t="str">
        <f>IF(G8="","",IFERROR(IF(G39&gt;=Indicadores_Generales!$D$13,$B$25,$N$25),""))</f>
        <v>HÁBIL</v>
      </c>
      <c r="H38" s="19" t="str">
        <f>IF(H8="","",IFERROR(IF(H39&gt;=Indicadores_Generales!$D$13,$B$25,$N$25),""))</f>
        <v>HÁBIL</v>
      </c>
      <c r="I38" s="19" t="str">
        <f>IF(I8="","",IFERROR(IF(I39&gt;=Indicadores_Generales!$D$13,$B$25,$N$25),""))</f>
        <v/>
      </c>
      <c r="J38" s="19" t="str">
        <f>IF(J8="","",IFERROR(IF(J39&gt;=Indicadores_Generales!$D$13,$B$25,$N$25),""))</f>
        <v/>
      </c>
      <c r="K38" s="19" t="str">
        <f>IF(K8="","",IFERROR(IF(K39&gt;=Indicadores_Generales!$D$13,$B$25,$N$25),""))</f>
        <v/>
      </c>
      <c r="L38" s="19" t="str">
        <f>IF(L8="","",IFERROR(IF(L39&gt;=Indicadores_Generales!$D$13,$B$25,$N$25),""))</f>
        <v/>
      </c>
      <c r="M38" s="19" t="str">
        <f>IF(M8="","",IFERROR(IF(M39&gt;=Indicadores_Generales!$D$13,$B$25,$N$25),""))</f>
        <v/>
      </c>
      <c r="N38" s="19" t="str">
        <f>IF(N8="","",IFERROR(IF(N39&gt;=Indicadores_Generales!$D$13,$B$25,$N$25),""))</f>
        <v/>
      </c>
      <c r="O38" s="19" t="str">
        <f>IF(O8="","",IFERROR(IF(O39&gt;=Indicadores_Generales!$D$13,$B$25,$N$25),""))</f>
        <v/>
      </c>
      <c r="P38" s="19" t="str">
        <f>IF(P8="","",IFERROR(IF(P39&gt;=Indicadores_Generales!$D$13,$B$25,$N$25),""))</f>
        <v/>
      </c>
      <c r="Q38" s="50" t="str">
        <f>IF(Q8="","",IFERROR(IF(Q39&gt;=Indicadores_Generales!$D$13,$B$25,$N$25),""))</f>
        <v/>
      </c>
    </row>
    <row r="39" spans="2:17" s="3" customFormat="1" ht="42" customHeight="1" x14ac:dyDescent="0.25">
      <c r="B39" s="131" t="s">
        <v>36</v>
      </c>
      <c r="C39" s="92">
        <f>IF(C8="","",C19/C17)</f>
        <v>0.21273414510039806</v>
      </c>
      <c r="D39" s="92">
        <f t="shared" ref="D39:Q39" si="8">IF(D8="","",D19/D17)</f>
        <v>0.11376327702122138</v>
      </c>
      <c r="E39" s="92">
        <f t="shared" si="8"/>
        <v>0.18735651603873257</v>
      </c>
      <c r="F39" s="92">
        <f t="shared" si="8"/>
        <v>6.9298877262791186E-2</v>
      </c>
      <c r="G39" s="92">
        <f t="shared" si="8"/>
        <v>0.27071312368515049</v>
      </c>
      <c r="H39" s="92">
        <f t="shared" si="8"/>
        <v>7.8501366963899311E-2</v>
      </c>
      <c r="I39" s="92" t="str">
        <f t="shared" si="8"/>
        <v/>
      </c>
      <c r="J39" s="92" t="str">
        <f t="shared" si="8"/>
        <v/>
      </c>
      <c r="K39" s="92" t="str">
        <f t="shared" si="8"/>
        <v/>
      </c>
      <c r="L39" s="92" t="str">
        <f t="shared" si="8"/>
        <v/>
      </c>
      <c r="M39" s="92" t="str">
        <f t="shared" si="8"/>
        <v/>
      </c>
      <c r="N39" s="92" t="str">
        <f t="shared" si="8"/>
        <v/>
      </c>
      <c r="O39" s="92" t="str">
        <f t="shared" si="8"/>
        <v/>
      </c>
      <c r="P39" s="92" t="str">
        <f t="shared" si="8"/>
        <v/>
      </c>
      <c r="Q39" s="93" t="str">
        <f t="shared" si="8"/>
        <v/>
      </c>
    </row>
    <row r="40" spans="2:17" s="3" customFormat="1" ht="31.5" x14ac:dyDescent="0.25">
      <c r="B40" s="34" t="str">
        <f>[1]Indicadores_Generales!C14</f>
        <v>Indicador  Rentabilidad del Activo RAct =&gt; AL 0%</v>
      </c>
      <c r="C40" s="19" t="str">
        <f>IF(C8="","",IFERROR(IF(C41&gt;=Indicadores_Generales!$D$14,$B$25,$N$25),""))</f>
        <v>HÁBIL</v>
      </c>
      <c r="D40" s="19" t="str">
        <f>IF(D8="","",IFERROR(IF(D41&gt;=Indicadores_Generales!$D$14,$B$25,$N$25),""))</f>
        <v>HÁBIL</v>
      </c>
      <c r="E40" s="19" t="str">
        <f>IF(E8="","",IFERROR(IF(E41&gt;=Indicadores_Generales!$D$14,$B$25,$N$25),""))</f>
        <v>HÁBIL</v>
      </c>
      <c r="F40" s="19" t="str">
        <f>IF(F8="","",IFERROR(IF(F41&gt;=Indicadores_Generales!$D$14,$B$25,$N$25),""))</f>
        <v>HÁBIL</v>
      </c>
      <c r="G40" s="19" t="str">
        <f>IF(G8="","",IFERROR(IF(G41&gt;=Indicadores_Generales!$D$14,$B$25,$N$25),""))</f>
        <v>HÁBIL</v>
      </c>
      <c r="H40" s="19" t="str">
        <f>IF(H8="","",IFERROR(IF(H41&gt;=Indicadores_Generales!$D$14,$B$25,$N$25),""))</f>
        <v>HÁBIL</v>
      </c>
      <c r="I40" s="19" t="str">
        <f>IF(I8="","",IFERROR(IF(I41&gt;=Indicadores_Generales!$D$14,$B$25,$N$25),""))</f>
        <v/>
      </c>
      <c r="J40" s="19" t="str">
        <f>IF(J8="","",IFERROR(IF(J41&gt;=Indicadores_Generales!$D$14,$B$25,$N$25),""))</f>
        <v/>
      </c>
      <c r="K40" s="19" t="str">
        <f>IF(K8="","",IFERROR(IF(K41&gt;=Indicadores_Generales!$D$14,$B$25,$N$25),""))</f>
        <v/>
      </c>
      <c r="L40" s="19" t="str">
        <f>IF(L8="","",IFERROR(IF(L41&gt;=Indicadores_Generales!$D$14,$B$25,$N$25),""))</f>
        <v/>
      </c>
      <c r="M40" s="19" t="str">
        <f>IF(M8="","",IFERROR(IF(M41&gt;=Indicadores_Generales!$D$14,$B$25,$N$25),""))</f>
        <v/>
      </c>
      <c r="N40" s="19" t="str">
        <f>IF(N8="","",IFERROR(IF(N41&gt;=Indicadores_Generales!$D$14,$B$25,$N$25),""))</f>
        <v/>
      </c>
      <c r="O40" s="19" t="str">
        <f>IF(O8="","",IFERROR(IF(O41&gt;=Indicadores_Generales!$D$14,$B$25,$N$25),""))</f>
        <v/>
      </c>
      <c r="P40" s="19" t="str">
        <f>IF(P8="","",IFERROR(IF(P41&gt;=Indicadores_Generales!$D$14,$B$25,$N$25),""))</f>
        <v/>
      </c>
      <c r="Q40" s="50" t="str">
        <f>IF(Q8="","",IFERROR(IF(Q41&gt;=Indicadores_Generales!$D$14,$B$25,$N$25),""))</f>
        <v/>
      </c>
    </row>
    <row r="41" spans="2:17" s="3" customFormat="1" ht="15.75" x14ac:dyDescent="0.25">
      <c r="B41" s="131" t="s">
        <v>37</v>
      </c>
      <c r="C41" s="92">
        <f>IF(C8="","",C19/C15)</f>
        <v>8.8840336149460131E-2</v>
      </c>
      <c r="D41" s="92">
        <f t="shared" ref="D41:Q41" si="9">IF(D8="","",D19/D15)</f>
        <v>7.5080523389646409E-2</v>
      </c>
      <c r="E41" s="92">
        <f t="shared" si="9"/>
        <v>0.11723622458323224</v>
      </c>
      <c r="F41" s="92">
        <f t="shared" si="9"/>
        <v>3.443508411111397E-2</v>
      </c>
      <c r="G41" s="92">
        <f t="shared" si="9"/>
        <v>0.2272861566374243</v>
      </c>
      <c r="H41" s="92">
        <f t="shared" si="9"/>
        <v>5.0029094419959737E-2</v>
      </c>
      <c r="I41" s="92" t="str">
        <f t="shared" si="9"/>
        <v/>
      </c>
      <c r="J41" s="92" t="str">
        <f t="shared" si="9"/>
        <v/>
      </c>
      <c r="K41" s="92" t="str">
        <f t="shared" si="9"/>
        <v/>
      </c>
      <c r="L41" s="92" t="str">
        <f t="shared" si="9"/>
        <v/>
      </c>
      <c r="M41" s="92" t="str">
        <f t="shared" si="9"/>
        <v/>
      </c>
      <c r="N41" s="92" t="str">
        <f t="shared" si="9"/>
        <v/>
      </c>
      <c r="O41" s="92" t="str">
        <f t="shared" si="9"/>
        <v/>
      </c>
      <c r="P41" s="92" t="str">
        <f t="shared" si="9"/>
        <v/>
      </c>
      <c r="Q41" s="93" t="str">
        <f t="shared" si="9"/>
        <v/>
      </c>
    </row>
    <row r="42" spans="2:17" s="3" customFormat="1" ht="31.5" x14ac:dyDescent="0.25">
      <c r="B42" s="130" t="s">
        <v>38</v>
      </c>
      <c r="C42" s="23" t="str">
        <f>IF(C8="","",IF(COUNTIF(C28:C41,"NO HÁBIL")&gt;=1,"NO HABILITADO","HABILITADO"))</f>
        <v>HABILITADO</v>
      </c>
      <c r="D42" s="23" t="str">
        <f>IF(D8="","",IF(COUNTIF(D28:D41,"NO HÁBIL")&gt;=1,"NO HABILITADO","HABILITADO"))</f>
        <v>HABILITADO</v>
      </c>
      <c r="E42" s="23" t="str">
        <f t="shared" ref="E42:Q42" si="10">IF(E8="","",IF(COUNTIF(E28:E41,"NO HÁBIL")&gt;=1,"NO HABILITADO","HABILITADO"))</f>
        <v>HABILITADO</v>
      </c>
      <c r="F42" s="23" t="str">
        <f t="shared" si="10"/>
        <v>HABILITADO</v>
      </c>
      <c r="G42" s="23" t="str">
        <f>IF(G8="","",IF(COUNTIF(G28:G41,"NO HÁBIL")&gt;=1,"NO HABILITADO","HABILITADO"))</f>
        <v>HABILITADO</v>
      </c>
      <c r="H42" s="23" t="str">
        <f>IF(H8="","",IF(COUNTIF(H28:H41,"NO HÁBIL")&gt;=1,"NO HABILITADO","HABILITADO"))</f>
        <v>HABILITADO</v>
      </c>
      <c r="I42" s="23" t="str">
        <f t="shared" si="10"/>
        <v/>
      </c>
      <c r="J42" s="23" t="str">
        <f t="shared" si="10"/>
        <v/>
      </c>
      <c r="K42" s="23" t="str">
        <f t="shared" si="10"/>
        <v/>
      </c>
      <c r="L42" s="23" t="str">
        <f t="shared" si="10"/>
        <v/>
      </c>
      <c r="M42" s="23" t="str">
        <f t="shared" si="10"/>
        <v/>
      </c>
      <c r="N42" s="23" t="str">
        <f t="shared" si="10"/>
        <v/>
      </c>
      <c r="O42" s="23" t="str">
        <f t="shared" si="10"/>
        <v/>
      </c>
      <c r="P42" s="23" t="str">
        <f t="shared" si="10"/>
        <v/>
      </c>
      <c r="Q42" s="51" t="str">
        <f t="shared" si="10"/>
        <v/>
      </c>
    </row>
    <row r="43" spans="2:17" s="3" customFormat="1" ht="15.75" hidden="1" x14ac:dyDescent="0.25">
      <c r="B43" s="22"/>
      <c r="C43" s="5"/>
      <c r="D43" s="5"/>
      <c r="E43" s="5"/>
      <c r="F43" s="5"/>
      <c r="G43" s="5"/>
      <c r="H43" s="5"/>
      <c r="I43" s="5"/>
      <c r="J43" s="5"/>
      <c r="K43" s="5"/>
      <c r="L43" s="5"/>
      <c r="M43" s="5"/>
      <c r="N43" s="5"/>
      <c r="O43" s="5"/>
      <c r="P43" s="5"/>
      <c r="Q43" s="6"/>
    </row>
    <row r="44" spans="2:17" s="3" customFormat="1" ht="15.75" customHeight="1" x14ac:dyDescent="0.25">
      <c r="B44" s="175" t="s">
        <v>39</v>
      </c>
      <c r="C44" s="176"/>
      <c r="D44" s="176"/>
      <c r="E44" s="176"/>
      <c r="F44" s="176"/>
      <c r="G44" s="176"/>
      <c r="H44" s="176"/>
      <c r="I44" s="176"/>
      <c r="J44" s="176"/>
      <c r="K44" s="176"/>
      <c r="L44" s="176"/>
      <c r="M44" s="176"/>
      <c r="N44" s="176"/>
      <c r="O44" s="176"/>
      <c r="P44" s="176"/>
      <c r="Q44" s="177"/>
    </row>
    <row r="45" spans="2:17" s="3" customFormat="1" ht="36.75" customHeight="1" x14ac:dyDescent="0.25">
      <c r="B45" s="175"/>
      <c r="C45" s="176"/>
      <c r="D45" s="176"/>
      <c r="E45" s="176"/>
      <c r="F45" s="176"/>
      <c r="G45" s="176"/>
      <c r="H45" s="176"/>
      <c r="I45" s="176"/>
      <c r="J45" s="176"/>
      <c r="K45" s="176"/>
      <c r="L45" s="176"/>
      <c r="M45" s="176"/>
      <c r="N45" s="176"/>
      <c r="O45" s="176"/>
      <c r="P45" s="176"/>
      <c r="Q45" s="177"/>
    </row>
    <row r="46" spans="2:17" s="3" customFormat="1" ht="15.75" x14ac:dyDescent="0.25">
      <c r="B46" s="24"/>
      <c r="C46" s="114"/>
      <c r="D46" s="114"/>
      <c r="E46" s="114"/>
      <c r="F46" s="114"/>
      <c r="G46" s="114"/>
      <c r="H46" s="114"/>
      <c r="I46" s="114"/>
      <c r="J46" s="114"/>
      <c r="K46" s="114"/>
      <c r="L46" s="114"/>
      <c r="M46" s="114"/>
      <c r="N46" s="114"/>
      <c r="O46" s="114"/>
      <c r="P46" s="114"/>
      <c r="Q46" s="25"/>
    </row>
    <row r="47" spans="2:17" s="3" customFormat="1" ht="15.75" x14ac:dyDescent="0.25">
      <c r="B47" s="24"/>
      <c r="C47" s="114"/>
      <c r="D47" s="114"/>
      <c r="E47" s="114"/>
      <c r="F47" s="114"/>
      <c r="G47" s="114"/>
      <c r="H47" s="114"/>
      <c r="I47" s="114"/>
      <c r="J47" s="114"/>
      <c r="K47" s="114"/>
      <c r="L47" s="114"/>
      <c r="M47" s="114"/>
      <c r="N47" s="114"/>
      <c r="O47" s="114"/>
      <c r="P47" s="114"/>
      <c r="Q47" s="25"/>
    </row>
    <row r="48" spans="2:17" s="3" customFormat="1" ht="15.75" x14ac:dyDescent="0.25">
      <c r="B48" s="26"/>
      <c r="C48" s="115"/>
      <c r="D48" s="115"/>
      <c r="E48" s="115"/>
      <c r="F48" s="115"/>
      <c r="G48" s="115"/>
      <c r="H48" s="115"/>
      <c r="I48" s="115"/>
      <c r="J48" s="115"/>
      <c r="K48" s="115"/>
      <c r="L48" s="115"/>
      <c r="M48" s="115"/>
      <c r="N48" s="114"/>
      <c r="O48" s="114"/>
      <c r="P48" s="114"/>
      <c r="Q48" s="25"/>
    </row>
    <row r="49" spans="1:17" s="3" customFormat="1" ht="22.5" customHeight="1" x14ac:dyDescent="0.25">
      <c r="A49" s="27"/>
      <c r="B49" s="24"/>
      <c r="C49" s="114"/>
      <c r="D49" s="114"/>
      <c r="E49" s="114"/>
      <c r="F49" s="114"/>
      <c r="G49" s="114"/>
      <c r="H49" s="114"/>
      <c r="I49" s="114"/>
      <c r="J49" s="114"/>
      <c r="K49" s="114"/>
      <c r="L49" s="114"/>
      <c r="M49" s="114"/>
      <c r="N49" s="114"/>
      <c r="O49" s="114"/>
      <c r="P49" s="114"/>
      <c r="Q49" s="25"/>
    </row>
    <row r="50" spans="1:17" s="3" customFormat="1" ht="22.5" customHeight="1" x14ac:dyDescent="0.25">
      <c r="A50" s="27"/>
      <c r="B50" s="28"/>
      <c r="C50" s="133"/>
      <c r="D50" s="117"/>
      <c r="E50" s="117"/>
      <c r="F50" s="117"/>
      <c r="G50" s="115"/>
      <c r="H50" s="192"/>
      <c r="I50" s="192"/>
      <c r="J50" s="115"/>
      <c r="K50" s="117"/>
      <c r="L50" s="192"/>
      <c r="M50" s="192"/>
      <c r="N50" s="115"/>
      <c r="O50" s="192"/>
      <c r="P50" s="192"/>
      <c r="Q50" s="179"/>
    </row>
    <row r="51" spans="1:17" ht="23.25" customHeight="1" x14ac:dyDescent="0.25">
      <c r="A51" s="29"/>
      <c r="B51" s="30" t="s">
        <v>40</v>
      </c>
      <c r="C51" s="132"/>
      <c r="D51" s="191" t="s">
        <v>40</v>
      </c>
      <c r="E51" s="191"/>
      <c r="F51" s="119"/>
      <c r="G51" s="120"/>
      <c r="H51" s="191" t="s">
        <v>40</v>
      </c>
      <c r="I51" s="191"/>
      <c r="J51" s="119"/>
      <c r="K51" s="119"/>
      <c r="L51" s="191" t="s">
        <v>41</v>
      </c>
      <c r="M51" s="191"/>
      <c r="N51" s="120"/>
      <c r="O51" s="191" t="s">
        <v>42</v>
      </c>
      <c r="P51" s="191"/>
      <c r="Q51" s="181"/>
    </row>
    <row r="52" spans="1:17" ht="21" customHeight="1" x14ac:dyDescent="0.25">
      <c r="A52" s="29"/>
      <c r="B52" s="31"/>
      <c r="C52" s="121"/>
      <c r="D52" s="121"/>
      <c r="E52" s="121"/>
      <c r="F52" s="121"/>
      <c r="G52" s="121"/>
      <c r="H52" s="121"/>
      <c r="I52" s="121"/>
      <c r="J52" s="121"/>
      <c r="K52" s="121"/>
      <c r="L52" s="121"/>
      <c r="M52" s="121"/>
      <c r="N52" s="121"/>
      <c r="O52" s="122"/>
      <c r="P52" s="122"/>
      <c r="Q52" s="32"/>
    </row>
    <row r="53" spans="1:17" s="3" customFormat="1" ht="22.5" customHeight="1" x14ac:dyDescent="0.25">
      <c r="A53" s="27"/>
      <c r="B53" s="182" t="str">
        <f>"NOTA: La fecha de corte de la información financiera registrada en el RUP debe ser de acuerdo a lo establecido en el pliego definitivo de condiciones del proceso "&amp;[1]Indicadores_Generales!D4&amp;"."</f>
        <v>NOTA: La fecha de corte de la información financiera registrada en el RUP debe ser de acuerdo a lo establecido en el pliego definitivo de condiciones del proceso FDLBOSACM-003-2022 (71936).</v>
      </c>
      <c r="C53" s="183"/>
      <c r="D53" s="183"/>
      <c r="E53" s="183"/>
      <c r="F53" s="183"/>
      <c r="G53" s="183"/>
      <c r="H53" s="183"/>
      <c r="I53" s="183"/>
      <c r="J53" s="183"/>
      <c r="K53" s="183"/>
      <c r="L53" s="183"/>
      <c r="M53" s="183"/>
      <c r="N53" s="183"/>
      <c r="O53" s="183"/>
      <c r="P53" s="183"/>
      <c r="Q53" s="184"/>
    </row>
    <row r="54" spans="1:17" s="3" customFormat="1" ht="22.5" customHeight="1" thickBot="1" x14ac:dyDescent="0.3">
      <c r="A54" s="27"/>
      <c r="B54" s="185"/>
      <c r="C54" s="186"/>
      <c r="D54" s="186"/>
      <c r="E54" s="186"/>
      <c r="F54" s="186"/>
      <c r="G54" s="186"/>
      <c r="H54" s="186"/>
      <c r="I54" s="186"/>
      <c r="J54" s="186"/>
      <c r="K54" s="186"/>
      <c r="L54" s="186"/>
      <c r="M54" s="186"/>
      <c r="N54" s="186"/>
      <c r="O54" s="186"/>
      <c r="P54" s="186"/>
      <c r="Q54" s="187"/>
    </row>
  </sheetData>
  <mergeCells count="17">
    <mergeCell ref="B24:Q24"/>
    <mergeCell ref="B1:B5"/>
    <mergeCell ref="C1:P5"/>
    <mergeCell ref="Q1:Q5"/>
    <mergeCell ref="B6:Q6"/>
    <mergeCell ref="B7:Q7"/>
    <mergeCell ref="B27:Q27"/>
    <mergeCell ref="B36:Q36"/>
    <mergeCell ref="B44:Q45"/>
    <mergeCell ref="H50:I50"/>
    <mergeCell ref="L50:M50"/>
    <mergeCell ref="O50:Q50"/>
    <mergeCell ref="D51:E51"/>
    <mergeCell ref="H51:I51"/>
    <mergeCell ref="L51:M51"/>
    <mergeCell ref="O51:Q51"/>
    <mergeCell ref="B53:Q54"/>
  </mergeCells>
  <conditionalFormatting sqref="C12:Q12">
    <cfRule type="cellIs" dxfId="14" priority="16" operator="equal">
      <formula>0</formula>
    </cfRule>
  </conditionalFormatting>
  <conditionalFormatting sqref="C34:Q34">
    <cfRule type="cellIs" dxfId="13" priority="14" operator="equal">
      <formula>"Hábil"</formula>
    </cfRule>
    <cfRule type="cellIs" dxfId="12" priority="15" operator="equal">
      <formula>"No Hábil"</formula>
    </cfRule>
  </conditionalFormatting>
  <conditionalFormatting sqref="C32:Q32">
    <cfRule type="cellIs" dxfId="11" priority="12" operator="equal">
      <formula>"Hábil"</formula>
    </cfRule>
    <cfRule type="cellIs" dxfId="10" priority="13" operator="equal">
      <formula>"No Hábil"</formula>
    </cfRule>
  </conditionalFormatting>
  <conditionalFormatting sqref="C30:Q30">
    <cfRule type="cellIs" dxfId="9" priority="10" operator="equal">
      <formula>"Hábil"</formula>
    </cfRule>
    <cfRule type="cellIs" dxfId="8" priority="11" operator="equal">
      <formula>"No Hábil"</formula>
    </cfRule>
  </conditionalFormatting>
  <conditionalFormatting sqref="C28:Q28">
    <cfRule type="cellIs" dxfId="7" priority="8" operator="equal">
      <formula>"Hábil"</formula>
    </cfRule>
    <cfRule type="cellIs" dxfId="6" priority="9" operator="equal">
      <formula>"No Hábil"</formula>
    </cfRule>
  </conditionalFormatting>
  <conditionalFormatting sqref="C42:Q42">
    <cfRule type="cellIs" dxfId="5" priority="6" operator="equal">
      <formula>"No Habilitado"</formula>
    </cfRule>
    <cfRule type="cellIs" dxfId="4" priority="7" operator="equal">
      <formula>"Habilitado"</formula>
    </cfRule>
  </conditionalFormatting>
  <conditionalFormatting sqref="C40:Q40">
    <cfRule type="cellIs" dxfId="3" priority="4" operator="equal">
      <formula>"Hábil"</formula>
    </cfRule>
    <cfRule type="cellIs" dxfId="2" priority="5" operator="equal">
      <formula>"No Hábil"</formula>
    </cfRule>
  </conditionalFormatting>
  <conditionalFormatting sqref="C38:Q38">
    <cfRule type="cellIs" dxfId="1" priority="2" operator="equal">
      <formula>"Hábil"</formula>
    </cfRule>
    <cfRule type="cellIs" dxfId="0" priority="3" operator="equal">
      <formula>"No Hábil"</formula>
    </cfRule>
  </conditionalFormatting>
  <printOptions horizontalCentered="1" verticalCentered="1"/>
  <pageMargins left="0.19685039370078741" right="0.19685039370078741" top="0.15748031496062992" bottom="0.15748031496062992" header="0.31496062992125984" footer="0.31496062992125984"/>
  <pageSetup paperSize="256" scale="31"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10</vt:i4>
      </vt:variant>
    </vt:vector>
  </HeadingPairs>
  <TitlesOfParts>
    <vt:vector size="18" baseType="lpstr">
      <vt:lpstr>Indicadores_Generales</vt:lpstr>
      <vt:lpstr>GCO-GCI-107_1 a 15</vt:lpstr>
      <vt:lpstr>GCO-GCI-107_16 a 30</vt:lpstr>
      <vt:lpstr>GCO-GCI-107_31 a 45</vt:lpstr>
      <vt:lpstr>GCO-GCI-107_46 a 60</vt:lpstr>
      <vt:lpstr>GCO-GCI-107_61 a 75</vt:lpstr>
      <vt:lpstr>GCO-GCI-107_76 a 90</vt:lpstr>
      <vt:lpstr>GCO-GCI-107_91 a 105</vt:lpstr>
      <vt:lpstr>'GCO-GCI-107_1 a 15'!Área_de_impresión</vt:lpstr>
      <vt:lpstr>'GCO-GCI-107_16 a 30'!Área_de_impresión</vt:lpstr>
      <vt:lpstr>'GCO-GCI-107_31 a 45'!Área_de_impresión</vt:lpstr>
      <vt:lpstr>'GCO-GCI-107_46 a 60'!Área_de_impresión</vt:lpstr>
      <vt:lpstr>'GCO-GCI-107_61 a 75'!Área_de_impresión</vt:lpstr>
      <vt:lpstr>'GCO-GCI-107_76 a 90'!Área_de_impresión</vt:lpstr>
      <vt:lpstr>'GCO-GCI-107_91 a 105'!Área_de_impresión</vt:lpstr>
      <vt:lpstr>Indicadores_Generales!frmMainForm_tblFormContainer_trContentRow_tdLeftColumn_divViewProfilePerspective_tblProfileDetails_trIsGroupContentRow_tdTitleCell_rptIsGroupRepeater_rpteIsGroupConditionalElements_lnkIsGroupConditionalSpan_0</vt:lpstr>
      <vt:lpstr>Indicadores_Generales!frmMainForm_tblFormContainer_trContentRow_tdLeftColumn_divViewProfilePerspective_tblProfileDetails_trIsGroupContentRow_tdTitleCell_rptIsGroupRepeater_rpteIsGroupConditionalElements_lnkIsGroupConditionalSpan_1</vt:lpstr>
      <vt:lpstr>Indicadores_Generales!frmMainForm_tblFormContainer_trContentRow_tdLeftColumn_divViewProfilePerspective_tblProfileDetails_trIsGroupContentRow_tdTitleCell_rptIsGroupRepeater_rpteIsGroupConditionalElements_lnkIsGroupConditionalSpan_2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Nelson Arguellez</dc:creator>
  <cp:lastModifiedBy>Lina Maria Diaz Bejarano</cp:lastModifiedBy>
  <cp:lastPrinted>2022-06-01T12:32:36Z</cp:lastPrinted>
  <dcterms:created xsi:type="dcterms:W3CDTF">2022-03-02T18:31:36Z</dcterms:created>
  <dcterms:modified xsi:type="dcterms:W3CDTF">2022-06-22T14:16:39Z</dcterms:modified>
</cp:coreProperties>
</file>